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dafra\Desktop\KOMODO\Cotizaciones\"/>
    </mc:Choice>
  </mc:AlternateContent>
  <xr:revisionPtr revIDLastSave="0" documentId="13_ncr:1_{36658BA3-448B-4C60-82E2-BEE643407A3B}" xr6:coauthVersionLast="47" xr6:coauthVersionMax="47" xr10:uidLastSave="{00000000-0000-0000-0000-000000000000}"/>
  <bookViews>
    <workbookView showHorizontalScroll="0" showVerticalScroll="0" showSheetTabs="0" xWindow="-120" yWindow="-120" windowWidth="20730" windowHeight="11040" xr2:uid="{00000000-000D-0000-FFFF-FFFF00000000}"/>
  </bookViews>
  <sheets>
    <sheet name="Hoja1" sheetId="1" r:id="rId1"/>
  </sheets>
  <definedNames>
    <definedName name="_xlnm._FilterDatabase" localSheetId="0" hidden="1">Hoja1!$A$1:$Y$8336</definedName>
    <definedName name="_xlnm.Print_Area" localSheetId="0">Hoja1!$A$1:$AM$7839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336" i="1" l="1"/>
  <c r="O8336" i="1"/>
  <c r="L8336" i="1"/>
  <c r="R8335" i="1"/>
  <c r="L8335" i="1"/>
  <c r="R8334" i="1" l="1"/>
  <c r="L8334" i="1"/>
  <c r="L15" i="1" l="1"/>
  <c r="O15" i="1"/>
  <c r="R15" i="1"/>
  <c r="T15" i="1"/>
  <c r="R8333" i="1" l="1"/>
  <c r="L8333" i="1"/>
  <c r="R8332" i="1" l="1"/>
  <c r="R8331" i="1"/>
  <c r="R8330" i="1"/>
  <c r="L8332" i="1"/>
  <c r="L8331" i="1"/>
  <c r="L8330" i="1"/>
  <c r="R8329" i="1"/>
  <c r="L8329" i="1"/>
  <c r="R8328" i="1"/>
  <c r="L8328" i="1"/>
  <c r="R8327" i="1"/>
  <c r="L8327" i="1"/>
  <c r="R8326" i="1"/>
  <c r="L8326" i="1"/>
  <c r="R8325" i="1"/>
  <c r="L8325" i="1"/>
  <c r="R8324" i="1"/>
  <c r="L8324" i="1"/>
  <c r="R8323" i="1"/>
  <c r="L8323" i="1"/>
  <c r="R8322" i="1" l="1"/>
  <c r="L8322" i="1"/>
  <c r="R8321" i="1" l="1"/>
  <c r="L8321" i="1"/>
  <c r="R8320" i="1"/>
  <c r="L8320" i="1"/>
  <c r="S8319" i="1"/>
  <c r="R8319" i="1"/>
  <c r="L8319" i="1"/>
  <c r="S8318" i="1" l="1"/>
  <c r="R8318" i="1"/>
  <c r="L8318" i="1"/>
  <c r="S8317" i="1" l="1"/>
  <c r="R8317" i="1"/>
  <c r="L8317" i="1"/>
  <c r="S8312" i="1"/>
  <c r="S8313" i="1"/>
  <c r="S8314" i="1"/>
  <c r="S8315" i="1"/>
  <c r="S8316" i="1"/>
  <c r="R8316" i="1"/>
  <c r="L8316" i="1"/>
  <c r="R8315" i="1"/>
  <c r="L8315" i="1"/>
  <c r="R8314" i="1"/>
  <c r="L8314" i="1"/>
  <c r="R8313" i="1"/>
  <c r="L8313" i="1"/>
  <c r="R8312" i="1" l="1"/>
  <c r="L8312" i="1"/>
  <c r="L6" i="1" l="1"/>
  <c r="O6" i="1"/>
  <c r="R6" i="1"/>
  <c r="T6" i="1"/>
  <c r="S8311" i="1" l="1"/>
  <c r="R8311" i="1"/>
  <c r="L8311" i="1"/>
  <c r="S8310" i="1" l="1"/>
  <c r="R8310" i="1"/>
  <c r="L8310" i="1"/>
  <c r="S8309" i="1"/>
  <c r="R8309" i="1"/>
  <c r="L8309" i="1"/>
  <c r="S8308" i="1"/>
  <c r="R8308" i="1"/>
  <c r="L8308" i="1"/>
  <c r="S8307" i="1"/>
  <c r="R8307" i="1"/>
  <c r="L8307" i="1"/>
  <c r="T8306" i="1" l="1"/>
  <c r="S8306" i="1"/>
  <c r="R8306" i="1"/>
  <c r="L8306" i="1"/>
  <c r="L5248" i="1" l="1"/>
  <c r="R5248" i="1"/>
  <c r="R8305" i="1" l="1"/>
  <c r="L8305" i="1"/>
  <c r="R8304" i="1"/>
  <c r="L8304" i="1"/>
  <c r="R8303" i="1"/>
  <c r="L8303" i="1"/>
  <c r="T8302" i="1"/>
  <c r="R8302" i="1"/>
  <c r="L8302" i="1"/>
  <c r="T8301" i="1"/>
  <c r="R8301" i="1"/>
  <c r="L8301" i="1"/>
  <c r="T8300" i="1"/>
  <c r="R8300" i="1"/>
  <c r="L8300" i="1"/>
  <c r="R8299" i="1"/>
  <c r="L8299" i="1"/>
  <c r="R8298" i="1"/>
  <c r="L8298" i="1"/>
  <c r="R8297" i="1"/>
  <c r="L8297" i="1"/>
  <c r="R8296" i="1" l="1"/>
  <c r="K8296" i="1"/>
  <c r="L8296" i="1" s="1"/>
  <c r="R8295" i="1" l="1"/>
  <c r="L8295" i="1"/>
  <c r="R8294" i="1" l="1"/>
  <c r="L8294" i="1"/>
  <c r="R8293" i="1"/>
  <c r="L8293" i="1"/>
  <c r="R8292" i="1"/>
  <c r="L8292" i="1"/>
  <c r="R8291" i="1"/>
  <c r="L8291" i="1"/>
  <c r="R8290" i="1" l="1"/>
  <c r="L8290" i="1"/>
  <c r="R8289" i="1"/>
  <c r="L8289" i="1"/>
  <c r="T8288" i="1"/>
  <c r="R8288" i="1"/>
  <c r="L8288" i="1"/>
  <c r="K8287" i="1"/>
  <c r="L8287" i="1" s="1"/>
  <c r="R8287" i="1"/>
  <c r="O8287" i="1"/>
  <c r="R8286" i="1"/>
  <c r="L8286" i="1"/>
  <c r="R8285" i="1" l="1"/>
  <c r="L8285" i="1"/>
  <c r="R8284" i="1"/>
  <c r="O8284" i="1"/>
  <c r="L8284" i="1"/>
  <c r="R8283" i="1"/>
  <c r="O8283" i="1"/>
  <c r="L8283" i="1"/>
  <c r="R8282" i="1" l="1"/>
  <c r="L8282" i="1"/>
  <c r="L8269" i="1" l="1"/>
  <c r="R8269" i="1"/>
  <c r="L8270" i="1"/>
  <c r="R8270" i="1"/>
  <c r="L8271" i="1"/>
  <c r="R8271" i="1"/>
  <c r="L8272" i="1"/>
  <c r="R8272" i="1"/>
  <c r="L8273" i="1"/>
  <c r="R8273" i="1"/>
  <c r="L8274" i="1"/>
  <c r="R8274" i="1"/>
  <c r="L8275" i="1"/>
  <c r="R8275" i="1"/>
  <c r="L8276" i="1"/>
  <c r="R8276" i="1"/>
  <c r="L8277" i="1"/>
  <c r="R8277" i="1"/>
  <c r="L8278" i="1"/>
  <c r="R8278" i="1"/>
  <c r="L8279" i="1"/>
  <c r="R8279" i="1"/>
  <c r="L8280" i="1"/>
  <c r="R8280" i="1"/>
  <c r="L8281" i="1"/>
  <c r="R8281" i="1"/>
  <c r="R8268" i="1"/>
  <c r="L8268" i="1"/>
  <c r="L8267" i="1"/>
  <c r="R8267" i="1"/>
  <c r="R8266" i="1" l="1"/>
  <c r="L8266" i="1"/>
  <c r="R8265" i="1" l="1"/>
  <c r="L8265" i="1"/>
  <c r="R8264" i="1" l="1"/>
  <c r="L8264" i="1"/>
  <c r="R8263" i="1"/>
  <c r="L8263" i="1"/>
  <c r="L8262" i="1" l="1"/>
  <c r="R8262" i="1"/>
  <c r="R8261" i="1"/>
  <c r="L8261" i="1"/>
  <c r="R8260" i="1"/>
  <c r="L8260" i="1"/>
  <c r="R8259" i="1"/>
  <c r="L8259" i="1"/>
  <c r="R8258" i="1"/>
  <c r="L8258" i="1"/>
  <c r="R8257" i="1"/>
  <c r="L8257" i="1"/>
  <c r="G12" i="1" l="1"/>
  <c r="L12" i="1"/>
  <c r="R12" i="1"/>
  <c r="R8256" i="1"/>
  <c r="K8256" i="1"/>
  <c r="L8256" i="1" s="1"/>
  <c r="R8255" i="1"/>
  <c r="L8255" i="1"/>
  <c r="R8254" i="1"/>
  <c r="L8254" i="1"/>
  <c r="R8253" i="1" l="1"/>
  <c r="L8253" i="1"/>
  <c r="V2984" i="1" l="1"/>
  <c r="R8252" i="1"/>
  <c r="L8252" i="1"/>
  <c r="R8251" i="1"/>
  <c r="L8251" i="1"/>
  <c r="R6627" i="1"/>
  <c r="L6627" i="1"/>
  <c r="R8250" i="1" l="1"/>
  <c r="L8250" i="1"/>
  <c r="R8249" i="1" l="1"/>
  <c r="L8249" i="1"/>
  <c r="T8174" i="1"/>
  <c r="R8174" i="1"/>
  <c r="L8174" i="1"/>
  <c r="R8248" i="1"/>
  <c r="L8248" i="1"/>
  <c r="R8247" i="1" l="1"/>
  <c r="L8247" i="1"/>
  <c r="R8246" i="1"/>
  <c r="L8246" i="1"/>
  <c r="R8245" i="1"/>
  <c r="L8245" i="1"/>
  <c r="T8244" i="1"/>
  <c r="R8244" i="1"/>
  <c r="L8244" i="1"/>
  <c r="R8243" i="1" l="1"/>
  <c r="L8243" i="1"/>
  <c r="R8242" i="1"/>
  <c r="L8242" i="1"/>
  <c r="R8241" i="1"/>
  <c r="L8241" i="1"/>
  <c r="R8240" i="1"/>
  <c r="L8240" i="1"/>
  <c r="R8239" i="1"/>
  <c r="L8239" i="1"/>
  <c r="L8238" i="1"/>
  <c r="R8238" i="1"/>
  <c r="K8237" i="1" l="1"/>
  <c r="L8237" i="1" s="1"/>
  <c r="R8237" i="1"/>
  <c r="R8236" i="1"/>
  <c r="R8235" i="1"/>
  <c r="K8236" i="1"/>
  <c r="L8236" i="1" s="1"/>
  <c r="K8235" i="1"/>
  <c r="L8235" i="1" s="1"/>
  <c r="R8234" i="1" l="1"/>
  <c r="O8234" i="1"/>
  <c r="L8234" i="1"/>
  <c r="R8233" i="1" l="1"/>
  <c r="O8233" i="1"/>
  <c r="L8233" i="1"/>
  <c r="R8232" i="1"/>
  <c r="O8232" i="1"/>
  <c r="K8232" i="1"/>
  <c r="L8232" i="1" s="1"/>
  <c r="R8231" i="1"/>
  <c r="O8231" i="1"/>
  <c r="L8231" i="1"/>
  <c r="R8230" i="1"/>
  <c r="O8230" i="1"/>
  <c r="L8230" i="1"/>
  <c r="R8229" i="1"/>
  <c r="O8229" i="1"/>
  <c r="L8229" i="1"/>
  <c r="R8228" i="1" l="1"/>
  <c r="O8228" i="1"/>
  <c r="L8228" i="1"/>
  <c r="R8227" i="1"/>
  <c r="O8227" i="1"/>
  <c r="L8227" i="1"/>
  <c r="O8226" i="1" l="1"/>
  <c r="K8226" i="1"/>
  <c r="L8226" i="1" s="1"/>
  <c r="R8226" i="1"/>
  <c r="R8225" i="1" l="1"/>
  <c r="O8225" i="1"/>
  <c r="L8225" i="1"/>
  <c r="R8224" i="1" l="1"/>
  <c r="L8224" i="1"/>
  <c r="R8223" i="1"/>
  <c r="K8223" i="1"/>
  <c r="L8223" i="1" s="1"/>
  <c r="R8222" i="1" l="1"/>
  <c r="L8222" i="1"/>
  <c r="R8221" i="1"/>
  <c r="R8220" i="1"/>
  <c r="K8221" i="1"/>
  <c r="L8221" i="1" s="1"/>
  <c r="K8220" i="1"/>
  <c r="L8220" i="1" s="1"/>
  <c r="R8219" i="1"/>
  <c r="L8219" i="1"/>
  <c r="R8218" i="1"/>
  <c r="L8218" i="1"/>
  <c r="R8217" i="1"/>
  <c r="L8217" i="1"/>
  <c r="R8216" i="1"/>
  <c r="L8216" i="1"/>
  <c r="R8215" i="1"/>
  <c r="L8215" i="1"/>
  <c r="R8214" i="1"/>
  <c r="L8214" i="1"/>
  <c r="R8213" i="1"/>
  <c r="L8213" i="1"/>
  <c r="R8212" i="1"/>
  <c r="L8212" i="1"/>
  <c r="R8211" i="1"/>
  <c r="L8211" i="1"/>
  <c r="R8210" i="1"/>
  <c r="L8210" i="1"/>
  <c r="R8209" i="1"/>
  <c r="L8209" i="1"/>
  <c r="R8208" i="1"/>
  <c r="L8208" i="1"/>
  <c r="R8207" i="1"/>
  <c r="L8207" i="1"/>
  <c r="R8206" i="1"/>
  <c r="L8206" i="1"/>
  <c r="R8205" i="1"/>
  <c r="L8205" i="1"/>
  <c r="R8204" i="1"/>
  <c r="L8204" i="1"/>
  <c r="R8203" i="1"/>
  <c r="L8203" i="1"/>
  <c r="R8202" i="1"/>
  <c r="L8202" i="1"/>
  <c r="R8201" i="1"/>
  <c r="L8201" i="1"/>
  <c r="R8200" i="1"/>
  <c r="L8200" i="1"/>
  <c r="R8199" i="1"/>
  <c r="L8199" i="1"/>
  <c r="R8198" i="1"/>
  <c r="K8198" i="1"/>
  <c r="L8198" i="1" s="1"/>
  <c r="R8197" i="1" l="1"/>
  <c r="L8197" i="1"/>
  <c r="K8196" i="1"/>
  <c r="L8196" i="1" s="1"/>
  <c r="R8196" i="1"/>
  <c r="K8195" i="1"/>
  <c r="L8195" i="1" s="1"/>
  <c r="R8195" i="1"/>
  <c r="K8194" i="1"/>
  <c r="L8194" i="1" s="1"/>
  <c r="R8194" i="1"/>
  <c r="R8193" i="1" l="1"/>
  <c r="L8193" i="1"/>
  <c r="K8191" i="1" l="1"/>
  <c r="L8191" i="1" s="1"/>
  <c r="R8191" i="1"/>
  <c r="R8192" i="1"/>
  <c r="K8192" i="1"/>
  <c r="L8192" i="1" s="1"/>
  <c r="K8190" i="1" l="1"/>
  <c r="L8190" i="1" s="1"/>
  <c r="R8190" i="1"/>
  <c r="R8189" i="1"/>
  <c r="L8189" i="1"/>
  <c r="R8188" i="1"/>
  <c r="R8187" i="1"/>
  <c r="R8186" i="1"/>
  <c r="R8185" i="1"/>
  <c r="R8184" i="1"/>
  <c r="R8183" i="1"/>
  <c r="R8182" i="1"/>
  <c r="K8188" i="1"/>
  <c r="L8188" i="1" s="1"/>
  <c r="K8187" i="1"/>
  <c r="L8187" i="1" s="1"/>
  <c r="K8186" i="1"/>
  <c r="L8186" i="1" s="1"/>
  <c r="K8185" i="1"/>
  <c r="L8185" i="1" s="1"/>
  <c r="K8182" i="1"/>
  <c r="L8182" i="1" s="1"/>
  <c r="K8184" i="1"/>
  <c r="L8184" i="1" s="1"/>
  <c r="K8183" i="1"/>
  <c r="L8183" i="1" s="1"/>
  <c r="R8181" i="1" l="1"/>
  <c r="R8180" i="1"/>
  <c r="L8180" i="1"/>
  <c r="R8179" i="1" l="1"/>
  <c r="L8179" i="1"/>
  <c r="R8178" i="1"/>
  <c r="L8178" i="1"/>
  <c r="R8177" i="1"/>
  <c r="L8177" i="1"/>
  <c r="R8176" i="1"/>
  <c r="L8176" i="1"/>
  <c r="R8175" i="1"/>
  <c r="L8175" i="1"/>
  <c r="R8173" i="1" l="1"/>
  <c r="O8173" i="1"/>
  <c r="L8173" i="1"/>
  <c r="R8172" i="1"/>
  <c r="O8172" i="1"/>
  <c r="L8172" i="1"/>
  <c r="R8171" i="1" l="1"/>
  <c r="O8171" i="1"/>
  <c r="L8171" i="1"/>
  <c r="R8170" i="1"/>
  <c r="O8170" i="1"/>
  <c r="L8170" i="1"/>
  <c r="R8169" i="1"/>
  <c r="O8169" i="1"/>
  <c r="L8169" i="1"/>
  <c r="R8168" i="1"/>
  <c r="O8168" i="1"/>
  <c r="L8168" i="1"/>
  <c r="R8167" i="1" l="1"/>
  <c r="O8167" i="1"/>
  <c r="L8167" i="1"/>
  <c r="R8166" i="1"/>
  <c r="O8166" i="1"/>
  <c r="L8166" i="1"/>
  <c r="R8165" i="1"/>
  <c r="O8165" i="1"/>
  <c r="L8165" i="1"/>
  <c r="R8164" i="1"/>
  <c r="O8164" i="1"/>
  <c r="L8164" i="1"/>
  <c r="R8163" i="1"/>
  <c r="O8163" i="1"/>
  <c r="L8163" i="1"/>
  <c r="R8162" i="1"/>
  <c r="O8162" i="1"/>
  <c r="L8162" i="1"/>
  <c r="R8161" i="1"/>
  <c r="O8161" i="1"/>
  <c r="L8161" i="1"/>
  <c r="R8160" i="1"/>
  <c r="O8160" i="1"/>
  <c r="L8160" i="1"/>
  <c r="R8159" i="1"/>
  <c r="O8159" i="1"/>
  <c r="L8159" i="1"/>
  <c r="R8158" i="1"/>
  <c r="O8158" i="1"/>
  <c r="L8158" i="1"/>
  <c r="R8157" i="1"/>
  <c r="O8157" i="1"/>
  <c r="L8157" i="1"/>
  <c r="R8156" i="1"/>
  <c r="O8156" i="1"/>
  <c r="L8156" i="1"/>
  <c r="R8155" i="1"/>
  <c r="O8155" i="1"/>
  <c r="L8155" i="1"/>
  <c r="R8154" i="1"/>
  <c r="O8154" i="1"/>
  <c r="L8154" i="1"/>
  <c r="R8153" i="1"/>
  <c r="O8153" i="1"/>
  <c r="K8153" i="1"/>
  <c r="L8153" i="1" s="1"/>
  <c r="R8152" i="1"/>
  <c r="O8152" i="1"/>
  <c r="K8152" i="1"/>
  <c r="L8152" i="1" s="1"/>
  <c r="R8151" i="1"/>
  <c r="O8151" i="1"/>
  <c r="K8151" i="1"/>
  <c r="L8151" i="1" s="1"/>
  <c r="R8150" i="1"/>
  <c r="O8150" i="1"/>
  <c r="K8150" i="1"/>
  <c r="L8150" i="1" s="1"/>
  <c r="R8149" i="1"/>
  <c r="O8149" i="1"/>
  <c r="L8149" i="1"/>
  <c r="R8148" i="1"/>
  <c r="O8148" i="1"/>
  <c r="L8148" i="1"/>
  <c r="R8147" i="1"/>
  <c r="O8147" i="1"/>
  <c r="L8147" i="1"/>
  <c r="R8146" i="1"/>
  <c r="O8146" i="1"/>
  <c r="K8146" i="1"/>
  <c r="L8146" i="1" s="1"/>
  <c r="R8145" i="1"/>
  <c r="O8145" i="1"/>
  <c r="L8145" i="1"/>
  <c r="R8144" i="1"/>
  <c r="O8144" i="1"/>
  <c r="L8144" i="1"/>
  <c r="R8142" i="1"/>
  <c r="L8142" i="1"/>
  <c r="R8141" i="1"/>
  <c r="L8141" i="1"/>
  <c r="R8139" i="1"/>
  <c r="L8139" i="1"/>
  <c r="R8138" i="1"/>
  <c r="L8138" i="1"/>
  <c r="I8138" i="1"/>
  <c r="R8137" i="1"/>
  <c r="L8137" i="1"/>
  <c r="R8136" i="1"/>
  <c r="L8136" i="1"/>
  <c r="R8135" i="1"/>
  <c r="L8135" i="1"/>
  <c r="R8134" i="1"/>
  <c r="L8134" i="1"/>
  <c r="R8133" i="1"/>
  <c r="L8133" i="1"/>
  <c r="R8132" i="1"/>
  <c r="L8132" i="1"/>
  <c r="R8131" i="1"/>
  <c r="L8131" i="1"/>
  <c r="R8130" i="1"/>
  <c r="L8130" i="1"/>
  <c r="R8129" i="1"/>
  <c r="L8129" i="1"/>
  <c r="R8128" i="1"/>
  <c r="L8128" i="1"/>
  <c r="R8127" i="1"/>
  <c r="L8127" i="1"/>
  <c r="R8126" i="1"/>
  <c r="L8126" i="1"/>
  <c r="T8125" i="1"/>
  <c r="R8125" i="1"/>
  <c r="L8125" i="1"/>
  <c r="R8124" i="1"/>
  <c r="L8124" i="1"/>
  <c r="R8123" i="1"/>
  <c r="L8123" i="1"/>
  <c r="R8122" i="1"/>
  <c r="K8122" i="1"/>
  <c r="L8122" i="1" s="1"/>
  <c r="R8121" i="1"/>
  <c r="L8121" i="1"/>
  <c r="R8120" i="1"/>
  <c r="L8120" i="1"/>
  <c r="R8119" i="1"/>
  <c r="L8119" i="1"/>
  <c r="R8118" i="1"/>
  <c r="L8118" i="1"/>
  <c r="R8117" i="1"/>
  <c r="L8117" i="1"/>
  <c r="R8116" i="1"/>
  <c r="L8116" i="1"/>
  <c r="R8115" i="1"/>
  <c r="L8115" i="1"/>
  <c r="R8114" i="1"/>
  <c r="L8114" i="1"/>
  <c r="R8113" i="1"/>
  <c r="K8113" i="1"/>
  <c r="L8113" i="1" s="1"/>
  <c r="R8112" i="1"/>
  <c r="K8112" i="1"/>
  <c r="L8112" i="1" s="1"/>
  <c r="R8111" i="1"/>
  <c r="K8111" i="1"/>
  <c r="L8111" i="1" s="1"/>
  <c r="R8110" i="1"/>
  <c r="K8110" i="1"/>
  <c r="L8110" i="1" s="1"/>
  <c r="R8109" i="1"/>
  <c r="K8109" i="1"/>
  <c r="L8109" i="1" s="1"/>
  <c r="R8108" i="1"/>
  <c r="K8108" i="1"/>
  <c r="L8108" i="1" s="1"/>
  <c r="R8107" i="1"/>
  <c r="K8107" i="1"/>
  <c r="L8107" i="1" s="1"/>
  <c r="R8106" i="1"/>
  <c r="L8106" i="1"/>
  <c r="R8105" i="1"/>
  <c r="K8105" i="1"/>
  <c r="L8105" i="1" s="1"/>
  <c r="R8104" i="1"/>
  <c r="K8104" i="1"/>
  <c r="L8104" i="1" s="1"/>
  <c r="R8103" i="1"/>
  <c r="L8103" i="1"/>
  <c r="R8102" i="1"/>
  <c r="L8102" i="1"/>
  <c r="R8101" i="1"/>
  <c r="L8101" i="1"/>
  <c r="R8100" i="1"/>
  <c r="L8100" i="1"/>
  <c r="R8099" i="1"/>
  <c r="L8099" i="1"/>
  <c r="R8098" i="1"/>
  <c r="L8098" i="1"/>
  <c r="R8097" i="1"/>
  <c r="L8097" i="1"/>
  <c r="R8096" i="1"/>
  <c r="L8096" i="1"/>
  <c r="R8095" i="1"/>
  <c r="L8095" i="1"/>
  <c r="R8094" i="1"/>
  <c r="L8094" i="1"/>
  <c r="R8093" i="1"/>
  <c r="K8093" i="1"/>
  <c r="L8093" i="1" s="1"/>
  <c r="R8092" i="1"/>
  <c r="L8092" i="1"/>
  <c r="R8091" i="1"/>
  <c r="L8091" i="1"/>
  <c r="R8090" i="1"/>
  <c r="L8090" i="1"/>
  <c r="R8089" i="1"/>
  <c r="K8089" i="1"/>
  <c r="L8089" i="1" s="1"/>
  <c r="R8088" i="1"/>
  <c r="L8088" i="1"/>
  <c r="R8087" i="1"/>
  <c r="K8087" i="1"/>
  <c r="L8087" i="1" s="1"/>
  <c r="R8086" i="1"/>
  <c r="L8086" i="1"/>
  <c r="R8085" i="1"/>
  <c r="L8085" i="1"/>
  <c r="R8084" i="1"/>
  <c r="L8084" i="1"/>
  <c r="R8083" i="1"/>
  <c r="L8083" i="1"/>
  <c r="R8082" i="1"/>
  <c r="L8082" i="1"/>
  <c r="R8081" i="1"/>
  <c r="L8081" i="1"/>
  <c r="R8080" i="1"/>
  <c r="L8080" i="1"/>
  <c r="R8079" i="1"/>
  <c r="L8079" i="1"/>
  <c r="R8078" i="1"/>
  <c r="L8078" i="1"/>
  <c r="R8077" i="1"/>
  <c r="L8077" i="1"/>
  <c r="R8076" i="1"/>
  <c r="L8076" i="1"/>
  <c r="R8075" i="1"/>
  <c r="L8075" i="1"/>
  <c r="R8074" i="1"/>
  <c r="L8074" i="1"/>
  <c r="R8073" i="1"/>
  <c r="L8073" i="1"/>
  <c r="R8072" i="1"/>
  <c r="L8072" i="1"/>
  <c r="R8071" i="1"/>
  <c r="L8071" i="1"/>
  <c r="R8070" i="1"/>
  <c r="L8070" i="1"/>
  <c r="R8069" i="1"/>
  <c r="L8069" i="1"/>
  <c r="R8068" i="1"/>
  <c r="L8068" i="1"/>
  <c r="R8067" i="1"/>
  <c r="L8067" i="1"/>
  <c r="R8066" i="1"/>
  <c r="L8066" i="1"/>
  <c r="R8065" i="1"/>
  <c r="L8065" i="1"/>
  <c r="R8064" i="1"/>
  <c r="L8064" i="1"/>
  <c r="R8063" i="1"/>
  <c r="L8063" i="1"/>
  <c r="R8062" i="1"/>
  <c r="L8062" i="1"/>
  <c r="R8061" i="1"/>
  <c r="L8061" i="1"/>
  <c r="R8060" i="1"/>
  <c r="L8060" i="1"/>
  <c r="R8059" i="1"/>
  <c r="L8059" i="1"/>
  <c r="R8058" i="1"/>
  <c r="L8058" i="1"/>
  <c r="R8057" i="1"/>
  <c r="L8057" i="1"/>
  <c r="R8056" i="1"/>
  <c r="L8056" i="1"/>
  <c r="R8055" i="1"/>
  <c r="L8055" i="1"/>
  <c r="R8054" i="1"/>
  <c r="L8054" i="1"/>
  <c r="R8053" i="1"/>
  <c r="K8053" i="1"/>
  <c r="L8053" i="1" s="1"/>
  <c r="R8052" i="1"/>
  <c r="K8052" i="1"/>
  <c r="L8052" i="1" s="1"/>
  <c r="R8051" i="1"/>
  <c r="K8051" i="1"/>
  <c r="L8051" i="1" s="1"/>
  <c r="R8050" i="1"/>
  <c r="L8050" i="1"/>
  <c r="R8049" i="1"/>
  <c r="L8049" i="1"/>
  <c r="R8048" i="1"/>
  <c r="L8048" i="1"/>
  <c r="R8047" i="1"/>
  <c r="L8047" i="1"/>
  <c r="R8046" i="1"/>
  <c r="L8046" i="1"/>
  <c r="R8045" i="1"/>
  <c r="L8045" i="1"/>
  <c r="R8044" i="1"/>
  <c r="L8044" i="1"/>
  <c r="R8043" i="1"/>
  <c r="L8043" i="1"/>
  <c r="R8042" i="1"/>
  <c r="L8042" i="1"/>
  <c r="R8041" i="1"/>
  <c r="L8041" i="1"/>
  <c r="R8040" i="1"/>
  <c r="L8040" i="1"/>
  <c r="R8039" i="1"/>
  <c r="L8039" i="1"/>
  <c r="R8038" i="1"/>
  <c r="L8038" i="1"/>
  <c r="R8037" i="1"/>
  <c r="L8037" i="1"/>
  <c r="R8036" i="1"/>
  <c r="K8036" i="1"/>
  <c r="L8036" i="1" s="1"/>
  <c r="R8035" i="1"/>
  <c r="L8035" i="1"/>
  <c r="R8034" i="1"/>
  <c r="K8034" i="1"/>
  <c r="L8034" i="1" s="1"/>
  <c r="R8033" i="1"/>
  <c r="K8033" i="1"/>
  <c r="L8033" i="1" s="1"/>
  <c r="S8033" i="1" s="1"/>
  <c r="R8032" i="1"/>
  <c r="K8032" i="1"/>
  <c r="L8032" i="1" s="1"/>
  <c r="S8032" i="1" s="1"/>
  <c r="R8031" i="1"/>
  <c r="K8031" i="1"/>
  <c r="L8031" i="1" s="1"/>
  <c r="S8031" i="1" s="1"/>
  <c r="R8030" i="1"/>
  <c r="K8030" i="1"/>
  <c r="L8030" i="1" s="1"/>
  <c r="S8030" i="1" s="1"/>
  <c r="R8029" i="1"/>
  <c r="K8029" i="1"/>
  <c r="L8029" i="1" s="1"/>
  <c r="S8029" i="1" s="1"/>
  <c r="R8028" i="1"/>
  <c r="L8028" i="1"/>
  <c r="R8027" i="1"/>
  <c r="L8027" i="1"/>
  <c r="R8026" i="1"/>
  <c r="L8026" i="1"/>
  <c r="R8025" i="1"/>
  <c r="L8025" i="1"/>
  <c r="T8024" i="1"/>
  <c r="R8024" i="1"/>
  <c r="L8024" i="1"/>
  <c r="R8023" i="1"/>
  <c r="L8023" i="1"/>
  <c r="R8022" i="1"/>
  <c r="L8022" i="1"/>
  <c r="R8021" i="1"/>
  <c r="L8021" i="1"/>
  <c r="R8020" i="1"/>
  <c r="L8020" i="1"/>
  <c r="R8019" i="1"/>
  <c r="L8019" i="1"/>
  <c r="R8018" i="1"/>
  <c r="L8018" i="1"/>
  <c r="R8017" i="1"/>
  <c r="L8017" i="1"/>
  <c r="R8016" i="1"/>
  <c r="L8016" i="1"/>
  <c r="R8015" i="1"/>
  <c r="K8015" i="1"/>
  <c r="L8015" i="1" s="1"/>
  <c r="R8014" i="1"/>
  <c r="K8014" i="1"/>
  <c r="L8014" i="1" s="1"/>
  <c r="R8013" i="1"/>
  <c r="K8013" i="1"/>
  <c r="L8013" i="1" s="1"/>
  <c r="R8012" i="1"/>
  <c r="K8012" i="1"/>
  <c r="L8012" i="1" s="1"/>
  <c r="R8011" i="1"/>
  <c r="K8011" i="1"/>
  <c r="L8011" i="1" s="1"/>
  <c r="R8010" i="1"/>
  <c r="K8010" i="1"/>
  <c r="L8010" i="1" s="1"/>
  <c r="R8009" i="1"/>
  <c r="L8009" i="1"/>
  <c r="R8008" i="1"/>
  <c r="L8008" i="1"/>
  <c r="R8007" i="1"/>
  <c r="L8007" i="1"/>
  <c r="R8006" i="1"/>
  <c r="K8006" i="1"/>
  <c r="L8006" i="1" s="1"/>
  <c r="R8005" i="1"/>
  <c r="L8005" i="1"/>
  <c r="R8004" i="1"/>
  <c r="L8004" i="1"/>
  <c r="R8003" i="1"/>
  <c r="L8003" i="1"/>
  <c r="R8002" i="1"/>
  <c r="K8002" i="1"/>
  <c r="L8002" i="1" s="1"/>
  <c r="R8001" i="1"/>
  <c r="K8001" i="1"/>
  <c r="L8001" i="1" s="1"/>
  <c r="R8000" i="1"/>
  <c r="K8000" i="1"/>
  <c r="L8000" i="1" s="1"/>
  <c r="R7999" i="1"/>
  <c r="K7999" i="1"/>
  <c r="L7999" i="1" s="1"/>
  <c r="R7998" i="1"/>
  <c r="L7998" i="1"/>
  <c r="R7997" i="1"/>
  <c r="L7997" i="1"/>
  <c r="R7996" i="1"/>
  <c r="K7996" i="1"/>
  <c r="L7996" i="1" s="1"/>
  <c r="R7995" i="1"/>
  <c r="K7995" i="1"/>
  <c r="L7995" i="1" s="1"/>
  <c r="R7994" i="1"/>
  <c r="K7994" i="1"/>
  <c r="L7994" i="1" s="1"/>
  <c r="R7993" i="1"/>
  <c r="K7993" i="1"/>
  <c r="L7993" i="1" s="1"/>
  <c r="R7992" i="1"/>
  <c r="L7992" i="1"/>
  <c r="R7991" i="1"/>
  <c r="L7991" i="1"/>
  <c r="R7990" i="1"/>
  <c r="L7990" i="1"/>
  <c r="T7989" i="1"/>
  <c r="R7989" i="1"/>
  <c r="L7989" i="1"/>
  <c r="T7988" i="1"/>
  <c r="R7988" i="1"/>
  <c r="L7988" i="1"/>
  <c r="T7987" i="1"/>
  <c r="R7987" i="1"/>
  <c r="L7987" i="1"/>
  <c r="T7986" i="1"/>
  <c r="R7986" i="1"/>
  <c r="L7986" i="1"/>
  <c r="T7985" i="1"/>
  <c r="R7985" i="1"/>
  <c r="L7985" i="1"/>
  <c r="S7984" i="1"/>
  <c r="R7984" i="1"/>
  <c r="L7984" i="1"/>
  <c r="R7983" i="1"/>
  <c r="L7983" i="1"/>
  <c r="R7982" i="1"/>
  <c r="L7982" i="1"/>
  <c r="R7981" i="1"/>
  <c r="L7981" i="1"/>
  <c r="R7980" i="1"/>
  <c r="L7980" i="1"/>
  <c r="R7979" i="1"/>
  <c r="K7979" i="1"/>
  <c r="L7979" i="1" s="1"/>
  <c r="R7978" i="1"/>
  <c r="O7978" i="1"/>
  <c r="L7978" i="1"/>
  <c r="R7977" i="1"/>
  <c r="O7977" i="1"/>
  <c r="L7977" i="1"/>
  <c r="S7976" i="1"/>
  <c r="R7976" i="1"/>
  <c r="L7976" i="1"/>
  <c r="S7975" i="1"/>
  <c r="R7975" i="1"/>
  <c r="L7975" i="1"/>
  <c r="S7974" i="1"/>
  <c r="R7974" i="1"/>
  <c r="L7974" i="1"/>
  <c r="T7973" i="1"/>
  <c r="S7973" i="1"/>
  <c r="R7973" i="1"/>
  <c r="L7973" i="1"/>
  <c r="T7972" i="1"/>
  <c r="S7972" i="1"/>
  <c r="R7972" i="1"/>
  <c r="L7972" i="1"/>
  <c r="T7971" i="1"/>
  <c r="R7971" i="1"/>
  <c r="L7971" i="1"/>
  <c r="T7970" i="1"/>
  <c r="S7970" i="1"/>
  <c r="R7970" i="1"/>
  <c r="L7970" i="1"/>
  <c r="R7969" i="1"/>
  <c r="O7969" i="1"/>
  <c r="L7969" i="1"/>
  <c r="R7968" i="1"/>
  <c r="L7968" i="1"/>
  <c r="R7967" i="1"/>
  <c r="L7967" i="1"/>
  <c r="R7966" i="1"/>
  <c r="L7966" i="1"/>
  <c r="R7965" i="1"/>
  <c r="L7965" i="1"/>
  <c r="R7964" i="1"/>
  <c r="L7964" i="1"/>
  <c r="R7963" i="1"/>
  <c r="L7963" i="1"/>
  <c r="R7962" i="1"/>
  <c r="K7962" i="1"/>
  <c r="L7962" i="1" s="1"/>
  <c r="R7961" i="1"/>
  <c r="K7961" i="1"/>
  <c r="R7960" i="1"/>
  <c r="L7960" i="1"/>
  <c r="S7959" i="1"/>
  <c r="R7959" i="1"/>
  <c r="L7959" i="1"/>
  <c r="S7958" i="1"/>
  <c r="R7958" i="1"/>
  <c r="L7958" i="1"/>
  <c r="R7957" i="1"/>
  <c r="L7957" i="1"/>
  <c r="R7956" i="1"/>
  <c r="L7956" i="1"/>
  <c r="R7955" i="1"/>
  <c r="L7955" i="1"/>
  <c r="R7954" i="1"/>
  <c r="L7954" i="1"/>
  <c r="R7953" i="1"/>
  <c r="L7953" i="1"/>
  <c r="R7952" i="1"/>
  <c r="L7952" i="1"/>
  <c r="R7951" i="1"/>
  <c r="L7951" i="1"/>
  <c r="R7950" i="1"/>
  <c r="L7950" i="1"/>
  <c r="T7949" i="1"/>
  <c r="R7949" i="1"/>
  <c r="L7949" i="1"/>
  <c r="R7948" i="1"/>
  <c r="L7948" i="1"/>
  <c r="R7947" i="1"/>
  <c r="L7947" i="1"/>
  <c r="R7946" i="1"/>
  <c r="L7946" i="1"/>
  <c r="R7945" i="1"/>
  <c r="L7945" i="1"/>
  <c r="R7944" i="1"/>
  <c r="L7944" i="1"/>
  <c r="R7943" i="1"/>
  <c r="L7943" i="1"/>
  <c r="R7942" i="1"/>
  <c r="L7942" i="1"/>
  <c r="R7941" i="1"/>
  <c r="L7941" i="1"/>
  <c r="R7940" i="1"/>
  <c r="L7940" i="1"/>
  <c r="R7939" i="1"/>
  <c r="L7939" i="1"/>
  <c r="R7938" i="1"/>
  <c r="L7938" i="1"/>
  <c r="R7937" i="1"/>
  <c r="L7937" i="1"/>
  <c r="R7936" i="1"/>
  <c r="L7936" i="1"/>
  <c r="R7935" i="1"/>
  <c r="L7935" i="1"/>
  <c r="R7934" i="1"/>
  <c r="O7934" i="1"/>
  <c r="L7934" i="1"/>
  <c r="R7933" i="1"/>
  <c r="O7933" i="1"/>
  <c r="L7933" i="1"/>
  <c r="R7932" i="1"/>
  <c r="O7932" i="1"/>
  <c r="L7932" i="1"/>
  <c r="R7931" i="1"/>
  <c r="O7931" i="1"/>
  <c r="L7931" i="1"/>
  <c r="R7930" i="1"/>
  <c r="O7930" i="1"/>
  <c r="K7930" i="1"/>
  <c r="L7930" i="1" s="1"/>
  <c r="R7929" i="1"/>
  <c r="O7929" i="1"/>
  <c r="K7929" i="1"/>
  <c r="L7929" i="1" s="1"/>
  <c r="R7928" i="1"/>
  <c r="O7928" i="1"/>
  <c r="K7928" i="1"/>
  <c r="L7928" i="1" s="1"/>
  <c r="R7927" i="1"/>
  <c r="O7927" i="1"/>
  <c r="L7927" i="1"/>
  <c r="R7926" i="1"/>
  <c r="O7926" i="1"/>
  <c r="K7926" i="1"/>
  <c r="L7926" i="1" s="1"/>
  <c r="R7925" i="1"/>
  <c r="O7925" i="1"/>
  <c r="L7925" i="1"/>
  <c r="R7924" i="1"/>
  <c r="O7924" i="1"/>
  <c r="K7924" i="1"/>
  <c r="L7924" i="1" s="1"/>
  <c r="R7923" i="1"/>
  <c r="O7923" i="1"/>
  <c r="L7923" i="1"/>
  <c r="R7922" i="1"/>
  <c r="O7922" i="1"/>
  <c r="K7922" i="1"/>
  <c r="L7922" i="1" s="1"/>
  <c r="R7921" i="1"/>
  <c r="O7921" i="1"/>
  <c r="L7921" i="1"/>
  <c r="R7920" i="1"/>
  <c r="O7920" i="1"/>
  <c r="L7920" i="1"/>
  <c r="R7919" i="1"/>
  <c r="O7919" i="1"/>
  <c r="L7919" i="1"/>
  <c r="R7918" i="1"/>
  <c r="O7918" i="1"/>
  <c r="L7918" i="1"/>
  <c r="R7917" i="1"/>
  <c r="O7917" i="1"/>
  <c r="L7917" i="1"/>
  <c r="R7916" i="1"/>
  <c r="O7916" i="1"/>
  <c r="L7916" i="1"/>
  <c r="R7915" i="1"/>
  <c r="O7915" i="1"/>
  <c r="L7915" i="1"/>
  <c r="R7914" i="1"/>
  <c r="O7914" i="1"/>
  <c r="L7914" i="1"/>
  <c r="R7913" i="1"/>
  <c r="O7913" i="1"/>
  <c r="L7913" i="1"/>
  <c r="R7912" i="1"/>
  <c r="O7912" i="1"/>
  <c r="L7912" i="1"/>
  <c r="R7911" i="1"/>
  <c r="O7911" i="1"/>
  <c r="L7911" i="1"/>
  <c r="R7910" i="1"/>
  <c r="O7910" i="1"/>
  <c r="L7910" i="1"/>
  <c r="R7909" i="1"/>
  <c r="O7909" i="1"/>
  <c r="L7909" i="1"/>
  <c r="R7908" i="1"/>
  <c r="O7908" i="1"/>
  <c r="L7908" i="1"/>
  <c r="R7907" i="1"/>
  <c r="O7907" i="1"/>
  <c r="L7907" i="1"/>
  <c r="R7906" i="1"/>
  <c r="O7906" i="1"/>
  <c r="L7906" i="1"/>
  <c r="R7905" i="1"/>
  <c r="O7905" i="1"/>
  <c r="L7905" i="1"/>
  <c r="R7904" i="1"/>
  <c r="O7904" i="1"/>
  <c r="L7904" i="1"/>
  <c r="R7903" i="1"/>
  <c r="O7903" i="1"/>
  <c r="L7903" i="1"/>
  <c r="R7902" i="1"/>
  <c r="O7902" i="1"/>
  <c r="L7902" i="1"/>
  <c r="R7901" i="1"/>
  <c r="O7901" i="1"/>
  <c r="L7901" i="1"/>
  <c r="R7900" i="1"/>
  <c r="O7900" i="1"/>
  <c r="L7900" i="1"/>
  <c r="R7899" i="1"/>
  <c r="O7899" i="1"/>
  <c r="L7899" i="1"/>
  <c r="R7898" i="1"/>
  <c r="O7898" i="1"/>
  <c r="L7898" i="1"/>
  <c r="R7897" i="1"/>
  <c r="O7897" i="1"/>
  <c r="L7897" i="1"/>
  <c r="R7896" i="1"/>
  <c r="O7896" i="1"/>
  <c r="L7896" i="1"/>
  <c r="R7895" i="1"/>
  <c r="O7895" i="1"/>
  <c r="L7895" i="1"/>
  <c r="R7894" i="1"/>
  <c r="O7894" i="1"/>
  <c r="L7894" i="1"/>
  <c r="R7893" i="1"/>
  <c r="O7893" i="1"/>
  <c r="L7893" i="1"/>
  <c r="R7892" i="1"/>
  <c r="O7892" i="1"/>
  <c r="L7892" i="1"/>
  <c r="R7891" i="1"/>
  <c r="O7891" i="1"/>
  <c r="L7891" i="1"/>
  <c r="R7890" i="1"/>
  <c r="O7890" i="1"/>
  <c r="L7890" i="1"/>
  <c r="R7889" i="1"/>
  <c r="O7889" i="1"/>
  <c r="K7889" i="1"/>
  <c r="L7889" i="1" s="1"/>
  <c r="R7888" i="1"/>
  <c r="L7888" i="1"/>
  <c r="R7887" i="1"/>
  <c r="L7887" i="1"/>
  <c r="R7886" i="1"/>
  <c r="K7886" i="1"/>
  <c r="L7886" i="1" s="1"/>
  <c r="R7885" i="1"/>
  <c r="L7885" i="1"/>
  <c r="R7884" i="1"/>
  <c r="L7884" i="1"/>
  <c r="R7883" i="1"/>
  <c r="L7883" i="1"/>
  <c r="R7882" i="1"/>
  <c r="L7882" i="1"/>
  <c r="R7881" i="1"/>
  <c r="L7881" i="1"/>
  <c r="R7880" i="1"/>
  <c r="L7880" i="1"/>
  <c r="R7879" i="1"/>
  <c r="K7879" i="1"/>
  <c r="L7879" i="1" s="1"/>
  <c r="R7878" i="1"/>
  <c r="K7878" i="1"/>
  <c r="L7878" i="1" s="1"/>
  <c r="R7877" i="1"/>
  <c r="K7877" i="1"/>
  <c r="L7877" i="1" s="1"/>
  <c r="R7876" i="1"/>
  <c r="K7876" i="1"/>
  <c r="L7876" i="1" s="1"/>
  <c r="R7875" i="1"/>
  <c r="K7875" i="1"/>
  <c r="L7875" i="1" s="1"/>
  <c r="R7874" i="1"/>
  <c r="K7874" i="1"/>
  <c r="L7874" i="1" s="1"/>
  <c r="R7873" i="1"/>
  <c r="K7873" i="1"/>
  <c r="L7873" i="1" s="1"/>
  <c r="R7872" i="1"/>
  <c r="K7872" i="1"/>
  <c r="L7872" i="1" s="1"/>
  <c r="R7871" i="1"/>
  <c r="K7871" i="1"/>
  <c r="L7871" i="1" s="1"/>
  <c r="R7870" i="1"/>
  <c r="K7870" i="1"/>
  <c r="L7870" i="1" s="1"/>
  <c r="R7869" i="1"/>
  <c r="L7869" i="1"/>
  <c r="R7868" i="1"/>
  <c r="L7868" i="1"/>
  <c r="R7867" i="1"/>
  <c r="L7867" i="1"/>
  <c r="R7866" i="1"/>
  <c r="L7866" i="1"/>
  <c r="R7865" i="1"/>
  <c r="O7865" i="1"/>
  <c r="L7865" i="1"/>
  <c r="R7864" i="1"/>
  <c r="L7864" i="1"/>
  <c r="T7863" i="1"/>
  <c r="R7863" i="1"/>
  <c r="L7863" i="1"/>
  <c r="R7862" i="1"/>
  <c r="K7862" i="1"/>
  <c r="L7862" i="1" s="1"/>
  <c r="R7861" i="1"/>
  <c r="K7861" i="1"/>
  <c r="L7861" i="1" s="1"/>
  <c r="R7860" i="1"/>
  <c r="K7860" i="1"/>
  <c r="L7860" i="1" s="1"/>
  <c r="R7859" i="1"/>
  <c r="K7859" i="1"/>
  <c r="L7859" i="1" s="1"/>
  <c r="R7858" i="1"/>
  <c r="K7858" i="1"/>
  <c r="L7858" i="1" s="1"/>
  <c r="R7857" i="1"/>
  <c r="L7857" i="1"/>
  <c r="R7856" i="1"/>
  <c r="L7856" i="1"/>
  <c r="R7855" i="1"/>
  <c r="L7855" i="1"/>
  <c r="R7854" i="1"/>
  <c r="L7854" i="1"/>
  <c r="R7853" i="1"/>
  <c r="K7853" i="1"/>
  <c r="L7853" i="1" s="1"/>
  <c r="R7852" i="1"/>
  <c r="L7852" i="1"/>
  <c r="R7851" i="1"/>
  <c r="L7851" i="1"/>
  <c r="R7850" i="1"/>
  <c r="L7850" i="1"/>
  <c r="R7849" i="1"/>
  <c r="L7849" i="1"/>
  <c r="R7848" i="1"/>
  <c r="L7848" i="1"/>
  <c r="R7847" i="1"/>
  <c r="L7847" i="1"/>
  <c r="R7846" i="1"/>
  <c r="L7846" i="1"/>
  <c r="R7845" i="1"/>
  <c r="L7845" i="1"/>
  <c r="R7844" i="1"/>
  <c r="L7844" i="1"/>
  <c r="R7843" i="1"/>
  <c r="L7843" i="1"/>
  <c r="R7842" i="1"/>
  <c r="L7842" i="1"/>
  <c r="R7841" i="1"/>
  <c r="L7841" i="1"/>
  <c r="R7840" i="1"/>
  <c r="L7840" i="1"/>
  <c r="R7839" i="1"/>
  <c r="L7839" i="1"/>
  <c r="R7838" i="1"/>
  <c r="L7838" i="1"/>
  <c r="R7837" i="1"/>
  <c r="L7837" i="1"/>
  <c r="R7836" i="1"/>
  <c r="L7836" i="1"/>
  <c r="R7835" i="1"/>
  <c r="L7835" i="1"/>
  <c r="R7834" i="1"/>
  <c r="K7834" i="1"/>
  <c r="L7834" i="1" s="1"/>
  <c r="R7833" i="1"/>
  <c r="L7833" i="1"/>
  <c r="R7832" i="1"/>
  <c r="L7832" i="1"/>
  <c r="R7831" i="1"/>
  <c r="L7831" i="1"/>
  <c r="R7830" i="1"/>
  <c r="L7830" i="1"/>
  <c r="R7829" i="1"/>
  <c r="L7829" i="1"/>
  <c r="R7828" i="1"/>
  <c r="L7828" i="1"/>
  <c r="R7827" i="1"/>
  <c r="L7827" i="1"/>
  <c r="R7826" i="1"/>
  <c r="L7826" i="1"/>
  <c r="R7825" i="1"/>
  <c r="L7825" i="1"/>
  <c r="R7824" i="1"/>
  <c r="L7824" i="1"/>
  <c r="R7823" i="1"/>
  <c r="L7823" i="1"/>
  <c r="R7822" i="1"/>
  <c r="L7822" i="1"/>
  <c r="R7821" i="1"/>
  <c r="L7821" i="1"/>
  <c r="R7820" i="1"/>
  <c r="L7820" i="1"/>
  <c r="R7819" i="1"/>
  <c r="K7819" i="1"/>
  <c r="L7819" i="1" s="1"/>
  <c r="R7818" i="1"/>
  <c r="L7818" i="1"/>
  <c r="R7817" i="1"/>
  <c r="L7817" i="1"/>
  <c r="R7816" i="1"/>
  <c r="L7816" i="1"/>
  <c r="R7815" i="1"/>
  <c r="L7815" i="1"/>
  <c r="R7814" i="1"/>
  <c r="L7814" i="1"/>
  <c r="R7813" i="1"/>
  <c r="L7813" i="1"/>
  <c r="R7812" i="1"/>
  <c r="L7812" i="1"/>
  <c r="R7811" i="1"/>
  <c r="L7811" i="1"/>
  <c r="R7810" i="1"/>
  <c r="L7810" i="1"/>
  <c r="R7809" i="1"/>
  <c r="L7809" i="1"/>
  <c r="R7808" i="1"/>
  <c r="L7808" i="1"/>
  <c r="R7807" i="1"/>
  <c r="L7807" i="1"/>
  <c r="R7806" i="1"/>
  <c r="L7806" i="1"/>
  <c r="R7805" i="1"/>
  <c r="L7805" i="1"/>
  <c r="R7804" i="1"/>
  <c r="L7804" i="1"/>
  <c r="R7803" i="1"/>
  <c r="L7803" i="1"/>
  <c r="R7802" i="1"/>
  <c r="L7802" i="1"/>
  <c r="R7801" i="1"/>
  <c r="L7801" i="1"/>
  <c r="R7800" i="1"/>
  <c r="L7800" i="1"/>
  <c r="R7799" i="1"/>
  <c r="L7799" i="1"/>
  <c r="R7798" i="1"/>
  <c r="L7798" i="1"/>
  <c r="R7797" i="1"/>
  <c r="L7797" i="1"/>
  <c r="R7796" i="1"/>
  <c r="L7796" i="1"/>
  <c r="R7795" i="1"/>
  <c r="L7795" i="1"/>
  <c r="R7794" i="1"/>
  <c r="K7794" i="1"/>
  <c r="L7794" i="1" s="1"/>
  <c r="R7793" i="1"/>
  <c r="L7793" i="1"/>
  <c r="R7792" i="1"/>
  <c r="L7792" i="1"/>
  <c r="R7791" i="1"/>
  <c r="L7791" i="1"/>
  <c r="R7790" i="1"/>
  <c r="L7790" i="1"/>
  <c r="R7789" i="1"/>
  <c r="L7789" i="1"/>
  <c r="R7788" i="1"/>
  <c r="O7788" i="1"/>
  <c r="L7788" i="1"/>
  <c r="R7787" i="1"/>
  <c r="O7787" i="1"/>
  <c r="L7787" i="1"/>
  <c r="R7786" i="1"/>
  <c r="R7785" i="1"/>
  <c r="O7785" i="1"/>
  <c r="L7785" i="1"/>
  <c r="R7784" i="1"/>
  <c r="O7784" i="1"/>
  <c r="L7784" i="1"/>
  <c r="R7783" i="1"/>
  <c r="O7783" i="1"/>
  <c r="L7783" i="1"/>
  <c r="R7782" i="1"/>
  <c r="O7782" i="1"/>
  <c r="K7782" i="1"/>
  <c r="L7782" i="1" s="1"/>
  <c r="R7781" i="1"/>
  <c r="L7781" i="1"/>
  <c r="S7780" i="1"/>
  <c r="R7780" i="1"/>
  <c r="L7780" i="1"/>
  <c r="R7779" i="1"/>
  <c r="L7779" i="1"/>
  <c r="R7778" i="1"/>
  <c r="L7778" i="1"/>
  <c r="R7777" i="1"/>
  <c r="L7777" i="1"/>
  <c r="R7776" i="1"/>
  <c r="L7776" i="1"/>
  <c r="R7775" i="1"/>
  <c r="L7775" i="1"/>
  <c r="R7774" i="1"/>
  <c r="L7774" i="1"/>
  <c r="R7773" i="1"/>
  <c r="L7773" i="1"/>
  <c r="R7772" i="1"/>
  <c r="L7772" i="1"/>
  <c r="R7771" i="1"/>
  <c r="L7771" i="1"/>
  <c r="R7770" i="1"/>
  <c r="L7770" i="1"/>
  <c r="R7769" i="1"/>
  <c r="L7769" i="1"/>
  <c r="R7768" i="1"/>
  <c r="L7768" i="1"/>
  <c r="R7767" i="1"/>
  <c r="L7767" i="1"/>
  <c r="R7766" i="1"/>
  <c r="L7766" i="1"/>
  <c r="R7765" i="1"/>
  <c r="L7765" i="1"/>
  <c r="R7764" i="1"/>
  <c r="L7764" i="1"/>
  <c r="R7763" i="1"/>
  <c r="L7763" i="1"/>
  <c r="R7762" i="1"/>
  <c r="L7762" i="1"/>
  <c r="R7761" i="1"/>
  <c r="L7761" i="1"/>
  <c r="R7760" i="1"/>
  <c r="L7760" i="1"/>
  <c r="R7759" i="1"/>
  <c r="L7759" i="1"/>
  <c r="R7758" i="1"/>
  <c r="L7758" i="1"/>
  <c r="R7757" i="1"/>
  <c r="L7757" i="1"/>
  <c r="R7756" i="1"/>
  <c r="L7756" i="1"/>
  <c r="R7755" i="1"/>
  <c r="L7755" i="1"/>
  <c r="R7754" i="1"/>
  <c r="K7754" i="1"/>
  <c r="L7754" i="1" s="1"/>
  <c r="R7753" i="1"/>
  <c r="L7753" i="1"/>
  <c r="R7752" i="1"/>
  <c r="L7752" i="1"/>
  <c r="R7751" i="1"/>
  <c r="O7751" i="1"/>
  <c r="L7751" i="1"/>
  <c r="R7750" i="1"/>
  <c r="O7750" i="1"/>
  <c r="L7750" i="1"/>
  <c r="R7749" i="1"/>
  <c r="O7749" i="1"/>
  <c r="L7749" i="1"/>
  <c r="R7748" i="1"/>
  <c r="O7748" i="1"/>
  <c r="L7748" i="1"/>
  <c r="R7747" i="1"/>
  <c r="O7747" i="1"/>
  <c r="L7747" i="1"/>
  <c r="R7746" i="1"/>
  <c r="O7746" i="1"/>
  <c r="K7746" i="1"/>
  <c r="L7746" i="1" s="1"/>
  <c r="R7745" i="1"/>
  <c r="O7745" i="1"/>
  <c r="L7745" i="1"/>
  <c r="R7744" i="1"/>
  <c r="O7744" i="1"/>
  <c r="L7744" i="1"/>
  <c r="R7743" i="1"/>
  <c r="O7743" i="1"/>
  <c r="L7743" i="1"/>
  <c r="R7742" i="1"/>
  <c r="O7742" i="1"/>
  <c r="L7742" i="1"/>
  <c r="R7741" i="1"/>
  <c r="O7741" i="1"/>
  <c r="L7741" i="1"/>
  <c r="R7740" i="1"/>
  <c r="O7740" i="1"/>
  <c r="K7740" i="1"/>
  <c r="L7740" i="1" s="1"/>
  <c r="R7739" i="1"/>
  <c r="O7739" i="1"/>
  <c r="L7739" i="1"/>
  <c r="R7738" i="1"/>
  <c r="O7738" i="1"/>
  <c r="L7738" i="1"/>
  <c r="R7737" i="1"/>
  <c r="O7737" i="1"/>
  <c r="L7737" i="1"/>
  <c r="R7736" i="1"/>
  <c r="O7736" i="1"/>
  <c r="L7736" i="1"/>
  <c r="R7735" i="1"/>
  <c r="O7735" i="1"/>
  <c r="K7735" i="1"/>
  <c r="L7735" i="1" s="1"/>
  <c r="R7734" i="1"/>
  <c r="O7734" i="1"/>
  <c r="L7734" i="1"/>
  <c r="R7733" i="1"/>
  <c r="O7733" i="1"/>
  <c r="K7733" i="1"/>
  <c r="L7733" i="1" s="1"/>
  <c r="R7732" i="1"/>
  <c r="O7732" i="1"/>
  <c r="K7732" i="1"/>
  <c r="L7732" i="1" s="1"/>
  <c r="R7731" i="1"/>
  <c r="O7731" i="1"/>
  <c r="K7731" i="1"/>
  <c r="L7731" i="1" s="1"/>
  <c r="R7730" i="1"/>
  <c r="O7730" i="1"/>
  <c r="L7730" i="1"/>
  <c r="R7729" i="1"/>
  <c r="O7729" i="1"/>
  <c r="L7729" i="1"/>
  <c r="R7728" i="1"/>
  <c r="O7728" i="1"/>
  <c r="K7728" i="1"/>
  <c r="L7728" i="1" s="1"/>
  <c r="R7727" i="1"/>
  <c r="L7727" i="1"/>
  <c r="R7726" i="1"/>
  <c r="L7726" i="1"/>
  <c r="R7725" i="1"/>
  <c r="L7725" i="1"/>
  <c r="R7724" i="1"/>
  <c r="O7724" i="1"/>
  <c r="L7724" i="1"/>
  <c r="R7723" i="1"/>
  <c r="O7723" i="1"/>
  <c r="L7723" i="1"/>
  <c r="R7722" i="1"/>
  <c r="O7722" i="1"/>
  <c r="L7722" i="1"/>
  <c r="R7721" i="1"/>
  <c r="O7721" i="1"/>
  <c r="K7721" i="1"/>
  <c r="L7721" i="1" s="1"/>
  <c r="R7720" i="1"/>
  <c r="O7720" i="1"/>
  <c r="K7720" i="1"/>
  <c r="L7720" i="1" s="1"/>
  <c r="R7719" i="1"/>
  <c r="O7719" i="1"/>
  <c r="L7719" i="1"/>
  <c r="R7718" i="1"/>
  <c r="K7718" i="1"/>
  <c r="L7718" i="1" s="1"/>
  <c r="R7717" i="1"/>
  <c r="O7717" i="1"/>
  <c r="L7717" i="1"/>
  <c r="R7716" i="1"/>
  <c r="O7716" i="1"/>
  <c r="L7716" i="1"/>
  <c r="R7715" i="1"/>
  <c r="O7715" i="1"/>
  <c r="L7715" i="1"/>
  <c r="R7714" i="1"/>
  <c r="O7714" i="1"/>
  <c r="L7714" i="1"/>
  <c r="R7713" i="1"/>
  <c r="O7713" i="1"/>
  <c r="L7713" i="1"/>
  <c r="R7712" i="1"/>
  <c r="O7712" i="1"/>
  <c r="L7712" i="1"/>
  <c r="R7711" i="1"/>
  <c r="O7711" i="1"/>
  <c r="L7711" i="1"/>
  <c r="R7710" i="1"/>
  <c r="O7710" i="1"/>
  <c r="K7710" i="1"/>
  <c r="L7710" i="1" s="1"/>
  <c r="R7709" i="1"/>
  <c r="O7709" i="1"/>
  <c r="L7709" i="1"/>
  <c r="R7708" i="1"/>
  <c r="O7708" i="1"/>
  <c r="L7708" i="1"/>
  <c r="R7707" i="1"/>
  <c r="O7707" i="1"/>
  <c r="L7707" i="1"/>
  <c r="R7706" i="1"/>
  <c r="L7706" i="1"/>
  <c r="R7705" i="1"/>
  <c r="L7705" i="1"/>
  <c r="R7704" i="1"/>
  <c r="L7704" i="1"/>
  <c r="R7703" i="1"/>
  <c r="L7703" i="1"/>
  <c r="R7702" i="1"/>
  <c r="L7702" i="1"/>
  <c r="R7701" i="1"/>
  <c r="L7701" i="1"/>
  <c r="R7700" i="1"/>
  <c r="L7700" i="1"/>
  <c r="R7699" i="1"/>
  <c r="O7699" i="1"/>
  <c r="L7699" i="1"/>
  <c r="R7698" i="1"/>
  <c r="O7698" i="1"/>
  <c r="L7698" i="1"/>
  <c r="R7697" i="1"/>
  <c r="O7697" i="1"/>
  <c r="L7697" i="1"/>
  <c r="R7696" i="1"/>
  <c r="O7696" i="1"/>
  <c r="L7696" i="1"/>
  <c r="R7695" i="1"/>
  <c r="O7695" i="1"/>
  <c r="L7695" i="1"/>
  <c r="R7694" i="1"/>
  <c r="O7694" i="1"/>
  <c r="L7694" i="1"/>
  <c r="R7693" i="1"/>
  <c r="O7693" i="1"/>
  <c r="L7693" i="1"/>
  <c r="R7692" i="1"/>
  <c r="L7692" i="1"/>
  <c r="R7691" i="1"/>
  <c r="L7691" i="1"/>
  <c r="R7690" i="1"/>
  <c r="L7690" i="1"/>
  <c r="R7689" i="1"/>
  <c r="L7689" i="1"/>
  <c r="R7688" i="1"/>
  <c r="L7688" i="1"/>
  <c r="R7687" i="1"/>
  <c r="L7687" i="1"/>
  <c r="R7686" i="1"/>
  <c r="L7686" i="1"/>
  <c r="R7685" i="1"/>
  <c r="L7685" i="1"/>
  <c r="R7683" i="1"/>
  <c r="L7683" i="1"/>
  <c r="R7682" i="1"/>
  <c r="L7682" i="1"/>
  <c r="R7680" i="1"/>
  <c r="L7680" i="1"/>
  <c r="R7679" i="1"/>
  <c r="L7679" i="1"/>
  <c r="R7678" i="1"/>
  <c r="L7678" i="1"/>
  <c r="R7677" i="1"/>
  <c r="L7677" i="1"/>
  <c r="R7676" i="1"/>
  <c r="L7676" i="1"/>
  <c r="R7675" i="1"/>
  <c r="L7675" i="1"/>
  <c r="R7674" i="1"/>
  <c r="L7674" i="1"/>
  <c r="R7673" i="1"/>
  <c r="L7673" i="1"/>
  <c r="R7654" i="1"/>
  <c r="I7654" i="1"/>
  <c r="R7653" i="1"/>
  <c r="K7653" i="1"/>
  <c r="L7653" i="1" s="1"/>
  <c r="S7652" i="1"/>
  <c r="R7652" i="1"/>
  <c r="L7652" i="1"/>
  <c r="R7651" i="1"/>
  <c r="O7651" i="1"/>
  <c r="L7651" i="1"/>
  <c r="R7650" i="1"/>
  <c r="O7650" i="1"/>
  <c r="L7650" i="1"/>
  <c r="R7649" i="1"/>
  <c r="O7649" i="1"/>
  <c r="L7649" i="1"/>
  <c r="R7648" i="1"/>
  <c r="O7648" i="1"/>
  <c r="L7648" i="1"/>
  <c r="R7647" i="1"/>
  <c r="O7647" i="1"/>
  <c r="L7647" i="1"/>
  <c r="R7646" i="1"/>
  <c r="O7646" i="1"/>
  <c r="L7646" i="1"/>
  <c r="R7645" i="1"/>
  <c r="O7645" i="1"/>
  <c r="L7645" i="1"/>
  <c r="R7644" i="1"/>
  <c r="O7644" i="1"/>
  <c r="L7644" i="1"/>
  <c r="R7643" i="1"/>
  <c r="O7643" i="1"/>
  <c r="L7643" i="1"/>
  <c r="R7642" i="1"/>
  <c r="O7642" i="1"/>
  <c r="L7642" i="1"/>
  <c r="R7641" i="1"/>
  <c r="O7641" i="1"/>
  <c r="L7641" i="1"/>
  <c r="R7640" i="1"/>
  <c r="O7640" i="1"/>
  <c r="L7640" i="1"/>
  <c r="R7639" i="1"/>
  <c r="O7639" i="1"/>
  <c r="L7639" i="1"/>
  <c r="R7638" i="1"/>
  <c r="O7638" i="1"/>
  <c r="L7638" i="1"/>
  <c r="R7637" i="1"/>
  <c r="O7637" i="1"/>
  <c r="L7637" i="1"/>
  <c r="R7636" i="1"/>
  <c r="O7636" i="1"/>
  <c r="L7636" i="1"/>
  <c r="R7635" i="1"/>
  <c r="L7635" i="1"/>
  <c r="R7634" i="1"/>
  <c r="L7634" i="1"/>
  <c r="R7633" i="1"/>
  <c r="L7633" i="1"/>
  <c r="R7632" i="1"/>
  <c r="L7632" i="1"/>
  <c r="R7631" i="1"/>
  <c r="L7631" i="1"/>
  <c r="R7630" i="1"/>
  <c r="L7630" i="1"/>
  <c r="R7629" i="1"/>
  <c r="L7629" i="1"/>
  <c r="R7628" i="1"/>
  <c r="L7628" i="1"/>
  <c r="R7627" i="1"/>
  <c r="L7627" i="1"/>
  <c r="R7626" i="1"/>
  <c r="L7626" i="1"/>
  <c r="R7625" i="1"/>
  <c r="L7625" i="1"/>
  <c r="R7624" i="1"/>
  <c r="L7624" i="1"/>
  <c r="R7623" i="1"/>
  <c r="L7623" i="1"/>
  <c r="R7622" i="1"/>
  <c r="L7622" i="1"/>
  <c r="R7621" i="1"/>
  <c r="L7621" i="1"/>
  <c r="R7620" i="1"/>
  <c r="L7620" i="1"/>
  <c r="R7619" i="1"/>
  <c r="L7619" i="1"/>
  <c r="R7618" i="1"/>
  <c r="L7618" i="1"/>
  <c r="R7617" i="1"/>
  <c r="L7617" i="1"/>
  <c r="R7616" i="1"/>
  <c r="L7616" i="1"/>
  <c r="R7615" i="1"/>
  <c r="L7615" i="1"/>
  <c r="R7614" i="1"/>
  <c r="L7614" i="1"/>
  <c r="R7613" i="1"/>
  <c r="L7613" i="1"/>
  <c r="R7612" i="1"/>
  <c r="L7612" i="1"/>
  <c r="R7611" i="1"/>
  <c r="L7611" i="1"/>
  <c r="R7610" i="1"/>
  <c r="L7610" i="1"/>
  <c r="R7609" i="1"/>
  <c r="O7609" i="1"/>
  <c r="L7609" i="1"/>
  <c r="R7608" i="1"/>
  <c r="O7608" i="1"/>
  <c r="L7608" i="1"/>
  <c r="R7607" i="1"/>
  <c r="O7607" i="1"/>
  <c r="L7607" i="1"/>
  <c r="R7606" i="1"/>
  <c r="O7606" i="1"/>
  <c r="L7606" i="1"/>
  <c r="R7605" i="1"/>
  <c r="O7605" i="1"/>
  <c r="L7605" i="1"/>
  <c r="R7604" i="1"/>
  <c r="O7604" i="1"/>
  <c r="L7604" i="1"/>
  <c r="R7603" i="1"/>
  <c r="O7603" i="1"/>
  <c r="L7603" i="1"/>
  <c r="R7602" i="1"/>
  <c r="O7602" i="1"/>
  <c r="K7602" i="1"/>
  <c r="L7602" i="1" s="1"/>
  <c r="R7601" i="1"/>
  <c r="O7601" i="1"/>
  <c r="L7601" i="1"/>
  <c r="R7600" i="1"/>
  <c r="O7600" i="1"/>
  <c r="L7600" i="1"/>
  <c r="R7599" i="1"/>
  <c r="O7599" i="1"/>
  <c r="K7599" i="1"/>
  <c r="L7599" i="1" s="1"/>
  <c r="R7598" i="1"/>
  <c r="O7598" i="1"/>
  <c r="L7598" i="1"/>
  <c r="R7597" i="1"/>
  <c r="O7597" i="1"/>
  <c r="K7597" i="1"/>
  <c r="L7597" i="1" s="1"/>
  <c r="R7596" i="1"/>
  <c r="O7596" i="1"/>
  <c r="L7596" i="1"/>
  <c r="R7595" i="1"/>
  <c r="O7595" i="1"/>
  <c r="K7595" i="1"/>
  <c r="L7595" i="1" s="1"/>
  <c r="R7594" i="1"/>
  <c r="O7594" i="1"/>
  <c r="L7594" i="1"/>
  <c r="R7593" i="1"/>
  <c r="O7593" i="1"/>
  <c r="L7593" i="1"/>
  <c r="R7592" i="1"/>
  <c r="O7592" i="1"/>
  <c r="L7592" i="1"/>
  <c r="R7591" i="1"/>
  <c r="O7591" i="1"/>
  <c r="L7591" i="1"/>
  <c r="R7590" i="1"/>
  <c r="O7590" i="1"/>
  <c r="L7590" i="1"/>
  <c r="R7589" i="1"/>
  <c r="O7589" i="1"/>
  <c r="L7589" i="1"/>
  <c r="R7588" i="1"/>
  <c r="O7588" i="1"/>
  <c r="L7588" i="1"/>
  <c r="R7587" i="1"/>
  <c r="O7587" i="1"/>
  <c r="L7587" i="1"/>
  <c r="R7586" i="1"/>
  <c r="O7586" i="1"/>
  <c r="L7586" i="1"/>
  <c r="R7585" i="1"/>
  <c r="O7585" i="1"/>
  <c r="L7585" i="1"/>
  <c r="R7584" i="1"/>
  <c r="O7584" i="1"/>
  <c r="L7584" i="1"/>
  <c r="R7583" i="1"/>
  <c r="O7583" i="1"/>
  <c r="L7583" i="1"/>
  <c r="R7582" i="1"/>
  <c r="O7582" i="1"/>
  <c r="L7582" i="1"/>
  <c r="R7581" i="1"/>
  <c r="O7581" i="1"/>
  <c r="L7581" i="1"/>
  <c r="R7580" i="1"/>
  <c r="O7580" i="1"/>
  <c r="L7580" i="1"/>
  <c r="R7579" i="1"/>
  <c r="O7579" i="1"/>
  <c r="L7579" i="1"/>
  <c r="R7578" i="1"/>
  <c r="O7578" i="1"/>
  <c r="L7578" i="1"/>
  <c r="R7577" i="1"/>
  <c r="O7577" i="1"/>
  <c r="L7577" i="1"/>
  <c r="R7576" i="1"/>
  <c r="L7576" i="1"/>
  <c r="R7575" i="1"/>
  <c r="L7575" i="1"/>
  <c r="R7574" i="1"/>
  <c r="L7574" i="1"/>
  <c r="R7573" i="1"/>
  <c r="L7573" i="1"/>
  <c r="R7572" i="1"/>
  <c r="L7572" i="1"/>
  <c r="R7571" i="1"/>
  <c r="L7571" i="1"/>
  <c r="R7570" i="1"/>
  <c r="K7570" i="1"/>
  <c r="L7570" i="1" s="1"/>
  <c r="R7569" i="1"/>
  <c r="L7569" i="1"/>
  <c r="R7568" i="1"/>
  <c r="L7568" i="1"/>
  <c r="R7567" i="1"/>
  <c r="O7567" i="1"/>
  <c r="L7567" i="1"/>
  <c r="R7566" i="1"/>
  <c r="O7566" i="1"/>
  <c r="K7566" i="1"/>
  <c r="L7566" i="1" s="1"/>
  <c r="R7565" i="1"/>
  <c r="O7565" i="1"/>
  <c r="L7565" i="1"/>
  <c r="R7564" i="1"/>
  <c r="O7564" i="1"/>
  <c r="L7564" i="1"/>
  <c r="R7563" i="1"/>
  <c r="O7563" i="1"/>
  <c r="L7563" i="1"/>
  <c r="R7562" i="1"/>
  <c r="O7562" i="1"/>
  <c r="L7562" i="1"/>
  <c r="R7561" i="1"/>
  <c r="O7561" i="1"/>
  <c r="L7561" i="1"/>
  <c r="R7560" i="1"/>
  <c r="O7560" i="1"/>
  <c r="L7560" i="1"/>
  <c r="R7559" i="1"/>
  <c r="O7559" i="1"/>
  <c r="L7559" i="1"/>
  <c r="R7558" i="1"/>
  <c r="O7558" i="1"/>
  <c r="L7558" i="1"/>
  <c r="R7557" i="1"/>
  <c r="L7557" i="1"/>
  <c r="R7556" i="1"/>
  <c r="K7556" i="1"/>
  <c r="L7556" i="1" s="1"/>
  <c r="R7555" i="1"/>
  <c r="L7555" i="1"/>
  <c r="R7554" i="1"/>
  <c r="L7554" i="1"/>
  <c r="R7553" i="1"/>
  <c r="K7553" i="1"/>
  <c r="L7553" i="1" s="1"/>
  <c r="R7552" i="1"/>
  <c r="K7552" i="1"/>
  <c r="L7552" i="1" s="1"/>
  <c r="R7551" i="1"/>
  <c r="L7551" i="1"/>
  <c r="R7550" i="1"/>
  <c r="K7550" i="1"/>
  <c r="L7550" i="1" s="1"/>
  <c r="R7549" i="1"/>
  <c r="L7549" i="1"/>
  <c r="R7548" i="1"/>
  <c r="L7548" i="1"/>
  <c r="R7547" i="1"/>
  <c r="L7547" i="1"/>
  <c r="R7546" i="1"/>
  <c r="L7546" i="1"/>
  <c r="R7545" i="1"/>
  <c r="L7545" i="1"/>
  <c r="R7544" i="1"/>
  <c r="K7544" i="1"/>
  <c r="L7544" i="1" s="1"/>
  <c r="R7543" i="1"/>
  <c r="L7543" i="1"/>
  <c r="T7542" i="1"/>
  <c r="R7542" i="1"/>
  <c r="L7542" i="1"/>
  <c r="R7541" i="1"/>
  <c r="L7541" i="1"/>
  <c r="R7540" i="1"/>
  <c r="K7540" i="1"/>
  <c r="L7540" i="1" s="1"/>
  <c r="R7539" i="1"/>
  <c r="L7539" i="1"/>
  <c r="R7538" i="1"/>
  <c r="L7538" i="1"/>
  <c r="R7537" i="1"/>
  <c r="L7537" i="1"/>
  <c r="R7536" i="1"/>
  <c r="K7536" i="1"/>
  <c r="L7536" i="1" s="1"/>
  <c r="R7535" i="1"/>
  <c r="L7535" i="1"/>
  <c r="R7534" i="1"/>
  <c r="L7534" i="1"/>
  <c r="R7533" i="1"/>
  <c r="K7533" i="1"/>
  <c r="L7533" i="1" s="1"/>
  <c r="R7532" i="1"/>
  <c r="L7532" i="1"/>
  <c r="R7531" i="1"/>
  <c r="L7531" i="1"/>
  <c r="R7530" i="1"/>
  <c r="L7530" i="1"/>
  <c r="R7529" i="1"/>
  <c r="L7529" i="1"/>
  <c r="R7528" i="1"/>
  <c r="L7528" i="1"/>
  <c r="R7527" i="1"/>
  <c r="L7527" i="1"/>
  <c r="R7526" i="1"/>
  <c r="L7526" i="1"/>
  <c r="R7525" i="1"/>
  <c r="K7525" i="1"/>
  <c r="L7525" i="1" s="1"/>
  <c r="T7524" i="1"/>
  <c r="R7524" i="1"/>
  <c r="L7524" i="1"/>
  <c r="T7523" i="1"/>
  <c r="R7523" i="1"/>
  <c r="L7523" i="1"/>
  <c r="T7522" i="1"/>
  <c r="R7522" i="1"/>
  <c r="L7522" i="1"/>
  <c r="R7521" i="1"/>
  <c r="L7521" i="1"/>
  <c r="R7520" i="1"/>
  <c r="L7520" i="1"/>
  <c r="R7519" i="1"/>
  <c r="L7519" i="1"/>
  <c r="R7518" i="1"/>
  <c r="L7518" i="1"/>
  <c r="R7517" i="1"/>
  <c r="K7517" i="1"/>
  <c r="L7517" i="1" s="1"/>
  <c r="R7516" i="1"/>
  <c r="L7516" i="1"/>
  <c r="R7515" i="1"/>
  <c r="L7515" i="1"/>
  <c r="R7514" i="1"/>
  <c r="K7514" i="1"/>
  <c r="L7514" i="1" s="1"/>
  <c r="R7513" i="1"/>
  <c r="K7513" i="1"/>
  <c r="L7513" i="1" s="1"/>
  <c r="R7512" i="1"/>
  <c r="K7512" i="1"/>
  <c r="L7512" i="1" s="1"/>
  <c r="R7511" i="1"/>
  <c r="K7511" i="1"/>
  <c r="L7511" i="1" s="1"/>
  <c r="R7510" i="1"/>
  <c r="K7510" i="1"/>
  <c r="L7510" i="1" s="1"/>
  <c r="R7509" i="1"/>
  <c r="K7509" i="1"/>
  <c r="L7509" i="1" s="1"/>
  <c r="R7508" i="1"/>
  <c r="K7508" i="1"/>
  <c r="L7508" i="1" s="1"/>
  <c r="R7507" i="1"/>
  <c r="K7507" i="1"/>
  <c r="L7507" i="1" s="1"/>
  <c r="R7506" i="1"/>
  <c r="K7506" i="1"/>
  <c r="L7506" i="1" s="1"/>
  <c r="T7505" i="1"/>
  <c r="R7505" i="1"/>
  <c r="L7505" i="1"/>
  <c r="T7504" i="1"/>
  <c r="R7504" i="1"/>
  <c r="L7504" i="1"/>
  <c r="T7503" i="1"/>
  <c r="R7503" i="1"/>
  <c r="L7503" i="1"/>
  <c r="R7502" i="1"/>
  <c r="L7502" i="1"/>
  <c r="R7494" i="1"/>
  <c r="L7494" i="1"/>
  <c r="R7493" i="1"/>
  <c r="R7492" i="1"/>
  <c r="R7491" i="1"/>
  <c r="R7490" i="1"/>
  <c r="R7489" i="1"/>
  <c r="L7489" i="1"/>
  <c r="R7488" i="1"/>
  <c r="L7488" i="1"/>
  <c r="R7487" i="1"/>
  <c r="L7487" i="1"/>
  <c r="R7486" i="1"/>
  <c r="L7486" i="1"/>
  <c r="R7485" i="1"/>
  <c r="L7485" i="1"/>
  <c r="R7484" i="1"/>
  <c r="L7484" i="1"/>
  <c r="R7483" i="1"/>
  <c r="O7483" i="1"/>
  <c r="L7483" i="1"/>
  <c r="R7482" i="1"/>
  <c r="O7482" i="1"/>
  <c r="L7482" i="1"/>
  <c r="R7481" i="1"/>
  <c r="L7481" i="1"/>
  <c r="R7480" i="1"/>
  <c r="L7480" i="1"/>
  <c r="R7479" i="1"/>
  <c r="L7479" i="1"/>
  <c r="R7478" i="1"/>
  <c r="L7478" i="1"/>
  <c r="R7477" i="1"/>
  <c r="L7477" i="1"/>
  <c r="R7476" i="1"/>
  <c r="L7476" i="1"/>
  <c r="R7475" i="1"/>
  <c r="L7475" i="1"/>
  <c r="T7474" i="1"/>
  <c r="S7474" i="1"/>
  <c r="R7474" i="1"/>
  <c r="L7474" i="1"/>
  <c r="T7473" i="1"/>
  <c r="R7473" i="1"/>
  <c r="L7473" i="1"/>
  <c r="S7472" i="1"/>
  <c r="R7472" i="1"/>
  <c r="O7472" i="1"/>
  <c r="L7472" i="1"/>
  <c r="R7471" i="1"/>
  <c r="L7471" i="1"/>
  <c r="R7470" i="1"/>
  <c r="L7470" i="1"/>
  <c r="R7469" i="1"/>
  <c r="L7469" i="1"/>
  <c r="R7468" i="1"/>
  <c r="L7468" i="1"/>
  <c r="R7467" i="1"/>
  <c r="L7467" i="1"/>
  <c r="R7466" i="1"/>
  <c r="L7466" i="1"/>
  <c r="R7465" i="1"/>
  <c r="K7465" i="1"/>
  <c r="L7465" i="1" s="1"/>
  <c r="R7464" i="1"/>
  <c r="L7464" i="1"/>
  <c r="R7463" i="1"/>
  <c r="L7463" i="1"/>
  <c r="R7462" i="1"/>
  <c r="L7462" i="1"/>
  <c r="R7461" i="1"/>
  <c r="L7461" i="1"/>
  <c r="R7460" i="1"/>
  <c r="L7460" i="1"/>
  <c r="R7459" i="1"/>
  <c r="L7459" i="1"/>
  <c r="R7458" i="1"/>
  <c r="L7458" i="1"/>
  <c r="R7457" i="1"/>
  <c r="L7457" i="1"/>
  <c r="R7456" i="1"/>
  <c r="L7456" i="1"/>
  <c r="R7455" i="1"/>
  <c r="L7455" i="1"/>
  <c r="R7454" i="1"/>
  <c r="L7454" i="1"/>
  <c r="R7453" i="1"/>
  <c r="L7453" i="1"/>
  <c r="R7452" i="1"/>
  <c r="L7452" i="1"/>
  <c r="R7451" i="1"/>
  <c r="L7451" i="1"/>
  <c r="R7450" i="1"/>
  <c r="L7450" i="1"/>
  <c r="R7449" i="1"/>
  <c r="L7449" i="1"/>
  <c r="R7448" i="1"/>
  <c r="L7448" i="1"/>
  <c r="R7447" i="1"/>
  <c r="L7447" i="1"/>
  <c r="R7446" i="1"/>
  <c r="L7446" i="1"/>
  <c r="R7445" i="1"/>
  <c r="L7445" i="1"/>
  <c r="R7444" i="1"/>
  <c r="L7444" i="1"/>
  <c r="R7443" i="1"/>
  <c r="L7443" i="1"/>
  <c r="R7442" i="1"/>
  <c r="L7442" i="1"/>
  <c r="R7441" i="1"/>
  <c r="L7441" i="1"/>
  <c r="R7440" i="1"/>
  <c r="L7440" i="1"/>
  <c r="R7439" i="1"/>
  <c r="L7439" i="1"/>
  <c r="R7438" i="1"/>
  <c r="L7438" i="1"/>
  <c r="R7437" i="1"/>
  <c r="L7437" i="1"/>
  <c r="R7436" i="1"/>
  <c r="L7436" i="1"/>
  <c r="R7435" i="1"/>
  <c r="L7435" i="1"/>
  <c r="R7434" i="1"/>
  <c r="L7434" i="1"/>
  <c r="R7433" i="1"/>
  <c r="L7433" i="1"/>
  <c r="R7432" i="1"/>
  <c r="L7432" i="1"/>
  <c r="R7431" i="1"/>
  <c r="L7431" i="1"/>
  <c r="R7430" i="1"/>
  <c r="L7430" i="1"/>
  <c r="R7429" i="1"/>
  <c r="L7429" i="1"/>
  <c r="R7428" i="1"/>
  <c r="L7428" i="1"/>
  <c r="R7427" i="1"/>
  <c r="L7427" i="1"/>
  <c r="R7426" i="1"/>
  <c r="L7426" i="1"/>
  <c r="R7425" i="1"/>
  <c r="L7425" i="1"/>
  <c r="R7424" i="1"/>
  <c r="L7424" i="1"/>
  <c r="R7423" i="1"/>
  <c r="L7423" i="1"/>
  <c r="R7422" i="1"/>
  <c r="L7422" i="1"/>
  <c r="R7421" i="1"/>
  <c r="L7421" i="1"/>
  <c r="R7420" i="1"/>
  <c r="L7420" i="1"/>
  <c r="R7419" i="1"/>
  <c r="L7419" i="1"/>
  <c r="R7418" i="1"/>
  <c r="L7418" i="1"/>
  <c r="R7417" i="1"/>
  <c r="L7417" i="1"/>
  <c r="R7416" i="1"/>
  <c r="L7416" i="1"/>
  <c r="R7415" i="1"/>
  <c r="L7415" i="1"/>
  <c r="R7414" i="1"/>
  <c r="L7414" i="1"/>
  <c r="R7413" i="1"/>
  <c r="L7413" i="1"/>
  <c r="R7412" i="1"/>
  <c r="L7412" i="1"/>
  <c r="R7411" i="1"/>
  <c r="L7411" i="1"/>
  <c r="R7410" i="1"/>
  <c r="L7410" i="1"/>
  <c r="R7409" i="1"/>
  <c r="L7409" i="1"/>
  <c r="R7408" i="1"/>
  <c r="L7408" i="1"/>
  <c r="R7407" i="1"/>
  <c r="L7407" i="1"/>
  <c r="R7406" i="1"/>
  <c r="L7406" i="1"/>
  <c r="R7405" i="1"/>
  <c r="L7405" i="1"/>
  <c r="R7404" i="1"/>
  <c r="L7404" i="1"/>
  <c r="R7403" i="1"/>
  <c r="L7403" i="1"/>
  <c r="R7402" i="1"/>
  <c r="L7402" i="1"/>
  <c r="R7401" i="1"/>
  <c r="L7401" i="1"/>
  <c r="R7400" i="1"/>
  <c r="L7400" i="1"/>
  <c r="R7399" i="1"/>
  <c r="L7399" i="1"/>
  <c r="R7398" i="1"/>
  <c r="L7398" i="1"/>
  <c r="R7397" i="1"/>
  <c r="L7397" i="1"/>
  <c r="R7396" i="1"/>
  <c r="L7396" i="1"/>
  <c r="R7395" i="1"/>
  <c r="L7395" i="1"/>
  <c r="R7394" i="1"/>
  <c r="L7394" i="1"/>
  <c r="R7393" i="1"/>
  <c r="L7393" i="1"/>
  <c r="R7392" i="1"/>
  <c r="L7392" i="1"/>
  <c r="R7391" i="1"/>
  <c r="L7391" i="1"/>
  <c r="R7390" i="1"/>
  <c r="L7390" i="1"/>
  <c r="R7389" i="1"/>
  <c r="L7389" i="1"/>
  <c r="R7388" i="1"/>
  <c r="L7388" i="1"/>
  <c r="R7387" i="1"/>
  <c r="L7387" i="1"/>
  <c r="R7386" i="1"/>
  <c r="L7386" i="1"/>
  <c r="R7385" i="1"/>
  <c r="L7385" i="1"/>
  <c r="R7384" i="1"/>
  <c r="L7384" i="1"/>
  <c r="R7383" i="1"/>
  <c r="L7383" i="1"/>
  <c r="R7382" i="1"/>
  <c r="L7382" i="1"/>
  <c r="R7381" i="1"/>
  <c r="L7381" i="1"/>
  <c r="R7380" i="1"/>
  <c r="L7380" i="1"/>
  <c r="R7379" i="1"/>
  <c r="L7379" i="1"/>
  <c r="R7378" i="1"/>
  <c r="L7378" i="1"/>
  <c r="R7377" i="1"/>
  <c r="L7377" i="1"/>
  <c r="R7376" i="1"/>
  <c r="L7376" i="1"/>
  <c r="R7375" i="1"/>
  <c r="L7375" i="1"/>
  <c r="R7374" i="1"/>
  <c r="L7374" i="1"/>
  <c r="R7373" i="1"/>
  <c r="L7373" i="1"/>
  <c r="R7372" i="1"/>
  <c r="L7372" i="1"/>
  <c r="R7371" i="1"/>
  <c r="L7371" i="1"/>
  <c r="R7370" i="1"/>
  <c r="L7370" i="1"/>
  <c r="R7369" i="1"/>
  <c r="L7369" i="1"/>
  <c r="R7368" i="1"/>
  <c r="L7368" i="1"/>
  <c r="R7367" i="1"/>
  <c r="L7367" i="1"/>
  <c r="R7366" i="1"/>
  <c r="L7366" i="1"/>
  <c r="R7365" i="1"/>
  <c r="L7365" i="1"/>
  <c r="R7364" i="1"/>
  <c r="L7364" i="1"/>
  <c r="R7363" i="1"/>
  <c r="L7363" i="1"/>
  <c r="R7362" i="1"/>
  <c r="L7362" i="1"/>
  <c r="R7361" i="1"/>
  <c r="L7361" i="1"/>
  <c r="R7360" i="1"/>
  <c r="L7360" i="1"/>
  <c r="R7359" i="1"/>
  <c r="L7359" i="1"/>
  <c r="R7358" i="1"/>
  <c r="L7358" i="1"/>
  <c r="R7357" i="1"/>
  <c r="L7357" i="1"/>
  <c r="R7356" i="1"/>
  <c r="L7356" i="1"/>
  <c r="R7355" i="1"/>
  <c r="L7355" i="1"/>
  <c r="R7354" i="1"/>
  <c r="L7354" i="1"/>
  <c r="R7353" i="1"/>
  <c r="L7353" i="1"/>
  <c r="R7352" i="1"/>
  <c r="L7352" i="1"/>
  <c r="R7351" i="1"/>
  <c r="L7351" i="1"/>
  <c r="R7350" i="1"/>
  <c r="L7350" i="1"/>
  <c r="R7349" i="1"/>
  <c r="L7349" i="1"/>
  <c r="R7348" i="1"/>
  <c r="L7348" i="1"/>
  <c r="R7347" i="1"/>
  <c r="L7347" i="1"/>
  <c r="R7346" i="1"/>
  <c r="L7346" i="1"/>
  <c r="R7345" i="1"/>
  <c r="L7345" i="1"/>
  <c r="R7344" i="1"/>
  <c r="L7344" i="1"/>
  <c r="R7343" i="1"/>
  <c r="L7343" i="1"/>
  <c r="R7342" i="1"/>
  <c r="L7342" i="1"/>
  <c r="R7341" i="1"/>
  <c r="L7341" i="1"/>
  <c r="R7340" i="1"/>
  <c r="L7340" i="1"/>
  <c r="R7339" i="1"/>
  <c r="L7339" i="1"/>
  <c r="R7338" i="1"/>
  <c r="L7338" i="1"/>
  <c r="R7337" i="1"/>
  <c r="L7337" i="1"/>
  <c r="R7336" i="1"/>
  <c r="L7336" i="1"/>
  <c r="R7335" i="1"/>
  <c r="L7335" i="1"/>
  <c r="R7334" i="1"/>
  <c r="L7334" i="1"/>
  <c r="R7333" i="1"/>
  <c r="L7333" i="1"/>
  <c r="R7332" i="1"/>
  <c r="L7332" i="1"/>
  <c r="R7331" i="1"/>
  <c r="L7331" i="1"/>
  <c r="R7330" i="1"/>
  <c r="L7330" i="1"/>
  <c r="R7329" i="1"/>
  <c r="L7329" i="1"/>
  <c r="R7328" i="1"/>
  <c r="L7328" i="1"/>
  <c r="R7327" i="1"/>
  <c r="L7327" i="1"/>
  <c r="R7326" i="1"/>
  <c r="L7326" i="1"/>
  <c r="R7325" i="1"/>
  <c r="L7325" i="1"/>
  <c r="R7324" i="1"/>
  <c r="L7324" i="1"/>
  <c r="R7323" i="1"/>
  <c r="L7323" i="1"/>
  <c r="R7322" i="1"/>
  <c r="L7322" i="1"/>
  <c r="R7321" i="1"/>
  <c r="L7321" i="1"/>
  <c r="R7320" i="1"/>
  <c r="L7320" i="1"/>
  <c r="R7319" i="1"/>
  <c r="L7319" i="1"/>
  <c r="R7318" i="1"/>
  <c r="L7318" i="1"/>
  <c r="R7317" i="1"/>
  <c r="L7317" i="1"/>
  <c r="R7316" i="1"/>
  <c r="L7316" i="1"/>
  <c r="R7315" i="1"/>
  <c r="L7315" i="1"/>
  <c r="R7314" i="1"/>
  <c r="L7314" i="1"/>
  <c r="R7313" i="1"/>
  <c r="L7313" i="1"/>
  <c r="R7312" i="1"/>
  <c r="L7312" i="1"/>
  <c r="R7311" i="1"/>
  <c r="L7311" i="1"/>
  <c r="R7310" i="1"/>
  <c r="L7310" i="1"/>
  <c r="R7309" i="1"/>
  <c r="L7309" i="1"/>
  <c r="R7308" i="1"/>
  <c r="L7308" i="1"/>
  <c r="R7307" i="1"/>
  <c r="L7307" i="1"/>
  <c r="R7306" i="1"/>
  <c r="L7306" i="1"/>
  <c r="R7305" i="1"/>
  <c r="L7305" i="1"/>
  <c r="R7304" i="1"/>
  <c r="L7304" i="1"/>
  <c r="R7303" i="1"/>
  <c r="L7303" i="1"/>
  <c r="R7302" i="1"/>
  <c r="L7302" i="1"/>
  <c r="R7301" i="1"/>
  <c r="L7301" i="1"/>
  <c r="R7300" i="1"/>
  <c r="L7300" i="1"/>
  <c r="R7299" i="1"/>
  <c r="L7299" i="1"/>
  <c r="R7298" i="1"/>
  <c r="L7298" i="1"/>
  <c r="R7297" i="1"/>
  <c r="L7297" i="1"/>
  <c r="R7296" i="1"/>
  <c r="L7296" i="1"/>
  <c r="R7295" i="1"/>
  <c r="L7295" i="1"/>
  <c r="R7294" i="1"/>
  <c r="L7294" i="1"/>
  <c r="R7293" i="1"/>
  <c r="L7293" i="1"/>
  <c r="R7292" i="1"/>
  <c r="L7292" i="1"/>
  <c r="R7291" i="1"/>
  <c r="L7291" i="1"/>
  <c r="R7290" i="1"/>
  <c r="L7290" i="1"/>
  <c r="R7289" i="1"/>
  <c r="L7289" i="1"/>
  <c r="R7288" i="1"/>
  <c r="L7288" i="1"/>
  <c r="R7287" i="1"/>
  <c r="L7287" i="1"/>
  <c r="R7286" i="1"/>
  <c r="L7286" i="1"/>
  <c r="R7285" i="1"/>
  <c r="L7285" i="1"/>
  <c r="R7284" i="1"/>
  <c r="L7284" i="1"/>
  <c r="R7283" i="1"/>
  <c r="L7283" i="1"/>
  <c r="R7282" i="1"/>
  <c r="L7282" i="1"/>
  <c r="R7281" i="1"/>
  <c r="L7281" i="1"/>
  <c r="R7280" i="1"/>
  <c r="L7280" i="1"/>
  <c r="R7279" i="1"/>
  <c r="L7279" i="1"/>
  <c r="R7278" i="1"/>
  <c r="L7278" i="1"/>
  <c r="R7277" i="1"/>
  <c r="L7277" i="1"/>
  <c r="R7276" i="1"/>
  <c r="L7276" i="1"/>
  <c r="R7275" i="1"/>
  <c r="L7275" i="1"/>
  <c r="R7274" i="1"/>
  <c r="L7274" i="1"/>
  <c r="R7273" i="1"/>
  <c r="L7273" i="1"/>
  <c r="R7272" i="1"/>
  <c r="L7272" i="1"/>
  <c r="R7271" i="1"/>
  <c r="L7271" i="1"/>
  <c r="R7270" i="1"/>
  <c r="L7270" i="1"/>
  <c r="R7269" i="1"/>
  <c r="L7269" i="1"/>
  <c r="R7268" i="1"/>
  <c r="L7268" i="1"/>
  <c r="R7267" i="1"/>
  <c r="L7267" i="1"/>
  <c r="R7266" i="1"/>
  <c r="L7266" i="1"/>
  <c r="R7265" i="1"/>
  <c r="L7265" i="1"/>
  <c r="R7264" i="1"/>
  <c r="L7264" i="1"/>
  <c r="R7263" i="1"/>
  <c r="L7263" i="1"/>
  <c r="R7262" i="1"/>
  <c r="L7262" i="1"/>
  <c r="R7261" i="1"/>
  <c r="L7261" i="1"/>
  <c r="R7260" i="1"/>
  <c r="L7260" i="1"/>
  <c r="R7259" i="1"/>
  <c r="L7259" i="1"/>
  <c r="R7258" i="1"/>
  <c r="L7258" i="1"/>
  <c r="R7257" i="1"/>
  <c r="L7257" i="1"/>
  <c r="R7256" i="1"/>
  <c r="L7256" i="1"/>
  <c r="R7255" i="1"/>
  <c r="L7255" i="1"/>
  <c r="R7254" i="1"/>
  <c r="L7254" i="1"/>
  <c r="R7253" i="1"/>
  <c r="L7253" i="1"/>
  <c r="R7252" i="1"/>
  <c r="L7252" i="1"/>
  <c r="R7251" i="1"/>
  <c r="L7251" i="1"/>
  <c r="R7250" i="1"/>
  <c r="L7250" i="1"/>
  <c r="R7249" i="1"/>
  <c r="L7249" i="1"/>
  <c r="R7248" i="1"/>
  <c r="L7248" i="1"/>
  <c r="R7247" i="1"/>
  <c r="L7247" i="1"/>
  <c r="R7246" i="1"/>
  <c r="L7246" i="1"/>
  <c r="R7245" i="1"/>
  <c r="L7245" i="1"/>
  <c r="R7244" i="1"/>
  <c r="L7244" i="1"/>
  <c r="R7243" i="1"/>
  <c r="L7243" i="1"/>
  <c r="R7242" i="1"/>
  <c r="L7242" i="1"/>
  <c r="R7241" i="1"/>
  <c r="L7241" i="1"/>
  <c r="R7240" i="1"/>
  <c r="L7240" i="1"/>
  <c r="R7239" i="1"/>
  <c r="L7239" i="1"/>
  <c r="R7238" i="1"/>
  <c r="L7238" i="1"/>
  <c r="R7237" i="1"/>
  <c r="L7237" i="1"/>
  <c r="R7236" i="1"/>
  <c r="L7236" i="1"/>
  <c r="R7235" i="1"/>
  <c r="L7235" i="1"/>
  <c r="R7234" i="1"/>
  <c r="L7234" i="1"/>
  <c r="R7233" i="1"/>
  <c r="L7233" i="1"/>
  <c r="R7232" i="1"/>
  <c r="L7232" i="1"/>
  <c r="R7231" i="1"/>
  <c r="L7231" i="1"/>
  <c r="R7230" i="1"/>
  <c r="L7230" i="1"/>
  <c r="R7229" i="1"/>
  <c r="L7229" i="1"/>
  <c r="R7228" i="1"/>
  <c r="L7228" i="1"/>
  <c r="R7227" i="1"/>
  <c r="L7227" i="1"/>
  <c r="R7226" i="1"/>
  <c r="L7226" i="1"/>
  <c r="R7225" i="1"/>
  <c r="L7225" i="1"/>
  <c r="R7224" i="1"/>
  <c r="L7224" i="1"/>
  <c r="R7223" i="1"/>
  <c r="L7223" i="1"/>
  <c r="R7222" i="1"/>
  <c r="L7222" i="1"/>
  <c r="R7221" i="1"/>
  <c r="L7221" i="1"/>
  <c r="R7220" i="1"/>
  <c r="L7220" i="1"/>
  <c r="R7219" i="1"/>
  <c r="L7219" i="1"/>
  <c r="R7218" i="1"/>
  <c r="L7218" i="1"/>
  <c r="R7217" i="1"/>
  <c r="L7217" i="1"/>
  <c r="R7216" i="1"/>
  <c r="L7216" i="1"/>
  <c r="R7215" i="1"/>
  <c r="L7215" i="1"/>
  <c r="R7214" i="1"/>
  <c r="L7214" i="1"/>
  <c r="R7213" i="1"/>
  <c r="L7213" i="1"/>
  <c r="R7212" i="1"/>
  <c r="L7212" i="1"/>
  <c r="R7211" i="1"/>
  <c r="L7211" i="1"/>
  <c r="R7210" i="1"/>
  <c r="L7210" i="1"/>
  <c r="R7209" i="1"/>
  <c r="L7209" i="1"/>
  <c r="R7208" i="1"/>
  <c r="L7208" i="1"/>
  <c r="R7207" i="1"/>
  <c r="L7207" i="1"/>
  <c r="R7206" i="1"/>
  <c r="L7206" i="1"/>
  <c r="R7205" i="1"/>
  <c r="L7205" i="1"/>
  <c r="R7204" i="1"/>
  <c r="L7204" i="1"/>
  <c r="R7203" i="1"/>
  <c r="L7203" i="1"/>
  <c r="R7202" i="1"/>
  <c r="L7202" i="1"/>
  <c r="R7201" i="1"/>
  <c r="L7201" i="1"/>
  <c r="R7200" i="1"/>
  <c r="L7200" i="1"/>
  <c r="R7199" i="1"/>
  <c r="L7199" i="1"/>
  <c r="R7198" i="1"/>
  <c r="L7198" i="1"/>
  <c r="R7197" i="1"/>
  <c r="L7197" i="1"/>
  <c r="R7196" i="1"/>
  <c r="L7196" i="1"/>
  <c r="R7195" i="1"/>
  <c r="L7195" i="1"/>
  <c r="R7194" i="1"/>
  <c r="L7194" i="1"/>
  <c r="R7193" i="1"/>
  <c r="L7193" i="1"/>
  <c r="R7192" i="1"/>
  <c r="L7192" i="1"/>
  <c r="R7191" i="1"/>
  <c r="L7191" i="1"/>
  <c r="R7190" i="1"/>
  <c r="L7190" i="1"/>
  <c r="R7189" i="1"/>
  <c r="L7189" i="1"/>
  <c r="R7188" i="1"/>
  <c r="L7188" i="1"/>
  <c r="R7187" i="1"/>
  <c r="L7187" i="1"/>
  <c r="R7186" i="1"/>
  <c r="L7186" i="1"/>
  <c r="R7185" i="1"/>
  <c r="L7185" i="1"/>
  <c r="R7184" i="1"/>
  <c r="L7184" i="1"/>
  <c r="R7183" i="1"/>
  <c r="L7183" i="1"/>
  <c r="R7182" i="1"/>
  <c r="L7182" i="1"/>
  <c r="R7181" i="1"/>
  <c r="L7181" i="1"/>
  <c r="R7180" i="1"/>
  <c r="L7180" i="1"/>
  <c r="R7179" i="1"/>
  <c r="L7179" i="1"/>
  <c r="R7178" i="1"/>
  <c r="L7178" i="1"/>
  <c r="R7177" i="1"/>
  <c r="L7177" i="1"/>
  <c r="R7176" i="1"/>
  <c r="L7176" i="1"/>
  <c r="R7175" i="1"/>
  <c r="L7175" i="1"/>
  <c r="R7174" i="1"/>
  <c r="L7174" i="1"/>
  <c r="R7173" i="1"/>
  <c r="L7173" i="1"/>
  <c r="R7172" i="1"/>
  <c r="L7172" i="1"/>
  <c r="R7171" i="1"/>
  <c r="L7171" i="1"/>
  <c r="R7170" i="1"/>
  <c r="L7170" i="1"/>
  <c r="R7169" i="1"/>
  <c r="L7169" i="1"/>
  <c r="R7168" i="1"/>
  <c r="L7168" i="1"/>
  <c r="R7167" i="1"/>
  <c r="L7167" i="1"/>
  <c r="R7166" i="1"/>
  <c r="L7166" i="1"/>
  <c r="R7165" i="1"/>
  <c r="L7165" i="1"/>
  <c r="R7164" i="1"/>
  <c r="L7164" i="1"/>
  <c r="R7163" i="1"/>
  <c r="L7163" i="1"/>
  <c r="R7162" i="1"/>
  <c r="L7162" i="1"/>
  <c r="R7161" i="1"/>
  <c r="L7161" i="1"/>
  <c r="R7160" i="1"/>
  <c r="L7160" i="1"/>
  <c r="R7159" i="1"/>
  <c r="L7159" i="1"/>
  <c r="R7158" i="1"/>
  <c r="L7158" i="1"/>
  <c r="R7157" i="1"/>
  <c r="L7157" i="1"/>
  <c r="R7156" i="1"/>
  <c r="L7156" i="1"/>
  <c r="R7155" i="1"/>
  <c r="L7155" i="1"/>
  <c r="R7154" i="1"/>
  <c r="L7154" i="1"/>
  <c r="R7153" i="1"/>
  <c r="L7153" i="1"/>
  <c r="R7152" i="1"/>
  <c r="L7152" i="1"/>
  <c r="R7151" i="1"/>
  <c r="L7151" i="1"/>
  <c r="R7150" i="1"/>
  <c r="L7150" i="1"/>
  <c r="R7149" i="1"/>
  <c r="L7149" i="1"/>
  <c r="R7148" i="1"/>
  <c r="L7148" i="1"/>
  <c r="R7147" i="1"/>
  <c r="L7147" i="1"/>
  <c r="R7146" i="1"/>
  <c r="L7146" i="1"/>
  <c r="R7145" i="1"/>
  <c r="L7145" i="1"/>
  <c r="R7144" i="1"/>
  <c r="L7144" i="1"/>
  <c r="R7143" i="1"/>
  <c r="L7143" i="1"/>
  <c r="R7142" i="1"/>
  <c r="L7142" i="1"/>
  <c r="R7141" i="1"/>
  <c r="L7141" i="1"/>
  <c r="R7140" i="1"/>
  <c r="L7140" i="1"/>
  <c r="R7139" i="1"/>
  <c r="L7139" i="1"/>
  <c r="R7138" i="1"/>
  <c r="L7138" i="1"/>
  <c r="R7137" i="1"/>
  <c r="L7137" i="1"/>
  <c r="R7136" i="1"/>
  <c r="L7136" i="1"/>
  <c r="R7135" i="1"/>
  <c r="L7135" i="1"/>
  <c r="R7134" i="1"/>
  <c r="L7134" i="1"/>
  <c r="R7133" i="1"/>
  <c r="L7133" i="1"/>
  <c r="R7132" i="1"/>
  <c r="L7132" i="1"/>
  <c r="R7131" i="1"/>
  <c r="L7131" i="1"/>
  <c r="R7130" i="1"/>
  <c r="L7130" i="1"/>
  <c r="R7129" i="1"/>
  <c r="L7129" i="1"/>
  <c r="R7128" i="1"/>
  <c r="L7128" i="1"/>
  <c r="R7127" i="1"/>
  <c r="L7127" i="1"/>
  <c r="R7126" i="1"/>
  <c r="L7126" i="1"/>
  <c r="R7125" i="1"/>
  <c r="L7125" i="1"/>
  <c r="R7124" i="1"/>
  <c r="L7124" i="1"/>
  <c r="R7123" i="1"/>
  <c r="L7123" i="1"/>
  <c r="R7122" i="1"/>
  <c r="L7122" i="1"/>
  <c r="R7121" i="1"/>
  <c r="L7121" i="1"/>
  <c r="R7120" i="1"/>
  <c r="L7120" i="1"/>
  <c r="R7119" i="1"/>
  <c r="L7119" i="1"/>
  <c r="R7118" i="1"/>
  <c r="L7118" i="1"/>
  <c r="R7117" i="1"/>
  <c r="L7117" i="1"/>
  <c r="R7116" i="1"/>
  <c r="L7116" i="1"/>
  <c r="R7115" i="1"/>
  <c r="L7115" i="1"/>
  <c r="R7114" i="1"/>
  <c r="L7114" i="1"/>
  <c r="R7113" i="1"/>
  <c r="L7113" i="1"/>
  <c r="R7112" i="1"/>
  <c r="L7112" i="1"/>
  <c r="R7111" i="1"/>
  <c r="L7111" i="1"/>
  <c r="R7110" i="1"/>
  <c r="L7110" i="1"/>
  <c r="R7109" i="1"/>
  <c r="L7109" i="1"/>
  <c r="R7108" i="1"/>
  <c r="L7108" i="1"/>
  <c r="R7107" i="1"/>
  <c r="L7107" i="1"/>
  <c r="R7106" i="1"/>
  <c r="L7106" i="1"/>
  <c r="R7105" i="1"/>
  <c r="L7105" i="1"/>
  <c r="R7104" i="1"/>
  <c r="L7104" i="1"/>
  <c r="R7103" i="1"/>
  <c r="L7103" i="1"/>
  <c r="R7102" i="1"/>
  <c r="L7102" i="1"/>
  <c r="R7101" i="1"/>
  <c r="L7101" i="1"/>
  <c r="R7100" i="1"/>
  <c r="L7100" i="1"/>
  <c r="R7099" i="1"/>
  <c r="L7099" i="1"/>
  <c r="R7098" i="1"/>
  <c r="L7098" i="1"/>
  <c r="R7097" i="1"/>
  <c r="L7097" i="1"/>
  <c r="R7096" i="1"/>
  <c r="L7096" i="1"/>
  <c r="R7095" i="1"/>
  <c r="L7095" i="1"/>
  <c r="R7094" i="1"/>
  <c r="L7094" i="1"/>
  <c r="R7093" i="1"/>
  <c r="L7093" i="1"/>
  <c r="R7092" i="1"/>
  <c r="L7092" i="1"/>
  <c r="R7091" i="1"/>
  <c r="L7091" i="1"/>
  <c r="R7090" i="1"/>
  <c r="L7090" i="1"/>
  <c r="R7089" i="1"/>
  <c r="L7089" i="1"/>
  <c r="R7088" i="1"/>
  <c r="L7088" i="1"/>
  <c r="R7087" i="1"/>
  <c r="L7087" i="1"/>
  <c r="R7086" i="1"/>
  <c r="L7086" i="1"/>
  <c r="R7085" i="1"/>
  <c r="L7085" i="1"/>
  <c r="R7084" i="1"/>
  <c r="L7084" i="1"/>
  <c r="R7083" i="1"/>
  <c r="L7083" i="1"/>
  <c r="R7082" i="1"/>
  <c r="L7082" i="1"/>
  <c r="R7081" i="1"/>
  <c r="L7081" i="1"/>
  <c r="R7080" i="1"/>
  <c r="L7080" i="1"/>
  <c r="R7079" i="1"/>
  <c r="L7079" i="1"/>
  <c r="R7078" i="1"/>
  <c r="L7078" i="1"/>
  <c r="R7077" i="1"/>
  <c r="L7077" i="1"/>
  <c r="R7076" i="1"/>
  <c r="L7076" i="1"/>
  <c r="R7075" i="1"/>
  <c r="L7075" i="1"/>
  <c r="R7074" i="1"/>
  <c r="L7074" i="1"/>
  <c r="R7073" i="1"/>
  <c r="L7073" i="1"/>
  <c r="R7072" i="1"/>
  <c r="L7072" i="1"/>
  <c r="R7071" i="1"/>
  <c r="L7071" i="1"/>
  <c r="R7070" i="1"/>
  <c r="L7070" i="1"/>
  <c r="R7069" i="1"/>
  <c r="L7069" i="1"/>
  <c r="R7068" i="1"/>
  <c r="L7068" i="1"/>
  <c r="R7067" i="1"/>
  <c r="L7067" i="1"/>
  <c r="R7066" i="1"/>
  <c r="L7066" i="1"/>
  <c r="R7065" i="1"/>
  <c r="L7065" i="1"/>
  <c r="R7064" i="1"/>
  <c r="L7064" i="1"/>
  <c r="R7063" i="1"/>
  <c r="L7063" i="1"/>
  <c r="R7062" i="1"/>
  <c r="L7062" i="1"/>
  <c r="R7061" i="1"/>
  <c r="L7061" i="1"/>
  <c r="R7060" i="1"/>
  <c r="L7060" i="1"/>
  <c r="R7059" i="1"/>
  <c r="L7059" i="1"/>
  <c r="R7058" i="1"/>
  <c r="L7058" i="1"/>
  <c r="R7057" i="1"/>
  <c r="L7057" i="1"/>
  <c r="R7056" i="1"/>
  <c r="L7056" i="1"/>
  <c r="R7055" i="1"/>
  <c r="L7055" i="1"/>
  <c r="R7054" i="1"/>
  <c r="L7054" i="1"/>
  <c r="R7053" i="1"/>
  <c r="L7053" i="1"/>
  <c r="R7052" i="1"/>
  <c r="L7052" i="1"/>
  <c r="R7051" i="1"/>
  <c r="L7051" i="1"/>
  <c r="R7050" i="1"/>
  <c r="L7050" i="1"/>
  <c r="R7049" i="1"/>
  <c r="L7049" i="1"/>
  <c r="R7048" i="1"/>
  <c r="L7048" i="1"/>
  <c r="R7047" i="1"/>
  <c r="L7047" i="1"/>
  <c r="R7046" i="1"/>
  <c r="L7046" i="1"/>
  <c r="R7045" i="1"/>
  <c r="L7045" i="1"/>
  <c r="R7044" i="1"/>
  <c r="L7044" i="1"/>
  <c r="R7043" i="1"/>
  <c r="L7043" i="1"/>
  <c r="R7042" i="1"/>
  <c r="L7042" i="1"/>
  <c r="R7041" i="1"/>
  <c r="L7041" i="1"/>
  <c r="R7040" i="1"/>
  <c r="L7040" i="1"/>
  <c r="R7039" i="1"/>
  <c r="L7039" i="1"/>
  <c r="R7038" i="1"/>
  <c r="L7038" i="1"/>
  <c r="R7037" i="1"/>
  <c r="L7037" i="1"/>
  <c r="R7036" i="1"/>
  <c r="L7036" i="1"/>
  <c r="R7035" i="1"/>
  <c r="L7035" i="1"/>
  <c r="R7034" i="1"/>
  <c r="L7034" i="1"/>
  <c r="R7033" i="1"/>
  <c r="L7033" i="1"/>
  <c r="R7032" i="1"/>
  <c r="L7032" i="1"/>
  <c r="R7031" i="1"/>
  <c r="L7031" i="1"/>
  <c r="R7030" i="1"/>
  <c r="L7030" i="1"/>
  <c r="R7029" i="1"/>
  <c r="L7029" i="1"/>
  <c r="R7028" i="1"/>
  <c r="L7028" i="1"/>
  <c r="R7027" i="1"/>
  <c r="L7027" i="1"/>
  <c r="R7026" i="1"/>
  <c r="L7026" i="1"/>
  <c r="R7025" i="1"/>
  <c r="L7025" i="1"/>
  <c r="R7024" i="1"/>
  <c r="L7024" i="1"/>
  <c r="R7023" i="1"/>
  <c r="L7023" i="1"/>
  <c r="R7022" i="1"/>
  <c r="L7022" i="1"/>
  <c r="R7021" i="1"/>
  <c r="L7021" i="1"/>
  <c r="R7020" i="1"/>
  <c r="L7020" i="1"/>
  <c r="R7019" i="1"/>
  <c r="L7019" i="1"/>
  <c r="R7018" i="1"/>
  <c r="L7018" i="1"/>
  <c r="R7017" i="1"/>
  <c r="L7017" i="1"/>
  <c r="R7016" i="1"/>
  <c r="L7016" i="1"/>
  <c r="R7015" i="1"/>
  <c r="L7015" i="1"/>
  <c r="R7014" i="1"/>
  <c r="L7014" i="1"/>
  <c r="R7013" i="1"/>
  <c r="L7013" i="1"/>
  <c r="R7012" i="1"/>
  <c r="L7012" i="1"/>
  <c r="R7011" i="1"/>
  <c r="L7011" i="1"/>
  <c r="R7010" i="1"/>
  <c r="L7010" i="1"/>
  <c r="R7009" i="1"/>
  <c r="L7009" i="1"/>
  <c r="R7008" i="1"/>
  <c r="L7008" i="1"/>
  <c r="R7007" i="1"/>
  <c r="L7007" i="1"/>
  <c r="R7006" i="1"/>
  <c r="L7006" i="1"/>
  <c r="R7005" i="1"/>
  <c r="L7005" i="1"/>
  <c r="R7004" i="1"/>
  <c r="L7004" i="1"/>
  <c r="R7003" i="1"/>
  <c r="L7003" i="1"/>
  <c r="R7002" i="1"/>
  <c r="L7002" i="1"/>
  <c r="R7001" i="1"/>
  <c r="L7001" i="1"/>
  <c r="R7000" i="1"/>
  <c r="L7000" i="1"/>
  <c r="R6999" i="1"/>
  <c r="L6999" i="1"/>
  <c r="R6998" i="1"/>
  <c r="L6998" i="1"/>
  <c r="R6997" i="1"/>
  <c r="L6997" i="1"/>
  <c r="R6996" i="1"/>
  <c r="L6996" i="1"/>
  <c r="R6995" i="1"/>
  <c r="L6995" i="1"/>
  <c r="R6994" i="1"/>
  <c r="L6994" i="1"/>
  <c r="R6993" i="1"/>
  <c r="L6993" i="1"/>
  <c r="R6992" i="1"/>
  <c r="L6992" i="1"/>
  <c r="R6991" i="1"/>
  <c r="L6991" i="1"/>
  <c r="R6990" i="1"/>
  <c r="L6990" i="1"/>
  <c r="S6990" i="1" s="1"/>
  <c r="R6989" i="1"/>
  <c r="L6989" i="1"/>
  <c r="R6988" i="1"/>
  <c r="L6988" i="1"/>
  <c r="R6987" i="1"/>
  <c r="L6987" i="1"/>
  <c r="R6986" i="1"/>
  <c r="L6986" i="1"/>
  <c r="R6985" i="1"/>
  <c r="L6985" i="1"/>
  <c r="R6984" i="1"/>
  <c r="L6984" i="1"/>
  <c r="R6983" i="1"/>
  <c r="L6983" i="1"/>
  <c r="R6982" i="1"/>
  <c r="L6982" i="1"/>
  <c r="R6981" i="1"/>
  <c r="L6981" i="1"/>
  <c r="R6980" i="1"/>
  <c r="L6980" i="1"/>
  <c r="R6979" i="1"/>
  <c r="L6979" i="1"/>
  <c r="R6978" i="1"/>
  <c r="L6978" i="1"/>
  <c r="R6977" i="1"/>
  <c r="L6977" i="1"/>
  <c r="R6976" i="1"/>
  <c r="L6976" i="1"/>
  <c r="R6975" i="1"/>
  <c r="L6975" i="1"/>
  <c r="R6974" i="1"/>
  <c r="L6974" i="1"/>
  <c r="R6973" i="1"/>
  <c r="L6973" i="1"/>
  <c r="R6972" i="1"/>
  <c r="L6972" i="1"/>
  <c r="R6971" i="1"/>
  <c r="L6971" i="1"/>
  <c r="R6970" i="1"/>
  <c r="L6970" i="1"/>
  <c r="R6969" i="1"/>
  <c r="L6969" i="1"/>
  <c r="R6968" i="1"/>
  <c r="L6968" i="1"/>
  <c r="R6967" i="1"/>
  <c r="L6967" i="1"/>
  <c r="R6966" i="1"/>
  <c r="L6966" i="1"/>
  <c r="R6965" i="1"/>
  <c r="L6965" i="1"/>
  <c r="R6964" i="1"/>
  <c r="L6964" i="1"/>
  <c r="R6963" i="1"/>
  <c r="L6963" i="1"/>
  <c r="R6962" i="1"/>
  <c r="L6962" i="1"/>
  <c r="R6961" i="1"/>
  <c r="L6961" i="1"/>
  <c r="R6960" i="1"/>
  <c r="L6960" i="1"/>
  <c r="R6959" i="1"/>
  <c r="L6959" i="1"/>
  <c r="R6958" i="1"/>
  <c r="L6958" i="1"/>
  <c r="R6957" i="1"/>
  <c r="L6957" i="1"/>
  <c r="R6956" i="1"/>
  <c r="L6956" i="1"/>
  <c r="R6955" i="1"/>
  <c r="L6955" i="1"/>
  <c r="R6954" i="1"/>
  <c r="L6954" i="1"/>
  <c r="R6953" i="1"/>
  <c r="L6953" i="1"/>
  <c r="R6952" i="1"/>
  <c r="L6952" i="1"/>
  <c r="R6951" i="1"/>
  <c r="L6951" i="1"/>
  <c r="R6950" i="1"/>
  <c r="L6950" i="1"/>
  <c r="R6949" i="1"/>
  <c r="L6949" i="1"/>
  <c r="R6948" i="1"/>
  <c r="L6948" i="1"/>
  <c r="R6947" i="1"/>
  <c r="L6947" i="1"/>
  <c r="R6946" i="1"/>
  <c r="L6946" i="1"/>
  <c r="R6945" i="1"/>
  <c r="L6945" i="1"/>
  <c r="R6944" i="1"/>
  <c r="L6944" i="1"/>
  <c r="R6943" i="1"/>
  <c r="L6943" i="1"/>
  <c r="R6942" i="1"/>
  <c r="L6942" i="1"/>
  <c r="R6941" i="1"/>
  <c r="L6941" i="1"/>
  <c r="R6940" i="1"/>
  <c r="L6940" i="1"/>
  <c r="R6939" i="1"/>
  <c r="L6939" i="1"/>
  <c r="R6938" i="1"/>
  <c r="L6938" i="1"/>
  <c r="R6937" i="1"/>
  <c r="L6937" i="1"/>
  <c r="R6936" i="1"/>
  <c r="L6936" i="1"/>
  <c r="R6935" i="1"/>
  <c r="L6935" i="1"/>
  <c r="R6934" i="1"/>
  <c r="L6934" i="1"/>
  <c r="R6933" i="1"/>
  <c r="L6933" i="1"/>
  <c r="R6932" i="1"/>
  <c r="L6932" i="1"/>
  <c r="R6931" i="1"/>
  <c r="L6931" i="1"/>
  <c r="R6930" i="1"/>
  <c r="L6930" i="1"/>
  <c r="R6929" i="1"/>
  <c r="L6929" i="1"/>
  <c r="R6928" i="1"/>
  <c r="L6928" i="1"/>
  <c r="R6927" i="1"/>
  <c r="L6927" i="1"/>
  <c r="R6926" i="1"/>
  <c r="L6926" i="1"/>
  <c r="R6925" i="1"/>
  <c r="L6925" i="1"/>
  <c r="R6924" i="1"/>
  <c r="L6924" i="1"/>
  <c r="R6923" i="1"/>
  <c r="L6923" i="1"/>
  <c r="R6922" i="1"/>
  <c r="L6922" i="1"/>
  <c r="R6921" i="1"/>
  <c r="L6921" i="1"/>
  <c r="R6920" i="1"/>
  <c r="L6920" i="1"/>
  <c r="R6919" i="1"/>
  <c r="L6919" i="1"/>
  <c r="R6918" i="1"/>
  <c r="L6918" i="1"/>
  <c r="R6917" i="1"/>
  <c r="L6917" i="1"/>
  <c r="R6916" i="1"/>
  <c r="L6916" i="1"/>
  <c r="R6915" i="1"/>
  <c r="L6915" i="1"/>
  <c r="R6914" i="1"/>
  <c r="L6914" i="1"/>
  <c r="R6913" i="1"/>
  <c r="L6913" i="1"/>
  <c r="R6912" i="1"/>
  <c r="L6912" i="1"/>
  <c r="R6911" i="1"/>
  <c r="L6911" i="1"/>
  <c r="R6910" i="1"/>
  <c r="L6910" i="1"/>
  <c r="R6909" i="1"/>
  <c r="L6909" i="1"/>
  <c r="R6908" i="1"/>
  <c r="L6908" i="1"/>
  <c r="R6907" i="1"/>
  <c r="L6907" i="1"/>
  <c r="R6906" i="1"/>
  <c r="L6906" i="1"/>
  <c r="R6905" i="1"/>
  <c r="L6905" i="1"/>
  <c r="R6904" i="1"/>
  <c r="L6904" i="1"/>
  <c r="R6903" i="1"/>
  <c r="L6903" i="1"/>
  <c r="R6902" i="1"/>
  <c r="L6902" i="1"/>
  <c r="R6901" i="1"/>
  <c r="L6901" i="1"/>
  <c r="R6900" i="1"/>
  <c r="L6900" i="1"/>
  <c r="R6899" i="1"/>
  <c r="L6899" i="1"/>
  <c r="R6898" i="1"/>
  <c r="L6898" i="1"/>
  <c r="R6897" i="1"/>
  <c r="L6897" i="1"/>
  <c r="R6896" i="1"/>
  <c r="L6896" i="1"/>
  <c r="R6895" i="1"/>
  <c r="L6895" i="1"/>
  <c r="R6894" i="1"/>
  <c r="L6894" i="1"/>
  <c r="R6893" i="1"/>
  <c r="L6893" i="1"/>
  <c r="R6892" i="1"/>
  <c r="L6892" i="1"/>
  <c r="R6891" i="1"/>
  <c r="L6891" i="1"/>
  <c r="R6890" i="1"/>
  <c r="L6890" i="1"/>
  <c r="R6889" i="1"/>
  <c r="L6889" i="1"/>
  <c r="R6888" i="1"/>
  <c r="L6888" i="1"/>
  <c r="R6887" i="1"/>
  <c r="L6887" i="1"/>
  <c r="R6886" i="1"/>
  <c r="L6886" i="1"/>
  <c r="R6885" i="1"/>
  <c r="L6885" i="1"/>
  <c r="R6884" i="1"/>
  <c r="L6884" i="1"/>
  <c r="R6883" i="1"/>
  <c r="L6883" i="1"/>
  <c r="R6882" i="1"/>
  <c r="L6882" i="1"/>
  <c r="R6881" i="1"/>
  <c r="L6881" i="1"/>
  <c r="R6880" i="1"/>
  <c r="L6880" i="1"/>
  <c r="R6879" i="1"/>
  <c r="L6879" i="1"/>
  <c r="R6878" i="1"/>
  <c r="L6878" i="1"/>
  <c r="R6877" i="1"/>
  <c r="L6877" i="1"/>
  <c r="R6876" i="1"/>
  <c r="L6876" i="1"/>
  <c r="R6875" i="1"/>
  <c r="L6875" i="1"/>
  <c r="R6874" i="1"/>
  <c r="L6874" i="1"/>
  <c r="R6873" i="1"/>
  <c r="L6873" i="1"/>
  <c r="R6872" i="1"/>
  <c r="L6872" i="1"/>
  <c r="R6871" i="1"/>
  <c r="L6871" i="1"/>
  <c r="R6870" i="1"/>
  <c r="L6870" i="1"/>
  <c r="R6869" i="1"/>
  <c r="L6869" i="1"/>
  <c r="R6868" i="1"/>
  <c r="L6868" i="1"/>
  <c r="R6867" i="1"/>
  <c r="L6867" i="1"/>
  <c r="R6866" i="1"/>
  <c r="L6866" i="1"/>
  <c r="R6865" i="1"/>
  <c r="L6865" i="1"/>
  <c r="R6864" i="1"/>
  <c r="L6864" i="1"/>
  <c r="R6863" i="1"/>
  <c r="L6863" i="1"/>
  <c r="R6862" i="1"/>
  <c r="L6862" i="1"/>
  <c r="R6861" i="1"/>
  <c r="L6861" i="1"/>
  <c r="R6860" i="1"/>
  <c r="L6860" i="1"/>
  <c r="R6859" i="1"/>
  <c r="L6859" i="1"/>
  <c r="R6858" i="1"/>
  <c r="L6858" i="1"/>
  <c r="R6857" i="1"/>
  <c r="L6857" i="1"/>
  <c r="R6856" i="1"/>
  <c r="L6856" i="1"/>
  <c r="R6855" i="1"/>
  <c r="L6855" i="1"/>
  <c r="R6854" i="1"/>
  <c r="L6854" i="1"/>
  <c r="R6853" i="1"/>
  <c r="L6853" i="1"/>
  <c r="R6852" i="1"/>
  <c r="L6852" i="1"/>
  <c r="R6851" i="1"/>
  <c r="L6851" i="1"/>
  <c r="R6850" i="1"/>
  <c r="L6850" i="1"/>
  <c r="R6849" i="1"/>
  <c r="L6849" i="1"/>
  <c r="R6848" i="1"/>
  <c r="L6848" i="1"/>
  <c r="R6847" i="1"/>
  <c r="L6847" i="1"/>
  <c r="R6846" i="1"/>
  <c r="L6846" i="1"/>
  <c r="R6845" i="1"/>
  <c r="L6845" i="1"/>
  <c r="R6844" i="1"/>
  <c r="L6844" i="1"/>
  <c r="R6843" i="1"/>
  <c r="L6843" i="1"/>
  <c r="R6842" i="1"/>
  <c r="L6842" i="1"/>
  <c r="R6841" i="1"/>
  <c r="L6841" i="1"/>
  <c r="R6840" i="1"/>
  <c r="L6840" i="1"/>
  <c r="R6839" i="1"/>
  <c r="L6839" i="1"/>
  <c r="R6838" i="1"/>
  <c r="L6838" i="1"/>
  <c r="R6837" i="1"/>
  <c r="L6837" i="1"/>
  <c r="R6836" i="1"/>
  <c r="L6836" i="1"/>
  <c r="R6835" i="1"/>
  <c r="L6835" i="1"/>
  <c r="R6834" i="1"/>
  <c r="L6834" i="1"/>
  <c r="R6833" i="1"/>
  <c r="L6833" i="1"/>
  <c r="R6832" i="1"/>
  <c r="L6832" i="1"/>
  <c r="R6831" i="1"/>
  <c r="L6831" i="1"/>
  <c r="R6830" i="1"/>
  <c r="L6830" i="1"/>
  <c r="R6829" i="1"/>
  <c r="L6829" i="1"/>
  <c r="R6828" i="1"/>
  <c r="L6828" i="1"/>
  <c r="R6827" i="1"/>
  <c r="L6827" i="1"/>
  <c r="R6826" i="1"/>
  <c r="L6826" i="1"/>
  <c r="R6825" i="1"/>
  <c r="L6825" i="1"/>
  <c r="R6824" i="1"/>
  <c r="L6824" i="1"/>
  <c r="R6823" i="1"/>
  <c r="L6823" i="1"/>
  <c r="R6822" i="1"/>
  <c r="L6822" i="1"/>
  <c r="R6821" i="1"/>
  <c r="L6821" i="1"/>
  <c r="R6820" i="1"/>
  <c r="L6820" i="1"/>
  <c r="R6819" i="1"/>
  <c r="L6819" i="1"/>
  <c r="R6818" i="1"/>
  <c r="L6818" i="1"/>
  <c r="R6817" i="1"/>
  <c r="L6817" i="1"/>
  <c r="R6816" i="1"/>
  <c r="L6816" i="1"/>
  <c r="R6815" i="1"/>
  <c r="L6815" i="1"/>
  <c r="R6814" i="1"/>
  <c r="L6814" i="1"/>
  <c r="R6813" i="1"/>
  <c r="L6813" i="1"/>
  <c r="R6812" i="1"/>
  <c r="L6812" i="1"/>
  <c r="R6811" i="1"/>
  <c r="L6811" i="1"/>
  <c r="R6810" i="1"/>
  <c r="L6810" i="1"/>
  <c r="R6809" i="1"/>
  <c r="L6809" i="1"/>
  <c r="R6808" i="1"/>
  <c r="L6808" i="1"/>
  <c r="R6807" i="1"/>
  <c r="L6807" i="1"/>
  <c r="R6806" i="1"/>
  <c r="L6806" i="1"/>
  <c r="R6805" i="1"/>
  <c r="L6805" i="1"/>
  <c r="R6804" i="1"/>
  <c r="L6804" i="1"/>
  <c r="R6803" i="1"/>
  <c r="L6803" i="1"/>
  <c r="R6802" i="1"/>
  <c r="L6802" i="1"/>
  <c r="R6801" i="1"/>
  <c r="L6801" i="1"/>
  <c r="R6800" i="1"/>
  <c r="L6800" i="1"/>
  <c r="R6799" i="1"/>
  <c r="L6799" i="1"/>
  <c r="R6798" i="1"/>
  <c r="L6798" i="1"/>
  <c r="R6797" i="1"/>
  <c r="L6797" i="1"/>
  <c r="R6796" i="1"/>
  <c r="L6796" i="1"/>
  <c r="R6795" i="1"/>
  <c r="L6795" i="1"/>
  <c r="R6794" i="1"/>
  <c r="L6794" i="1"/>
  <c r="R6793" i="1"/>
  <c r="K6793" i="1"/>
  <c r="L6793" i="1" s="1"/>
  <c r="R6792" i="1"/>
  <c r="L6792" i="1"/>
  <c r="R6791" i="1"/>
  <c r="K6791" i="1"/>
  <c r="L6791" i="1" s="1"/>
  <c r="R6790" i="1"/>
  <c r="L6790" i="1"/>
  <c r="R6789" i="1"/>
  <c r="L6789" i="1"/>
  <c r="R6788" i="1"/>
  <c r="L6788" i="1"/>
  <c r="R6787" i="1"/>
  <c r="L6787" i="1"/>
  <c r="R6786" i="1"/>
  <c r="L6786" i="1"/>
  <c r="R6785" i="1"/>
  <c r="L6785" i="1"/>
  <c r="R6784" i="1"/>
  <c r="L6784" i="1"/>
  <c r="R6783" i="1"/>
  <c r="L6783" i="1"/>
  <c r="R6782" i="1"/>
  <c r="L6782" i="1"/>
  <c r="R6781" i="1"/>
  <c r="L6781" i="1"/>
  <c r="R6780" i="1"/>
  <c r="L6780" i="1"/>
  <c r="R6779" i="1"/>
  <c r="L6779" i="1"/>
  <c r="R6778" i="1"/>
  <c r="L6778" i="1"/>
  <c r="R6777" i="1"/>
  <c r="L6777" i="1"/>
  <c r="R6776" i="1"/>
  <c r="L6776" i="1"/>
  <c r="R6775" i="1"/>
  <c r="L6775" i="1"/>
  <c r="R6774" i="1"/>
  <c r="L6774" i="1"/>
  <c r="R6773" i="1"/>
  <c r="L6773" i="1"/>
  <c r="R6772" i="1"/>
  <c r="L6772" i="1"/>
  <c r="R6771" i="1"/>
  <c r="L6771" i="1"/>
  <c r="R6770" i="1"/>
  <c r="L6770" i="1"/>
  <c r="R6769" i="1"/>
  <c r="L6769" i="1"/>
  <c r="R6768" i="1"/>
  <c r="L6768" i="1"/>
  <c r="R6767" i="1"/>
  <c r="L6767" i="1"/>
  <c r="R6766" i="1"/>
  <c r="L6766" i="1"/>
  <c r="R6765" i="1"/>
  <c r="L6765" i="1"/>
  <c r="R6764" i="1"/>
  <c r="L6764" i="1"/>
  <c r="R6763" i="1"/>
  <c r="L6763" i="1"/>
  <c r="R6762" i="1"/>
  <c r="L6762" i="1"/>
  <c r="R6761" i="1"/>
  <c r="L6761" i="1"/>
  <c r="R6760" i="1"/>
  <c r="L6760" i="1"/>
  <c r="R6759" i="1"/>
  <c r="L6759" i="1"/>
  <c r="R6758" i="1"/>
  <c r="L6758" i="1"/>
  <c r="R6757" i="1"/>
  <c r="L6757" i="1"/>
  <c r="R6756" i="1"/>
  <c r="L6756" i="1"/>
  <c r="R6755" i="1"/>
  <c r="L6755" i="1"/>
  <c r="R6754" i="1"/>
  <c r="L6754" i="1"/>
  <c r="R6753" i="1"/>
  <c r="L6753" i="1"/>
  <c r="R6752" i="1"/>
  <c r="L6752" i="1"/>
  <c r="R6751" i="1"/>
  <c r="L6751" i="1"/>
  <c r="R6750" i="1"/>
  <c r="L6750" i="1"/>
  <c r="R6749" i="1"/>
  <c r="L6749" i="1"/>
  <c r="R6748" i="1"/>
  <c r="L6748" i="1"/>
  <c r="R6747" i="1"/>
  <c r="L6747" i="1"/>
  <c r="R6746" i="1"/>
  <c r="L6746" i="1"/>
  <c r="R6745" i="1"/>
  <c r="L6745" i="1"/>
  <c r="R6744" i="1"/>
  <c r="L6744" i="1"/>
  <c r="R6743" i="1"/>
  <c r="L6743" i="1"/>
  <c r="R6742" i="1"/>
  <c r="L6742" i="1"/>
  <c r="R6741" i="1"/>
  <c r="L6741" i="1"/>
  <c r="R6740" i="1"/>
  <c r="L6740" i="1"/>
  <c r="R6739" i="1"/>
  <c r="L6739" i="1"/>
  <c r="R6738" i="1"/>
  <c r="L6738" i="1"/>
  <c r="R6737" i="1"/>
  <c r="L6737" i="1"/>
  <c r="R6736" i="1"/>
  <c r="L6736" i="1"/>
  <c r="R6735" i="1"/>
  <c r="L6735" i="1"/>
  <c r="R6734" i="1"/>
  <c r="L6734" i="1"/>
  <c r="R6733" i="1"/>
  <c r="L6733" i="1"/>
  <c r="R6732" i="1"/>
  <c r="L6732" i="1"/>
  <c r="R6731" i="1"/>
  <c r="L6731" i="1"/>
  <c r="R6730" i="1"/>
  <c r="L6730" i="1"/>
  <c r="R6729" i="1"/>
  <c r="L6729" i="1"/>
  <c r="R6728" i="1"/>
  <c r="L6728" i="1"/>
  <c r="R6727" i="1"/>
  <c r="L6727" i="1"/>
  <c r="R6726" i="1"/>
  <c r="L6726" i="1"/>
  <c r="R6725" i="1"/>
  <c r="L6725" i="1"/>
  <c r="R6724" i="1"/>
  <c r="L6724" i="1"/>
  <c r="R6723" i="1"/>
  <c r="L6723" i="1"/>
  <c r="R6722" i="1"/>
  <c r="L6722" i="1"/>
  <c r="R6721" i="1"/>
  <c r="L6721" i="1"/>
  <c r="R6720" i="1"/>
  <c r="L6720" i="1"/>
  <c r="R6719" i="1"/>
  <c r="L6719" i="1"/>
  <c r="R6718" i="1"/>
  <c r="L6718" i="1"/>
  <c r="R6717" i="1"/>
  <c r="L6717" i="1"/>
  <c r="R6716" i="1"/>
  <c r="L6716" i="1"/>
  <c r="R6715" i="1"/>
  <c r="L6715" i="1"/>
  <c r="R6714" i="1"/>
  <c r="L6714" i="1"/>
  <c r="R6713" i="1"/>
  <c r="L6713" i="1"/>
  <c r="R6712" i="1"/>
  <c r="L6712" i="1"/>
  <c r="U6711" i="1"/>
  <c r="R6711" i="1"/>
  <c r="O6711" i="1"/>
  <c r="K6711" i="1"/>
  <c r="L6711" i="1" s="1"/>
  <c r="R6710" i="1"/>
  <c r="L6710" i="1"/>
  <c r="R6709" i="1"/>
  <c r="L6709" i="1"/>
  <c r="R6708" i="1"/>
  <c r="L6708" i="1"/>
  <c r="R6707" i="1"/>
  <c r="L6707" i="1"/>
  <c r="R6706" i="1"/>
  <c r="L6706" i="1"/>
  <c r="R6705" i="1"/>
  <c r="L6705" i="1"/>
  <c r="R6704" i="1"/>
  <c r="L6704" i="1"/>
  <c r="R6703" i="1"/>
  <c r="K6703" i="1"/>
  <c r="L6703" i="1" s="1"/>
  <c r="R6702" i="1"/>
  <c r="K6702" i="1"/>
  <c r="L6702" i="1" s="1"/>
  <c r="R6701" i="1"/>
  <c r="K6701" i="1"/>
  <c r="L6701" i="1" s="1"/>
  <c r="R6700" i="1"/>
  <c r="L6700" i="1"/>
  <c r="R6699" i="1"/>
  <c r="L6699" i="1"/>
  <c r="R6698" i="1"/>
  <c r="L6698" i="1"/>
  <c r="R6697" i="1"/>
  <c r="L6697" i="1"/>
  <c r="R6696" i="1"/>
  <c r="K6696" i="1"/>
  <c r="L6696" i="1" s="1"/>
  <c r="R6695" i="1"/>
  <c r="L6695" i="1"/>
  <c r="R6694" i="1"/>
  <c r="L6694" i="1"/>
  <c r="R6693" i="1"/>
  <c r="L6693" i="1"/>
  <c r="R6692" i="1"/>
  <c r="L6692" i="1"/>
  <c r="R6691" i="1"/>
  <c r="L6691" i="1"/>
  <c r="R6690" i="1"/>
  <c r="L6690" i="1"/>
  <c r="R6689" i="1"/>
  <c r="L6689" i="1"/>
  <c r="R6688" i="1"/>
  <c r="L6688" i="1"/>
  <c r="R6687" i="1"/>
  <c r="L6687" i="1"/>
  <c r="R6686" i="1"/>
  <c r="L6686" i="1"/>
  <c r="R6685" i="1"/>
  <c r="L6685" i="1"/>
  <c r="R6684" i="1"/>
  <c r="K6684" i="1"/>
  <c r="L6684" i="1" s="1"/>
  <c r="R6683" i="1"/>
  <c r="L6683" i="1"/>
  <c r="R6682" i="1"/>
  <c r="K6682" i="1"/>
  <c r="L6682" i="1" s="1"/>
  <c r="R6681" i="1"/>
  <c r="L6681" i="1"/>
  <c r="R6680" i="1"/>
  <c r="L6680" i="1"/>
  <c r="R6679" i="1"/>
  <c r="L6679" i="1"/>
  <c r="R6678" i="1"/>
  <c r="L6678" i="1"/>
  <c r="R6677" i="1"/>
  <c r="L6677" i="1"/>
  <c r="R6676" i="1"/>
  <c r="L6676" i="1"/>
  <c r="R6675" i="1"/>
  <c r="L6675" i="1"/>
  <c r="R6674" i="1"/>
  <c r="L6674" i="1"/>
  <c r="R6673" i="1"/>
  <c r="K6673" i="1"/>
  <c r="L6673" i="1" s="1"/>
  <c r="R6672" i="1"/>
  <c r="K6672" i="1"/>
  <c r="L6672" i="1" s="1"/>
  <c r="R6671" i="1"/>
  <c r="K6671" i="1"/>
  <c r="L6671" i="1" s="1"/>
  <c r="R6670" i="1"/>
  <c r="L6670" i="1"/>
  <c r="R6669" i="1"/>
  <c r="L6669" i="1"/>
  <c r="R6668" i="1"/>
  <c r="L6668" i="1"/>
  <c r="R6667" i="1"/>
  <c r="L6667" i="1"/>
  <c r="R6666" i="1"/>
  <c r="L6666" i="1"/>
  <c r="R6665" i="1"/>
  <c r="L6665" i="1"/>
  <c r="R6664" i="1"/>
  <c r="L6664" i="1"/>
  <c r="R6663" i="1"/>
  <c r="L6663" i="1"/>
  <c r="R6662" i="1"/>
  <c r="L6662" i="1"/>
  <c r="R6661" i="1"/>
  <c r="L6661" i="1"/>
  <c r="R6660" i="1"/>
  <c r="L6660" i="1"/>
  <c r="R6659" i="1"/>
  <c r="L6659" i="1"/>
  <c r="R6658" i="1"/>
  <c r="L6658" i="1"/>
  <c r="R6657" i="1"/>
  <c r="L6657" i="1"/>
  <c r="R6656" i="1"/>
  <c r="L6656" i="1"/>
  <c r="R6655" i="1"/>
  <c r="L6655" i="1"/>
  <c r="R6654" i="1"/>
  <c r="L6654" i="1"/>
  <c r="R6653" i="1"/>
  <c r="L6653" i="1"/>
  <c r="R6652" i="1"/>
  <c r="K6652" i="1"/>
  <c r="L6652" i="1" s="1"/>
  <c r="R6651" i="1"/>
  <c r="L6651" i="1"/>
  <c r="R6650" i="1"/>
  <c r="K6650" i="1"/>
  <c r="L6650" i="1" s="1"/>
  <c r="R6649" i="1"/>
  <c r="L6649" i="1"/>
  <c r="R6648" i="1"/>
  <c r="L6648" i="1"/>
  <c r="W6647" i="1"/>
  <c r="R6647" i="1"/>
  <c r="L6647" i="1"/>
  <c r="R6646" i="1"/>
  <c r="K6646" i="1"/>
  <c r="L6646" i="1" s="1"/>
  <c r="R6645" i="1"/>
  <c r="L6645" i="1"/>
  <c r="R6644" i="1"/>
  <c r="L6644" i="1"/>
  <c r="R6643" i="1"/>
  <c r="K6643" i="1"/>
  <c r="L6643" i="1" s="1"/>
  <c r="R6642" i="1"/>
  <c r="L6642" i="1"/>
  <c r="R6641" i="1"/>
  <c r="L6641" i="1"/>
  <c r="R6640" i="1"/>
  <c r="L6640" i="1"/>
  <c r="R6639" i="1"/>
  <c r="L6639" i="1"/>
  <c r="R6638" i="1"/>
  <c r="L6638" i="1"/>
  <c r="T6637" i="1"/>
  <c r="R6637" i="1"/>
  <c r="L6637" i="1"/>
  <c r="R6636" i="1"/>
  <c r="L6636" i="1"/>
  <c r="R6635" i="1"/>
  <c r="L6635" i="1"/>
  <c r="R6634" i="1"/>
  <c r="L6634" i="1"/>
  <c r="R6633" i="1"/>
  <c r="L6633" i="1"/>
  <c r="R6632" i="1"/>
  <c r="K6632" i="1"/>
  <c r="L6632" i="1" s="1"/>
  <c r="R6631" i="1"/>
  <c r="K6631" i="1"/>
  <c r="L6631" i="1" s="1"/>
  <c r="R6630" i="1"/>
  <c r="L6630" i="1"/>
  <c r="R6629" i="1"/>
  <c r="L6629" i="1"/>
  <c r="R6628" i="1"/>
  <c r="L6628" i="1"/>
  <c r="T6626" i="1"/>
  <c r="R6626" i="1"/>
  <c r="L6626" i="1"/>
  <c r="R6625" i="1"/>
  <c r="L6625" i="1"/>
  <c r="T6624" i="1"/>
  <c r="R6624" i="1"/>
  <c r="L6624" i="1"/>
  <c r="R6623" i="1"/>
  <c r="L6623" i="1"/>
  <c r="R6622" i="1"/>
  <c r="L6622" i="1"/>
  <c r="R6621" i="1"/>
  <c r="L6621" i="1"/>
  <c r="R6620" i="1"/>
  <c r="L6620" i="1"/>
  <c r="R6619" i="1"/>
  <c r="L6619" i="1"/>
  <c r="R6618" i="1"/>
  <c r="L6618" i="1"/>
  <c r="R6617" i="1"/>
  <c r="L6617" i="1"/>
  <c r="R6616" i="1"/>
  <c r="L6616" i="1"/>
  <c r="R6615" i="1"/>
  <c r="K6615" i="1"/>
  <c r="L6615" i="1" s="1"/>
  <c r="R6614" i="1"/>
  <c r="L6614" i="1"/>
  <c r="R6613" i="1"/>
  <c r="L6613" i="1"/>
  <c r="R6612" i="1"/>
  <c r="L6612" i="1"/>
  <c r="R6611" i="1"/>
  <c r="L6611" i="1"/>
  <c r="R6610" i="1"/>
  <c r="L6610" i="1"/>
  <c r="R6609" i="1"/>
  <c r="L6609" i="1"/>
  <c r="R6608" i="1"/>
  <c r="L6608" i="1"/>
  <c r="R6607" i="1"/>
  <c r="L6607" i="1"/>
  <c r="R6606" i="1"/>
  <c r="L6606" i="1"/>
  <c r="T6605" i="1"/>
  <c r="R6605" i="1"/>
  <c r="L6605" i="1"/>
  <c r="R6604" i="1"/>
  <c r="L6604" i="1"/>
  <c r="T6603" i="1"/>
  <c r="R6603" i="1"/>
  <c r="L6603" i="1"/>
  <c r="V6602" i="1"/>
  <c r="R6602" i="1"/>
  <c r="L6602" i="1"/>
  <c r="R6601" i="1"/>
  <c r="L6601" i="1"/>
  <c r="R6600" i="1"/>
  <c r="L6600" i="1"/>
  <c r="R6599" i="1"/>
  <c r="L6599" i="1"/>
  <c r="R6598" i="1"/>
  <c r="L6598" i="1"/>
  <c r="R6597" i="1"/>
  <c r="L6597" i="1"/>
  <c r="R6596" i="1"/>
  <c r="L6596" i="1"/>
  <c r="R6595" i="1"/>
  <c r="L6595" i="1"/>
  <c r="R6594" i="1"/>
  <c r="L6594" i="1"/>
  <c r="T6593" i="1"/>
  <c r="S6593" i="1"/>
  <c r="R6593" i="1"/>
  <c r="L6593" i="1"/>
  <c r="R6592" i="1"/>
  <c r="L6592" i="1"/>
  <c r="R6591" i="1"/>
  <c r="L6591" i="1"/>
  <c r="R6590" i="1"/>
  <c r="L6590" i="1"/>
  <c r="R6589" i="1"/>
  <c r="L6589" i="1"/>
  <c r="R6588" i="1"/>
  <c r="L6588" i="1"/>
  <c r="R6587" i="1"/>
  <c r="L6587" i="1"/>
  <c r="R6586" i="1"/>
  <c r="L6586" i="1"/>
  <c r="R6585" i="1"/>
  <c r="L6585" i="1"/>
  <c r="R6584" i="1"/>
  <c r="L6584" i="1"/>
  <c r="R6583" i="1"/>
  <c r="L6583" i="1"/>
  <c r="R6582" i="1"/>
  <c r="L6582" i="1"/>
  <c r="R6581" i="1"/>
  <c r="L6581" i="1"/>
  <c r="R6580" i="1"/>
  <c r="L6580" i="1"/>
  <c r="R6579" i="1"/>
  <c r="L6579" i="1"/>
  <c r="R6578" i="1"/>
  <c r="L6578" i="1"/>
  <c r="R6577" i="1"/>
  <c r="L6577" i="1"/>
  <c r="R6576" i="1"/>
  <c r="L6576" i="1"/>
  <c r="R6575" i="1"/>
  <c r="L6575" i="1"/>
  <c r="R6574" i="1"/>
  <c r="L6574" i="1"/>
  <c r="R6573" i="1"/>
  <c r="L6573" i="1"/>
  <c r="R6572" i="1"/>
  <c r="L6572" i="1"/>
  <c r="R6571" i="1"/>
  <c r="L6571" i="1"/>
  <c r="R6570" i="1"/>
  <c r="L6570" i="1"/>
  <c r="R6569" i="1"/>
  <c r="L6569" i="1"/>
  <c r="R6568" i="1"/>
  <c r="L6568" i="1"/>
  <c r="R6567" i="1"/>
  <c r="L6567" i="1"/>
  <c r="R6566" i="1"/>
  <c r="L6566" i="1"/>
  <c r="R6565" i="1"/>
  <c r="L6565" i="1"/>
  <c r="R6564" i="1"/>
  <c r="L6564" i="1"/>
  <c r="R6563" i="1"/>
  <c r="L6563" i="1"/>
  <c r="R6562" i="1"/>
  <c r="L6562" i="1"/>
  <c r="R6561" i="1"/>
  <c r="L6561" i="1"/>
  <c r="R6560" i="1"/>
  <c r="L6560" i="1"/>
  <c r="R6559" i="1"/>
  <c r="L6559" i="1"/>
  <c r="R6558" i="1"/>
  <c r="L6558" i="1"/>
  <c r="R6557" i="1"/>
  <c r="L6557" i="1"/>
  <c r="R6556" i="1"/>
  <c r="L6556" i="1"/>
  <c r="R6555" i="1"/>
  <c r="L6555" i="1"/>
  <c r="R6554" i="1"/>
  <c r="L6554" i="1"/>
  <c r="R6553" i="1"/>
  <c r="L6553" i="1"/>
  <c r="R6552" i="1"/>
  <c r="L6552" i="1"/>
  <c r="R6551" i="1"/>
  <c r="K6551" i="1"/>
  <c r="L6551" i="1" s="1"/>
  <c r="R6550" i="1"/>
  <c r="O6550" i="1"/>
  <c r="L6550" i="1"/>
  <c r="R6549" i="1"/>
  <c r="O6549" i="1"/>
  <c r="K6549" i="1"/>
  <c r="L6549" i="1" s="1"/>
  <c r="R6548" i="1"/>
  <c r="O6548" i="1"/>
  <c r="L6548" i="1"/>
  <c r="R6547" i="1"/>
  <c r="O6547" i="1"/>
  <c r="L6547" i="1"/>
  <c r="R6546" i="1"/>
  <c r="O6546" i="1"/>
  <c r="L6546" i="1"/>
  <c r="R6545" i="1"/>
  <c r="O6545" i="1"/>
  <c r="L6545" i="1"/>
  <c r="R6544" i="1"/>
  <c r="O6544" i="1"/>
  <c r="L6544" i="1"/>
  <c r="R6543" i="1"/>
  <c r="O6543" i="1"/>
  <c r="L6543" i="1"/>
  <c r="R6542" i="1"/>
  <c r="O6542" i="1"/>
  <c r="L6542" i="1"/>
  <c r="R6541" i="1"/>
  <c r="O6541" i="1"/>
  <c r="L6541" i="1"/>
  <c r="R6540" i="1"/>
  <c r="O6540" i="1"/>
  <c r="L6540" i="1"/>
  <c r="R6539" i="1"/>
  <c r="O6539" i="1"/>
  <c r="L6539" i="1"/>
  <c r="R6538" i="1"/>
  <c r="O6538" i="1"/>
  <c r="L6538" i="1"/>
  <c r="R6537" i="1"/>
  <c r="L6537" i="1"/>
  <c r="R6536" i="1"/>
  <c r="L6536" i="1"/>
  <c r="R6535" i="1"/>
  <c r="L6535" i="1"/>
  <c r="R6534" i="1"/>
  <c r="L6534" i="1"/>
  <c r="R6533" i="1"/>
  <c r="L6533" i="1"/>
  <c r="R6532" i="1"/>
  <c r="L6532" i="1"/>
  <c r="R6531" i="1"/>
  <c r="L6531" i="1"/>
  <c r="R6530" i="1"/>
  <c r="L6530" i="1"/>
  <c r="R6529" i="1"/>
  <c r="L6529" i="1"/>
  <c r="R6528" i="1"/>
  <c r="L6528" i="1"/>
  <c r="R6527" i="1"/>
  <c r="L6527" i="1"/>
  <c r="R6526" i="1"/>
  <c r="L6526" i="1"/>
  <c r="R6525" i="1"/>
  <c r="L6525" i="1"/>
  <c r="R6524" i="1"/>
  <c r="L6524" i="1"/>
  <c r="R6523" i="1"/>
  <c r="L6523" i="1"/>
  <c r="R6522" i="1"/>
  <c r="L6522" i="1"/>
  <c r="R6521" i="1"/>
  <c r="L6521" i="1"/>
  <c r="R6520" i="1"/>
  <c r="K6520" i="1"/>
  <c r="L6520" i="1" s="1"/>
  <c r="R6519" i="1"/>
  <c r="L6519" i="1"/>
  <c r="T6518" i="1"/>
  <c r="R6518" i="1"/>
  <c r="L6518" i="1"/>
  <c r="R6517" i="1"/>
  <c r="L6517" i="1"/>
  <c r="R6516" i="1"/>
  <c r="L6516" i="1"/>
  <c r="R6515" i="1"/>
  <c r="L6515" i="1"/>
  <c r="T6514" i="1"/>
  <c r="S6514" i="1"/>
  <c r="R6514" i="1"/>
  <c r="L6514" i="1"/>
  <c r="R6513" i="1"/>
  <c r="L6513" i="1"/>
  <c r="R6512" i="1"/>
  <c r="L6512" i="1"/>
  <c r="R6511" i="1"/>
  <c r="L6511" i="1"/>
  <c r="R6510" i="1"/>
  <c r="K6510" i="1"/>
  <c r="L6510" i="1" s="1"/>
  <c r="R6509" i="1"/>
  <c r="L6509" i="1"/>
  <c r="R6508" i="1"/>
  <c r="L6508" i="1"/>
  <c r="R6507" i="1"/>
  <c r="L6507" i="1"/>
  <c r="R6506" i="1"/>
  <c r="L6506" i="1"/>
  <c r="R6505" i="1"/>
  <c r="L6505" i="1"/>
  <c r="R6504" i="1"/>
  <c r="K6504" i="1"/>
  <c r="L6504" i="1" s="1"/>
  <c r="R6503" i="1"/>
  <c r="L6503" i="1"/>
  <c r="R6502" i="1"/>
  <c r="L6502" i="1"/>
  <c r="R6501" i="1"/>
  <c r="L6501" i="1"/>
  <c r="R6500" i="1"/>
  <c r="L6500" i="1"/>
  <c r="R6499" i="1"/>
  <c r="L6499" i="1"/>
  <c r="R6498" i="1"/>
  <c r="L6498" i="1"/>
  <c r="R6497" i="1"/>
  <c r="L6497" i="1"/>
  <c r="R6496" i="1"/>
  <c r="L6496" i="1"/>
  <c r="R6495" i="1"/>
  <c r="K6495" i="1"/>
  <c r="L6495" i="1" s="1"/>
  <c r="R6494" i="1"/>
  <c r="O6494" i="1"/>
  <c r="L6494" i="1"/>
  <c r="R6493" i="1"/>
  <c r="O6493" i="1"/>
  <c r="L6493" i="1"/>
  <c r="R6492" i="1"/>
  <c r="O6492" i="1"/>
  <c r="L6492" i="1"/>
  <c r="R6491" i="1"/>
  <c r="L6491" i="1"/>
  <c r="R6490" i="1"/>
  <c r="L6490" i="1"/>
  <c r="R6489" i="1"/>
  <c r="L6489" i="1"/>
  <c r="R6488" i="1"/>
  <c r="L6488" i="1"/>
  <c r="R6487" i="1"/>
  <c r="L6487" i="1"/>
  <c r="R6486" i="1"/>
  <c r="L6486" i="1"/>
  <c r="R6485" i="1"/>
  <c r="L6485" i="1"/>
  <c r="R6484" i="1"/>
  <c r="L6484" i="1"/>
  <c r="R6483" i="1"/>
  <c r="L6483" i="1"/>
  <c r="R6482" i="1"/>
  <c r="L6482" i="1"/>
  <c r="R6481" i="1"/>
  <c r="K6481" i="1"/>
  <c r="L6481" i="1" s="1"/>
  <c r="R6480" i="1"/>
  <c r="K6480" i="1"/>
  <c r="L6480" i="1" s="1"/>
  <c r="R6479" i="1"/>
  <c r="L6479" i="1"/>
  <c r="R6478" i="1"/>
  <c r="L6478" i="1"/>
  <c r="R6477" i="1"/>
  <c r="L6477" i="1"/>
  <c r="R6476" i="1"/>
  <c r="L6476" i="1"/>
  <c r="R6475" i="1"/>
  <c r="L6475" i="1"/>
  <c r="R6474" i="1"/>
  <c r="L6474" i="1"/>
  <c r="R6473" i="1"/>
  <c r="L6473" i="1"/>
  <c r="R6472" i="1"/>
  <c r="L6472" i="1"/>
  <c r="R6471" i="1"/>
  <c r="L6471" i="1"/>
  <c r="R6470" i="1"/>
  <c r="O6470" i="1"/>
  <c r="L6470" i="1"/>
  <c r="R6469" i="1"/>
  <c r="O6469" i="1"/>
  <c r="L6469" i="1"/>
  <c r="R6468" i="1"/>
  <c r="L6468" i="1"/>
  <c r="R6467" i="1"/>
  <c r="L6467" i="1"/>
  <c r="R6466" i="1"/>
  <c r="L6466" i="1"/>
  <c r="R6465" i="1"/>
  <c r="L6465" i="1"/>
  <c r="R6464" i="1"/>
  <c r="L6464" i="1"/>
  <c r="R6463" i="1"/>
  <c r="L6463" i="1"/>
  <c r="R6462" i="1"/>
  <c r="L6462" i="1"/>
  <c r="R6433" i="1"/>
  <c r="L6433" i="1"/>
  <c r="R6432" i="1"/>
  <c r="L6432" i="1"/>
  <c r="R6431" i="1"/>
  <c r="L6431" i="1"/>
  <c r="R6430" i="1"/>
  <c r="L6430" i="1"/>
  <c r="R6429" i="1"/>
  <c r="L6429" i="1"/>
  <c r="R6428" i="1"/>
  <c r="L6428" i="1"/>
  <c r="R6427" i="1"/>
  <c r="K6427" i="1"/>
  <c r="L6427" i="1" s="1"/>
  <c r="R6426" i="1"/>
  <c r="L6426" i="1"/>
  <c r="R6425" i="1"/>
  <c r="L6425" i="1"/>
  <c r="R6424" i="1"/>
  <c r="L6424" i="1"/>
  <c r="R6423" i="1"/>
  <c r="L6423" i="1"/>
  <c r="R6422" i="1"/>
  <c r="K6422" i="1"/>
  <c r="L6422" i="1" s="1"/>
  <c r="R6421" i="1"/>
  <c r="L6421" i="1"/>
  <c r="R6420" i="1"/>
  <c r="L6420" i="1"/>
  <c r="R6419" i="1"/>
  <c r="L6419" i="1"/>
  <c r="R6418" i="1"/>
  <c r="L6418" i="1"/>
  <c r="R6417" i="1"/>
  <c r="L6417" i="1"/>
  <c r="R6416" i="1"/>
  <c r="L6416" i="1"/>
  <c r="R6415" i="1"/>
  <c r="K6415" i="1"/>
  <c r="L6415" i="1" s="1"/>
  <c r="R6414" i="1"/>
  <c r="L6414" i="1"/>
  <c r="R6413" i="1"/>
  <c r="K6413" i="1"/>
  <c r="L6413" i="1" s="1"/>
  <c r="R6412" i="1"/>
  <c r="L6412" i="1"/>
  <c r="R6411" i="1"/>
  <c r="K6411" i="1"/>
  <c r="L6411" i="1" s="1"/>
  <c r="R6410" i="1"/>
  <c r="L6410" i="1"/>
  <c r="R6409" i="1"/>
  <c r="L6409" i="1"/>
  <c r="R6408" i="1"/>
  <c r="L6408" i="1"/>
  <c r="R6407" i="1"/>
  <c r="L6407" i="1"/>
  <c r="R6406" i="1"/>
  <c r="L6406" i="1"/>
  <c r="R6405" i="1"/>
  <c r="L6405" i="1"/>
  <c r="R6404" i="1"/>
  <c r="L6404" i="1"/>
  <c r="R6403" i="1"/>
  <c r="L6403" i="1"/>
  <c r="R6402" i="1"/>
  <c r="K6402" i="1"/>
  <c r="L6402" i="1" s="1"/>
  <c r="R6401" i="1"/>
  <c r="L6401" i="1"/>
  <c r="R6400" i="1"/>
  <c r="L6400" i="1"/>
  <c r="R6399" i="1"/>
  <c r="L6399" i="1"/>
  <c r="R6398" i="1"/>
  <c r="L6398" i="1"/>
  <c r="R6397" i="1"/>
  <c r="L6397" i="1"/>
  <c r="R6396" i="1"/>
  <c r="L6396" i="1"/>
  <c r="R6395" i="1"/>
  <c r="L6395" i="1"/>
  <c r="R6394" i="1"/>
  <c r="L6394" i="1"/>
  <c r="R6393" i="1"/>
  <c r="L6393" i="1"/>
  <c r="R6392" i="1"/>
  <c r="L6392" i="1"/>
  <c r="R6391" i="1"/>
  <c r="L6391" i="1"/>
  <c r="R6390" i="1"/>
  <c r="L6390" i="1"/>
  <c r="R6389" i="1"/>
  <c r="L6389" i="1"/>
  <c r="R6388" i="1"/>
  <c r="L6388" i="1"/>
  <c r="R6387" i="1"/>
  <c r="L6387" i="1"/>
  <c r="R6386" i="1"/>
  <c r="L6386" i="1"/>
  <c r="R6385" i="1"/>
  <c r="L6385" i="1"/>
  <c r="R6384" i="1"/>
  <c r="K6384" i="1"/>
  <c r="L6384" i="1" s="1"/>
  <c r="R6383" i="1"/>
  <c r="K6383" i="1"/>
  <c r="L6383" i="1" s="1"/>
  <c r="R6382" i="1"/>
  <c r="L6382" i="1"/>
  <c r="K6381" i="1"/>
  <c r="R6380" i="1"/>
  <c r="L6380" i="1"/>
  <c r="R6379" i="1"/>
  <c r="L6379" i="1"/>
  <c r="R6378" i="1"/>
  <c r="L6378" i="1"/>
  <c r="R6377" i="1"/>
  <c r="L6377" i="1"/>
  <c r="R6376" i="1"/>
  <c r="L6376" i="1"/>
  <c r="R6375" i="1"/>
  <c r="L6375" i="1"/>
  <c r="R6374" i="1"/>
  <c r="L6374" i="1"/>
  <c r="R6373" i="1"/>
  <c r="L6373" i="1"/>
  <c r="R6372" i="1"/>
  <c r="K6372" i="1"/>
  <c r="L6372" i="1" s="1"/>
  <c r="V6371" i="1"/>
  <c r="R6371" i="1"/>
  <c r="K6371" i="1"/>
  <c r="L6371" i="1" s="1"/>
  <c r="R6370" i="1"/>
  <c r="K6370" i="1"/>
  <c r="L6370" i="1" s="1"/>
  <c r="R6369" i="1"/>
  <c r="K6369" i="1"/>
  <c r="L6369" i="1" s="1"/>
  <c r="R6368" i="1"/>
  <c r="K6368" i="1"/>
  <c r="L6368" i="1" s="1"/>
  <c r="R6367" i="1"/>
  <c r="L6367" i="1"/>
  <c r="T6366" i="1"/>
  <c r="R6366" i="1"/>
  <c r="L6366" i="1"/>
  <c r="T6365" i="1"/>
  <c r="R6365" i="1"/>
  <c r="L6365" i="1"/>
  <c r="R6364" i="1"/>
  <c r="L6364" i="1"/>
  <c r="R6363" i="1"/>
  <c r="L6363" i="1"/>
  <c r="R6362" i="1"/>
  <c r="L6362" i="1"/>
  <c r="T6361" i="1"/>
  <c r="R6361" i="1"/>
  <c r="L6361" i="1"/>
  <c r="R6360" i="1"/>
  <c r="L6360" i="1"/>
  <c r="R6359" i="1"/>
  <c r="L6359" i="1"/>
  <c r="R6358" i="1"/>
  <c r="L6358" i="1"/>
  <c r="R6357" i="1"/>
  <c r="L6357" i="1"/>
  <c r="R6356" i="1"/>
  <c r="L6356" i="1"/>
  <c r="R6355" i="1"/>
  <c r="L6355" i="1"/>
  <c r="R6354" i="1"/>
  <c r="L6354" i="1"/>
  <c r="R6353" i="1"/>
  <c r="L6353" i="1"/>
  <c r="R6352" i="1"/>
  <c r="L6352" i="1"/>
  <c r="R6351" i="1"/>
  <c r="L6351" i="1"/>
  <c r="R6350" i="1"/>
  <c r="L6350" i="1"/>
  <c r="R6349" i="1"/>
  <c r="K6349" i="1"/>
  <c r="L6349" i="1" s="1"/>
  <c r="R6348" i="1"/>
  <c r="K6348" i="1"/>
  <c r="L6348" i="1" s="1"/>
  <c r="R6347" i="1"/>
  <c r="K6347" i="1"/>
  <c r="L6347" i="1" s="1"/>
  <c r="R6346" i="1"/>
  <c r="K6346" i="1"/>
  <c r="L6346" i="1" s="1"/>
  <c r="R6345" i="1"/>
  <c r="K6345" i="1"/>
  <c r="L6345" i="1" s="1"/>
  <c r="R6344" i="1"/>
  <c r="K6344" i="1"/>
  <c r="L6344" i="1" s="1"/>
  <c r="R6343" i="1"/>
  <c r="K6343" i="1"/>
  <c r="L6343" i="1" s="1"/>
  <c r="R6342" i="1"/>
  <c r="K6342" i="1"/>
  <c r="L6342" i="1" s="1"/>
  <c r="R6341" i="1"/>
  <c r="K6341" i="1"/>
  <c r="L6341" i="1" s="1"/>
  <c r="R6340" i="1"/>
  <c r="K6340" i="1"/>
  <c r="L6340" i="1" s="1"/>
  <c r="R6339" i="1"/>
  <c r="K6339" i="1"/>
  <c r="L6339" i="1" s="1"/>
  <c r="R6338" i="1"/>
  <c r="K6338" i="1"/>
  <c r="L6338" i="1" s="1"/>
  <c r="T6337" i="1"/>
  <c r="S6337" i="1"/>
  <c r="R6337" i="1"/>
  <c r="L6337" i="1"/>
  <c r="R6336" i="1"/>
  <c r="L6336" i="1"/>
  <c r="R6335" i="1"/>
  <c r="L6335" i="1"/>
  <c r="R6334" i="1"/>
  <c r="L6334" i="1"/>
  <c r="R6333" i="1"/>
  <c r="L6333" i="1"/>
  <c r="R6332" i="1"/>
  <c r="L6332" i="1"/>
  <c r="R6331" i="1"/>
  <c r="L6331" i="1"/>
  <c r="R6330" i="1"/>
  <c r="L6330" i="1"/>
  <c r="R6329" i="1"/>
  <c r="L6329" i="1"/>
  <c r="R6328" i="1"/>
  <c r="K6328" i="1"/>
  <c r="L6328" i="1" s="1"/>
  <c r="R6327" i="1"/>
  <c r="L6327" i="1"/>
  <c r="R6326" i="1"/>
  <c r="L6326" i="1"/>
  <c r="R6325" i="1"/>
  <c r="L6325" i="1"/>
  <c r="T6324" i="1"/>
  <c r="R6324" i="1"/>
  <c r="L6324" i="1"/>
  <c r="T6323" i="1"/>
  <c r="R6323" i="1"/>
  <c r="L6323" i="1"/>
  <c r="R6322" i="1"/>
  <c r="L6322" i="1"/>
  <c r="R6321" i="1"/>
  <c r="L6321" i="1"/>
  <c r="R6320" i="1"/>
  <c r="L6320" i="1"/>
  <c r="R6319" i="1"/>
  <c r="L6319" i="1"/>
  <c r="R6318" i="1"/>
  <c r="L6318" i="1"/>
  <c r="R6317" i="1"/>
  <c r="L6317" i="1"/>
  <c r="R6316" i="1"/>
  <c r="L6316" i="1"/>
  <c r="R6315" i="1"/>
  <c r="L6315" i="1"/>
  <c r="R6314" i="1"/>
  <c r="L6314" i="1"/>
  <c r="R6313" i="1"/>
  <c r="L6313" i="1"/>
  <c r="R6312" i="1"/>
  <c r="L6312" i="1"/>
  <c r="R6311" i="1"/>
  <c r="L6311" i="1"/>
  <c r="R6310" i="1"/>
  <c r="K6310" i="1"/>
  <c r="L6310" i="1" s="1"/>
  <c r="R6309" i="1"/>
  <c r="L6309" i="1"/>
  <c r="R6308" i="1"/>
  <c r="L6308" i="1"/>
  <c r="R6307" i="1"/>
  <c r="L6307" i="1"/>
  <c r="R6306" i="1"/>
  <c r="L6306" i="1"/>
  <c r="R6305" i="1"/>
  <c r="L6305" i="1"/>
  <c r="R6304" i="1"/>
  <c r="L6304" i="1"/>
  <c r="R6303" i="1"/>
  <c r="L6303" i="1"/>
  <c r="R6302" i="1"/>
  <c r="L6302" i="1"/>
  <c r="R6301" i="1"/>
  <c r="L6301" i="1"/>
  <c r="R6300" i="1"/>
  <c r="L6300" i="1"/>
  <c r="R6299" i="1"/>
  <c r="L6299" i="1"/>
  <c r="R6298" i="1"/>
  <c r="L6298" i="1"/>
  <c r="R6297" i="1"/>
  <c r="L6297" i="1"/>
  <c r="R6296" i="1"/>
  <c r="L6296" i="1"/>
  <c r="R6295" i="1"/>
  <c r="L6295" i="1"/>
  <c r="R6294" i="1"/>
  <c r="L6294" i="1"/>
  <c r="R6293" i="1"/>
  <c r="L6293" i="1"/>
  <c r="R6292" i="1"/>
  <c r="L6292" i="1"/>
  <c r="R6291" i="1"/>
  <c r="L6291" i="1"/>
  <c r="R6290" i="1"/>
  <c r="L6290" i="1"/>
  <c r="R6289" i="1"/>
  <c r="L6289" i="1"/>
  <c r="R6288" i="1"/>
  <c r="L6288" i="1"/>
  <c r="R6287" i="1"/>
  <c r="L6287" i="1"/>
  <c r="R6286" i="1"/>
  <c r="L6286" i="1"/>
  <c r="R6285" i="1"/>
  <c r="L6285" i="1"/>
  <c r="R6284" i="1"/>
  <c r="L6284" i="1"/>
  <c r="R6283" i="1"/>
  <c r="L6283" i="1"/>
  <c r="R6282" i="1"/>
  <c r="L6282" i="1"/>
  <c r="R6281" i="1"/>
  <c r="L6281" i="1"/>
  <c r="R6280" i="1"/>
  <c r="L6280" i="1"/>
  <c r="R6279" i="1"/>
  <c r="L6279" i="1"/>
  <c r="R6278" i="1"/>
  <c r="L6278" i="1"/>
  <c r="R6277" i="1"/>
  <c r="L6277" i="1"/>
  <c r="R6276" i="1"/>
  <c r="L6276" i="1"/>
  <c r="R6275" i="1"/>
  <c r="L6275" i="1"/>
  <c r="R6274" i="1"/>
  <c r="L6274" i="1"/>
  <c r="R6273" i="1"/>
  <c r="L6273" i="1"/>
  <c r="R6272" i="1"/>
  <c r="L6272" i="1"/>
  <c r="R6271" i="1"/>
  <c r="L6271" i="1"/>
  <c r="R6270" i="1"/>
  <c r="L6270" i="1"/>
  <c r="R6269" i="1"/>
  <c r="L6269" i="1"/>
  <c r="R6268" i="1"/>
  <c r="L6268" i="1"/>
  <c r="R6267" i="1"/>
  <c r="L6267" i="1"/>
  <c r="R6266" i="1"/>
  <c r="L6266" i="1"/>
  <c r="R6265" i="1"/>
  <c r="L6265" i="1"/>
  <c r="R6264" i="1"/>
  <c r="L6264" i="1"/>
  <c r="R6263" i="1"/>
  <c r="L6263" i="1"/>
  <c r="R6262" i="1"/>
  <c r="L6262" i="1"/>
  <c r="R6261" i="1"/>
  <c r="L6261" i="1"/>
  <c r="R6260" i="1"/>
  <c r="L6260" i="1"/>
  <c r="R6259" i="1"/>
  <c r="L6259" i="1"/>
  <c r="R6258" i="1"/>
  <c r="L6258" i="1"/>
  <c r="R6257" i="1"/>
  <c r="L6257" i="1"/>
  <c r="R6256" i="1"/>
  <c r="L6256" i="1"/>
  <c r="T6255" i="1"/>
  <c r="R6255" i="1"/>
  <c r="L6255" i="1"/>
  <c r="R6254" i="1"/>
  <c r="L6254" i="1"/>
  <c r="R6253" i="1"/>
  <c r="L6253" i="1"/>
  <c r="R6252" i="1"/>
  <c r="L6252" i="1"/>
  <c r="R6251" i="1"/>
  <c r="L6251" i="1"/>
  <c r="R6250" i="1"/>
  <c r="L6250" i="1"/>
  <c r="R6249" i="1"/>
  <c r="O6249" i="1"/>
  <c r="L6249" i="1"/>
  <c r="R6248" i="1"/>
  <c r="O6248" i="1"/>
  <c r="L6248" i="1"/>
  <c r="R6247" i="1"/>
  <c r="O6247" i="1"/>
  <c r="L6247" i="1"/>
  <c r="T6246" i="1"/>
  <c r="S6246" i="1"/>
  <c r="R6246" i="1"/>
  <c r="L6246" i="1"/>
  <c r="W6245" i="1"/>
  <c r="T6245" i="1"/>
  <c r="R6245" i="1"/>
  <c r="K6245" i="1"/>
  <c r="L6245" i="1" s="1"/>
  <c r="Y6245" i="1" s="1"/>
  <c r="T6244" i="1"/>
  <c r="R6244" i="1"/>
  <c r="L6244" i="1"/>
  <c r="R6243" i="1"/>
  <c r="O6243" i="1"/>
  <c r="L6243" i="1"/>
  <c r="R6242" i="1"/>
  <c r="O6242" i="1"/>
  <c r="L6242" i="1"/>
  <c r="R6241" i="1"/>
  <c r="O6241" i="1"/>
  <c r="L6241" i="1"/>
  <c r="R6240" i="1"/>
  <c r="L6240" i="1"/>
  <c r="R6239" i="1"/>
  <c r="L6239" i="1"/>
  <c r="R6238" i="1"/>
  <c r="L6238" i="1"/>
  <c r="R6237" i="1"/>
  <c r="L6237" i="1"/>
  <c r="R6236" i="1"/>
  <c r="L6236" i="1"/>
  <c r="R6235" i="1"/>
  <c r="K6235" i="1"/>
  <c r="L6235" i="1" s="1"/>
  <c r="R6234" i="1"/>
  <c r="K6234" i="1"/>
  <c r="L6234" i="1" s="1"/>
  <c r="R6233" i="1"/>
  <c r="L6233" i="1"/>
  <c r="R6232" i="1"/>
  <c r="L6232" i="1"/>
  <c r="R6231" i="1"/>
  <c r="L6231" i="1"/>
  <c r="R6230" i="1"/>
  <c r="L6230" i="1"/>
  <c r="R6229" i="1"/>
  <c r="L6229" i="1"/>
  <c r="R6228" i="1"/>
  <c r="L6228" i="1"/>
  <c r="R6227" i="1"/>
  <c r="K6227" i="1"/>
  <c r="L6227" i="1" s="1"/>
  <c r="R6226" i="1"/>
  <c r="K6226" i="1"/>
  <c r="L6226" i="1" s="1"/>
  <c r="R6225" i="1"/>
  <c r="K6225" i="1"/>
  <c r="L6225" i="1" s="1"/>
  <c r="R6224" i="1"/>
  <c r="K6224" i="1"/>
  <c r="L6224" i="1" s="1"/>
  <c r="R6223" i="1"/>
  <c r="L6223" i="1"/>
  <c r="R6222" i="1"/>
  <c r="L6222" i="1"/>
  <c r="R6221" i="1"/>
  <c r="L6221" i="1"/>
  <c r="R6220" i="1"/>
  <c r="L6220" i="1"/>
  <c r="R6219" i="1"/>
  <c r="L6219" i="1"/>
  <c r="R6218" i="1"/>
  <c r="L6218" i="1"/>
  <c r="R6217" i="1"/>
  <c r="L6217" i="1"/>
  <c r="R6216" i="1"/>
  <c r="L6216" i="1"/>
  <c r="R6215" i="1"/>
  <c r="L6215" i="1"/>
  <c r="R6214" i="1"/>
  <c r="L6214" i="1"/>
  <c r="R6213" i="1"/>
  <c r="L6213" i="1"/>
  <c r="R6212" i="1"/>
  <c r="K6212" i="1"/>
  <c r="L6212" i="1" s="1"/>
  <c r="R6211" i="1"/>
  <c r="L6211" i="1"/>
  <c r="R6210" i="1"/>
  <c r="L6210" i="1"/>
  <c r="R6209" i="1"/>
  <c r="L6209" i="1"/>
  <c r="R6208" i="1"/>
  <c r="L6208" i="1"/>
  <c r="R6207" i="1"/>
  <c r="L6207" i="1"/>
  <c r="R6206" i="1"/>
  <c r="L6206" i="1"/>
  <c r="R6205" i="1"/>
  <c r="L6205" i="1"/>
  <c r="R6204" i="1"/>
  <c r="L6204" i="1"/>
  <c r="R6203" i="1"/>
  <c r="L6203" i="1"/>
  <c r="R6202" i="1"/>
  <c r="L6202" i="1"/>
  <c r="R6201" i="1"/>
  <c r="L6201" i="1"/>
  <c r="R6200" i="1"/>
  <c r="L6200" i="1"/>
  <c r="R6199" i="1"/>
  <c r="L6199" i="1"/>
  <c r="R6198" i="1"/>
  <c r="L6198" i="1"/>
  <c r="R6197" i="1"/>
  <c r="L6197" i="1"/>
  <c r="R6196" i="1"/>
  <c r="L6196" i="1"/>
  <c r="R6195" i="1"/>
  <c r="L6195" i="1"/>
  <c r="R6194" i="1"/>
  <c r="L6194" i="1"/>
  <c r="R6193" i="1"/>
  <c r="L6193" i="1"/>
  <c r="R6192" i="1"/>
  <c r="L6192" i="1"/>
  <c r="R6191" i="1"/>
  <c r="L6191" i="1"/>
  <c r="R6190" i="1"/>
  <c r="L6190" i="1"/>
  <c r="R6189" i="1"/>
  <c r="L6189" i="1"/>
  <c r="R6188" i="1"/>
  <c r="L6188" i="1"/>
  <c r="R6187" i="1"/>
  <c r="L6187" i="1"/>
  <c r="R6186" i="1"/>
  <c r="L6186" i="1"/>
  <c r="R6185" i="1"/>
  <c r="L6185" i="1"/>
  <c r="R6184" i="1"/>
  <c r="K6184" i="1"/>
  <c r="L6184" i="1" s="1"/>
  <c r="R6183" i="1"/>
  <c r="O6183" i="1"/>
  <c r="L6183" i="1"/>
  <c r="R6182" i="1"/>
  <c r="O6182" i="1"/>
  <c r="L6182" i="1"/>
  <c r="R6181" i="1"/>
  <c r="O6181" i="1"/>
  <c r="L6181" i="1"/>
  <c r="R6180" i="1"/>
  <c r="O6180" i="1"/>
  <c r="L6180" i="1"/>
  <c r="R6179" i="1"/>
  <c r="O6179" i="1"/>
  <c r="L6179" i="1"/>
  <c r="R6178" i="1"/>
  <c r="O6178" i="1"/>
  <c r="L6178" i="1"/>
  <c r="I6178" i="1"/>
  <c r="R6177" i="1"/>
  <c r="L6177" i="1"/>
  <c r="R6176" i="1"/>
  <c r="L6176" i="1"/>
  <c r="R6175" i="1"/>
  <c r="L6175" i="1"/>
  <c r="R6174" i="1"/>
  <c r="L6174" i="1"/>
  <c r="R6173" i="1"/>
  <c r="L6173" i="1"/>
  <c r="T6172" i="1"/>
  <c r="R6172" i="1"/>
  <c r="L6172" i="1"/>
  <c r="R6171" i="1"/>
  <c r="L6171" i="1"/>
  <c r="R6170" i="1"/>
  <c r="K6170" i="1"/>
  <c r="L6170" i="1" s="1"/>
  <c r="R6169" i="1"/>
  <c r="L6169" i="1"/>
  <c r="R6168" i="1"/>
  <c r="L6168" i="1"/>
  <c r="R6167" i="1"/>
  <c r="K6167" i="1"/>
  <c r="L6167" i="1" s="1"/>
  <c r="R6166" i="1"/>
  <c r="K6166" i="1"/>
  <c r="L6166" i="1" s="1"/>
  <c r="T6165" i="1"/>
  <c r="R6165" i="1"/>
  <c r="L6165" i="1"/>
  <c r="R6164" i="1"/>
  <c r="O6164" i="1"/>
  <c r="L6164" i="1"/>
  <c r="R6163" i="1"/>
  <c r="O6163" i="1"/>
  <c r="L6163" i="1"/>
  <c r="R6162" i="1"/>
  <c r="O6162" i="1"/>
  <c r="L6162" i="1"/>
  <c r="R6161" i="1"/>
  <c r="O6161" i="1"/>
  <c r="L6161" i="1"/>
  <c r="R6160" i="1"/>
  <c r="O6160" i="1"/>
  <c r="L6160" i="1"/>
  <c r="R6159" i="1"/>
  <c r="O6159" i="1"/>
  <c r="K6159" i="1"/>
  <c r="L6159" i="1" s="1"/>
  <c r="R6158" i="1"/>
  <c r="O6158" i="1"/>
  <c r="L6158" i="1"/>
  <c r="R6157" i="1"/>
  <c r="O6157" i="1"/>
  <c r="L6157" i="1"/>
  <c r="R6156" i="1"/>
  <c r="O6156" i="1"/>
  <c r="L6156" i="1"/>
  <c r="R6155" i="1"/>
  <c r="O6155" i="1"/>
  <c r="L6155" i="1"/>
  <c r="R6154" i="1"/>
  <c r="O6154" i="1"/>
  <c r="L6154" i="1"/>
  <c r="R6153" i="1"/>
  <c r="O6153" i="1"/>
  <c r="K6153" i="1"/>
  <c r="L6153" i="1" s="1"/>
  <c r="R6152" i="1"/>
  <c r="O6152" i="1"/>
  <c r="L6152" i="1"/>
  <c r="R6151" i="1"/>
  <c r="O6151" i="1"/>
  <c r="L6151" i="1"/>
  <c r="R6150" i="1"/>
  <c r="L6150" i="1"/>
  <c r="R6149" i="1"/>
  <c r="L6149" i="1"/>
  <c r="R6148" i="1"/>
  <c r="L6148" i="1"/>
  <c r="R6147" i="1"/>
  <c r="L6147" i="1"/>
  <c r="R6146" i="1"/>
  <c r="L6146" i="1"/>
  <c r="R6145" i="1"/>
  <c r="L6145" i="1"/>
  <c r="R6144" i="1"/>
  <c r="L6144" i="1"/>
  <c r="R6143" i="1"/>
  <c r="L6143" i="1"/>
  <c r="R6142" i="1"/>
  <c r="L6142" i="1"/>
  <c r="R6141" i="1"/>
  <c r="L6141" i="1"/>
  <c r="G6141" i="1"/>
  <c r="R6140" i="1"/>
  <c r="L6140" i="1"/>
  <c r="R6139" i="1"/>
  <c r="L6139" i="1"/>
  <c r="R6138" i="1"/>
  <c r="L6138" i="1"/>
  <c r="R6137" i="1"/>
  <c r="L6137" i="1"/>
  <c r="R6136" i="1"/>
  <c r="L6136" i="1"/>
  <c r="R6135" i="1"/>
  <c r="L6135" i="1"/>
  <c r="R6134" i="1"/>
  <c r="L6134" i="1"/>
  <c r="T6133" i="1"/>
  <c r="R6133" i="1"/>
  <c r="L6133" i="1"/>
  <c r="R6132" i="1"/>
  <c r="L6132" i="1"/>
  <c r="T6131" i="1"/>
  <c r="R6131" i="1"/>
  <c r="L6131" i="1"/>
  <c r="T6130" i="1"/>
  <c r="R6130" i="1"/>
  <c r="L6130" i="1"/>
  <c r="R6129" i="1"/>
  <c r="O6129" i="1"/>
  <c r="L6129" i="1"/>
  <c r="R6128" i="1"/>
  <c r="O6128" i="1"/>
  <c r="L6128" i="1"/>
  <c r="R6127" i="1"/>
  <c r="L6127" i="1"/>
  <c r="R6126" i="1"/>
  <c r="R6125" i="1"/>
  <c r="R6124" i="1"/>
  <c r="K6124" i="1"/>
  <c r="K6125" i="1" s="1"/>
  <c r="R6123" i="1"/>
  <c r="L6123" i="1"/>
  <c r="R6122" i="1"/>
  <c r="K6122" i="1"/>
  <c r="L6122" i="1" s="1"/>
  <c r="R6121" i="1"/>
  <c r="L6121" i="1"/>
  <c r="R6120" i="1"/>
  <c r="K6120" i="1"/>
  <c r="L6120" i="1" s="1"/>
  <c r="R6119" i="1"/>
  <c r="L6119" i="1"/>
  <c r="R6118" i="1"/>
  <c r="L6118" i="1"/>
  <c r="R6117" i="1"/>
  <c r="K6117" i="1"/>
  <c r="L6117" i="1" s="1"/>
  <c r="R6116" i="1"/>
  <c r="L6116" i="1"/>
  <c r="R6115" i="1"/>
  <c r="L6115" i="1"/>
  <c r="R6114" i="1"/>
  <c r="L6114" i="1"/>
  <c r="R6113" i="1"/>
  <c r="L6113" i="1"/>
  <c r="R6112" i="1"/>
  <c r="L6112" i="1"/>
  <c r="R6111" i="1"/>
  <c r="L6111" i="1"/>
  <c r="R6110" i="1"/>
  <c r="L6110" i="1"/>
  <c r="R6109" i="1"/>
  <c r="L6109" i="1"/>
  <c r="R6108" i="1"/>
  <c r="L6108" i="1"/>
  <c r="R6107" i="1"/>
  <c r="L6107" i="1"/>
  <c r="R6106" i="1"/>
  <c r="K6106" i="1"/>
  <c r="L6106" i="1" s="1"/>
  <c r="R6105" i="1"/>
  <c r="L6105" i="1"/>
  <c r="R6104" i="1"/>
  <c r="L6104" i="1"/>
  <c r="R6103" i="1"/>
  <c r="L6103" i="1"/>
  <c r="R6102" i="1"/>
  <c r="L6102" i="1"/>
  <c r="R6101" i="1"/>
  <c r="L6101" i="1"/>
  <c r="R6100" i="1"/>
  <c r="L6100" i="1"/>
  <c r="R6099" i="1"/>
  <c r="L6099" i="1"/>
  <c r="R6098" i="1"/>
  <c r="L6098" i="1"/>
  <c r="R6097" i="1"/>
  <c r="L6097" i="1"/>
  <c r="R6096" i="1"/>
  <c r="L6096" i="1"/>
  <c r="R6095" i="1"/>
  <c r="L6095" i="1"/>
  <c r="R6094" i="1"/>
  <c r="L6094" i="1"/>
  <c r="R6093" i="1"/>
  <c r="L6093" i="1"/>
  <c r="R6092" i="1"/>
  <c r="L6092" i="1"/>
  <c r="R6091" i="1"/>
  <c r="K6091" i="1"/>
  <c r="L6091" i="1" s="1"/>
  <c r="R6090" i="1"/>
  <c r="L6090" i="1"/>
  <c r="R6089" i="1"/>
  <c r="R6088" i="1"/>
  <c r="L6088" i="1"/>
  <c r="R6087" i="1"/>
  <c r="L6087" i="1"/>
  <c r="R6086" i="1"/>
  <c r="K6086" i="1"/>
  <c r="L6086" i="1" s="1"/>
  <c r="R6085" i="1"/>
  <c r="L6085" i="1"/>
  <c r="R6084" i="1"/>
  <c r="L6084" i="1"/>
  <c r="R6083" i="1"/>
  <c r="L6083" i="1"/>
  <c r="R6082" i="1"/>
  <c r="L6082" i="1"/>
  <c r="R6081" i="1"/>
  <c r="L6081" i="1"/>
  <c r="R6080" i="1"/>
  <c r="L6080" i="1"/>
  <c r="R6079" i="1"/>
  <c r="L6079" i="1"/>
  <c r="R6078" i="1"/>
  <c r="L6078" i="1"/>
  <c r="R6077" i="1"/>
  <c r="L6077" i="1"/>
  <c r="R6076" i="1"/>
  <c r="L6076" i="1"/>
  <c r="R6075" i="1"/>
  <c r="L6075" i="1"/>
  <c r="R6074" i="1"/>
  <c r="L6074" i="1"/>
  <c r="R6073" i="1"/>
  <c r="L6073" i="1"/>
  <c r="R6072" i="1"/>
  <c r="L6072" i="1"/>
  <c r="R6071" i="1"/>
  <c r="L6071" i="1"/>
  <c r="R6070" i="1"/>
  <c r="L6070" i="1"/>
  <c r="R6069" i="1"/>
  <c r="L6069" i="1"/>
  <c r="R6068" i="1"/>
  <c r="L6068" i="1"/>
  <c r="S6067" i="1"/>
  <c r="R6067" i="1"/>
  <c r="L6067" i="1"/>
  <c r="R6066" i="1"/>
  <c r="L6066" i="1"/>
  <c r="R6065" i="1"/>
  <c r="L6065" i="1"/>
  <c r="R6064" i="1"/>
  <c r="L6064" i="1"/>
  <c r="R6063" i="1"/>
  <c r="L6063" i="1"/>
  <c r="R6062" i="1"/>
  <c r="L6062" i="1"/>
  <c r="R6061" i="1"/>
  <c r="L6061" i="1"/>
  <c r="R6060" i="1"/>
  <c r="L6060" i="1"/>
  <c r="R6059" i="1"/>
  <c r="L6059" i="1"/>
  <c r="R6058" i="1"/>
  <c r="L6058" i="1"/>
  <c r="R6057" i="1"/>
  <c r="L6057" i="1"/>
  <c r="R6056" i="1"/>
  <c r="L6056" i="1"/>
  <c r="R6055" i="1"/>
  <c r="O6055" i="1"/>
  <c r="L6055" i="1"/>
  <c r="R6054" i="1"/>
  <c r="O6054" i="1"/>
  <c r="K6054" i="1"/>
  <c r="L6054" i="1" s="1"/>
  <c r="R6053" i="1"/>
  <c r="O6053" i="1"/>
  <c r="L6053" i="1"/>
  <c r="R6052" i="1"/>
  <c r="O6052" i="1"/>
  <c r="L6052" i="1"/>
  <c r="R6051" i="1"/>
  <c r="O6051" i="1"/>
  <c r="L6051" i="1"/>
  <c r="T6050" i="1"/>
  <c r="R6050" i="1"/>
  <c r="O6050" i="1"/>
  <c r="L6050" i="1"/>
  <c r="R6049" i="1"/>
  <c r="L6049" i="1"/>
  <c r="R6048" i="1"/>
  <c r="L6048" i="1"/>
  <c r="R6047" i="1"/>
  <c r="L6047" i="1"/>
  <c r="R6046" i="1"/>
  <c r="L6046" i="1"/>
  <c r="R6045" i="1"/>
  <c r="L6045" i="1"/>
  <c r="R6044" i="1"/>
  <c r="L6044" i="1"/>
  <c r="R6043" i="1"/>
  <c r="L6043" i="1"/>
  <c r="R6042" i="1"/>
  <c r="L6042" i="1"/>
  <c r="R6041" i="1"/>
  <c r="K6041" i="1"/>
  <c r="L6041" i="1" s="1"/>
  <c r="R6040" i="1"/>
  <c r="K6040" i="1"/>
  <c r="L6040" i="1" s="1"/>
  <c r="R6039" i="1"/>
  <c r="L6039" i="1"/>
  <c r="R6038" i="1"/>
  <c r="L6038" i="1"/>
  <c r="R6037" i="1"/>
  <c r="L6037" i="1"/>
  <c r="R6036" i="1"/>
  <c r="L6036" i="1"/>
  <c r="R6035" i="1"/>
  <c r="L6035" i="1"/>
  <c r="R6034" i="1"/>
  <c r="L6034" i="1"/>
  <c r="R6033" i="1"/>
  <c r="L6033" i="1"/>
  <c r="R6032" i="1"/>
  <c r="L6032" i="1"/>
  <c r="R6031" i="1"/>
  <c r="L6031" i="1"/>
  <c r="R6030" i="1"/>
  <c r="L6030" i="1"/>
  <c r="R6029" i="1"/>
  <c r="L6029" i="1"/>
  <c r="R6028" i="1"/>
  <c r="L6028" i="1"/>
  <c r="R6027" i="1"/>
  <c r="L6027" i="1"/>
  <c r="R6026" i="1"/>
  <c r="L6026" i="1"/>
  <c r="R6025" i="1"/>
  <c r="L6025" i="1"/>
  <c r="R6024" i="1"/>
  <c r="L6024" i="1"/>
  <c r="R6023" i="1"/>
  <c r="L6023" i="1"/>
  <c r="R6022" i="1"/>
  <c r="L6022" i="1"/>
  <c r="R6021" i="1"/>
  <c r="L6021" i="1"/>
  <c r="R6020" i="1"/>
  <c r="L6020" i="1"/>
  <c r="R6019" i="1"/>
  <c r="L6019" i="1"/>
  <c r="R6018" i="1"/>
  <c r="L6018" i="1"/>
  <c r="R6017" i="1"/>
  <c r="L6017" i="1"/>
  <c r="R6016" i="1"/>
  <c r="L6016" i="1"/>
  <c r="R6015" i="1"/>
  <c r="L6015" i="1"/>
  <c r="R6014" i="1"/>
  <c r="L6014" i="1"/>
  <c r="R6013" i="1"/>
  <c r="L6013" i="1"/>
  <c r="R6012" i="1"/>
  <c r="L6012" i="1"/>
  <c r="R6011" i="1"/>
  <c r="L6011" i="1"/>
  <c r="R6010" i="1"/>
  <c r="L6010" i="1"/>
  <c r="R6009" i="1"/>
  <c r="L6009" i="1"/>
  <c r="R6008" i="1"/>
  <c r="L6008" i="1"/>
  <c r="T6007" i="1"/>
  <c r="R6007" i="1"/>
  <c r="L6007" i="1"/>
  <c r="R6006" i="1"/>
  <c r="L6006" i="1"/>
  <c r="R6005" i="1"/>
  <c r="L6005" i="1"/>
  <c r="R6004" i="1"/>
  <c r="L6004" i="1"/>
  <c r="R6003" i="1"/>
  <c r="L6003" i="1"/>
  <c r="R6002" i="1"/>
  <c r="L6002" i="1"/>
  <c r="R6001" i="1"/>
  <c r="L6001" i="1"/>
  <c r="R6000" i="1"/>
  <c r="L6000" i="1"/>
  <c r="R5999" i="1"/>
  <c r="L5999" i="1"/>
  <c r="T5998" i="1"/>
  <c r="R5998" i="1"/>
  <c r="L5998" i="1"/>
  <c r="R5997" i="1"/>
  <c r="L5997" i="1"/>
  <c r="R5996" i="1"/>
  <c r="L5996" i="1"/>
  <c r="R5995" i="1"/>
  <c r="L5995" i="1"/>
  <c r="R5994" i="1"/>
  <c r="L5994" i="1"/>
  <c r="R5993" i="1"/>
  <c r="L5993" i="1"/>
  <c r="R5992" i="1"/>
  <c r="L5992" i="1"/>
  <c r="R5991" i="1"/>
  <c r="L5991" i="1"/>
  <c r="S5990" i="1"/>
  <c r="R5990" i="1"/>
  <c r="L5990" i="1"/>
  <c r="R5989" i="1"/>
  <c r="L5989" i="1"/>
  <c r="R5988" i="1"/>
  <c r="K5988" i="1"/>
  <c r="L5988" i="1" s="1"/>
  <c r="T5987" i="1"/>
  <c r="R5987" i="1"/>
  <c r="L5987" i="1"/>
  <c r="T5986" i="1"/>
  <c r="R5986" i="1"/>
  <c r="L5986" i="1"/>
  <c r="T5985" i="1"/>
  <c r="R5985" i="1"/>
  <c r="L5985" i="1"/>
  <c r="T5984" i="1"/>
  <c r="R5984" i="1"/>
  <c r="L5984" i="1"/>
  <c r="T5983" i="1"/>
  <c r="R5983" i="1"/>
  <c r="L5983" i="1"/>
  <c r="T5982" i="1"/>
  <c r="R5982" i="1"/>
  <c r="L5982" i="1"/>
  <c r="R5981" i="1"/>
  <c r="O5981" i="1"/>
  <c r="L5981" i="1"/>
  <c r="T5980" i="1"/>
  <c r="R5980" i="1"/>
  <c r="L5980" i="1"/>
  <c r="T5979" i="1"/>
  <c r="R5979" i="1"/>
  <c r="L5979" i="1"/>
  <c r="T5978" i="1"/>
  <c r="R5978" i="1"/>
  <c r="L5978" i="1"/>
  <c r="T5977" i="1"/>
  <c r="R5977" i="1"/>
  <c r="L5977" i="1"/>
  <c r="T5976" i="1"/>
  <c r="R5976" i="1"/>
  <c r="L5976" i="1"/>
  <c r="T5975" i="1"/>
  <c r="R5975" i="1"/>
  <c r="L5975" i="1"/>
  <c r="T5974" i="1"/>
  <c r="R5974" i="1"/>
  <c r="L5974" i="1"/>
  <c r="T5973" i="1"/>
  <c r="R5973" i="1"/>
  <c r="L5973" i="1"/>
  <c r="T5972" i="1"/>
  <c r="R5972" i="1"/>
  <c r="L5972" i="1"/>
  <c r="T5971" i="1"/>
  <c r="R5971" i="1"/>
  <c r="L5971" i="1"/>
  <c r="T5970" i="1"/>
  <c r="R5970" i="1"/>
  <c r="L5970" i="1"/>
  <c r="T5969" i="1"/>
  <c r="R5969" i="1"/>
  <c r="L5969" i="1"/>
  <c r="T5968" i="1"/>
  <c r="R5968" i="1"/>
  <c r="L5968" i="1"/>
  <c r="R5967" i="1"/>
  <c r="L5967" i="1"/>
  <c r="G5967" i="1"/>
  <c r="T5967" i="1" s="1"/>
  <c r="T5966" i="1"/>
  <c r="R5966" i="1"/>
  <c r="L5966" i="1"/>
  <c r="T5965" i="1"/>
  <c r="R5965" i="1"/>
  <c r="L5965" i="1"/>
  <c r="T5964" i="1"/>
  <c r="R5964" i="1"/>
  <c r="L5964" i="1"/>
  <c r="T5963" i="1"/>
  <c r="R5963" i="1"/>
  <c r="L5963" i="1"/>
  <c r="R5962" i="1"/>
  <c r="O5962" i="1"/>
  <c r="L5962" i="1"/>
  <c r="T5961" i="1"/>
  <c r="R5961" i="1"/>
  <c r="O5961" i="1"/>
  <c r="L5961" i="1"/>
  <c r="T5960" i="1"/>
  <c r="S5960" i="1"/>
  <c r="R5960" i="1"/>
  <c r="L5960" i="1"/>
  <c r="R5959" i="1"/>
  <c r="L5959" i="1"/>
  <c r="R5958" i="1"/>
  <c r="L5958" i="1"/>
  <c r="R5957" i="1"/>
  <c r="L5957" i="1"/>
  <c r="R5956" i="1"/>
  <c r="L5956" i="1"/>
  <c r="R5955" i="1"/>
  <c r="L5955" i="1"/>
  <c r="R5954" i="1"/>
  <c r="L5954" i="1"/>
  <c r="R5953" i="1"/>
  <c r="L5953" i="1"/>
  <c r="R5952" i="1"/>
  <c r="L5952" i="1"/>
  <c r="R5951" i="1"/>
  <c r="L5951" i="1"/>
  <c r="R5950" i="1"/>
  <c r="L5950" i="1"/>
  <c r="R5949" i="1"/>
  <c r="L5949" i="1"/>
  <c r="R5948" i="1"/>
  <c r="K5948" i="1"/>
  <c r="L5948" i="1" s="1"/>
  <c r="R5947" i="1"/>
  <c r="L5947" i="1"/>
  <c r="R5946" i="1"/>
  <c r="L5946" i="1"/>
  <c r="R5945" i="1"/>
  <c r="L5945" i="1"/>
  <c r="R5944" i="1"/>
  <c r="L5944" i="1"/>
  <c r="R5943" i="1"/>
  <c r="L5943" i="1"/>
  <c r="R5942" i="1"/>
  <c r="L5942" i="1"/>
  <c r="R5941" i="1"/>
  <c r="L5941" i="1"/>
  <c r="R5940" i="1"/>
  <c r="L5940" i="1"/>
  <c r="R5939" i="1"/>
  <c r="L5939" i="1"/>
  <c r="R5938" i="1"/>
  <c r="L5938" i="1"/>
  <c r="R5937" i="1"/>
  <c r="L5937" i="1"/>
  <c r="R5936" i="1"/>
  <c r="L5936" i="1"/>
  <c r="R5935" i="1"/>
  <c r="L5935" i="1"/>
  <c r="R5934" i="1"/>
  <c r="L5934" i="1"/>
  <c r="R5933" i="1"/>
  <c r="L5933" i="1"/>
  <c r="R5932" i="1"/>
  <c r="L5932" i="1"/>
  <c r="R5931" i="1"/>
  <c r="L5931" i="1"/>
  <c r="R5930" i="1"/>
  <c r="L5930" i="1"/>
  <c r="R5929" i="1"/>
  <c r="L5929" i="1"/>
  <c r="R5928" i="1"/>
  <c r="L5928" i="1"/>
  <c r="R5927" i="1"/>
  <c r="L5927" i="1"/>
  <c r="R5926" i="1"/>
  <c r="K5926" i="1"/>
  <c r="L5926" i="1" s="1"/>
  <c r="R5925" i="1"/>
  <c r="L5925" i="1"/>
  <c r="R5924" i="1"/>
  <c r="L5924" i="1"/>
  <c r="R5923" i="1"/>
  <c r="L5923" i="1"/>
  <c r="S5922" i="1"/>
  <c r="R5922" i="1"/>
  <c r="L5922" i="1"/>
  <c r="R5921" i="1"/>
  <c r="L5921" i="1"/>
  <c r="R5920" i="1"/>
  <c r="L5920" i="1"/>
  <c r="R5919" i="1"/>
  <c r="L5919" i="1"/>
  <c r="R5918" i="1"/>
  <c r="L5918" i="1"/>
  <c r="R5917" i="1"/>
  <c r="L5917" i="1"/>
  <c r="R5916" i="1"/>
  <c r="L5916" i="1"/>
  <c r="R5915" i="1"/>
  <c r="L5915" i="1"/>
  <c r="R5914" i="1"/>
  <c r="L5914" i="1"/>
  <c r="R5913" i="1"/>
  <c r="L5913" i="1"/>
  <c r="R5912" i="1"/>
  <c r="L5912" i="1"/>
  <c r="R5911" i="1"/>
  <c r="L5911" i="1"/>
  <c r="T5910" i="1"/>
  <c r="R5910" i="1"/>
  <c r="K5910" i="1"/>
  <c r="L5910" i="1" s="1"/>
  <c r="R5909" i="1"/>
  <c r="L5909" i="1"/>
  <c r="T5908" i="1"/>
  <c r="R5908" i="1"/>
  <c r="L5908" i="1"/>
  <c r="R5907" i="1"/>
  <c r="L5907" i="1"/>
  <c r="R5906" i="1"/>
  <c r="L5906" i="1"/>
  <c r="R5905" i="1"/>
  <c r="L5905" i="1"/>
  <c r="R5904" i="1"/>
  <c r="L5904" i="1"/>
  <c r="R5903" i="1"/>
  <c r="L5903" i="1"/>
  <c r="R5902" i="1"/>
  <c r="L5902" i="1"/>
  <c r="R5901" i="1"/>
  <c r="L5901" i="1"/>
  <c r="R5900" i="1"/>
  <c r="L5900" i="1"/>
  <c r="R5899" i="1"/>
  <c r="R5898" i="1"/>
  <c r="L5898" i="1"/>
  <c r="R5897" i="1"/>
  <c r="K5897" i="1"/>
  <c r="L5897" i="1" s="1"/>
  <c r="R5896" i="1"/>
  <c r="L5896" i="1"/>
  <c r="R5895" i="1"/>
  <c r="L5895" i="1"/>
  <c r="R5894" i="1"/>
  <c r="L5894" i="1"/>
  <c r="R5893" i="1"/>
  <c r="L5893" i="1"/>
  <c r="R5892" i="1"/>
  <c r="L5892" i="1"/>
  <c r="R5891" i="1"/>
  <c r="L5891" i="1"/>
  <c r="T5890" i="1"/>
  <c r="R5890" i="1"/>
  <c r="L5890" i="1"/>
  <c r="R5889" i="1"/>
  <c r="O5889" i="1"/>
  <c r="L5889" i="1"/>
  <c r="R5888" i="1"/>
  <c r="O5888" i="1"/>
  <c r="L5888" i="1"/>
  <c r="R5887" i="1"/>
  <c r="O5887" i="1"/>
  <c r="L5887" i="1"/>
  <c r="R5886" i="1"/>
  <c r="O5886" i="1"/>
  <c r="L5886" i="1"/>
  <c r="R5885" i="1"/>
  <c r="O5885" i="1"/>
  <c r="L5885" i="1"/>
  <c r="R5884" i="1"/>
  <c r="O5884" i="1"/>
  <c r="L5884" i="1"/>
  <c r="R5883" i="1"/>
  <c r="O5883" i="1"/>
  <c r="L5883" i="1"/>
  <c r="R5882" i="1"/>
  <c r="O5882" i="1"/>
  <c r="L5882" i="1"/>
  <c r="R5881" i="1"/>
  <c r="O5881" i="1"/>
  <c r="L5881" i="1"/>
  <c r="R5880" i="1"/>
  <c r="O5880" i="1"/>
  <c r="L5880" i="1"/>
  <c r="R5879" i="1"/>
  <c r="O5879" i="1"/>
  <c r="L5879" i="1"/>
  <c r="R5878" i="1"/>
  <c r="O5878" i="1"/>
  <c r="L5878" i="1"/>
  <c r="R5877" i="1"/>
  <c r="O5877" i="1"/>
  <c r="L5877" i="1"/>
  <c r="T5876" i="1"/>
  <c r="R5876" i="1"/>
  <c r="O5876" i="1"/>
  <c r="L5876" i="1"/>
  <c r="R5875" i="1"/>
  <c r="L5875" i="1"/>
  <c r="R5874" i="1"/>
  <c r="L5874" i="1"/>
  <c r="R5873" i="1"/>
  <c r="L5873" i="1"/>
  <c r="R5872" i="1"/>
  <c r="L5872" i="1"/>
  <c r="R5871" i="1"/>
  <c r="L5871" i="1"/>
  <c r="R5870" i="1"/>
  <c r="L5870" i="1"/>
  <c r="R5869" i="1"/>
  <c r="L5869" i="1"/>
  <c r="R5868" i="1"/>
  <c r="L5868" i="1"/>
  <c r="R5867" i="1"/>
  <c r="L5867" i="1"/>
  <c r="R5866" i="1"/>
  <c r="L5866" i="1"/>
  <c r="R5865" i="1"/>
  <c r="L5865" i="1"/>
  <c r="R5864" i="1"/>
  <c r="L5864" i="1"/>
  <c r="R5863" i="1"/>
  <c r="L5863" i="1"/>
  <c r="R5862" i="1"/>
  <c r="L5862" i="1"/>
  <c r="R5861" i="1"/>
  <c r="L5861" i="1"/>
  <c r="R5860" i="1"/>
  <c r="L5860" i="1"/>
  <c r="R5859" i="1"/>
  <c r="L5859" i="1"/>
  <c r="R5858" i="1"/>
  <c r="L5858" i="1"/>
  <c r="R5857" i="1"/>
  <c r="L5857" i="1"/>
  <c r="R5856" i="1"/>
  <c r="L5856" i="1"/>
  <c r="T5855" i="1"/>
  <c r="R5855" i="1"/>
  <c r="K5855" i="1"/>
  <c r="L5855" i="1" s="1"/>
  <c r="T5854" i="1"/>
  <c r="R5854" i="1"/>
  <c r="L5854" i="1"/>
  <c r="R5853" i="1"/>
  <c r="K5853" i="1"/>
  <c r="L5853" i="1" s="1"/>
  <c r="R5852" i="1"/>
  <c r="L5852" i="1"/>
  <c r="R5851" i="1"/>
  <c r="L5851" i="1"/>
  <c r="R5850" i="1"/>
  <c r="O5850" i="1"/>
  <c r="L5850" i="1"/>
  <c r="R5849" i="1"/>
  <c r="O5849" i="1"/>
  <c r="L5849" i="1"/>
  <c r="R5848" i="1"/>
  <c r="O5848" i="1"/>
  <c r="L5848" i="1"/>
  <c r="R5847" i="1"/>
  <c r="O5847" i="1"/>
  <c r="L5847" i="1"/>
  <c r="R5846" i="1"/>
  <c r="O5846" i="1"/>
  <c r="L5846" i="1"/>
  <c r="R5845" i="1"/>
  <c r="O5845" i="1"/>
  <c r="L5845" i="1"/>
  <c r="R5844" i="1"/>
  <c r="O5844" i="1"/>
  <c r="L5844" i="1"/>
  <c r="R5843" i="1"/>
  <c r="O5843" i="1"/>
  <c r="L5843" i="1"/>
  <c r="T5842" i="1"/>
  <c r="R5842" i="1"/>
  <c r="O5842" i="1"/>
  <c r="L5842" i="1"/>
  <c r="R5841" i="1"/>
  <c r="O5841" i="1"/>
  <c r="L5841" i="1"/>
  <c r="G5841" i="1"/>
  <c r="R5840" i="1"/>
  <c r="O5840" i="1"/>
  <c r="L5840" i="1"/>
  <c r="R5839" i="1"/>
  <c r="O5839" i="1"/>
  <c r="L5839" i="1"/>
  <c r="R5838" i="1"/>
  <c r="O5838" i="1"/>
  <c r="L5838" i="1"/>
  <c r="R5837" i="1"/>
  <c r="L5837" i="1"/>
  <c r="R5836" i="1"/>
  <c r="K5836" i="1"/>
  <c r="L5836" i="1" s="1"/>
  <c r="R5835" i="1"/>
  <c r="K5835" i="1"/>
  <c r="L5835" i="1" s="1"/>
  <c r="R5834" i="1"/>
  <c r="K5834" i="1"/>
  <c r="L5834" i="1" s="1"/>
  <c r="T5833" i="1"/>
  <c r="R5833" i="1"/>
  <c r="L5833" i="1"/>
  <c r="T5832" i="1"/>
  <c r="R5832" i="1"/>
  <c r="L5832" i="1"/>
  <c r="R5831" i="1"/>
  <c r="O5831" i="1"/>
  <c r="L5831" i="1"/>
  <c r="R5830" i="1"/>
  <c r="O5830" i="1"/>
  <c r="L5830" i="1"/>
  <c r="R5829" i="1"/>
  <c r="O5829" i="1"/>
  <c r="L5829" i="1"/>
  <c r="R5828" i="1"/>
  <c r="O5828" i="1"/>
  <c r="L5828" i="1"/>
  <c r="R5827" i="1"/>
  <c r="O5827" i="1"/>
  <c r="L5827" i="1"/>
  <c r="T5826" i="1"/>
  <c r="R5826" i="1"/>
  <c r="O5826" i="1"/>
  <c r="L5826" i="1"/>
  <c r="R5825" i="1"/>
  <c r="L5825" i="1"/>
  <c r="R5824" i="1"/>
  <c r="L5824" i="1"/>
  <c r="T5823" i="1"/>
  <c r="R5823" i="1"/>
  <c r="L5823" i="1"/>
  <c r="R5822" i="1"/>
  <c r="L5822" i="1"/>
  <c r="R5821" i="1"/>
  <c r="O5821" i="1"/>
  <c r="L5821" i="1"/>
  <c r="R5820" i="1"/>
  <c r="O5820" i="1"/>
  <c r="L5820" i="1"/>
  <c r="R5819" i="1"/>
  <c r="O5819" i="1"/>
  <c r="L5819" i="1"/>
  <c r="R5818" i="1"/>
  <c r="O5818" i="1"/>
  <c r="L5818" i="1"/>
  <c r="R5817" i="1"/>
  <c r="O5817" i="1"/>
  <c r="L5817" i="1"/>
  <c r="R5816" i="1"/>
  <c r="O5816" i="1"/>
  <c r="L5816" i="1"/>
  <c r="R5815" i="1"/>
  <c r="O5815" i="1"/>
  <c r="L5815" i="1"/>
  <c r="R5814" i="1"/>
  <c r="O5814" i="1"/>
  <c r="L5814" i="1"/>
  <c r="R5813" i="1"/>
  <c r="O5813" i="1"/>
  <c r="L5813" i="1"/>
  <c r="R5812" i="1"/>
  <c r="O5812" i="1"/>
  <c r="L5812" i="1"/>
  <c r="R5811" i="1"/>
  <c r="O5811" i="1"/>
  <c r="L5811" i="1"/>
  <c r="R5810" i="1"/>
  <c r="O5810" i="1"/>
  <c r="L5810" i="1"/>
  <c r="R5809" i="1"/>
  <c r="O5809" i="1"/>
  <c r="L5809" i="1"/>
  <c r="R5808" i="1"/>
  <c r="O5808" i="1"/>
  <c r="L5808" i="1"/>
  <c r="R5807" i="1"/>
  <c r="K5807" i="1"/>
  <c r="L5807" i="1" s="1"/>
  <c r="R5806" i="1"/>
  <c r="L5806" i="1"/>
  <c r="R5805" i="1"/>
  <c r="L5805" i="1"/>
  <c r="R5804" i="1"/>
  <c r="L5804" i="1"/>
  <c r="T5803" i="1"/>
  <c r="R5803" i="1"/>
  <c r="L5803" i="1"/>
  <c r="T5802" i="1"/>
  <c r="R5802" i="1"/>
  <c r="L5802" i="1"/>
  <c r="R5801" i="1"/>
  <c r="L5801" i="1"/>
  <c r="R5800" i="1"/>
  <c r="L5800" i="1"/>
  <c r="R5799" i="1"/>
  <c r="L5799" i="1"/>
  <c r="R5798" i="1"/>
  <c r="K5798" i="1"/>
  <c r="L5798" i="1" s="1"/>
  <c r="R5797" i="1"/>
  <c r="L5797" i="1"/>
  <c r="R5796" i="1"/>
  <c r="L5796" i="1"/>
  <c r="R5795" i="1"/>
  <c r="L5795" i="1"/>
  <c r="R5794" i="1"/>
  <c r="L5794" i="1"/>
  <c r="S5793" i="1"/>
  <c r="R5793" i="1"/>
  <c r="L5793" i="1"/>
  <c r="S5792" i="1"/>
  <c r="R5792" i="1"/>
  <c r="L5792" i="1"/>
  <c r="R5791" i="1"/>
  <c r="L5791" i="1"/>
  <c r="R5790" i="1"/>
  <c r="L5790" i="1"/>
  <c r="R5789" i="1"/>
  <c r="L5789" i="1"/>
  <c r="R5788" i="1"/>
  <c r="L5788" i="1"/>
  <c r="R5787" i="1"/>
  <c r="K5787" i="1"/>
  <c r="L5787" i="1" s="1"/>
  <c r="R5786" i="1"/>
  <c r="L5786" i="1"/>
  <c r="R5785" i="1"/>
  <c r="L5785" i="1"/>
  <c r="R5784" i="1"/>
  <c r="L5784" i="1"/>
  <c r="T5783" i="1"/>
  <c r="R5783" i="1"/>
  <c r="L5783" i="1"/>
  <c r="R5782" i="1"/>
  <c r="L5782" i="1"/>
  <c r="R5781" i="1"/>
  <c r="L5781" i="1"/>
  <c r="R5780" i="1"/>
  <c r="K5780" i="1"/>
  <c r="L5780" i="1" s="1"/>
  <c r="R5779" i="1"/>
  <c r="L5779" i="1"/>
  <c r="R5778" i="1"/>
  <c r="L5778" i="1"/>
  <c r="R5777" i="1"/>
  <c r="L5777" i="1"/>
  <c r="R5776" i="1"/>
  <c r="L5776" i="1"/>
  <c r="R5775" i="1"/>
  <c r="L5775" i="1"/>
  <c r="R5774" i="1"/>
  <c r="L5774" i="1"/>
  <c r="R5773" i="1"/>
  <c r="L5773" i="1"/>
  <c r="R5772" i="1"/>
  <c r="L5772" i="1"/>
  <c r="R5771" i="1"/>
  <c r="L5771" i="1"/>
  <c r="R5770" i="1"/>
  <c r="L5770" i="1"/>
  <c r="R5769" i="1"/>
  <c r="L5769" i="1"/>
  <c r="R5768" i="1"/>
  <c r="K5768" i="1"/>
  <c r="L5768" i="1" s="1"/>
  <c r="R5767" i="1"/>
  <c r="L5767" i="1"/>
  <c r="R5766" i="1"/>
  <c r="L5766" i="1"/>
  <c r="R5765" i="1"/>
  <c r="L5765" i="1"/>
  <c r="R5764" i="1"/>
  <c r="L5764" i="1"/>
  <c r="R5763" i="1"/>
  <c r="L5763" i="1"/>
  <c r="R5762" i="1"/>
  <c r="L5762" i="1"/>
  <c r="R5761" i="1"/>
  <c r="L5761" i="1"/>
  <c r="R5760" i="1"/>
  <c r="K5760" i="1"/>
  <c r="L5760" i="1" s="1"/>
  <c r="R5759" i="1"/>
  <c r="K5759" i="1"/>
  <c r="L5759" i="1" s="1"/>
  <c r="R5758" i="1"/>
  <c r="K5758" i="1"/>
  <c r="L5758" i="1" s="1"/>
  <c r="R5757" i="1"/>
  <c r="L5757" i="1"/>
  <c r="R5756" i="1"/>
  <c r="L5756" i="1"/>
  <c r="R5755" i="1"/>
  <c r="L5755" i="1"/>
  <c r="R5754" i="1"/>
  <c r="L5754" i="1"/>
  <c r="R5753" i="1"/>
  <c r="L5753" i="1"/>
  <c r="R5752" i="1"/>
  <c r="L5752" i="1"/>
  <c r="R5751" i="1"/>
  <c r="L5751" i="1"/>
  <c r="R5750" i="1"/>
  <c r="L5750" i="1"/>
  <c r="R5749" i="1"/>
  <c r="L5749" i="1"/>
  <c r="R5748" i="1"/>
  <c r="L5748" i="1"/>
  <c r="R5747" i="1"/>
  <c r="L5747" i="1"/>
  <c r="R5746" i="1"/>
  <c r="L5746" i="1"/>
  <c r="R5745" i="1"/>
  <c r="L5745" i="1"/>
  <c r="R5744" i="1"/>
  <c r="L5744" i="1"/>
  <c r="R5743" i="1"/>
  <c r="L5743" i="1"/>
  <c r="R5742" i="1"/>
  <c r="L5742" i="1"/>
  <c r="R5741" i="1"/>
  <c r="R5740" i="1"/>
  <c r="L5740" i="1"/>
  <c r="R5739" i="1"/>
  <c r="L5739" i="1"/>
  <c r="R5738" i="1"/>
  <c r="L5738" i="1"/>
  <c r="R5737" i="1"/>
  <c r="L5737" i="1"/>
  <c r="R5736" i="1"/>
  <c r="L5736" i="1"/>
  <c r="R5735" i="1"/>
  <c r="L5735" i="1"/>
  <c r="R5734" i="1"/>
  <c r="L5734" i="1"/>
  <c r="S5733" i="1"/>
  <c r="R5733" i="1"/>
  <c r="L5733" i="1"/>
  <c r="S5732" i="1"/>
  <c r="R5732" i="1"/>
  <c r="L5732" i="1"/>
  <c r="S5731" i="1"/>
  <c r="R5731" i="1"/>
  <c r="L5731" i="1"/>
  <c r="S5730" i="1"/>
  <c r="R5730" i="1"/>
  <c r="L5730" i="1"/>
  <c r="S5729" i="1"/>
  <c r="R5729" i="1"/>
  <c r="S5728" i="1"/>
  <c r="R5728" i="1"/>
  <c r="L5728" i="1"/>
  <c r="S5727" i="1"/>
  <c r="R5727" i="1"/>
  <c r="K5727" i="1"/>
  <c r="L5727" i="1" s="1"/>
  <c r="S5726" i="1"/>
  <c r="R5726" i="1"/>
  <c r="L5726" i="1"/>
  <c r="S5725" i="1"/>
  <c r="R5725" i="1"/>
  <c r="L5725" i="1"/>
  <c r="S5724" i="1"/>
  <c r="R5724" i="1"/>
  <c r="L5724" i="1"/>
  <c r="S5723" i="1"/>
  <c r="R5723" i="1"/>
  <c r="L5723" i="1"/>
  <c r="S5722" i="1"/>
  <c r="R5722" i="1"/>
  <c r="L5722" i="1"/>
  <c r="S5721" i="1"/>
  <c r="R5721" i="1"/>
  <c r="L5721" i="1"/>
  <c r="S5720" i="1"/>
  <c r="R5720" i="1"/>
  <c r="L5720" i="1"/>
  <c r="S5719" i="1"/>
  <c r="R5719" i="1"/>
  <c r="L5719" i="1"/>
  <c r="S5718" i="1"/>
  <c r="R5718" i="1"/>
  <c r="L5718" i="1"/>
  <c r="S5717" i="1"/>
  <c r="R5717" i="1"/>
  <c r="L5717" i="1"/>
  <c r="S5716" i="1"/>
  <c r="R5716" i="1"/>
  <c r="L5716" i="1"/>
  <c r="S5715" i="1"/>
  <c r="R5715" i="1"/>
  <c r="L5715" i="1"/>
  <c r="S5714" i="1"/>
  <c r="R5714" i="1"/>
  <c r="L5714" i="1"/>
  <c r="S5713" i="1"/>
  <c r="R5713" i="1"/>
  <c r="L5713" i="1"/>
  <c r="S5712" i="1"/>
  <c r="R5712" i="1"/>
  <c r="L5712" i="1"/>
  <c r="S5711" i="1"/>
  <c r="R5711" i="1"/>
  <c r="L5711" i="1"/>
  <c r="S5710" i="1"/>
  <c r="R5710" i="1"/>
  <c r="L5710" i="1"/>
  <c r="S5709" i="1"/>
  <c r="R5709" i="1"/>
  <c r="L5709" i="1"/>
  <c r="S5708" i="1"/>
  <c r="R5708" i="1"/>
  <c r="L5708" i="1"/>
  <c r="S5707" i="1"/>
  <c r="R5707" i="1"/>
  <c r="L5707" i="1"/>
  <c r="S5706" i="1"/>
  <c r="R5706" i="1"/>
  <c r="L5706" i="1"/>
  <c r="S5705" i="1"/>
  <c r="R5705" i="1"/>
  <c r="L5705" i="1"/>
  <c r="S5704" i="1"/>
  <c r="R5704" i="1"/>
  <c r="L5704" i="1"/>
  <c r="R5703" i="1"/>
  <c r="L5703" i="1"/>
  <c r="R5702" i="1"/>
  <c r="L5702" i="1"/>
  <c r="R5701" i="1"/>
  <c r="L5701" i="1"/>
  <c r="R5700" i="1"/>
  <c r="L5700" i="1"/>
  <c r="R5699" i="1"/>
  <c r="K5699" i="1"/>
  <c r="L5699" i="1" s="1"/>
  <c r="R5698" i="1"/>
  <c r="L5698" i="1"/>
  <c r="R5697" i="1"/>
  <c r="R5696" i="1"/>
  <c r="L5696" i="1"/>
  <c r="R5695" i="1"/>
  <c r="L5695" i="1"/>
  <c r="R5694" i="1"/>
  <c r="R5693" i="1"/>
  <c r="L5693" i="1"/>
  <c r="R5692" i="1"/>
  <c r="L5692" i="1"/>
  <c r="R5691" i="1"/>
  <c r="R5690" i="1"/>
  <c r="L5690" i="1"/>
  <c r="R5689" i="1"/>
  <c r="L5689" i="1"/>
  <c r="G5689" i="1"/>
  <c r="T5689" i="1" s="1"/>
  <c r="R5688" i="1"/>
  <c r="L5688" i="1"/>
  <c r="R5687" i="1"/>
  <c r="L5687" i="1"/>
  <c r="R5686" i="1"/>
  <c r="L5686" i="1"/>
  <c r="R5685" i="1"/>
  <c r="L5685" i="1"/>
  <c r="R5684" i="1"/>
  <c r="L5684" i="1"/>
  <c r="R5683" i="1"/>
  <c r="L5683" i="1"/>
  <c r="R5682" i="1"/>
  <c r="L5682" i="1"/>
  <c r="R5681" i="1"/>
  <c r="L5681" i="1"/>
  <c r="R5680" i="1"/>
  <c r="L5680" i="1"/>
  <c r="R5679" i="1"/>
  <c r="L5679" i="1"/>
  <c r="R5678" i="1"/>
  <c r="L5678" i="1"/>
  <c r="R5677" i="1"/>
  <c r="O5677" i="1"/>
  <c r="K5677" i="1"/>
  <c r="L5677" i="1" s="1"/>
  <c r="R5676" i="1"/>
  <c r="O5676" i="1"/>
  <c r="K5676" i="1"/>
  <c r="L5676" i="1" s="1"/>
  <c r="R5675" i="1"/>
  <c r="O5675" i="1"/>
  <c r="L5675" i="1"/>
  <c r="R5674" i="1"/>
  <c r="O5674" i="1"/>
  <c r="L5674" i="1"/>
  <c r="R5673" i="1"/>
  <c r="O5673" i="1"/>
  <c r="L5673" i="1"/>
  <c r="R5672" i="1"/>
  <c r="O5672" i="1"/>
  <c r="K5672" i="1"/>
  <c r="L5672" i="1" s="1"/>
  <c r="R5671" i="1"/>
  <c r="O5671" i="1"/>
  <c r="L5671" i="1"/>
  <c r="R5670" i="1"/>
  <c r="O5670" i="1"/>
  <c r="L5670" i="1"/>
  <c r="R5669" i="1"/>
  <c r="O5669" i="1"/>
  <c r="L5669" i="1"/>
  <c r="R5668" i="1"/>
  <c r="O5668" i="1"/>
  <c r="L5668" i="1"/>
  <c r="R5667" i="1"/>
  <c r="O5667" i="1"/>
  <c r="L5667" i="1"/>
  <c r="R5666" i="1"/>
  <c r="O5666" i="1"/>
  <c r="L5666" i="1"/>
  <c r="R5665" i="1"/>
  <c r="O5665" i="1"/>
  <c r="L5665" i="1"/>
  <c r="R5664" i="1"/>
  <c r="O5664" i="1"/>
  <c r="L5664" i="1"/>
  <c r="R5663" i="1"/>
  <c r="O5663" i="1"/>
  <c r="L5663" i="1"/>
  <c r="R5662" i="1"/>
  <c r="O5662" i="1"/>
  <c r="K5662" i="1"/>
  <c r="L5662" i="1" s="1"/>
  <c r="R5661" i="1"/>
  <c r="O5661" i="1"/>
  <c r="L5661" i="1"/>
  <c r="R5660" i="1"/>
  <c r="O5660" i="1"/>
  <c r="L5660" i="1"/>
  <c r="R5659" i="1"/>
  <c r="O5659" i="1"/>
  <c r="L5659" i="1"/>
  <c r="R5658" i="1"/>
  <c r="O5658" i="1"/>
  <c r="L5658" i="1"/>
  <c r="R5657" i="1"/>
  <c r="O5657" i="1"/>
  <c r="L5657" i="1"/>
  <c r="R5656" i="1"/>
  <c r="L5656" i="1"/>
  <c r="R5655" i="1"/>
  <c r="L5655" i="1"/>
  <c r="R5654" i="1"/>
  <c r="L5654" i="1"/>
  <c r="R5653" i="1"/>
  <c r="L5653" i="1"/>
  <c r="T5652" i="1"/>
  <c r="R5652" i="1"/>
  <c r="L5652" i="1"/>
  <c r="T5651" i="1"/>
  <c r="R5651" i="1"/>
  <c r="L5651" i="1"/>
  <c r="T5650" i="1"/>
  <c r="R5650" i="1"/>
  <c r="L5650" i="1"/>
  <c r="R5649" i="1"/>
  <c r="R5648" i="1"/>
  <c r="L5648" i="1"/>
  <c r="R5647" i="1"/>
  <c r="L5647" i="1"/>
  <c r="S5646" i="1"/>
  <c r="R5646" i="1"/>
  <c r="L5646" i="1"/>
  <c r="R5645" i="1"/>
  <c r="L5645" i="1"/>
  <c r="R5644" i="1"/>
  <c r="L5644" i="1"/>
  <c r="R5643" i="1"/>
  <c r="L5643" i="1"/>
  <c r="R5642" i="1"/>
  <c r="K5642" i="1"/>
  <c r="L5642" i="1" s="1"/>
  <c r="R5641" i="1"/>
  <c r="L5641" i="1"/>
  <c r="R5640" i="1"/>
  <c r="L5640" i="1"/>
  <c r="R5639" i="1"/>
  <c r="L5639" i="1"/>
  <c r="R5638" i="1"/>
  <c r="L5638" i="1"/>
  <c r="R5637" i="1"/>
  <c r="O5637" i="1"/>
  <c r="L5637" i="1"/>
  <c r="R5636" i="1"/>
  <c r="O5636" i="1"/>
  <c r="L5636" i="1"/>
  <c r="R5635" i="1"/>
  <c r="L5635" i="1"/>
  <c r="R5634" i="1"/>
  <c r="L5634" i="1"/>
  <c r="R5633" i="1"/>
  <c r="K5633" i="1"/>
  <c r="L5633" i="1" s="1"/>
  <c r="R5632" i="1"/>
  <c r="K5632" i="1"/>
  <c r="L5632" i="1" s="1"/>
  <c r="R5631" i="1"/>
  <c r="K5631" i="1"/>
  <c r="L5631" i="1" s="1"/>
  <c r="R5630" i="1"/>
  <c r="K5630" i="1"/>
  <c r="L5630" i="1" s="1"/>
  <c r="R5629" i="1"/>
  <c r="L5629" i="1"/>
  <c r="R5628" i="1"/>
  <c r="K5628" i="1"/>
  <c r="L5628" i="1" s="1"/>
  <c r="R5627" i="1"/>
  <c r="K5627" i="1"/>
  <c r="L5627" i="1" s="1"/>
  <c r="R5626" i="1"/>
  <c r="K5626" i="1"/>
  <c r="L5626" i="1" s="1"/>
  <c r="R5625" i="1"/>
  <c r="K5625" i="1"/>
  <c r="L5625" i="1" s="1"/>
  <c r="R5624" i="1"/>
  <c r="L5624" i="1"/>
  <c r="R5623" i="1"/>
  <c r="L5623" i="1"/>
  <c r="R5622" i="1"/>
  <c r="L5622" i="1"/>
  <c r="R5621" i="1"/>
  <c r="L5621" i="1"/>
  <c r="R5620" i="1"/>
  <c r="L5620" i="1"/>
  <c r="R5619" i="1"/>
  <c r="L5619" i="1"/>
  <c r="R5618" i="1"/>
  <c r="L5618" i="1"/>
  <c r="R5617" i="1"/>
  <c r="L5617" i="1"/>
  <c r="R5616" i="1"/>
  <c r="L5616" i="1"/>
  <c r="R5615" i="1"/>
  <c r="L5615" i="1"/>
  <c r="R5614" i="1"/>
  <c r="L5614" i="1"/>
  <c r="R5613" i="1"/>
  <c r="K5613" i="1"/>
  <c r="L5613" i="1" s="1"/>
  <c r="R5612" i="1"/>
  <c r="L5612" i="1"/>
  <c r="R5611" i="1"/>
  <c r="K5611" i="1"/>
  <c r="L5611" i="1" s="1"/>
  <c r="R5610" i="1"/>
  <c r="K5610" i="1"/>
  <c r="L5610" i="1" s="1"/>
  <c r="R5609" i="1"/>
  <c r="K5609" i="1"/>
  <c r="L5609" i="1" s="1"/>
  <c r="R5608" i="1"/>
  <c r="L5608" i="1"/>
  <c r="R5607" i="1"/>
  <c r="L5607" i="1"/>
  <c r="R5606" i="1"/>
  <c r="L5606" i="1"/>
  <c r="R5605" i="1"/>
  <c r="K5605" i="1"/>
  <c r="L5605" i="1" s="1"/>
  <c r="R5604" i="1"/>
  <c r="L5604" i="1"/>
  <c r="R5603" i="1"/>
  <c r="L5603" i="1"/>
  <c r="R5602" i="1"/>
  <c r="L5602" i="1"/>
  <c r="R5601" i="1"/>
  <c r="L5601" i="1"/>
  <c r="R5600" i="1"/>
  <c r="L5600" i="1"/>
  <c r="R5599" i="1"/>
  <c r="L5599" i="1"/>
  <c r="S5598" i="1"/>
  <c r="R5598" i="1"/>
  <c r="L5598" i="1"/>
  <c r="S5597" i="1"/>
  <c r="R5597" i="1"/>
  <c r="L5597" i="1"/>
  <c r="S5596" i="1"/>
  <c r="R5596" i="1"/>
  <c r="L5596" i="1"/>
  <c r="S5595" i="1"/>
  <c r="R5595" i="1"/>
  <c r="L5595" i="1"/>
  <c r="S5594" i="1"/>
  <c r="R5594" i="1"/>
  <c r="L5594" i="1"/>
  <c r="S5593" i="1"/>
  <c r="R5593" i="1"/>
  <c r="L5593" i="1"/>
  <c r="S5592" i="1"/>
  <c r="R5592" i="1"/>
  <c r="L5592" i="1"/>
  <c r="S5591" i="1"/>
  <c r="R5591" i="1"/>
  <c r="L5591" i="1"/>
  <c r="S5590" i="1"/>
  <c r="R5590" i="1"/>
  <c r="L5590" i="1"/>
  <c r="S5589" i="1"/>
  <c r="R5589" i="1"/>
  <c r="L5589" i="1"/>
  <c r="S5588" i="1"/>
  <c r="R5588" i="1"/>
  <c r="L5588" i="1"/>
  <c r="S5587" i="1"/>
  <c r="R5587" i="1"/>
  <c r="L5587" i="1"/>
  <c r="S5586" i="1"/>
  <c r="R5586" i="1"/>
  <c r="L5586" i="1"/>
  <c r="S5585" i="1"/>
  <c r="R5585" i="1"/>
  <c r="L5585" i="1"/>
  <c r="S5584" i="1"/>
  <c r="R5584" i="1"/>
  <c r="L5584" i="1"/>
  <c r="S5583" i="1"/>
  <c r="R5583" i="1"/>
  <c r="L5583" i="1"/>
  <c r="S5582" i="1"/>
  <c r="R5582" i="1"/>
  <c r="L5582" i="1"/>
  <c r="S5581" i="1"/>
  <c r="R5581" i="1"/>
  <c r="L5581" i="1"/>
  <c r="S5580" i="1"/>
  <c r="R5580" i="1"/>
  <c r="L5580" i="1"/>
  <c r="S5579" i="1"/>
  <c r="R5579" i="1"/>
  <c r="L5579" i="1"/>
  <c r="S5578" i="1"/>
  <c r="R5578" i="1"/>
  <c r="L5578" i="1"/>
  <c r="S5577" i="1"/>
  <c r="R5577" i="1"/>
  <c r="L5577" i="1"/>
  <c r="S5576" i="1"/>
  <c r="R5576" i="1"/>
  <c r="L5576" i="1"/>
  <c r="S5575" i="1"/>
  <c r="R5575" i="1"/>
  <c r="K5575" i="1"/>
  <c r="L5575" i="1" s="1"/>
  <c r="S5574" i="1"/>
  <c r="R5574" i="1"/>
  <c r="L5574" i="1"/>
  <c r="S5573" i="1"/>
  <c r="R5573" i="1"/>
  <c r="K5573" i="1"/>
  <c r="L5573" i="1" s="1"/>
  <c r="S5572" i="1"/>
  <c r="R5572" i="1"/>
  <c r="L5572" i="1"/>
  <c r="S5571" i="1"/>
  <c r="R5571" i="1"/>
  <c r="L5571" i="1"/>
  <c r="S5570" i="1"/>
  <c r="R5570" i="1"/>
  <c r="L5570" i="1"/>
  <c r="S5569" i="1"/>
  <c r="R5569" i="1"/>
  <c r="L5569" i="1"/>
  <c r="S5568" i="1"/>
  <c r="R5568" i="1"/>
  <c r="L5568" i="1"/>
  <c r="S5567" i="1"/>
  <c r="R5567" i="1"/>
  <c r="L5567" i="1"/>
  <c r="S5566" i="1"/>
  <c r="R5566" i="1"/>
  <c r="L5566" i="1"/>
  <c r="S5565" i="1"/>
  <c r="R5565" i="1"/>
  <c r="L5565" i="1"/>
  <c r="S5564" i="1"/>
  <c r="R5564" i="1"/>
  <c r="L5564" i="1"/>
  <c r="R5563" i="1"/>
  <c r="L5563" i="1"/>
  <c r="T5562" i="1"/>
  <c r="S5562" i="1"/>
  <c r="R5562" i="1"/>
  <c r="L5562" i="1"/>
  <c r="T5561" i="1"/>
  <c r="S5561" i="1"/>
  <c r="R5561" i="1"/>
  <c r="L5561" i="1"/>
  <c r="T5560" i="1"/>
  <c r="S5560" i="1"/>
  <c r="R5560" i="1"/>
  <c r="L5560" i="1"/>
  <c r="T5559" i="1"/>
  <c r="S5559" i="1"/>
  <c r="R5559" i="1"/>
  <c r="L5559" i="1"/>
  <c r="T5558" i="1"/>
  <c r="S5558" i="1"/>
  <c r="R5558" i="1"/>
  <c r="K5558" i="1"/>
  <c r="L5558" i="1" s="1"/>
  <c r="T5557" i="1"/>
  <c r="S5557" i="1"/>
  <c r="R5557" i="1"/>
  <c r="L5557" i="1"/>
  <c r="T5556" i="1"/>
  <c r="S5556" i="1"/>
  <c r="R5556" i="1"/>
  <c r="K5556" i="1"/>
  <c r="L5556" i="1" s="1"/>
  <c r="T5555" i="1"/>
  <c r="S5555" i="1"/>
  <c r="R5555" i="1"/>
  <c r="L5555" i="1"/>
  <c r="T5554" i="1"/>
  <c r="S5554" i="1"/>
  <c r="R5554" i="1"/>
  <c r="L5554" i="1"/>
  <c r="T5553" i="1"/>
  <c r="S5553" i="1"/>
  <c r="R5553" i="1"/>
  <c r="L5553" i="1"/>
  <c r="R5552" i="1"/>
  <c r="L5552" i="1"/>
  <c r="R5551" i="1"/>
  <c r="L5551" i="1"/>
  <c r="R5550" i="1"/>
  <c r="L5550" i="1"/>
  <c r="R5549" i="1"/>
  <c r="L5549" i="1"/>
  <c r="R5548" i="1"/>
  <c r="L5548" i="1"/>
  <c r="R5547" i="1"/>
  <c r="L5547" i="1"/>
  <c r="R5546" i="1"/>
  <c r="L5546" i="1"/>
  <c r="R5545" i="1"/>
  <c r="L5545" i="1"/>
  <c r="R5544" i="1"/>
  <c r="L5544" i="1"/>
  <c r="R5543" i="1"/>
  <c r="L5543" i="1"/>
  <c r="R5542" i="1"/>
  <c r="L5542" i="1"/>
  <c r="R5541" i="1"/>
  <c r="L5541" i="1"/>
  <c r="R5540" i="1"/>
  <c r="L5540" i="1"/>
  <c r="R5539" i="1"/>
  <c r="L5539" i="1"/>
  <c r="R5538" i="1"/>
  <c r="L5538" i="1"/>
  <c r="R5537" i="1"/>
  <c r="L5537" i="1"/>
  <c r="R5536" i="1"/>
  <c r="L5536" i="1"/>
  <c r="R5535" i="1"/>
  <c r="L5535" i="1"/>
  <c r="R5534" i="1"/>
  <c r="L5534" i="1"/>
  <c r="R5533" i="1"/>
  <c r="L5533" i="1"/>
  <c r="R5532" i="1"/>
  <c r="L5532" i="1"/>
  <c r="R5531" i="1"/>
  <c r="L5531" i="1"/>
  <c r="R5530" i="1"/>
  <c r="L5530" i="1"/>
  <c r="R5529" i="1"/>
  <c r="L5529" i="1"/>
  <c r="R5528" i="1"/>
  <c r="L5528" i="1"/>
  <c r="R5527" i="1"/>
  <c r="L5527" i="1"/>
  <c r="R5526" i="1"/>
  <c r="L5526" i="1"/>
  <c r="R5525" i="1"/>
  <c r="L5525" i="1"/>
  <c r="R5524" i="1"/>
  <c r="L5524" i="1"/>
  <c r="R5523" i="1"/>
  <c r="L5523" i="1"/>
  <c r="R5522" i="1"/>
  <c r="L5522" i="1"/>
  <c r="R5521" i="1"/>
  <c r="L5521" i="1"/>
  <c r="R5520" i="1"/>
  <c r="L5520" i="1"/>
  <c r="R5519" i="1"/>
  <c r="L5519" i="1"/>
  <c r="R5518" i="1"/>
  <c r="L5518" i="1"/>
  <c r="R5517" i="1"/>
  <c r="L5517" i="1"/>
  <c r="R5516" i="1"/>
  <c r="L5516" i="1"/>
  <c r="R5515" i="1"/>
  <c r="L5515" i="1"/>
  <c r="R5514" i="1"/>
  <c r="L5514" i="1"/>
  <c r="R5513" i="1"/>
  <c r="L5513" i="1"/>
  <c r="R5512" i="1"/>
  <c r="K5512" i="1"/>
  <c r="L5512" i="1" s="1"/>
  <c r="R5511" i="1"/>
  <c r="L5511" i="1"/>
  <c r="R5510" i="1"/>
  <c r="L5510" i="1"/>
  <c r="R5509" i="1"/>
  <c r="L5509" i="1"/>
  <c r="R5508" i="1"/>
  <c r="L5508" i="1"/>
  <c r="R5507" i="1"/>
  <c r="L5507" i="1"/>
  <c r="R5506" i="1"/>
  <c r="L5506" i="1"/>
  <c r="R5505" i="1"/>
  <c r="L5505" i="1"/>
  <c r="R5504" i="1"/>
  <c r="L5504" i="1"/>
  <c r="R5503" i="1"/>
  <c r="L5503" i="1"/>
  <c r="R5502" i="1"/>
  <c r="L5502" i="1"/>
  <c r="R5501" i="1"/>
  <c r="L5501" i="1"/>
  <c r="R5500" i="1"/>
  <c r="L5500" i="1"/>
  <c r="R5499" i="1"/>
  <c r="L5499" i="1"/>
  <c r="R5498" i="1"/>
  <c r="L5498" i="1"/>
  <c r="R5497" i="1"/>
  <c r="L5497" i="1"/>
  <c r="R5496" i="1"/>
  <c r="L5496" i="1"/>
  <c r="R5495" i="1"/>
  <c r="L5495" i="1"/>
  <c r="R5494" i="1"/>
  <c r="L5494" i="1"/>
  <c r="R5493" i="1"/>
  <c r="L5493" i="1"/>
  <c r="R5492" i="1"/>
  <c r="L5492" i="1"/>
  <c r="R5491" i="1"/>
  <c r="L5491" i="1"/>
  <c r="R5490" i="1"/>
  <c r="L5490" i="1"/>
  <c r="R5489" i="1"/>
  <c r="L5489" i="1"/>
  <c r="R5488" i="1"/>
  <c r="L5488" i="1"/>
  <c r="R5487" i="1"/>
  <c r="L5487" i="1"/>
  <c r="R5486" i="1"/>
  <c r="L5486" i="1"/>
  <c r="T5485" i="1"/>
  <c r="R5485" i="1"/>
  <c r="L5485" i="1"/>
  <c r="R5484" i="1"/>
  <c r="L5484" i="1"/>
  <c r="R5483" i="1"/>
  <c r="L5483" i="1"/>
  <c r="R5482" i="1"/>
  <c r="L5482" i="1"/>
  <c r="R5481" i="1"/>
  <c r="L5481" i="1"/>
  <c r="R5480" i="1"/>
  <c r="L5480" i="1"/>
  <c r="R5479" i="1"/>
  <c r="L5479" i="1"/>
  <c r="R5478" i="1"/>
  <c r="L5478" i="1"/>
  <c r="R5477" i="1"/>
  <c r="L5477" i="1"/>
  <c r="R5476" i="1"/>
  <c r="L5476" i="1"/>
  <c r="R5475" i="1"/>
  <c r="K5475" i="1"/>
  <c r="L5475" i="1" s="1"/>
  <c r="R5474" i="1"/>
  <c r="L5474" i="1"/>
  <c r="R5473" i="1"/>
  <c r="L5473" i="1"/>
  <c r="R5472" i="1"/>
  <c r="L5472" i="1"/>
  <c r="R5471" i="1"/>
  <c r="L5471" i="1"/>
  <c r="S5470" i="1"/>
  <c r="R5470" i="1"/>
  <c r="L5470" i="1"/>
  <c r="S5469" i="1"/>
  <c r="R5469" i="1"/>
  <c r="L5469" i="1"/>
  <c r="S5468" i="1"/>
  <c r="R5468" i="1"/>
  <c r="L5468" i="1"/>
  <c r="T5467" i="1"/>
  <c r="S5467" i="1"/>
  <c r="R5467" i="1"/>
  <c r="L5467" i="1"/>
  <c r="T5466" i="1"/>
  <c r="S5466" i="1"/>
  <c r="R5466" i="1"/>
  <c r="L5466" i="1"/>
  <c r="R5465" i="1"/>
  <c r="K5465" i="1"/>
  <c r="L5465" i="1" s="1"/>
  <c r="R5464" i="1"/>
  <c r="K5464" i="1"/>
  <c r="L5464" i="1" s="1"/>
  <c r="R5463" i="1"/>
  <c r="K5463" i="1"/>
  <c r="L5463" i="1" s="1"/>
  <c r="R5462" i="1"/>
  <c r="L5462" i="1"/>
  <c r="R5461" i="1"/>
  <c r="L5461" i="1"/>
  <c r="R5460" i="1"/>
  <c r="L5460" i="1"/>
  <c r="R5459" i="1"/>
  <c r="L5459" i="1"/>
  <c r="R5458" i="1"/>
  <c r="L5458" i="1"/>
  <c r="R5457" i="1"/>
  <c r="L5457" i="1"/>
  <c r="R5456" i="1"/>
  <c r="L5456" i="1"/>
  <c r="R5455" i="1"/>
  <c r="L5455" i="1"/>
  <c r="R5454" i="1"/>
  <c r="L5454" i="1"/>
  <c r="S5453" i="1"/>
  <c r="R5453" i="1"/>
  <c r="L5453" i="1"/>
  <c r="S5452" i="1"/>
  <c r="R5452" i="1"/>
  <c r="L5452" i="1"/>
  <c r="R5451" i="1"/>
  <c r="K5451" i="1"/>
  <c r="L5451" i="1" s="1"/>
  <c r="R5450" i="1"/>
  <c r="K5450" i="1"/>
  <c r="L5450" i="1" s="1"/>
  <c r="R5449" i="1"/>
  <c r="K5449" i="1"/>
  <c r="L5449" i="1" s="1"/>
  <c r="R5448" i="1"/>
  <c r="K5448" i="1"/>
  <c r="L5448" i="1" s="1"/>
  <c r="R5447" i="1"/>
  <c r="L5447" i="1"/>
  <c r="R5446" i="1"/>
  <c r="L5446" i="1"/>
  <c r="R5445" i="1"/>
  <c r="L5445" i="1"/>
  <c r="R5444" i="1"/>
  <c r="L5444" i="1"/>
  <c r="R5443" i="1"/>
  <c r="L5443" i="1"/>
  <c r="R5442" i="1"/>
  <c r="L5442" i="1"/>
  <c r="R5441" i="1"/>
  <c r="K5441" i="1"/>
  <c r="L5441" i="1" s="1"/>
  <c r="T5440" i="1"/>
  <c r="R5440" i="1"/>
  <c r="K5440" i="1"/>
  <c r="L5440" i="1" s="1"/>
  <c r="S5439" i="1"/>
  <c r="R5439" i="1"/>
  <c r="L5439" i="1"/>
  <c r="S5438" i="1"/>
  <c r="R5438" i="1"/>
  <c r="K5438" i="1"/>
  <c r="L5438" i="1" s="1"/>
  <c r="S5437" i="1"/>
  <c r="R5437" i="1"/>
  <c r="L5437" i="1"/>
  <c r="S5436" i="1"/>
  <c r="R5436" i="1"/>
  <c r="L5436" i="1"/>
  <c r="S5435" i="1"/>
  <c r="R5435" i="1"/>
  <c r="L5435" i="1"/>
  <c r="S5434" i="1"/>
  <c r="R5434" i="1"/>
  <c r="L5434" i="1"/>
  <c r="S5433" i="1"/>
  <c r="R5433" i="1"/>
  <c r="L5433" i="1"/>
  <c r="S5432" i="1"/>
  <c r="R5432" i="1"/>
  <c r="L5432" i="1"/>
  <c r="S5431" i="1"/>
  <c r="R5431" i="1"/>
  <c r="L5431" i="1"/>
  <c r="S5430" i="1"/>
  <c r="R5430" i="1"/>
  <c r="L5430" i="1"/>
  <c r="S5429" i="1"/>
  <c r="R5429" i="1"/>
  <c r="L5429" i="1"/>
  <c r="S5428" i="1"/>
  <c r="R5428" i="1"/>
  <c r="L5428" i="1"/>
  <c r="S5427" i="1"/>
  <c r="R5427" i="1"/>
  <c r="L5427" i="1"/>
  <c r="S5426" i="1"/>
  <c r="R5426" i="1"/>
  <c r="L5426" i="1"/>
  <c r="S5425" i="1"/>
  <c r="R5425" i="1"/>
  <c r="L5425" i="1"/>
  <c r="S5424" i="1"/>
  <c r="R5424" i="1"/>
  <c r="L5424" i="1"/>
  <c r="S5423" i="1"/>
  <c r="R5423" i="1"/>
  <c r="L5423" i="1"/>
  <c r="S5422" i="1"/>
  <c r="R5422" i="1"/>
  <c r="L5422" i="1"/>
  <c r="S5421" i="1"/>
  <c r="R5421" i="1"/>
  <c r="L5421" i="1"/>
  <c r="S5420" i="1"/>
  <c r="R5420" i="1"/>
  <c r="L5420" i="1"/>
  <c r="S5419" i="1"/>
  <c r="R5419" i="1"/>
  <c r="L5419" i="1"/>
  <c r="S5418" i="1"/>
  <c r="R5418" i="1"/>
  <c r="L5418" i="1"/>
  <c r="S5417" i="1"/>
  <c r="R5417" i="1"/>
  <c r="L5417" i="1"/>
  <c r="S5416" i="1"/>
  <c r="R5416" i="1"/>
  <c r="K5416" i="1"/>
  <c r="L5416" i="1" s="1"/>
  <c r="S5415" i="1"/>
  <c r="R5415" i="1"/>
  <c r="L5415" i="1"/>
  <c r="S5414" i="1"/>
  <c r="R5414" i="1"/>
  <c r="L5414" i="1"/>
  <c r="S5413" i="1"/>
  <c r="R5413" i="1"/>
  <c r="L5413" i="1"/>
  <c r="S5412" i="1"/>
  <c r="R5412" i="1"/>
  <c r="L5412" i="1"/>
  <c r="S5411" i="1"/>
  <c r="R5411" i="1"/>
  <c r="L5411" i="1"/>
  <c r="S5410" i="1"/>
  <c r="R5410" i="1"/>
  <c r="L5410" i="1"/>
  <c r="S5409" i="1"/>
  <c r="R5409" i="1"/>
  <c r="L5409" i="1"/>
  <c r="S5408" i="1"/>
  <c r="R5408" i="1"/>
  <c r="K5408" i="1"/>
  <c r="L5408" i="1" s="1"/>
  <c r="S5407" i="1"/>
  <c r="R5407" i="1"/>
  <c r="L5407" i="1"/>
  <c r="S5406" i="1"/>
  <c r="R5406" i="1"/>
  <c r="L5406" i="1"/>
  <c r="S5405" i="1"/>
  <c r="R5405" i="1"/>
  <c r="L5405" i="1"/>
  <c r="S5404" i="1"/>
  <c r="R5404" i="1"/>
  <c r="L5404" i="1"/>
  <c r="S5403" i="1"/>
  <c r="R5403" i="1"/>
  <c r="L5403" i="1"/>
  <c r="T5403" i="1" s="1"/>
  <c r="T5402" i="1"/>
  <c r="S5402" i="1"/>
  <c r="R5402" i="1"/>
  <c r="L5402" i="1"/>
  <c r="S5401" i="1"/>
  <c r="R5401" i="1"/>
  <c r="L5401" i="1"/>
  <c r="S5400" i="1"/>
  <c r="R5400" i="1"/>
  <c r="L5400" i="1"/>
  <c r="S5399" i="1"/>
  <c r="R5399" i="1"/>
  <c r="L5399" i="1"/>
  <c r="S5398" i="1"/>
  <c r="R5398" i="1"/>
  <c r="L5398" i="1"/>
  <c r="S5397" i="1"/>
  <c r="R5397" i="1"/>
  <c r="L5397" i="1"/>
  <c r="W5396" i="1"/>
  <c r="T5396" i="1"/>
  <c r="S5396" i="1"/>
  <c r="R5396" i="1"/>
  <c r="L5396" i="1"/>
  <c r="X5396" i="1" s="1"/>
  <c r="S5395" i="1"/>
  <c r="R5395" i="1"/>
  <c r="L5395" i="1"/>
  <c r="S5394" i="1"/>
  <c r="R5394" i="1"/>
  <c r="L5394" i="1"/>
  <c r="S5393" i="1"/>
  <c r="R5393" i="1"/>
  <c r="L5393" i="1"/>
  <c r="S5392" i="1"/>
  <c r="R5392" i="1"/>
  <c r="L5392" i="1"/>
  <c r="S5391" i="1"/>
  <c r="R5391" i="1"/>
  <c r="L5391" i="1"/>
  <c r="S5390" i="1"/>
  <c r="R5390" i="1"/>
  <c r="L5390" i="1"/>
  <c r="S5389" i="1"/>
  <c r="R5389" i="1"/>
  <c r="L5389" i="1"/>
  <c r="S5388" i="1"/>
  <c r="R5388" i="1"/>
  <c r="L5388" i="1"/>
  <c r="S5387" i="1"/>
  <c r="R5387" i="1"/>
  <c r="L5387" i="1"/>
  <c r="S5386" i="1"/>
  <c r="R5386" i="1"/>
  <c r="L5386" i="1"/>
  <c r="S5385" i="1"/>
  <c r="R5385" i="1"/>
  <c r="L5385" i="1"/>
  <c r="S5384" i="1"/>
  <c r="R5384" i="1"/>
  <c r="L5384" i="1"/>
  <c r="S5383" i="1"/>
  <c r="R5383" i="1"/>
  <c r="L5383" i="1"/>
  <c r="S5382" i="1"/>
  <c r="R5382" i="1"/>
  <c r="L5382" i="1"/>
  <c r="S5381" i="1"/>
  <c r="R5381" i="1"/>
  <c r="L5381" i="1"/>
  <c r="S5380" i="1"/>
  <c r="R5380" i="1"/>
  <c r="L5380" i="1"/>
  <c r="S5379" i="1"/>
  <c r="R5379" i="1"/>
  <c r="L5379" i="1"/>
  <c r="S5378" i="1"/>
  <c r="R5378" i="1"/>
  <c r="L5378" i="1"/>
  <c r="S5377" i="1"/>
  <c r="R5377" i="1"/>
  <c r="K5377" i="1"/>
  <c r="L5377" i="1" s="1"/>
  <c r="T5376" i="1"/>
  <c r="S5376" i="1"/>
  <c r="R5376" i="1"/>
  <c r="L5376" i="1"/>
  <c r="S5375" i="1"/>
  <c r="R5375" i="1"/>
  <c r="L5375" i="1"/>
  <c r="T5374" i="1"/>
  <c r="S5374" i="1"/>
  <c r="R5374" i="1"/>
  <c r="L5374" i="1"/>
  <c r="W5373" i="1"/>
  <c r="R5373" i="1"/>
  <c r="L5373" i="1"/>
  <c r="W5372" i="1"/>
  <c r="R5372" i="1"/>
  <c r="L5372" i="1"/>
  <c r="R5371" i="1"/>
  <c r="L5371" i="1"/>
  <c r="R5370" i="1"/>
  <c r="L5370" i="1"/>
  <c r="T5369" i="1"/>
  <c r="S5369" i="1"/>
  <c r="R5369" i="1"/>
  <c r="L5369" i="1"/>
  <c r="T5368" i="1"/>
  <c r="R5368" i="1"/>
  <c r="L5368" i="1"/>
  <c r="T5367" i="1"/>
  <c r="R5367" i="1"/>
  <c r="L5367" i="1"/>
  <c r="T5366" i="1"/>
  <c r="R5366" i="1"/>
  <c r="L5366" i="1"/>
  <c r="T5365" i="1"/>
  <c r="R5365" i="1"/>
  <c r="L5365" i="1"/>
  <c r="T5364" i="1"/>
  <c r="R5364" i="1"/>
  <c r="K5364" i="1"/>
  <c r="L5364" i="1" s="1"/>
  <c r="T5363" i="1"/>
  <c r="R5363" i="1"/>
  <c r="K5363" i="1"/>
  <c r="L5363" i="1" s="1"/>
  <c r="T5362" i="1"/>
  <c r="S5362" i="1"/>
  <c r="R5362" i="1"/>
  <c r="L5362" i="1"/>
  <c r="T5361" i="1"/>
  <c r="S5361" i="1"/>
  <c r="R5361" i="1"/>
  <c r="L5361" i="1"/>
  <c r="T5360" i="1"/>
  <c r="S5360" i="1"/>
  <c r="R5360" i="1"/>
  <c r="L5360" i="1"/>
  <c r="R5359" i="1"/>
  <c r="L5359" i="1"/>
  <c r="R5358" i="1"/>
  <c r="L5358" i="1"/>
  <c r="T5357" i="1"/>
  <c r="S5357" i="1"/>
  <c r="R5357" i="1"/>
  <c r="L5357" i="1"/>
  <c r="R5356" i="1"/>
  <c r="L5356" i="1"/>
  <c r="R5355" i="1"/>
  <c r="L5355" i="1"/>
  <c r="R5354" i="1"/>
  <c r="L5354" i="1"/>
  <c r="R5353" i="1"/>
  <c r="L5353" i="1"/>
  <c r="R5352" i="1"/>
  <c r="L5352" i="1"/>
  <c r="R5351" i="1"/>
  <c r="L5351" i="1"/>
  <c r="R5350" i="1"/>
  <c r="L5350" i="1"/>
  <c r="R5349" i="1"/>
  <c r="L5349" i="1"/>
  <c r="R5348" i="1"/>
  <c r="L5348" i="1"/>
  <c r="T5347" i="1"/>
  <c r="R5347" i="1"/>
  <c r="L5347" i="1"/>
  <c r="R5346" i="1"/>
  <c r="L5346" i="1"/>
  <c r="T5345" i="1"/>
  <c r="R5345" i="1"/>
  <c r="K5345" i="1"/>
  <c r="L5345" i="1" s="1"/>
  <c r="R5344" i="1"/>
  <c r="L5344" i="1"/>
  <c r="R5343" i="1"/>
  <c r="L5343" i="1"/>
  <c r="R5342" i="1"/>
  <c r="L5342" i="1"/>
  <c r="R5341" i="1"/>
  <c r="L5341" i="1"/>
  <c r="R5340" i="1"/>
  <c r="L5340" i="1"/>
  <c r="R5339" i="1"/>
  <c r="L5339" i="1"/>
  <c r="R5338" i="1"/>
  <c r="K5338" i="1"/>
  <c r="L5338" i="1" s="1"/>
  <c r="R5337" i="1"/>
  <c r="L5337" i="1"/>
  <c r="R5336" i="1"/>
  <c r="L5336" i="1"/>
  <c r="T5335" i="1"/>
  <c r="R5335" i="1"/>
  <c r="L5335" i="1"/>
  <c r="R5334" i="1"/>
  <c r="L5334" i="1"/>
  <c r="R5333" i="1"/>
  <c r="L5333" i="1"/>
  <c r="R5332" i="1"/>
  <c r="L5332" i="1"/>
  <c r="R5331" i="1"/>
  <c r="L5331" i="1"/>
  <c r="T5330" i="1"/>
  <c r="R5330" i="1"/>
  <c r="L5330" i="1"/>
  <c r="R5329" i="1"/>
  <c r="L5329" i="1"/>
  <c r="R5328" i="1"/>
  <c r="K5328" i="1"/>
  <c r="L5328" i="1" s="1"/>
  <c r="R5327" i="1"/>
  <c r="L5327" i="1"/>
  <c r="R5326" i="1"/>
  <c r="K5326" i="1"/>
  <c r="L5326" i="1" s="1"/>
  <c r="R5325" i="1"/>
  <c r="K5325" i="1"/>
  <c r="L5325" i="1" s="1"/>
  <c r="R5324" i="1"/>
  <c r="L5324" i="1"/>
  <c r="R5323" i="1"/>
  <c r="L5323" i="1"/>
  <c r="R5322" i="1"/>
  <c r="L5322" i="1"/>
  <c r="R5321" i="1"/>
  <c r="K5321" i="1"/>
  <c r="L5321" i="1" s="1"/>
  <c r="R5320" i="1"/>
  <c r="L5320" i="1"/>
  <c r="T5319" i="1"/>
  <c r="R5319" i="1"/>
  <c r="L5319" i="1"/>
  <c r="T5318" i="1"/>
  <c r="S5318" i="1"/>
  <c r="R5318" i="1"/>
  <c r="L5318" i="1"/>
  <c r="T5317" i="1"/>
  <c r="S5317" i="1"/>
  <c r="R5317" i="1"/>
  <c r="L5317" i="1"/>
  <c r="R5316" i="1"/>
  <c r="L5316" i="1"/>
  <c r="R5315" i="1"/>
  <c r="K5315" i="1"/>
  <c r="L5315" i="1" s="1"/>
  <c r="R5314" i="1"/>
  <c r="K5314" i="1"/>
  <c r="L5314" i="1" s="1"/>
  <c r="R5313" i="1"/>
  <c r="L5313" i="1"/>
  <c r="R5312" i="1"/>
  <c r="L5312" i="1"/>
  <c r="R5311" i="1"/>
  <c r="K5311" i="1"/>
  <c r="L5311" i="1" s="1"/>
  <c r="R5310" i="1"/>
  <c r="K5310" i="1"/>
  <c r="L5310" i="1" s="1"/>
  <c r="R5309" i="1"/>
  <c r="K5309" i="1"/>
  <c r="L5309" i="1" s="1"/>
  <c r="R5308" i="1"/>
  <c r="K5308" i="1"/>
  <c r="L5308" i="1" s="1"/>
  <c r="R5307" i="1"/>
  <c r="L5307" i="1"/>
  <c r="R5306" i="1"/>
  <c r="K5306" i="1"/>
  <c r="L5306" i="1" s="1"/>
  <c r="R5305" i="1"/>
  <c r="L5305" i="1"/>
  <c r="R5304" i="1"/>
  <c r="L5304" i="1"/>
  <c r="R5303" i="1"/>
  <c r="L5303" i="1"/>
  <c r="R5302" i="1"/>
  <c r="L5302" i="1"/>
  <c r="R5301" i="1"/>
  <c r="L5301" i="1"/>
  <c r="R5300" i="1"/>
  <c r="L5300" i="1"/>
  <c r="R5299" i="1"/>
  <c r="L5299" i="1"/>
  <c r="R5298" i="1"/>
  <c r="L5298" i="1"/>
  <c r="R5297" i="1"/>
  <c r="L5297" i="1"/>
  <c r="R5296" i="1"/>
  <c r="L5296" i="1"/>
  <c r="R5295" i="1"/>
  <c r="L5295" i="1"/>
  <c r="R5294" i="1"/>
  <c r="L5294" i="1"/>
  <c r="R5293" i="1"/>
  <c r="L5293" i="1"/>
  <c r="R5292" i="1"/>
  <c r="L5292" i="1"/>
  <c r="R5291" i="1"/>
  <c r="L5291" i="1"/>
  <c r="T5290" i="1"/>
  <c r="R5290" i="1"/>
  <c r="L5290" i="1"/>
  <c r="R5289" i="1"/>
  <c r="L5289" i="1"/>
  <c r="R5288" i="1"/>
  <c r="L5288" i="1"/>
  <c r="R5287" i="1"/>
  <c r="L5287" i="1"/>
  <c r="R5286" i="1"/>
  <c r="L5286" i="1"/>
  <c r="R5285" i="1"/>
  <c r="L5285" i="1"/>
  <c r="R5284" i="1"/>
  <c r="L5284" i="1"/>
  <c r="R5283" i="1"/>
  <c r="K5283" i="1"/>
  <c r="L5283" i="1" s="1"/>
  <c r="R5282" i="1"/>
  <c r="L5282" i="1"/>
  <c r="R5281" i="1"/>
  <c r="L5281" i="1"/>
  <c r="R5280" i="1"/>
  <c r="L5280" i="1"/>
  <c r="R5279" i="1"/>
  <c r="L5279" i="1"/>
  <c r="R5278" i="1"/>
  <c r="L5278" i="1"/>
  <c r="R5277" i="1"/>
  <c r="L5277" i="1"/>
  <c r="R5276" i="1"/>
  <c r="L5276" i="1"/>
  <c r="R5275" i="1"/>
  <c r="L5275" i="1"/>
  <c r="R5274" i="1"/>
  <c r="L5274" i="1"/>
  <c r="R5273" i="1"/>
  <c r="L5273" i="1"/>
  <c r="T5272" i="1"/>
  <c r="R5272" i="1"/>
  <c r="L5272" i="1"/>
  <c r="R5271" i="1"/>
  <c r="L5271" i="1"/>
  <c r="R5270" i="1"/>
  <c r="L5270" i="1"/>
  <c r="R5269" i="1"/>
  <c r="L5269" i="1"/>
  <c r="R5268" i="1"/>
  <c r="L5268" i="1"/>
  <c r="R5267" i="1"/>
  <c r="K5267" i="1"/>
  <c r="L5267" i="1" s="1"/>
  <c r="R5266" i="1"/>
  <c r="L5266" i="1"/>
  <c r="R5265" i="1"/>
  <c r="L5265" i="1"/>
  <c r="R5264" i="1"/>
  <c r="L5264" i="1"/>
  <c r="R5263" i="1"/>
  <c r="K5263" i="1"/>
  <c r="L5263" i="1" s="1"/>
  <c r="R5262" i="1"/>
  <c r="K5262" i="1"/>
  <c r="L5262" i="1" s="1"/>
  <c r="R5261" i="1"/>
  <c r="K5261" i="1"/>
  <c r="L5261" i="1" s="1"/>
  <c r="R5260" i="1"/>
  <c r="K5260" i="1"/>
  <c r="L5260" i="1" s="1"/>
  <c r="R5259" i="1"/>
  <c r="K5259" i="1"/>
  <c r="L5259" i="1" s="1"/>
  <c r="R5258" i="1"/>
  <c r="K5258" i="1"/>
  <c r="L5258" i="1" s="1"/>
  <c r="R5257" i="1"/>
  <c r="L5257" i="1"/>
  <c r="R5256" i="1"/>
  <c r="K5256" i="1"/>
  <c r="L5256" i="1" s="1"/>
  <c r="R5255" i="1"/>
  <c r="K5255" i="1"/>
  <c r="L5255" i="1" s="1"/>
  <c r="R5254" i="1"/>
  <c r="L5254" i="1"/>
  <c r="R5253" i="1"/>
  <c r="L5253" i="1"/>
  <c r="R5252" i="1"/>
  <c r="L5252" i="1"/>
  <c r="R5251" i="1"/>
  <c r="L5251" i="1"/>
  <c r="R5250" i="1"/>
  <c r="L5250" i="1"/>
  <c r="R5249" i="1"/>
  <c r="L5249" i="1"/>
  <c r="R5247" i="1"/>
  <c r="L5247" i="1"/>
  <c r="R5246" i="1"/>
  <c r="L5246" i="1"/>
  <c r="R5245" i="1"/>
  <c r="L5245" i="1"/>
  <c r="T5244" i="1"/>
  <c r="R5244" i="1"/>
  <c r="L5244" i="1"/>
  <c r="R5243" i="1"/>
  <c r="L5243" i="1"/>
  <c r="R5242" i="1"/>
  <c r="L5242" i="1"/>
  <c r="R5241" i="1"/>
  <c r="L5241" i="1"/>
  <c r="R5240" i="1"/>
  <c r="L5240" i="1"/>
  <c r="R5239" i="1"/>
  <c r="L5239" i="1"/>
  <c r="R5238" i="1"/>
  <c r="L5238" i="1"/>
  <c r="R5237" i="1"/>
  <c r="L5237" i="1"/>
  <c r="R5236" i="1"/>
  <c r="L5236" i="1"/>
  <c r="R5235" i="1"/>
  <c r="L5235" i="1"/>
  <c r="R5234" i="1"/>
  <c r="L5234" i="1"/>
  <c r="R5233" i="1"/>
  <c r="L5233" i="1"/>
  <c r="T5232" i="1"/>
  <c r="R5232" i="1"/>
  <c r="L5232" i="1"/>
  <c r="R5231" i="1"/>
  <c r="L5231" i="1"/>
  <c r="R5230" i="1"/>
  <c r="L5230" i="1"/>
  <c r="T5229" i="1"/>
  <c r="R5229" i="1"/>
  <c r="L5229" i="1"/>
  <c r="R5228" i="1"/>
  <c r="L5228" i="1"/>
  <c r="R5227" i="1"/>
  <c r="L5227" i="1"/>
  <c r="R5226" i="1"/>
  <c r="L5226" i="1"/>
  <c r="R5225" i="1"/>
  <c r="L5225" i="1"/>
  <c r="R5224" i="1"/>
  <c r="L5224" i="1"/>
  <c r="R5223" i="1"/>
  <c r="L5223" i="1"/>
  <c r="R5222" i="1"/>
  <c r="L5222" i="1"/>
  <c r="R5221" i="1"/>
  <c r="L5221" i="1"/>
  <c r="R5220" i="1"/>
  <c r="L5220" i="1"/>
  <c r="R5219" i="1"/>
  <c r="L5219" i="1"/>
  <c r="R5218" i="1"/>
  <c r="L5218" i="1"/>
  <c r="R5217" i="1"/>
  <c r="L5217" i="1"/>
  <c r="R5216" i="1"/>
  <c r="L5216" i="1"/>
  <c r="R5215" i="1"/>
  <c r="L5215" i="1"/>
  <c r="R5214" i="1"/>
  <c r="L5214" i="1"/>
  <c r="R5213" i="1"/>
  <c r="L5213" i="1"/>
  <c r="R5212" i="1"/>
  <c r="L5212" i="1"/>
  <c r="R5211" i="1"/>
  <c r="L5211" i="1"/>
  <c r="R5210" i="1"/>
  <c r="K5210" i="1"/>
  <c r="L5210" i="1" s="1"/>
  <c r="R5209" i="1"/>
  <c r="K5209" i="1"/>
  <c r="L5209" i="1" s="1"/>
  <c r="R5208" i="1"/>
  <c r="L5208" i="1"/>
  <c r="R5207" i="1"/>
  <c r="L5207" i="1"/>
  <c r="R5206" i="1"/>
  <c r="L5206" i="1"/>
  <c r="R5205" i="1"/>
  <c r="L5205" i="1"/>
  <c r="R5204" i="1"/>
  <c r="L5204" i="1"/>
  <c r="R5203" i="1"/>
  <c r="L5203" i="1"/>
  <c r="R5202" i="1"/>
  <c r="L5202" i="1"/>
  <c r="R5201" i="1"/>
  <c r="L5201" i="1"/>
  <c r="R5200" i="1"/>
  <c r="K5200" i="1"/>
  <c r="L5200" i="1" s="1"/>
  <c r="R5199" i="1"/>
  <c r="L5199" i="1"/>
  <c r="R5198" i="1"/>
  <c r="K5198" i="1"/>
  <c r="L5198" i="1" s="1"/>
  <c r="R5197" i="1"/>
  <c r="K5197" i="1"/>
  <c r="L5197" i="1" s="1"/>
  <c r="R5196" i="1"/>
  <c r="K5196" i="1"/>
  <c r="L5196" i="1" s="1"/>
  <c r="R5195" i="1"/>
  <c r="K5195" i="1"/>
  <c r="L5195" i="1" s="1"/>
  <c r="R5194" i="1"/>
  <c r="K5194" i="1"/>
  <c r="L5194" i="1" s="1"/>
  <c r="R5193" i="1"/>
  <c r="K5193" i="1"/>
  <c r="L5193" i="1" s="1"/>
  <c r="R5192" i="1"/>
  <c r="K5192" i="1"/>
  <c r="L5192" i="1" s="1"/>
  <c r="R5191" i="1"/>
  <c r="K5191" i="1"/>
  <c r="L5191" i="1" s="1"/>
  <c r="R5190" i="1"/>
  <c r="L5190" i="1"/>
  <c r="R5189" i="1"/>
  <c r="K5189" i="1"/>
  <c r="L5189" i="1" s="1"/>
  <c r="R5188" i="1"/>
  <c r="K5188" i="1"/>
  <c r="L5188" i="1" s="1"/>
  <c r="R5187" i="1"/>
  <c r="K5187" i="1"/>
  <c r="L5187" i="1" s="1"/>
  <c r="R5186" i="1"/>
  <c r="K5186" i="1"/>
  <c r="L5186" i="1" s="1"/>
  <c r="R5185" i="1"/>
  <c r="K5185" i="1"/>
  <c r="L5185" i="1" s="1"/>
  <c r="R5184" i="1"/>
  <c r="K5184" i="1"/>
  <c r="L5184" i="1" s="1"/>
  <c r="R5183" i="1"/>
  <c r="L5183" i="1"/>
  <c r="R5182" i="1"/>
  <c r="L5182" i="1"/>
  <c r="R5181" i="1"/>
  <c r="L5181" i="1"/>
  <c r="R5180" i="1"/>
  <c r="L5180" i="1"/>
  <c r="R5179" i="1"/>
  <c r="L5179" i="1"/>
  <c r="R5178" i="1"/>
  <c r="K5178" i="1"/>
  <c r="L5178" i="1" s="1"/>
  <c r="R5177" i="1"/>
  <c r="L5177" i="1"/>
  <c r="R5176" i="1"/>
  <c r="L5176" i="1"/>
  <c r="R5175" i="1"/>
  <c r="L5175" i="1"/>
  <c r="R5174" i="1"/>
  <c r="L5174" i="1"/>
  <c r="R5173" i="1"/>
  <c r="R5172" i="1"/>
  <c r="R5171" i="1"/>
  <c r="R5170" i="1"/>
  <c r="L5170" i="1"/>
  <c r="R5169" i="1"/>
  <c r="L5169" i="1"/>
  <c r="R5168" i="1"/>
  <c r="L5168" i="1"/>
  <c r="R5167" i="1"/>
  <c r="R5166" i="1"/>
  <c r="R5165" i="1"/>
  <c r="K5165" i="1"/>
  <c r="L5165" i="1" s="1"/>
  <c r="R5164" i="1"/>
  <c r="L5164" i="1"/>
  <c r="R5163" i="1"/>
  <c r="L5163" i="1"/>
  <c r="R5162" i="1"/>
  <c r="L5162" i="1"/>
  <c r="R5161" i="1"/>
  <c r="L5161" i="1"/>
  <c r="R5160" i="1"/>
  <c r="K5160" i="1"/>
  <c r="L5160" i="1" s="1"/>
  <c r="R5159" i="1"/>
  <c r="K5159" i="1"/>
  <c r="L5159" i="1" s="1"/>
  <c r="R5158" i="1"/>
  <c r="L5158" i="1"/>
  <c r="R5157" i="1"/>
  <c r="K5157" i="1"/>
  <c r="L5157" i="1" s="1"/>
  <c r="R5156" i="1"/>
  <c r="K5156" i="1"/>
  <c r="L5156" i="1" s="1"/>
  <c r="R5155" i="1"/>
  <c r="L5155" i="1"/>
  <c r="R5154" i="1"/>
  <c r="L5154" i="1"/>
  <c r="R5153" i="1"/>
  <c r="L5153" i="1"/>
  <c r="R5152" i="1"/>
  <c r="L5152" i="1"/>
  <c r="R5151" i="1"/>
  <c r="L5151" i="1"/>
  <c r="R5150" i="1"/>
  <c r="L5150" i="1"/>
  <c r="R5149" i="1"/>
  <c r="L5149" i="1"/>
  <c r="R5148" i="1"/>
  <c r="L5148" i="1"/>
  <c r="R5147" i="1"/>
  <c r="L5147" i="1"/>
  <c r="R5146" i="1"/>
  <c r="L5146" i="1"/>
  <c r="R5145" i="1"/>
  <c r="L5145" i="1"/>
  <c r="R5144" i="1"/>
  <c r="L5144" i="1"/>
  <c r="R5143" i="1"/>
  <c r="L5143" i="1"/>
  <c r="R5142" i="1"/>
  <c r="L5142" i="1"/>
  <c r="R5141" i="1"/>
  <c r="L5141" i="1"/>
  <c r="R5140" i="1"/>
  <c r="L5140" i="1"/>
  <c r="R5139" i="1"/>
  <c r="L5139" i="1"/>
  <c r="R5138" i="1"/>
  <c r="K5138" i="1"/>
  <c r="L5138" i="1" s="1"/>
  <c r="R5137" i="1"/>
  <c r="K5137" i="1"/>
  <c r="L5137" i="1" s="1"/>
  <c r="R5136" i="1"/>
  <c r="K5136" i="1"/>
  <c r="L5136" i="1" s="1"/>
  <c r="R5135" i="1"/>
  <c r="K5135" i="1"/>
  <c r="L5135" i="1" s="1"/>
  <c r="R5134" i="1"/>
  <c r="K5134" i="1"/>
  <c r="L5134" i="1" s="1"/>
  <c r="R5133" i="1"/>
  <c r="K5133" i="1"/>
  <c r="R5132" i="1"/>
  <c r="K5132" i="1"/>
  <c r="L5132" i="1" s="1"/>
  <c r="R5131" i="1"/>
  <c r="K5131" i="1"/>
  <c r="L5131" i="1" s="1"/>
  <c r="R5130" i="1"/>
  <c r="K5130" i="1"/>
  <c r="L5130" i="1" s="1"/>
  <c r="R5129" i="1"/>
  <c r="K5129" i="1"/>
  <c r="L5129" i="1" s="1"/>
  <c r="R5128" i="1"/>
  <c r="K5128" i="1"/>
  <c r="L5128" i="1" s="1"/>
  <c r="T5127" i="1"/>
  <c r="R5127" i="1"/>
  <c r="K5127" i="1"/>
  <c r="L5127" i="1" s="1"/>
  <c r="T5126" i="1"/>
  <c r="R5126" i="1"/>
  <c r="K5126" i="1"/>
  <c r="L5126" i="1" s="1"/>
  <c r="T5125" i="1"/>
  <c r="R5125" i="1"/>
  <c r="K5125" i="1"/>
  <c r="L5125" i="1" s="1"/>
  <c r="T5124" i="1"/>
  <c r="R5124" i="1"/>
  <c r="K5124" i="1"/>
  <c r="L5124" i="1" s="1"/>
  <c r="T5123" i="1"/>
  <c r="R5123" i="1"/>
  <c r="K5123" i="1"/>
  <c r="L5123" i="1" s="1"/>
  <c r="T5122" i="1"/>
  <c r="R5122" i="1"/>
  <c r="K5122" i="1"/>
  <c r="L5122" i="1" s="1"/>
  <c r="T5121" i="1"/>
  <c r="R5121" i="1"/>
  <c r="K5121" i="1"/>
  <c r="L5121" i="1" s="1"/>
  <c r="T5120" i="1"/>
  <c r="R5120" i="1"/>
  <c r="K5120" i="1"/>
  <c r="L5120" i="1" s="1"/>
  <c r="T5119" i="1"/>
  <c r="R5119" i="1"/>
  <c r="K5119" i="1"/>
  <c r="L5119" i="1" s="1"/>
  <c r="T5118" i="1"/>
  <c r="R5118" i="1"/>
  <c r="K5118" i="1"/>
  <c r="L5118" i="1" s="1"/>
  <c r="T5117" i="1"/>
  <c r="R5117" i="1"/>
  <c r="K5117" i="1"/>
  <c r="L5117" i="1" s="1"/>
  <c r="T5116" i="1"/>
  <c r="R5116" i="1"/>
  <c r="K5116" i="1"/>
  <c r="L5116" i="1" s="1"/>
  <c r="R5115" i="1"/>
  <c r="K5115" i="1"/>
  <c r="L5115" i="1" s="1"/>
  <c r="R5114" i="1"/>
  <c r="K5114" i="1"/>
  <c r="L5114" i="1" s="1"/>
  <c r="S5114" i="1" s="1"/>
  <c r="R5113" i="1"/>
  <c r="K5113" i="1"/>
  <c r="L5113" i="1" s="1"/>
  <c r="R5112" i="1"/>
  <c r="K5112" i="1"/>
  <c r="L5112" i="1" s="1"/>
  <c r="R5111" i="1"/>
  <c r="K5111" i="1"/>
  <c r="L5111" i="1" s="1"/>
  <c r="R5110" i="1"/>
  <c r="K5110" i="1"/>
  <c r="L5110" i="1" s="1"/>
  <c r="R5109" i="1"/>
  <c r="K5109" i="1"/>
  <c r="L5109" i="1" s="1"/>
  <c r="R5108" i="1"/>
  <c r="K5108" i="1"/>
  <c r="L5108" i="1" s="1"/>
  <c r="R5107" i="1"/>
  <c r="K5107" i="1"/>
  <c r="L5107" i="1" s="1"/>
  <c r="R5106" i="1"/>
  <c r="K5106" i="1"/>
  <c r="L5106" i="1" s="1"/>
  <c r="S5105" i="1"/>
  <c r="R5105" i="1"/>
  <c r="K5105" i="1"/>
  <c r="R5104" i="1"/>
  <c r="K5104" i="1"/>
  <c r="R5103" i="1"/>
  <c r="K5103" i="1"/>
  <c r="L5103" i="1" s="1"/>
  <c r="R5102" i="1"/>
  <c r="K5102" i="1"/>
  <c r="L5102" i="1" s="1"/>
  <c r="R5101" i="1"/>
  <c r="K5101" i="1"/>
  <c r="L5101" i="1" s="1"/>
  <c r="R5100" i="1"/>
  <c r="K5100" i="1"/>
  <c r="L5100" i="1" s="1"/>
  <c r="R5099" i="1"/>
  <c r="K5099" i="1"/>
  <c r="L5099" i="1" s="1"/>
  <c r="R5098" i="1"/>
  <c r="K5098" i="1"/>
  <c r="L5098" i="1" s="1"/>
  <c r="R5097" i="1"/>
  <c r="K5097" i="1"/>
  <c r="L5097" i="1" s="1"/>
  <c r="R5096" i="1"/>
  <c r="K5096" i="1"/>
  <c r="L5096" i="1" s="1"/>
  <c r="R5095" i="1"/>
  <c r="K5095" i="1"/>
  <c r="L5095" i="1" s="1"/>
  <c r="R5094" i="1"/>
  <c r="K5094" i="1"/>
  <c r="L5094" i="1" s="1"/>
  <c r="R5093" i="1"/>
  <c r="K5093" i="1"/>
  <c r="L5093" i="1" s="1"/>
  <c r="R5092" i="1"/>
  <c r="K5092" i="1"/>
  <c r="L5092" i="1" s="1"/>
  <c r="R5091" i="1"/>
  <c r="K5091" i="1"/>
  <c r="L5091" i="1" s="1"/>
  <c r="R5090" i="1"/>
  <c r="L5090" i="1"/>
  <c r="R5089" i="1"/>
  <c r="L5089" i="1"/>
  <c r="R5088" i="1"/>
  <c r="L5088" i="1"/>
  <c r="R5087" i="1"/>
  <c r="L5087" i="1"/>
  <c r="R5086" i="1"/>
  <c r="L5086" i="1"/>
  <c r="R5085" i="1"/>
  <c r="L5085" i="1"/>
  <c r="R5084" i="1"/>
  <c r="K5084" i="1"/>
  <c r="S5084" i="1" s="1"/>
  <c r="R5083" i="1"/>
  <c r="K5083" i="1"/>
  <c r="L5083" i="1" s="1"/>
  <c r="R5082" i="1"/>
  <c r="L5082" i="1"/>
  <c r="R5081" i="1"/>
  <c r="L5081" i="1"/>
  <c r="R5080" i="1"/>
  <c r="L5080" i="1"/>
  <c r="R5079" i="1"/>
  <c r="L5079" i="1"/>
  <c r="R5078" i="1"/>
  <c r="L5078" i="1"/>
  <c r="R5077" i="1"/>
  <c r="L5077" i="1"/>
  <c r="R5076" i="1"/>
  <c r="L5076" i="1"/>
  <c r="R5075" i="1"/>
  <c r="L5075" i="1"/>
  <c r="R5074" i="1"/>
  <c r="L5074" i="1"/>
  <c r="R5073" i="1"/>
  <c r="L5073" i="1"/>
  <c r="R5072" i="1"/>
  <c r="K5072" i="1"/>
  <c r="L5072" i="1" s="1"/>
  <c r="R5071" i="1"/>
  <c r="L5071" i="1"/>
  <c r="R5070" i="1"/>
  <c r="L5070" i="1"/>
  <c r="R5069" i="1"/>
  <c r="L5069" i="1"/>
  <c r="R5068" i="1"/>
  <c r="L5068" i="1"/>
  <c r="R5067" i="1"/>
  <c r="L5067" i="1"/>
  <c r="R5066" i="1"/>
  <c r="L5066" i="1"/>
  <c r="R5065" i="1"/>
  <c r="L5065" i="1"/>
  <c r="R5064" i="1"/>
  <c r="L5064" i="1"/>
  <c r="R5063" i="1"/>
  <c r="L5063" i="1"/>
  <c r="R5062" i="1"/>
  <c r="L5062" i="1"/>
  <c r="R5061" i="1"/>
  <c r="L5061" i="1"/>
  <c r="R5060" i="1"/>
  <c r="L5060" i="1"/>
  <c r="R5059" i="1"/>
  <c r="K5059" i="1"/>
  <c r="L5059" i="1" s="1"/>
  <c r="R5058" i="1"/>
  <c r="L5058" i="1"/>
  <c r="R5057" i="1"/>
  <c r="L5057" i="1"/>
  <c r="R5056" i="1"/>
  <c r="L5056" i="1"/>
  <c r="R5055" i="1"/>
  <c r="L5055" i="1"/>
  <c r="R5054" i="1"/>
  <c r="L5054" i="1"/>
  <c r="R5053" i="1"/>
  <c r="L5053" i="1"/>
  <c r="R5052" i="1"/>
  <c r="L5052" i="1"/>
  <c r="R5051" i="1"/>
  <c r="L5051" i="1"/>
  <c r="R5050" i="1"/>
  <c r="L5050" i="1"/>
  <c r="R5049" i="1"/>
  <c r="L5049" i="1"/>
  <c r="R5048" i="1"/>
  <c r="L5048" i="1"/>
  <c r="T5047" i="1"/>
  <c r="R5047" i="1"/>
  <c r="L5047" i="1"/>
  <c r="T5046" i="1"/>
  <c r="R5046" i="1"/>
  <c r="K5046" i="1"/>
  <c r="L5046" i="1" s="1"/>
  <c r="R5045" i="1"/>
  <c r="L5045" i="1"/>
  <c r="R5044" i="1"/>
  <c r="L5044" i="1"/>
  <c r="R5043" i="1"/>
  <c r="L5043" i="1"/>
  <c r="R5042" i="1"/>
  <c r="L5042" i="1"/>
  <c r="R5041" i="1"/>
  <c r="L5041" i="1"/>
  <c r="R5040" i="1"/>
  <c r="L5040" i="1"/>
  <c r="R5039" i="1"/>
  <c r="L5039" i="1"/>
  <c r="R5038" i="1"/>
  <c r="L5038" i="1"/>
  <c r="R5037" i="1"/>
  <c r="L5037" i="1"/>
  <c r="T5036" i="1"/>
  <c r="R5036" i="1"/>
  <c r="K5036" i="1"/>
  <c r="L5036" i="1" s="1"/>
  <c r="R5035" i="1"/>
  <c r="L5035" i="1"/>
  <c r="R5034" i="1"/>
  <c r="L5034" i="1"/>
  <c r="R5033" i="1"/>
  <c r="L5033" i="1"/>
  <c r="R5032" i="1"/>
  <c r="L5032" i="1"/>
  <c r="R5031" i="1"/>
  <c r="L5031" i="1"/>
  <c r="R5030" i="1"/>
  <c r="L5030" i="1"/>
  <c r="R5029" i="1"/>
  <c r="L5029" i="1"/>
  <c r="R5028" i="1"/>
  <c r="L5028" i="1"/>
  <c r="R5027" i="1"/>
  <c r="L5027" i="1"/>
  <c r="R5026" i="1"/>
  <c r="L5026" i="1"/>
  <c r="R5025" i="1"/>
  <c r="L5025" i="1"/>
  <c r="R5024" i="1"/>
  <c r="L5024" i="1"/>
  <c r="R5023" i="1"/>
  <c r="L5023" i="1"/>
  <c r="R5022" i="1"/>
  <c r="L5022" i="1"/>
  <c r="R5021" i="1"/>
  <c r="L5021" i="1"/>
  <c r="R5020" i="1"/>
  <c r="L5020" i="1"/>
  <c r="R5019" i="1"/>
  <c r="L5019" i="1"/>
  <c r="R5018" i="1"/>
  <c r="L5018" i="1"/>
  <c r="R5017" i="1"/>
  <c r="L5017" i="1"/>
  <c r="R5016" i="1"/>
  <c r="L5016" i="1"/>
  <c r="R5015" i="1"/>
  <c r="L5015" i="1"/>
  <c r="R5014" i="1"/>
  <c r="L5014" i="1"/>
  <c r="R5013" i="1"/>
  <c r="L5013" i="1"/>
  <c r="R5012" i="1"/>
  <c r="L5012" i="1"/>
  <c r="R5011" i="1"/>
  <c r="K5011" i="1"/>
  <c r="L5011" i="1" s="1"/>
  <c r="R5010" i="1"/>
  <c r="K5010" i="1"/>
  <c r="L5010" i="1" s="1"/>
  <c r="R5009" i="1"/>
  <c r="L5009" i="1"/>
  <c r="R5008" i="1"/>
  <c r="L5008" i="1"/>
  <c r="R5007" i="1"/>
  <c r="K5007" i="1"/>
  <c r="L5007" i="1" s="1"/>
  <c r="R5006" i="1"/>
  <c r="K5006" i="1"/>
  <c r="L5006" i="1" s="1"/>
  <c r="R5005" i="1"/>
  <c r="K5005" i="1"/>
  <c r="L5005" i="1" s="1"/>
  <c r="R5004" i="1"/>
  <c r="L5004" i="1"/>
  <c r="R5003" i="1"/>
  <c r="L5003" i="1"/>
  <c r="R5002" i="1"/>
  <c r="L5002" i="1"/>
  <c r="T5001" i="1"/>
  <c r="R5001" i="1"/>
  <c r="L5001" i="1"/>
  <c r="R5000" i="1"/>
  <c r="L5000" i="1"/>
  <c r="R4999" i="1"/>
  <c r="L4999" i="1"/>
  <c r="R4998" i="1"/>
  <c r="L4998" i="1"/>
  <c r="R4997" i="1"/>
  <c r="L4997" i="1"/>
  <c r="R4996" i="1"/>
  <c r="L4996" i="1"/>
  <c r="R4995" i="1"/>
  <c r="L4995" i="1"/>
  <c r="T4994" i="1"/>
  <c r="R4994" i="1"/>
  <c r="L4994" i="1"/>
  <c r="R4993" i="1"/>
  <c r="L4993" i="1"/>
  <c r="R4992" i="1"/>
  <c r="L4992" i="1"/>
  <c r="R4991" i="1"/>
  <c r="L4991" i="1"/>
  <c r="R4990" i="1"/>
  <c r="L4990" i="1"/>
  <c r="R4989" i="1"/>
  <c r="L4989" i="1"/>
  <c r="R4988" i="1"/>
  <c r="L4988" i="1"/>
  <c r="R4987" i="1"/>
  <c r="L4987" i="1"/>
  <c r="R4986" i="1"/>
  <c r="L4986" i="1"/>
  <c r="R4985" i="1"/>
  <c r="L4985" i="1"/>
  <c r="R4984" i="1"/>
  <c r="L4984" i="1"/>
  <c r="R4983" i="1"/>
  <c r="L4983" i="1"/>
  <c r="R4982" i="1"/>
  <c r="L4982" i="1"/>
  <c r="R4981" i="1"/>
  <c r="L4981" i="1"/>
  <c r="R4980" i="1"/>
  <c r="K4980" i="1"/>
  <c r="L4980" i="1" s="1"/>
  <c r="R4979" i="1"/>
  <c r="K4979" i="1"/>
  <c r="L4979" i="1" s="1"/>
  <c r="R4978" i="1"/>
  <c r="K4978" i="1"/>
  <c r="L4978" i="1" s="1"/>
  <c r="R4977" i="1"/>
  <c r="K4977" i="1"/>
  <c r="L4977" i="1" s="1"/>
  <c r="R4976" i="1"/>
  <c r="K4976" i="1"/>
  <c r="L4976" i="1" s="1"/>
  <c r="R4975" i="1"/>
  <c r="K4975" i="1"/>
  <c r="L4975" i="1" s="1"/>
  <c r="R4974" i="1"/>
  <c r="K4974" i="1"/>
  <c r="L4974" i="1" s="1"/>
  <c r="R4973" i="1"/>
  <c r="K4973" i="1"/>
  <c r="L4973" i="1" s="1"/>
  <c r="R4972" i="1"/>
  <c r="K4972" i="1"/>
  <c r="L4972" i="1" s="1"/>
  <c r="R4971" i="1"/>
  <c r="K4971" i="1"/>
  <c r="L4971" i="1" s="1"/>
  <c r="R4970" i="1"/>
  <c r="K4970" i="1"/>
  <c r="L4970" i="1" s="1"/>
  <c r="R4969" i="1"/>
  <c r="K4969" i="1"/>
  <c r="L4969" i="1" s="1"/>
  <c r="R4968" i="1"/>
  <c r="K4968" i="1"/>
  <c r="L4968" i="1" s="1"/>
  <c r="R4967" i="1"/>
  <c r="K4967" i="1"/>
  <c r="L4967" i="1" s="1"/>
  <c r="R4966" i="1"/>
  <c r="K4966" i="1"/>
  <c r="L4966" i="1" s="1"/>
  <c r="R4965" i="1"/>
  <c r="K4965" i="1"/>
  <c r="L4965" i="1" s="1"/>
  <c r="R4964" i="1"/>
  <c r="K4964" i="1"/>
  <c r="L4964" i="1" s="1"/>
  <c r="R4963" i="1"/>
  <c r="L4963" i="1"/>
  <c r="R4962" i="1"/>
  <c r="K4962" i="1"/>
  <c r="L4962" i="1" s="1"/>
  <c r="R4961" i="1"/>
  <c r="K4961" i="1"/>
  <c r="L4961" i="1" s="1"/>
  <c r="R4960" i="1"/>
  <c r="K4960" i="1"/>
  <c r="L4960" i="1" s="1"/>
  <c r="R4959" i="1"/>
  <c r="K4959" i="1"/>
  <c r="L4959" i="1" s="1"/>
  <c r="R4958" i="1"/>
  <c r="L4958" i="1"/>
  <c r="R4957" i="1"/>
  <c r="L4957" i="1"/>
  <c r="R4956" i="1"/>
  <c r="L4956" i="1"/>
  <c r="R4955" i="1"/>
  <c r="L4955" i="1"/>
  <c r="R4954" i="1"/>
  <c r="L4954" i="1"/>
  <c r="R4953" i="1"/>
  <c r="L4953" i="1"/>
  <c r="R4952" i="1"/>
  <c r="L4952" i="1"/>
  <c r="R4951" i="1"/>
  <c r="L4951" i="1"/>
  <c r="R4950" i="1"/>
  <c r="L4950" i="1"/>
  <c r="R4949" i="1"/>
  <c r="L4949" i="1"/>
  <c r="R4948" i="1"/>
  <c r="L4948" i="1"/>
  <c r="R4947" i="1"/>
  <c r="L4947" i="1"/>
  <c r="R4946" i="1"/>
  <c r="L4946" i="1"/>
  <c r="R4945" i="1"/>
  <c r="L4945" i="1"/>
  <c r="R4944" i="1"/>
  <c r="L4944" i="1"/>
  <c r="R4943" i="1"/>
  <c r="L4943" i="1"/>
  <c r="R4942" i="1"/>
  <c r="L4942" i="1"/>
  <c r="R4941" i="1"/>
  <c r="L4941" i="1"/>
  <c r="T4940" i="1"/>
  <c r="R4940" i="1"/>
  <c r="L4940" i="1"/>
  <c r="R4939" i="1"/>
  <c r="L4939" i="1"/>
  <c r="R4938" i="1"/>
  <c r="L4938" i="1"/>
  <c r="R4937" i="1"/>
  <c r="L4937" i="1"/>
  <c r="R4936" i="1"/>
  <c r="L4936" i="1"/>
  <c r="R4935" i="1"/>
  <c r="L4935" i="1"/>
  <c r="R4934" i="1"/>
  <c r="L4934" i="1"/>
  <c r="R4933" i="1"/>
  <c r="K4933" i="1"/>
  <c r="L4933" i="1" s="1"/>
  <c r="R4932" i="1"/>
  <c r="K4932" i="1"/>
  <c r="L4932" i="1" s="1"/>
  <c r="R4931" i="1"/>
  <c r="L4931" i="1"/>
  <c r="R4930" i="1"/>
  <c r="L4930" i="1"/>
  <c r="R4929" i="1"/>
  <c r="L4929" i="1"/>
  <c r="R4928" i="1"/>
  <c r="L4928" i="1"/>
  <c r="R4927" i="1"/>
  <c r="L4927" i="1"/>
  <c r="R4926" i="1"/>
  <c r="L4926" i="1"/>
  <c r="R4925" i="1"/>
  <c r="K4925" i="1"/>
  <c r="L4925" i="1" s="1"/>
  <c r="R4924" i="1"/>
  <c r="L4924" i="1"/>
  <c r="R4923" i="1"/>
  <c r="L4923" i="1"/>
  <c r="R4922" i="1"/>
  <c r="L4922" i="1"/>
  <c r="R4921" i="1"/>
  <c r="L4921" i="1"/>
  <c r="R4920" i="1"/>
  <c r="L4920" i="1"/>
  <c r="R4919" i="1"/>
  <c r="L4919" i="1"/>
  <c r="R4918" i="1"/>
  <c r="L4918" i="1"/>
  <c r="R4917" i="1"/>
  <c r="L4917" i="1"/>
  <c r="R4916" i="1"/>
  <c r="L4916" i="1"/>
  <c r="R4915" i="1"/>
  <c r="L4915" i="1"/>
  <c r="R4914" i="1"/>
  <c r="L4914" i="1"/>
  <c r="R4913" i="1"/>
  <c r="L4913" i="1"/>
  <c r="R4912" i="1"/>
  <c r="L4912" i="1"/>
  <c r="R4911" i="1"/>
  <c r="L4911" i="1"/>
  <c r="V4910" i="1"/>
  <c r="R4910" i="1"/>
  <c r="L4910" i="1"/>
  <c r="R4909" i="1"/>
  <c r="L4909" i="1"/>
  <c r="R4908" i="1"/>
  <c r="L4908" i="1"/>
  <c r="R4907" i="1"/>
  <c r="L4907" i="1"/>
  <c r="R4906" i="1"/>
  <c r="L4906" i="1"/>
  <c r="R4905" i="1"/>
  <c r="L4905" i="1"/>
  <c r="R4904" i="1"/>
  <c r="L4904" i="1"/>
  <c r="R4903" i="1"/>
  <c r="L4903" i="1"/>
  <c r="R4902" i="1"/>
  <c r="L4902" i="1"/>
  <c r="R4901" i="1"/>
  <c r="L4901" i="1"/>
  <c r="R4900" i="1"/>
  <c r="L4900" i="1"/>
  <c r="R4899" i="1"/>
  <c r="L4899" i="1"/>
  <c r="R4898" i="1"/>
  <c r="L4898" i="1"/>
  <c r="R4897" i="1"/>
  <c r="L4897" i="1"/>
  <c r="R4896" i="1"/>
  <c r="L4896" i="1"/>
  <c r="R4895" i="1"/>
  <c r="L4895" i="1"/>
  <c r="R4894" i="1"/>
  <c r="L4894" i="1"/>
  <c r="R4893" i="1"/>
  <c r="L4893" i="1"/>
  <c r="R4892" i="1"/>
  <c r="L4892" i="1"/>
  <c r="R4891" i="1"/>
  <c r="L4891" i="1"/>
  <c r="R4890" i="1"/>
  <c r="L4890" i="1"/>
  <c r="R4889" i="1"/>
  <c r="L4889" i="1"/>
  <c r="R4888" i="1"/>
  <c r="L4888" i="1"/>
  <c r="R4887" i="1"/>
  <c r="L4887" i="1"/>
  <c r="R4886" i="1"/>
  <c r="L4886" i="1"/>
  <c r="R4885" i="1"/>
  <c r="L4885" i="1"/>
  <c r="R4884" i="1"/>
  <c r="L4884" i="1"/>
  <c r="R4883" i="1"/>
  <c r="L4883" i="1"/>
  <c r="R4882" i="1"/>
  <c r="L4882" i="1"/>
  <c r="R4881" i="1"/>
  <c r="L4881" i="1"/>
  <c r="R4880" i="1"/>
  <c r="L4880" i="1"/>
  <c r="R4879" i="1"/>
  <c r="L4879" i="1"/>
  <c r="R4878" i="1"/>
  <c r="L4878" i="1"/>
  <c r="R4877" i="1"/>
  <c r="L4877" i="1"/>
  <c r="R4876" i="1"/>
  <c r="L4876" i="1"/>
  <c r="R4875" i="1"/>
  <c r="L4875" i="1"/>
  <c r="R4874" i="1"/>
  <c r="L4874" i="1"/>
  <c r="R4873" i="1"/>
  <c r="L4873" i="1"/>
  <c r="R4872" i="1"/>
  <c r="L4872" i="1"/>
  <c r="R4871" i="1"/>
  <c r="L4871" i="1"/>
  <c r="R4870" i="1"/>
  <c r="L4870" i="1"/>
  <c r="R4869" i="1"/>
  <c r="L4869" i="1"/>
  <c r="R4868" i="1"/>
  <c r="K4868" i="1"/>
  <c r="L4868" i="1" s="1"/>
  <c r="T4867" i="1"/>
  <c r="R4867" i="1"/>
  <c r="L4867" i="1"/>
  <c r="R4866" i="1"/>
  <c r="L4866" i="1"/>
  <c r="R4865" i="1"/>
  <c r="L4865" i="1"/>
  <c r="R4864" i="1"/>
  <c r="L4864" i="1"/>
  <c r="R4863" i="1"/>
  <c r="L4863" i="1"/>
  <c r="T4862" i="1"/>
  <c r="R4862" i="1"/>
  <c r="L4862" i="1"/>
  <c r="R4861" i="1"/>
  <c r="L4861" i="1"/>
  <c r="R4860" i="1"/>
  <c r="K4860" i="1"/>
  <c r="L4860" i="1" s="1"/>
  <c r="R4859" i="1"/>
  <c r="L4859" i="1"/>
  <c r="R4858" i="1"/>
  <c r="L4858" i="1"/>
  <c r="R4857" i="1"/>
  <c r="K4857" i="1"/>
  <c r="L4857" i="1" s="1"/>
  <c r="R4856" i="1"/>
  <c r="L4856" i="1"/>
  <c r="R4855" i="1"/>
  <c r="L4855" i="1"/>
  <c r="R4854" i="1"/>
  <c r="L4854" i="1"/>
  <c r="R4853" i="1"/>
  <c r="L4853" i="1"/>
  <c r="R4852" i="1"/>
  <c r="L4852" i="1"/>
  <c r="R4851" i="1"/>
  <c r="L4851" i="1"/>
  <c r="R4850" i="1"/>
  <c r="L4850" i="1"/>
  <c r="T4849" i="1"/>
  <c r="R4849" i="1"/>
  <c r="L4849" i="1"/>
  <c r="R4848" i="1"/>
  <c r="L4848" i="1"/>
  <c r="R4847" i="1"/>
  <c r="L4847" i="1"/>
  <c r="R4846" i="1"/>
  <c r="L4846" i="1"/>
  <c r="R4845" i="1"/>
  <c r="L4845" i="1"/>
  <c r="R4844" i="1"/>
  <c r="L4844" i="1"/>
  <c r="R4843" i="1"/>
  <c r="L4843" i="1"/>
  <c r="R4842" i="1"/>
  <c r="L4842" i="1"/>
  <c r="R4841" i="1"/>
  <c r="L4841" i="1"/>
  <c r="R4840" i="1"/>
  <c r="L4840" i="1"/>
  <c r="T4839" i="1"/>
  <c r="R4839" i="1"/>
  <c r="L4839" i="1"/>
  <c r="R4838" i="1"/>
  <c r="L4838" i="1"/>
  <c r="R4837" i="1"/>
  <c r="L4837" i="1"/>
  <c r="R4836" i="1"/>
  <c r="L4836" i="1"/>
  <c r="R4835" i="1"/>
  <c r="L4835" i="1"/>
  <c r="R4834" i="1"/>
  <c r="L4834" i="1"/>
  <c r="R4833" i="1"/>
  <c r="L4833" i="1"/>
  <c r="R4832" i="1"/>
  <c r="K4832" i="1"/>
  <c r="L4832" i="1" s="1"/>
  <c r="R4831" i="1"/>
  <c r="L4831" i="1"/>
  <c r="R4830" i="1"/>
  <c r="L4830" i="1"/>
  <c r="R4829" i="1"/>
  <c r="L4829" i="1"/>
  <c r="R4828" i="1"/>
  <c r="L4828" i="1"/>
  <c r="R4827" i="1"/>
  <c r="L4827" i="1"/>
  <c r="R4826" i="1"/>
  <c r="L4826" i="1"/>
  <c r="R4825" i="1"/>
  <c r="L4825" i="1"/>
  <c r="R4824" i="1"/>
  <c r="L4824" i="1"/>
  <c r="R4823" i="1"/>
  <c r="R4822" i="1"/>
  <c r="L4822" i="1"/>
  <c r="R4821" i="1"/>
  <c r="L4821" i="1"/>
  <c r="R4820" i="1"/>
  <c r="L4820" i="1"/>
  <c r="R4819" i="1"/>
  <c r="L4819" i="1"/>
  <c r="R4818" i="1"/>
  <c r="L4818" i="1"/>
  <c r="T4817" i="1"/>
  <c r="R4817" i="1"/>
  <c r="L4817" i="1"/>
  <c r="R4816" i="1"/>
  <c r="L4816" i="1"/>
  <c r="R4815" i="1"/>
  <c r="L4815" i="1"/>
  <c r="R4814" i="1"/>
  <c r="L4814" i="1"/>
  <c r="R4813" i="1"/>
  <c r="L4813" i="1"/>
  <c r="R4812" i="1"/>
  <c r="L4812" i="1"/>
  <c r="R4811" i="1"/>
  <c r="L4811" i="1"/>
  <c r="R4810" i="1"/>
  <c r="L4810" i="1"/>
  <c r="T4809" i="1"/>
  <c r="R4809" i="1"/>
  <c r="L4809" i="1"/>
  <c r="T4808" i="1"/>
  <c r="R4808" i="1"/>
  <c r="L4808" i="1"/>
  <c r="R4807" i="1"/>
  <c r="L4807" i="1"/>
  <c r="T4806" i="1"/>
  <c r="R4806" i="1"/>
  <c r="L4806" i="1"/>
  <c r="R4805" i="1"/>
  <c r="L4805" i="1"/>
  <c r="T4804" i="1"/>
  <c r="R4804" i="1"/>
  <c r="L4804" i="1"/>
  <c r="T4803" i="1"/>
  <c r="R4803" i="1"/>
  <c r="L4803" i="1"/>
  <c r="R4802" i="1"/>
  <c r="L4802" i="1"/>
  <c r="R4801" i="1"/>
  <c r="L4801" i="1"/>
  <c r="R4800" i="1"/>
  <c r="L4800" i="1"/>
  <c r="R4799" i="1"/>
  <c r="L4799" i="1"/>
  <c r="R4798" i="1"/>
  <c r="L4798" i="1"/>
  <c r="R4797" i="1"/>
  <c r="L4797" i="1"/>
  <c r="R4796" i="1"/>
  <c r="L4796" i="1"/>
  <c r="R4795" i="1"/>
  <c r="L4795" i="1"/>
  <c r="R4794" i="1"/>
  <c r="L4794" i="1"/>
  <c r="R4793" i="1"/>
  <c r="L4793" i="1"/>
  <c r="R4792" i="1"/>
  <c r="L4792" i="1"/>
  <c r="R4791" i="1"/>
  <c r="L4791" i="1"/>
  <c r="R4790" i="1"/>
  <c r="L4790" i="1"/>
  <c r="R4789" i="1"/>
  <c r="L4789" i="1"/>
  <c r="R4788" i="1"/>
  <c r="L4788" i="1"/>
  <c r="R4787" i="1"/>
  <c r="L4787" i="1"/>
  <c r="R4786" i="1"/>
  <c r="L4786" i="1"/>
  <c r="R4785" i="1"/>
  <c r="L4785" i="1"/>
  <c r="R4784" i="1"/>
  <c r="L4784" i="1"/>
  <c r="R4783" i="1"/>
  <c r="L4783" i="1"/>
  <c r="R4782" i="1"/>
  <c r="L4782" i="1"/>
  <c r="R4781" i="1"/>
  <c r="L4781" i="1"/>
  <c r="R4780" i="1"/>
  <c r="L4780" i="1"/>
  <c r="R4779" i="1"/>
  <c r="L4779" i="1"/>
  <c r="T4778" i="1"/>
  <c r="R4778" i="1"/>
  <c r="L4778" i="1"/>
  <c r="R4777" i="1"/>
  <c r="L4777" i="1"/>
  <c r="R4776" i="1"/>
  <c r="L4776" i="1"/>
  <c r="R4775" i="1"/>
  <c r="L4775" i="1"/>
  <c r="R4774" i="1"/>
  <c r="L4774" i="1"/>
  <c r="R4773" i="1"/>
  <c r="L4773" i="1"/>
  <c r="R4772" i="1"/>
  <c r="L4772" i="1"/>
  <c r="R4771" i="1"/>
  <c r="L4771" i="1"/>
  <c r="R4770" i="1"/>
  <c r="L4770" i="1"/>
  <c r="R4769" i="1"/>
  <c r="L4769" i="1"/>
  <c r="R4768" i="1"/>
  <c r="L4768" i="1"/>
  <c r="R4767" i="1"/>
  <c r="L4767" i="1"/>
  <c r="R4766" i="1"/>
  <c r="L4766" i="1"/>
  <c r="R4765" i="1"/>
  <c r="K4765" i="1"/>
  <c r="L4765" i="1" s="1"/>
  <c r="R4764" i="1"/>
  <c r="L4764" i="1"/>
  <c r="R4763" i="1"/>
  <c r="L4763" i="1"/>
  <c r="R4762" i="1"/>
  <c r="L4762" i="1"/>
  <c r="R4761" i="1"/>
  <c r="L4761" i="1"/>
  <c r="R4760" i="1"/>
  <c r="L4760" i="1"/>
  <c r="R4759" i="1"/>
  <c r="L4759" i="1"/>
  <c r="R4758" i="1"/>
  <c r="L4758" i="1"/>
  <c r="R4757" i="1"/>
  <c r="L4757" i="1"/>
  <c r="R4756" i="1"/>
  <c r="L4756" i="1"/>
  <c r="R4755" i="1"/>
  <c r="L4755" i="1"/>
  <c r="R4754" i="1"/>
  <c r="L4754" i="1"/>
  <c r="R4753" i="1"/>
  <c r="L4753" i="1"/>
  <c r="R4752" i="1"/>
  <c r="L4752" i="1"/>
  <c r="R4751" i="1"/>
  <c r="L4751" i="1"/>
  <c r="R4750" i="1"/>
  <c r="L4750" i="1"/>
  <c r="R4749" i="1"/>
  <c r="L4749" i="1"/>
  <c r="R4748" i="1"/>
  <c r="L4748" i="1"/>
  <c r="T4747" i="1"/>
  <c r="R4747" i="1"/>
  <c r="L4747" i="1"/>
  <c r="R4746" i="1"/>
  <c r="L4746" i="1"/>
  <c r="R4745" i="1"/>
  <c r="L4745" i="1"/>
  <c r="R4744" i="1"/>
  <c r="L4744" i="1"/>
  <c r="R4743" i="1"/>
  <c r="L4743" i="1"/>
  <c r="R4742" i="1"/>
  <c r="L4742" i="1"/>
  <c r="R4741" i="1"/>
  <c r="L4741" i="1"/>
  <c r="R4740" i="1"/>
  <c r="L4740" i="1"/>
  <c r="R4739" i="1"/>
  <c r="L4739" i="1"/>
  <c r="R4738" i="1"/>
  <c r="L4738" i="1"/>
  <c r="R4737" i="1"/>
  <c r="L4737" i="1"/>
  <c r="R4736" i="1"/>
  <c r="L4736" i="1"/>
  <c r="R4735" i="1"/>
  <c r="L4735" i="1"/>
  <c r="R4734" i="1"/>
  <c r="L4734" i="1"/>
  <c r="R4733" i="1"/>
  <c r="L4733" i="1"/>
  <c r="R4732" i="1"/>
  <c r="L4732" i="1"/>
  <c r="R4731" i="1"/>
  <c r="K4731" i="1"/>
  <c r="L4731" i="1" s="1"/>
  <c r="R4730" i="1"/>
  <c r="L4730" i="1"/>
  <c r="R4729" i="1"/>
  <c r="L4729" i="1"/>
  <c r="R4728" i="1"/>
  <c r="S4728" i="1" s="1"/>
  <c r="L4728" i="1"/>
  <c r="R4727" i="1"/>
  <c r="S4727" i="1" s="1"/>
  <c r="L4727" i="1"/>
  <c r="R4726" i="1"/>
  <c r="S4726" i="1" s="1"/>
  <c r="L4726" i="1"/>
  <c r="R4725" i="1"/>
  <c r="S4725" i="1" s="1"/>
  <c r="L4725" i="1"/>
  <c r="R4724" i="1"/>
  <c r="S4724" i="1" s="1"/>
  <c r="L4724" i="1"/>
  <c r="R4723" i="1"/>
  <c r="S4723" i="1" s="1"/>
  <c r="L4723" i="1"/>
  <c r="T4722" i="1"/>
  <c r="R4722" i="1"/>
  <c r="S4722" i="1" s="1"/>
  <c r="K4722" i="1"/>
  <c r="L4722" i="1" s="1"/>
  <c r="T4721" i="1"/>
  <c r="R4721" i="1"/>
  <c r="S4721" i="1" s="1"/>
  <c r="L4721" i="1"/>
  <c r="T4720" i="1"/>
  <c r="R4720" i="1"/>
  <c r="S4720" i="1" s="1"/>
  <c r="L4720" i="1"/>
  <c r="T4719" i="1"/>
  <c r="R4719" i="1"/>
  <c r="S4719" i="1" s="1"/>
  <c r="L4719" i="1"/>
  <c r="T4718" i="1"/>
  <c r="R4718" i="1"/>
  <c r="S4718" i="1" s="1"/>
  <c r="L4718" i="1"/>
  <c r="T4717" i="1"/>
  <c r="R4717" i="1"/>
  <c r="S4717" i="1" s="1"/>
  <c r="L4717" i="1"/>
  <c r="R4716" i="1"/>
  <c r="L4716" i="1"/>
  <c r="R4715" i="1"/>
  <c r="L4715" i="1"/>
  <c r="R4714" i="1"/>
  <c r="L4714" i="1"/>
  <c r="R4713" i="1"/>
  <c r="L4713" i="1"/>
  <c r="R4712" i="1"/>
  <c r="L4712" i="1"/>
  <c r="R4711" i="1"/>
  <c r="L4711" i="1"/>
  <c r="R4710" i="1"/>
  <c r="L4710" i="1"/>
  <c r="R4709" i="1"/>
  <c r="L4709" i="1"/>
  <c r="R4708" i="1"/>
  <c r="K4708" i="1"/>
  <c r="L4708" i="1" s="1"/>
  <c r="R4707" i="1"/>
  <c r="K4707" i="1"/>
  <c r="L4707" i="1" s="1"/>
  <c r="R4706" i="1"/>
  <c r="K4706" i="1"/>
  <c r="L4706" i="1" s="1"/>
  <c r="R4705" i="1"/>
  <c r="K4705" i="1"/>
  <c r="L4705" i="1" s="1"/>
  <c r="R4704" i="1"/>
  <c r="K4704" i="1"/>
  <c r="L4704" i="1" s="1"/>
  <c r="R4703" i="1"/>
  <c r="L4703" i="1"/>
  <c r="R4702" i="1"/>
  <c r="L4702" i="1"/>
  <c r="R4701" i="1"/>
  <c r="L4701" i="1"/>
  <c r="R4700" i="1"/>
  <c r="L4700" i="1"/>
  <c r="R4699" i="1"/>
  <c r="L4699" i="1"/>
  <c r="R4698" i="1"/>
  <c r="L4698" i="1"/>
  <c r="R4697" i="1"/>
  <c r="L4697" i="1"/>
  <c r="R4696" i="1"/>
  <c r="L4696" i="1"/>
  <c r="R4695" i="1"/>
  <c r="L4695" i="1"/>
  <c r="R4694" i="1"/>
  <c r="L4694" i="1"/>
  <c r="R4693" i="1"/>
  <c r="L4693" i="1"/>
  <c r="R4692" i="1"/>
  <c r="L4692" i="1"/>
  <c r="R4691" i="1"/>
  <c r="L4691" i="1"/>
  <c r="R4690" i="1"/>
  <c r="L4690" i="1"/>
  <c r="R4689" i="1"/>
  <c r="L4689" i="1"/>
  <c r="R4688" i="1"/>
  <c r="L4688" i="1"/>
  <c r="R4687" i="1"/>
  <c r="L4687" i="1"/>
  <c r="R4686" i="1"/>
  <c r="L4686" i="1"/>
  <c r="R4685" i="1"/>
  <c r="L4685" i="1"/>
  <c r="R4684" i="1"/>
  <c r="L4684" i="1"/>
  <c r="R4683" i="1"/>
  <c r="L4683" i="1"/>
  <c r="R4682" i="1"/>
  <c r="L4682" i="1"/>
  <c r="R4681" i="1"/>
  <c r="L4681" i="1"/>
  <c r="R4680" i="1"/>
  <c r="L4680" i="1"/>
  <c r="R4679" i="1"/>
  <c r="L4679" i="1"/>
  <c r="R4678" i="1"/>
  <c r="L4678" i="1"/>
  <c r="R4677" i="1"/>
  <c r="L4677" i="1"/>
  <c r="R4676" i="1"/>
  <c r="L4676" i="1"/>
  <c r="R4675" i="1"/>
  <c r="L4675" i="1"/>
  <c r="R4674" i="1"/>
  <c r="L4674" i="1"/>
  <c r="R4673" i="1"/>
  <c r="L4673" i="1"/>
  <c r="R4672" i="1"/>
  <c r="L4672" i="1"/>
  <c r="R4671" i="1"/>
  <c r="L4671" i="1"/>
  <c r="R4670" i="1"/>
  <c r="L4670" i="1"/>
  <c r="R4669" i="1"/>
  <c r="L4669" i="1"/>
  <c r="R4668" i="1"/>
  <c r="L4668" i="1"/>
  <c r="R4667" i="1"/>
  <c r="L4667" i="1"/>
  <c r="R4666" i="1"/>
  <c r="L4666" i="1"/>
  <c r="R4665" i="1"/>
  <c r="L4665" i="1"/>
  <c r="R4664" i="1"/>
  <c r="L4664" i="1"/>
  <c r="R4663" i="1"/>
  <c r="L4663" i="1"/>
  <c r="R4662" i="1"/>
  <c r="O4662" i="1"/>
  <c r="L4662" i="1"/>
  <c r="R4661" i="1"/>
  <c r="O4661" i="1"/>
  <c r="L4661" i="1"/>
  <c r="R4660" i="1"/>
  <c r="O4660" i="1"/>
  <c r="L4660" i="1"/>
  <c r="R4659" i="1"/>
  <c r="L4659" i="1"/>
  <c r="T4658" i="1"/>
  <c r="R4658" i="1"/>
  <c r="L4658" i="1"/>
  <c r="R4657" i="1"/>
  <c r="L4657" i="1"/>
  <c r="R4656" i="1"/>
  <c r="L4656" i="1"/>
  <c r="R4655" i="1"/>
  <c r="L4655" i="1"/>
  <c r="R4654" i="1"/>
  <c r="L4654" i="1"/>
  <c r="R4653" i="1"/>
  <c r="L4653" i="1"/>
  <c r="R4652" i="1"/>
  <c r="L4652" i="1"/>
  <c r="G4652" i="1"/>
  <c r="T4652" i="1" s="1"/>
  <c r="R4651" i="1"/>
  <c r="L4651" i="1"/>
  <c r="G4651" i="1"/>
  <c r="T4651" i="1" s="1"/>
  <c r="R4650" i="1"/>
  <c r="L4650" i="1"/>
  <c r="G4650" i="1"/>
  <c r="T4650" i="1" s="1"/>
  <c r="R4649" i="1"/>
  <c r="L4649" i="1"/>
  <c r="G4649" i="1"/>
  <c r="T4649" i="1" s="1"/>
  <c r="R4648" i="1"/>
  <c r="L4648" i="1"/>
  <c r="G4648" i="1"/>
  <c r="T4648" i="1" s="1"/>
  <c r="R4647" i="1"/>
  <c r="L4647" i="1"/>
  <c r="G4647" i="1"/>
  <c r="T4647" i="1" s="1"/>
  <c r="R4646" i="1"/>
  <c r="L4646" i="1"/>
  <c r="G4646" i="1"/>
  <c r="T4646" i="1" s="1"/>
  <c r="R4645" i="1"/>
  <c r="L4645" i="1"/>
  <c r="G4645" i="1"/>
  <c r="T4645" i="1" s="1"/>
  <c r="T4644" i="1"/>
  <c r="R4644" i="1"/>
  <c r="L4644" i="1"/>
  <c r="T4643" i="1"/>
  <c r="R4643" i="1"/>
  <c r="L4643" i="1"/>
  <c r="T4642" i="1"/>
  <c r="R4642" i="1"/>
  <c r="K4642" i="1"/>
  <c r="L4642" i="1" s="1"/>
  <c r="T4641" i="1"/>
  <c r="R4641" i="1"/>
  <c r="L4641" i="1"/>
  <c r="T4640" i="1"/>
  <c r="R4640" i="1"/>
  <c r="L4640" i="1"/>
  <c r="T4639" i="1"/>
  <c r="R4639" i="1"/>
  <c r="K4639" i="1"/>
  <c r="L4639" i="1" s="1"/>
  <c r="T4638" i="1"/>
  <c r="R4638" i="1"/>
  <c r="L4638" i="1"/>
  <c r="T4637" i="1"/>
  <c r="R4637" i="1"/>
  <c r="T4636" i="1"/>
  <c r="R4636" i="1"/>
  <c r="L4636" i="1"/>
  <c r="T4635" i="1"/>
  <c r="R4635" i="1"/>
  <c r="L4635" i="1"/>
  <c r="T4634" i="1"/>
  <c r="R4634" i="1"/>
  <c r="L4634" i="1"/>
  <c r="E4634" i="1"/>
  <c r="T4633" i="1"/>
  <c r="R4633" i="1"/>
  <c r="L4633" i="1"/>
  <c r="E4633" i="1"/>
  <c r="T4632" i="1"/>
  <c r="R4632" i="1"/>
  <c r="L4632" i="1"/>
  <c r="E4632" i="1"/>
  <c r="T4631" i="1"/>
  <c r="R4631" i="1"/>
  <c r="L4631" i="1"/>
  <c r="E4631" i="1"/>
  <c r="T4630" i="1"/>
  <c r="R4630" i="1"/>
  <c r="L4630" i="1"/>
  <c r="E4630" i="1"/>
  <c r="T4629" i="1"/>
  <c r="R4629" i="1"/>
  <c r="L4629" i="1"/>
  <c r="T4628" i="1"/>
  <c r="R4628" i="1"/>
  <c r="L4628" i="1"/>
  <c r="E4628" i="1"/>
  <c r="T4627" i="1"/>
  <c r="R4627" i="1"/>
  <c r="L4627" i="1"/>
  <c r="E4627" i="1"/>
  <c r="T4626" i="1"/>
  <c r="R4626" i="1"/>
  <c r="L4626" i="1"/>
  <c r="T4625" i="1"/>
  <c r="R4625" i="1"/>
  <c r="L4625" i="1"/>
  <c r="T4624" i="1"/>
  <c r="R4624" i="1"/>
  <c r="L4624" i="1"/>
  <c r="T4623" i="1"/>
  <c r="R4623" i="1"/>
  <c r="L4623" i="1"/>
  <c r="T4622" i="1"/>
  <c r="R4622" i="1"/>
  <c r="L4622" i="1"/>
  <c r="T4621" i="1"/>
  <c r="R4621" i="1"/>
  <c r="L4621" i="1"/>
  <c r="T4620" i="1"/>
  <c r="R4620" i="1"/>
  <c r="L4620" i="1"/>
  <c r="T4619" i="1"/>
  <c r="R4619" i="1"/>
  <c r="L4619" i="1"/>
  <c r="T4618" i="1"/>
  <c r="R4618" i="1"/>
  <c r="L4618" i="1"/>
  <c r="T4617" i="1"/>
  <c r="R4617" i="1"/>
  <c r="L4617" i="1"/>
  <c r="T4616" i="1"/>
  <c r="R4616" i="1"/>
  <c r="L4616" i="1"/>
  <c r="T4615" i="1"/>
  <c r="R4615" i="1"/>
  <c r="L4615" i="1"/>
  <c r="T4614" i="1"/>
  <c r="R4614" i="1"/>
  <c r="L4614" i="1"/>
  <c r="T4613" i="1"/>
  <c r="R4613" i="1"/>
  <c r="L4613" i="1"/>
  <c r="R4612" i="1"/>
  <c r="O4612" i="1"/>
  <c r="L4612" i="1"/>
  <c r="R4611" i="1"/>
  <c r="L4611" i="1"/>
  <c r="T4610" i="1"/>
  <c r="R4610" i="1"/>
  <c r="L4610" i="1"/>
  <c r="T4609" i="1"/>
  <c r="R4609" i="1"/>
  <c r="L4609" i="1"/>
  <c r="T4608" i="1"/>
  <c r="R4608" i="1"/>
  <c r="L4608" i="1"/>
  <c r="T4607" i="1"/>
  <c r="R4607" i="1"/>
  <c r="L4607" i="1"/>
  <c r="T4606" i="1"/>
  <c r="R4606" i="1"/>
  <c r="L4606" i="1"/>
  <c r="T4605" i="1"/>
  <c r="R4605" i="1"/>
  <c r="L4605" i="1"/>
  <c r="T4604" i="1"/>
  <c r="R4604" i="1"/>
  <c r="L4604" i="1"/>
  <c r="T4603" i="1"/>
  <c r="R4603" i="1"/>
  <c r="L4603" i="1"/>
  <c r="T4602" i="1"/>
  <c r="R4602" i="1"/>
  <c r="L4602" i="1"/>
  <c r="T4601" i="1"/>
  <c r="R4601" i="1"/>
  <c r="L4601" i="1"/>
  <c r="T4600" i="1"/>
  <c r="R4600" i="1"/>
  <c r="L4600" i="1"/>
  <c r="T4599" i="1"/>
  <c r="R4599" i="1"/>
  <c r="L4599" i="1"/>
  <c r="T4598" i="1"/>
  <c r="R4598" i="1"/>
  <c r="L4598" i="1"/>
  <c r="T4597" i="1"/>
  <c r="R4597" i="1"/>
  <c r="L4597" i="1"/>
  <c r="T4596" i="1"/>
  <c r="R4596" i="1"/>
  <c r="L4596" i="1"/>
  <c r="T4595" i="1"/>
  <c r="R4595" i="1"/>
  <c r="L4595" i="1"/>
  <c r="R4594" i="1"/>
  <c r="L4594" i="1"/>
  <c r="R4593" i="1"/>
  <c r="L4593" i="1"/>
  <c r="T4592" i="1"/>
  <c r="R4592" i="1"/>
  <c r="L4592" i="1"/>
  <c r="T4591" i="1"/>
  <c r="R4591" i="1"/>
  <c r="L4591" i="1"/>
  <c r="R4590" i="1"/>
  <c r="L4590" i="1"/>
  <c r="T4589" i="1"/>
  <c r="R4589" i="1"/>
  <c r="L4589" i="1"/>
  <c r="T4588" i="1"/>
  <c r="R4588" i="1"/>
  <c r="L4588" i="1"/>
  <c r="R4587" i="1"/>
  <c r="O4587" i="1"/>
  <c r="L4587" i="1"/>
  <c r="T4586" i="1"/>
  <c r="R4586" i="1"/>
  <c r="L4586" i="1"/>
  <c r="T4585" i="1"/>
  <c r="R4585" i="1"/>
  <c r="L4585" i="1"/>
  <c r="T4584" i="1"/>
  <c r="R4584" i="1"/>
  <c r="L4584" i="1"/>
  <c r="R4583" i="1"/>
  <c r="L4583" i="1"/>
  <c r="T4582" i="1"/>
  <c r="R4582" i="1"/>
  <c r="L4582" i="1"/>
  <c r="T4581" i="1"/>
  <c r="R4581" i="1"/>
  <c r="L4581" i="1"/>
  <c r="T4580" i="1"/>
  <c r="R4580" i="1"/>
  <c r="L4580" i="1"/>
  <c r="T4579" i="1"/>
  <c r="R4579" i="1"/>
  <c r="L4579" i="1"/>
  <c r="R4578" i="1"/>
  <c r="L4578" i="1"/>
  <c r="R4577" i="1"/>
  <c r="K4577" i="1"/>
  <c r="L4577" i="1" s="1"/>
  <c r="R4576" i="1"/>
  <c r="K4576" i="1"/>
  <c r="L4576" i="1" s="1"/>
  <c r="I4576" i="1"/>
  <c r="R4575" i="1"/>
  <c r="K4575" i="1"/>
  <c r="L4575" i="1" s="1"/>
  <c r="T4574" i="1"/>
  <c r="R4574" i="1"/>
  <c r="L4574" i="1"/>
  <c r="T4573" i="1"/>
  <c r="R4573" i="1"/>
  <c r="L4573" i="1"/>
  <c r="T4572" i="1"/>
  <c r="R4572" i="1"/>
  <c r="L4572" i="1"/>
  <c r="T4571" i="1"/>
  <c r="R4571" i="1"/>
  <c r="L4571" i="1"/>
  <c r="R4570" i="1"/>
  <c r="L4570" i="1"/>
  <c r="G4570" i="1"/>
  <c r="T4570" i="1" s="1"/>
  <c r="T4569" i="1"/>
  <c r="R4569" i="1"/>
  <c r="L4569" i="1"/>
  <c r="T4568" i="1"/>
  <c r="R4568" i="1"/>
  <c r="L4568" i="1"/>
  <c r="T4567" i="1"/>
  <c r="R4567" i="1"/>
  <c r="L4567" i="1"/>
  <c r="T4566" i="1"/>
  <c r="R4566" i="1"/>
  <c r="L4566" i="1"/>
  <c r="T4565" i="1"/>
  <c r="R4565" i="1"/>
  <c r="L4565" i="1"/>
  <c r="T4564" i="1"/>
  <c r="R4564" i="1"/>
  <c r="L4564" i="1"/>
  <c r="T4563" i="1"/>
  <c r="R4563" i="1"/>
  <c r="L4563" i="1"/>
  <c r="T4562" i="1"/>
  <c r="R4562" i="1"/>
  <c r="L4562" i="1"/>
  <c r="T4561" i="1"/>
  <c r="R4561" i="1"/>
  <c r="L4561" i="1"/>
  <c r="T4560" i="1"/>
  <c r="R4560" i="1"/>
  <c r="L4560" i="1"/>
  <c r="T4559" i="1"/>
  <c r="R4559" i="1"/>
  <c r="L4559" i="1"/>
  <c r="T4558" i="1"/>
  <c r="R4558" i="1"/>
  <c r="L4558" i="1"/>
  <c r="T4557" i="1"/>
  <c r="R4557" i="1"/>
  <c r="L4557" i="1"/>
  <c r="T4556" i="1"/>
  <c r="R4556" i="1"/>
  <c r="L4556" i="1"/>
  <c r="T4555" i="1"/>
  <c r="R4555" i="1"/>
  <c r="L4555" i="1"/>
  <c r="T4554" i="1"/>
  <c r="R4554" i="1"/>
  <c r="L4554" i="1"/>
  <c r="R4553" i="1"/>
  <c r="L4553" i="1"/>
  <c r="R4552" i="1"/>
  <c r="K4552" i="1"/>
  <c r="L4552" i="1" s="1"/>
  <c r="R4551" i="1"/>
  <c r="L4551" i="1"/>
  <c r="T4550" i="1"/>
  <c r="R4550" i="1"/>
  <c r="L4550" i="1"/>
  <c r="T4549" i="1"/>
  <c r="R4549" i="1"/>
  <c r="L4549" i="1"/>
  <c r="R4548" i="1"/>
  <c r="L4548" i="1"/>
  <c r="T4547" i="1"/>
  <c r="R4547" i="1"/>
  <c r="L4547" i="1"/>
  <c r="R4546" i="1"/>
  <c r="L4546" i="1"/>
  <c r="R4545" i="1"/>
  <c r="K4545" i="1"/>
  <c r="L4545" i="1" s="1"/>
  <c r="R4544" i="1"/>
  <c r="L4544" i="1"/>
  <c r="R4543" i="1"/>
  <c r="L4543" i="1"/>
  <c r="T4542" i="1"/>
  <c r="R4542" i="1"/>
  <c r="L4542" i="1"/>
  <c r="T4541" i="1"/>
  <c r="R4541" i="1"/>
  <c r="L4541" i="1"/>
  <c r="R4540" i="1"/>
  <c r="L4540" i="1"/>
  <c r="R4539" i="1"/>
  <c r="L4539" i="1"/>
  <c r="T4538" i="1"/>
  <c r="R4538" i="1"/>
  <c r="L4538" i="1"/>
  <c r="T4537" i="1"/>
  <c r="R4537" i="1"/>
  <c r="L4537" i="1"/>
  <c r="T4536" i="1"/>
  <c r="R4536" i="1"/>
  <c r="L4536" i="1"/>
  <c r="T4535" i="1"/>
  <c r="R4535" i="1"/>
  <c r="L4535" i="1"/>
  <c r="T4534" i="1"/>
  <c r="R4534" i="1"/>
  <c r="L4534" i="1"/>
  <c r="T4533" i="1"/>
  <c r="R4533" i="1"/>
  <c r="L4533" i="1"/>
  <c r="R4532" i="1"/>
  <c r="O4532" i="1"/>
  <c r="L4532" i="1"/>
  <c r="R4531" i="1"/>
  <c r="O4531" i="1"/>
  <c r="L4531" i="1"/>
  <c r="T4530" i="1"/>
  <c r="R4530" i="1"/>
  <c r="L4530" i="1"/>
  <c r="T4529" i="1"/>
  <c r="R4529" i="1"/>
  <c r="L4529" i="1"/>
  <c r="T4528" i="1"/>
  <c r="R4528" i="1"/>
  <c r="L4528" i="1"/>
  <c r="T4527" i="1"/>
  <c r="R4527" i="1"/>
  <c r="L4527" i="1"/>
  <c r="T4526" i="1"/>
  <c r="R4526" i="1"/>
  <c r="L4526" i="1"/>
  <c r="T4525" i="1"/>
  <c r="R4525" i="1"/>
  <c r="L4525" i="1"/>
  <c r="R4524" i="1"/>
  <c r="L4524" i="1"/>
  <c r="R4523" i="1"/>
  <c r="O4523" i="1"/>
  <c r="L4523" i="1"/>
  <c r="R4522" i="1"/>
  <c r="L4522" i="1"/>
  <c r="R4521" i="1"/>
  <c r="L4521" i="1"/>
  <c r="R4520" i="1"/>
  <c r="L4520" i="1"/>
  <c r="R4519" i="1"/>
  <c r="L4519" i="1"/>
  <c r="R4518" i="1"/>
  <c r="K4518" i="1"/>
  <c r="L4518" i="1" s="1"/>
  <c r="R4517" i="1"/>
  <c r="K4517" i="1"/>
  <c r="L4517" i="1" s="1"/>
  <c r="T4516" i="1"/>
  <c r="R4516" i="1"/>
  <c r="L4516" i="1"/>
  <c r="T4515" i="1"/>
  <c r="R4515" i="1"/>
  <c r="L4515" i="1"/>
  <c r="T4514" i="1"/>
  <c r="R4514" i="1"/>
  <c r="L4514" i="1"/>
  <c r="T4513" i="1"/>
  <c r="R4513" i="1"/>
  <c r="L4513" i="1"/>
  <c r="T4512" i="1"/>
  <c r="R4512" i="1"/>
  <c r="L4512" i="1"/>
  <c r="R4511" i="1"/>
  <c r="L4511" i="1"/>
  <c r="R4510" i="1"/>
  <c r="L4510" i="1"/>
  <c r="T4509" i="1"/>
  <c r="R4509" i="1"/>
  <c r="L4509" i="1"/>
  <c r="R4508" i="1"/>
  <c r="L4508" i="1"/>
  <c r="R4507" i="1"/>
  <c r="O4507" i="1"/>
  <c r="L4507" i="1"/>
  <c r="T4506" i="1"/>
  <c r="R4506" i="1"/>
  <c r="L4506" i="1"/>
  <c r="T4505" i="1"/>
  <c r="R4505" i="1"/>
  <c r="L4505" i="1"/>
  <c r="T4504" i="1"/>
  <c r="R4504" i="1"/>
  <c r="L4504" i="1"/>
  <c r="T4503" i="1"/>
  <c r="R4503" i="1"/>
  <c r="L4503" i="1"/>
  <c r="T4502" i="1"/>
  <c r="R4502" i="1"/>
  <c r="L4502" i="1"/>
  <c r="T4501" i="1"/>
  <c r="R4501" i="1"/>
  <c r="L4501" i="1"/>
  <c r="T4500" i="1"/>
  <c r="R4500" i="1"/>
  <c r="L4500" i="1"/>
  <c r="T4499" i="1"/>
  <c r="R4499" i="1"/>
  <c r="L4499" i="1"/>
  <c r="R4498" i="1"/>
  <c r="L4498" i="1"/>
  <c r="T4497" i="1"/>
  <c r="R4497" i="1"/>
  <c r="L4497" i="1"/>
  <c r="T4496" i="1"/>
  <c r="R4496" i="1"/>
  <c r="L4496" i="1"/>
  <c r="T4495" i="1"/>
  <c r="R4495" i="1"/>
  <c r="L4495" i="1"/>
  <c r="T4494" i="1"/>
  <c r="R4494" i="1"/>
  <c r="N4494" i="1"/>
  <c r="L4494" i="1"/>
  <c r="T4493" i="1"/>
  <c r="R4493" i="1"/>
  <c r="L4493" i="1"/>
  <c r="T4492" i="1"/>
  <c r="R4492" i="1"/>
  <c r="L4492" i="1"/>
  <c r="T4491" i="1"/>
  <c r="R4491" i="1"/>
  <c r="L4491" i="1"/>
  <c r="T4490" i="1"/>
  <c r="R4490" i="1"/>
  <c r="L4490" i="1"/>
  <c r="T4489" i="1"/>
  <c r="R4489" i="1"/>
  <c r="L4489" i="1"/>
  <c r="T4488" i="1"/>
  <c r="R4488" i="1"/>
  <c r="L4488" i="1"/>
  <c r="T4487" i="1"/>
  <c r="R4487" i="1"/>
  <c r="L4487" i="1"/>
  <c r="T4486" i="1"/>
  <c r="R4486" i="1"/>
  <c r="L4486" i="1"/>
  <c r="T4485" i="1"/>
  <c r="R4485" i="1"/>
  <c r="L4485" i="1"/>
  <c r="T4484" i="1"/>
  <c r="R4484" i="1"/>
  <c r="L4484" i="1"/>
  <c r="T4483" i="1"/>
  <c r="R4483" i="1"/>
  <c r="L4483" i="1"/>
  <c r="T4482" i="1"/>
  <c r="R4482" i="1"/>
  <c r="L4482" i="1"/>
  <c r="T4481" i="1"/>
  <c r="R4481" i="1"/>
  <c r="L4481" i="1"/>
  <c r="R4480" i="1"/>
  <c r="O4480" i="1"/>
  <c r="L4480" i="1"/>
  <c r="R4479" i="1"/>
  <c r="O4479" i="1"/>
  <c r="L4479" i="1"/>
  <c r="R4478" i="1"/>
  <c r="O4478" i="1"/>
  <c r="L4478" i="1"/>
  <c r="R4477" i="1"/>
  <c r="L4477" i="1"/>
  <c r="R4476" i="1"/>
  <c r="L4476" i="1"/>
  <c r="R4475" i="1"/>
  <c r="L4475" i="1"/>
  <c r="R4474" i="1"/>
  <c r="L4474" i="1"/>
  <c r="R4473" i="1"/>
  <c r="L4473" i="1"/>
  <c r="R4472" i="1"/>
  <c r="L4472" i="1"/>
  <c r="R4471" i="1"/>
  <c r="L4471" i="1"/>
  <c r="R4470" i="1"/>
  <c r="L4470" i="1"/>
  <c r="R4469" i="1"/>
  <c r="L4469" i="1"/>
  <c r="R4468" i="1"/>
  <c r="L4468" i="1"/>
  <c r="R4467" i="1"/>
  <c r="L4467" i="1"/>
  <c r="R4466" i="1"/>
  <c r="L4466" i="1"/>
  <c r="T4465" i="1"/>
  <c r="R4465" i="1"/>
  <c r="L4465" i="1"/>
  <c r="T4464" i="1"/>
  <c r="R4464" i="1"/>
  <c r="L4464" i="1"/>
  <c r="T4463" i="1"/>
  <c r="R4463" i="1"/>
  <c r="L4463" i="1"/>
  <c r="T4462" i="1"/>
  <c r="R4462" i="1"/>
  <c r="L4462" i="1"/>
  <c r="T4461" i="1"/>
  <c r="R4461" i="1"/>
  <c r="L4461" i="1"/>
  <c r="T4460" i="1"/>
  <c r="R4460" i="1"/>
  <c r="L4460" i="1"/>
  <c r="T4459" i="1"/>
  <c r="R4459" i="1"/>
  <c r="L4459" i="1"/>
  <c r="T4458" i="1"/>
  <c r="R4458" i="1"/>
  <c r="L4458" i="1"/>
  <c r="T4457" i="1"/>
  <c r="R4457" i="1"/>
  <c r="L4457" i="1"/>
  <c r="T4456" i="1"/>
  <c r="R4456" i="1"/>
  <c r="L4456" i="1"/>
  <c r="T4455" i="1"/>
  <c r="R4455" i="1"/>
  <c r="L4455" i="1"/>
  <c r="T4454" i="1"/>
  <c r="R4454" i="1"/>
  <c r="L4454" i="1"/>
  <c r="R4453" i="1"/>
  <c r="L4453" i="1"/>
  <c r="T4452" i="1"/>
  <c r="R4452" i="1"/>
  <c r="L4452" i="1"/>
  <c r="R4451" i="1"/>
  <c r="O4451" i="1"/>
  <c r="L4451" i="1"/>
  <c r="T4450" i="1"/>
  <c r="R4450" i="1"/>
  <c r="L4450" i="1"/>
  <c r="T4449" i="1"/>
  <c r="R4449" i="1"/>
  <c r="L4449" i="1"/>
  <c r="T4448" i="1"/>
  <c r="R4448" i="1"/>
  <c r="L4448" i="1"/>
  <c r="T4447" i="1"/>
  <c r="R4447" i="1"/>
  <c r="L4447" i="1"/>
  <c r="R4446" i="1"/>
  <c r="L4446" i="1"/>
  <c r="R4445" i="1"/>
  <c r="O4445" i="1"/>
  <c r="L4445" i="1"/>
  <c r="T4444" i="1"/>
  <c r="R4444" i="1"/>
  <c r="L4444" i="1"/>
  <c r="T4443" i="1"/>
  <c r="R4443" i="1"/>
  <c r="L4443" i="1"/>
  <c r="T4442" i="1"/>
  <c r="R4442" i="1"/>
  <c r="K4442" i="1"/>
  <c r="L4442" i="1" s="1"/>
  <c r="T4441" i="1"/>
  <c r="R4441" i="1"/>
  <c r="K4441" i="1"/>
  <c r="L4441" i="1" s="1"/>
  <c r="T4440" i="1"/>
  <c r="R4440" i="1"/>
  <c r="L4440" i="1"/>
  <c r="T4439" i="1"/>
  <c r="R4439" i="1"/>
  <c r="L4439" i="1"/>
  <c r="R4438" i="1"/>
  <c r="O4438" i="1"/>
  <c r="L4438" i="1"/>
  <c r="R4437" i="1"/>
  <c r="L4437" i="1"/>
  <c r="R4436" i="1"/>
  <c r="L4436" i="1"/>
  <c r="T4435" i="1"/>
  <c r="R4435" i="1"/>
  <c r="L4435" i="1"/>
  <c r="T4434" i="1"/>
  <c r="R4434" i="1"/>
  <c r="L4434" i="1"/>
  <c r="T4433" i="1"/>
  <c r="R4433" i="1"/>
  <c r="L4433" i="1"/>
  <c r="T4432" i="1"/>
  <c r="R4432" i="1"/>
  <c r="L4432" i="1"/>
  <c r="T4431" i="1"/>
  <c r="R4431" i="1"/>
  <c r="L4431" i="1"/>
  <c r="R4430" i="1"/>
  <c r="L4430" i="1"/>
  <c r="R4429" i="1"/>
  <c r="L4429" i="1"/>
  <c r="T4428" i="1"/>
  <c r="R4428" i="1"/>
  <c r="L4428" i="1"/>
  <c r="R4427" i="1"/>
  <c r="O4427" i="1"/>
  <c r="L4427" i="1"/>
  <c r="R4426" i="1"/>
  <c r="L4426" i="1"/>
  <c r="R4425" i="1"/>
  <c r="O4425" i="1"/>
  <c r="L4425" i="1"/>
  <c r="R4424" i="1"/>
  <c r="O4424" i="1"/>
  <c r="K4424" i="1"/>
  <c r="L4424" i="1" s="1"/>
  <c r="R4423" i="1"/>
  <c r="O4423" i="1"/>
  <c r="K4423" i="1"/>
  <c r="L4423" i="1" s="1"/>
  <c r="R4422" i="1"/>
  <c r="O4422" i="1"/>
  <c r="K4422" i="1"/>
  <c r="L4422" i="1" s="1"/>
  <c r="R4421" i="1"/>
  <c r="O4421" i="1"/>
  <c r="K4421" i="1"/>
  <c r="L4421" i="1" s="1"/>
  <c r="R4420" i="1"/>
  <c r="O4420" i="1"/>
  <c r="K4420" i="1"/>
  <c r="L4420" i="1" s="1"/>
  <c r="R4419" i="1"/>
  <c r="O4419" i="1"/>
  <c r="K4419" i="1"/>
  <c r="L4419" i="1" s="1"/>
  <c r="R4418" i="1"/>
  <c r="L4418" i="1"/>
  <c r="R4417" i="1"/>
  <c r="L4417" i="1"/>
  <c r="R4416" i="1"/>
  <c r="L4416" i="1"/>
  <c r="R4415" i="1"/>
  <c r="L4415" i="1"/>
  <c r="T4414" i="1"/>
  <c r="R4414" i="1"/>
  <c r="K4414" i="1"/>
  <c r="L4414" i="1" s="1"/>
  <c r="R4413" i="1"/>
  <c r="L4413" i="1"/>
  <c r="R4412" i="1"/>
  <c r="K4412" i="1"/>
  <c r="L4412" i="1" s="1"/>
  <c r="R4411" i="1"/>
  <c r="L4411" i="1"/>
  <c r="R4410" i="1"/>
  <c r="L4410" i="1"/>
  <c r="R4409" i="1"/>
  <c r="L4409" i="1"/>
  <c r="R4408" i="1"/>
  <c r="L4408" i="1"/>
  <c r="R4407" i="1"/>
  <c r="L4407" i="1"/>
  <c r="R4406" i="1"/>
  <c r="L4406" i="1"/>
  <c r="R4405" i="1"/>
  <c r="L4405" i="1"/>
  <c r="R4404" i="1"/>
  <c r="L4404" i="1"/>
  <c r="R4403" i="1"/>
  <c r="K4403" i="1"/>
  <c r="L4403" i="1" s="1"/>
  <c r="R4402" i="1"/>
  <c r="K4402" i="1"/>
  <c r="L4402" i="1" s="1"/>
  <c r="R4401" i="1"/>
  <c r="K4401" i="1"/>
  <c r="L4401" i="1" s="1"/>
  <c r="R4400" i="1"/>
  <c r="K4400" i="1"/>
  <c r="L4400" i="1" s="1"/>
  <c r="R4399" i="1"/>
  <c r="L4399" i="1"/>
  <c r="R4398" i="1"/>
  <c r="K4398" i="1"/>
  <c r="L4398" i="1" s="1"/>
  <c r="R4397" i="1"/>
  <c r="L4397" i="1"/>
  <c r="R4396" i="1"/>
  <c r="L4396" i="1"/>
  <c r="R4395" i="1"/>
  <c r="L4395" i="1"/>
  <c r="R4394" i="1"/>
  <c r="L4394" i="1"/>
  <c r="R4393" i="1"/>
  <c r="L4393" i="1"/>
  <c r="R4392" i="1"/>
  <c r="L4392" i="1"/>
  <c r="R4391" i="1"/>
  <c r="L4391" i="1"/>
  <c r="R4390" i="1"/>
  <c r="L4390" i="1"/>
  <c r="R4389" i="1"/>
  <c r="K4389" i="1"/>
  <c r="L4389" i="1" s="1"/>
  <c r="R4388" i="1"/>
  <c r="K4388" i="1"/>
  <c r="L4388" i="1" s="1"/>
  <c r="R4387" i="1"/>
  <c r="L4387" i="1"/>
  <c r="R4386" i="1"/>
  <c r="K4386" i="1"/>
  <c r="L4386" i="1" s="1"/>
  <c r="R4385" i="1"/>
  <c r="K4385" i="1"/>
  <c r="L4385" i="1" s="1"/>
  <c r="R4384" i="1"/>
  <c r="K4384" i="1"/>
  <c r="L4384" i="1" s="1"/>
  <c r="R4383" i="1"/>
  <c r="K4383" i="1"/>
  <c r="L4383" i="1" s="1"/>
  <c r="R4382" i="1"/>
  <c r="K4382" i="1"/>
  <c r="L4382" i="1" s="1"/>
  <c r="R4381" i="1"/>
  <c r="K4381" i="1"/>
  <c r="L4381" i="1" s="1"/>
  <c r="R4380" i="1"/>
  <c r="L4380" i="1"/>
  <c r="R4379" i="1"/>
  <c r="K4379" i="1"/>
  <c r="L4379" i="1" s="1"/>
  <c r="R4378" i="1"/>
  <c r="K4378" i="1"/>
  <c r="L4378" i="1" s="1"/>
  <c r="R4377" i="1"/>
  <c r="K4377" i="1"/>
  <c r="L4377" i="1" s="1"/>
  <c r="R4376" i="1"/>
  <c r="L4376" i="1"/>
  <c r="R4375" i="1"/>
  <c r="K4375" i="1"/>
  <c r="L4375" i="1" s="1"/>
  <c r="R4374" i="1"/>
  <c r="L4374" i="1"/>
  <c r="R4373" i="1"/>
  <c r="K4373" i="1"/>
  <c r="L4373" i="1" s="1"/>
  <c r="R4372" i="1"/>
  <c r="K4372" i="1"/>
  <c r="L4372" i="1" s="1"/>
  <c r="R4371" i="1"/>
  <c r="L4371" i="1"/>
  <c r="G4371" i="1"/>
  <c r="T4371" i="1" s="1"/>
  <c r="T4370" i="1"/>
  <c r="R4370" i="1"/>
  <c r="K4370" i="1"/>
  <c r="L4370" i="1" s="1"/>
  <c r="T4369" i="1"/>
  <c r="R4369" i="1"/>
  <c r="K4369" i="1"/>
  <c r="L4369" i="1" s="1"/>
  <c r="T4368" i="1"/>
  <c r="R4368" i="1"/>
  <c r="L4368" i="1"/>
  <c r="T4367" i="1"/>
  <c r="R4367" i="1"/>
  <c r="L4367" i="1"/>
  <c r="T4366" i="1"/>
  <c r="R4366" i="1"/>
  <c r="K4366" i="1"/>
  <c r="L4366" i="1" s="1"/>
  <c r="T4365" i="1"/>
  <c r="R4365" i="1"/>
  <c r="L4365" i="1"/>
  <c r="T4364" i="1"/>
  <c r="R4364" i="1"/>
  <c r="L4364" i="1"/>
  <c r="T4363" i="1"/>
  <c r="R4363" i="1"/>
  <c r="L4363" i="1"/>
  <c r="T4362" i="1"/>
  <c r="R4362" i="1"/>
  <c r="K4362" i="1"/>
  <c r="L4362" i="1" s="1"/>
  <c r="T4361" i="1"/>
  <c r="R4361" i="1"/>
  <c r="K4361" i="1"/>
  <c r="L4361" i="1" s="1"/>
  <c r="T4360" i="1"/>
  <c r="R4360" i="1"/>
  <c r="K4360" i="1"/>
  <c r="L4360" i="1" s="1"/>
  <c r="T4359" i="1"/>
  <c r="R4359" i="1"/>
  <c r="L4359" i="1"/>
  <c r="T4358" i="1"/>
  <c r="R4358" i="1"/>
  <c r="L4358" i="1"/>
  <c r="T4357" i="1"/>
  <c r="R4357" i="1"/>
  <c r="L4357" i="1"/>
  <c r="T4356" i="1"/>
  <c r="R4356" i="1"/>
  <c r="K4356" i="1"/>
  <c r="L4356" i="1" s="1"/>
  <c r="T4355" i="1"/>
  <c r="R4355" i="1"/>
  <c r="K4355" i="1"/>
  <c r="L4355" i="1" s="1"/>
  <c r="T4354" i="1"/>
  <c r="R4354" i="1"/>
  <c r="K4354" i="1"/>
  <c r="L4354" i="1" s="1"/>
  <c r="T4353" i="1"/>
  <c r="R4353" i="1"/>
  <c r="K4353" i="1"/>
  <c r="L4353" i="1" s="1"/>
  <c r="T4352" i="1"/>
  <c r="R4352" i="1"/>
  <c r="K4352" i="1"/>
  <c r="L4352" i="1" s="1"/>
  <c r="T4351" i="1"/>
  <c r="R4351" i="1"/>
  <c r="K4351" i="1"/>
  <c r="L4351" i="1" s="1"/>
  <c r="T4350" i="1"/>
  <c r="R4350" i="1"/>
  <c r="K4350" i="1"/>
  <c r="L4350" i="1" s="1"/>
  <c r="T4349" i="1"/>
  <c r="R4349" i="1"/>
  <c r="K4349" i="1"/>
  <c r="L4349" i="1" s="1"/>
  <c r="T4348" i="1"/>
  <c r="R4348" i="1"/>
  <c r="K4348" i="1"/>
  <c r="L4348" i="1" s="1"/>
  <c r="T4347" i="1"/>
  <c r="R4347" i="1"/>
  <c r="K4347" i="1"/>
  <c r="L4347" i="1" s="1"/>
  <c r="T4346" i="1"/>
  <c r="R4346" i="1"/>
  <c r="K4346" i="1"/>
  <c r="L4346" i="1" s="1"/>
  <c r="T4345" i="1"/>
  <c r="R4345" i="1"/>
  <c r="K4345" i="1"/>
  <c r="L4345" i="1" s="1"/>
  <c r="T4344" i="1"/>
  <c r="R4344" i="1"/>
  <c r="L4344" i="1"/>
  <c r="T4343" i="1"/>
  <c r="R4343" i="1"/>
  <c r="L4343" i="1"/>
  <c r="T4342" i="1"/>
  <c r="R4342" i="1"/>
  <c r="L4342" i="1"/>
  <c r="T4341" i="1"/>
  <c r="R4341" i="1"/>
  <c r="K4341" i="1"/>
  <c r="L4341" i="1" s="1"/>
  <c r="T4340" i="1"/>
  <c r="R4340" i="1"/>
  <c r="K4340" i="1"/>
  <c r="L4340" i="1" s="1"/>
  <c r="T4339" i="1"/>
  <c r="R4339" i="1"/>
  <c r="K4339" i="1"/>
  <c r="L4339" i="1" s="1"/>
  <c r="T4338" i="1"/>
  <c r="R4338" i="1"/>
  <c r="K4338" i="1"/>
  <c r="L4338" i="1" s="1"/>
  <c r="T4337" i="1"/>
  <c r="R4337" i="1"/>
  <c r="K4337" i="1"/>
  <c r="L4337" i="1" s="1"/>
  <c r="T4336" i="1"/>
  <c r="R4336" i="1"/>
  <c r="K4336" i="1"/>
  <c r="L4336" i="1" s="1"/>
  <c r="T4335" i="1"/>
  <c r="R4335" i="1"/>
  <c r="K4335" i="1"/>
  <c r="L4335" i="1" s="1"/>
  <c r="T4334" i="1"/>
  <c r="R4334" i="1"/>
  <c r="K4334" i="1"/>
  <c r="L4334" i="1" s="1"/>
  <c r="T4333" i="1"/>
  <c r="R4333" i="1"/>
  <c r="K4333" i="1"/>
  <c r="L4333" i="1" s="1"/>
  <c r="T4332" i="1"/>
  <c r="R4332" i="1"/>
  <c r="K4332" i="1"/>
  <c r="L4332" i="1" s="1"/>
  <c r="T4331" i="1"/>
  <c r="R4331" i="1"/>
  <c r="K4331" i="1"/>
  <c r="L4331" i="1" s="1"/>
  <c r="T4330" i="1"/>
  <c r="R4330" i="1"/>
  <c r="L4330" i="1"/>
  <c r="T4329" i="1"/>
  <c r="R4329" i="1"/>
  <c r="L4329" i="1"/>
  <c r="T4328" i="1"/>
  <c r="R4328" i="1"/>
  <c r="K4328" i="1"/>
  <c r="L4328" i="1" s="1"/>
  <c r="T4327" i="1"/>
  <c r="R4327" i="1"/>
  <c r="L4327" i="1"/>
  <c r="T4326" i="1"/>
  <c r="R4326" i="1"/>
  <c r="K4326" i="1"/>
  <c r="L4326" i="1" s="1"/>
  <c r="T4325" i="1"/>
  <c r="R4325" i="1"/>
  <c r="K4325" i="1"/>
  <c r="L4325" i="1" s="1"/>
  <c r="T4324" i="1"/>
  <c r="R4324" i="1"/>
  <c r="L4324" i="1"/>
  <c r="T4323" i="1"/>
  <c r="R4323" i="1"/>
  <c r="L4323" i="1"/>
  <c r="T4322" i="1"/>
  <c r="R4322" i="1"/>
  <c r="L4322" i="1"/>
  <c r="T4321" i="1"/>
  <c r="R4321" i="1"/>
  <c r="L4321" i="1"/>
  <c r="T4320" i="1"/>
  <c r="R4320" i="1"/>
  <c r="L4320" i="1"/>
  <c r="T4319" i="1"/>
  <c r="R4319" i="1"/>
  <c r="L4319" i="1"/>
  <c r="T4318" i="1"/>
  <c r="R4318" i="1"/>
  <c r="K4318" i="1"/>
  <c r="L4318" i="1" s="1"/>
  <c r="T4317" i="1"/>
  <c r="R4317" i="1"/>
  <c r="K4317" i="1"/>
  <c r="L4317" i="1" s="1"/>
  <c r="T4316" i="1"/>
  <c r="R4316" i="1"/>
  <c r="K4316" i="1"/>
  <c r="L4316" i="1" s="1"/>
  <c r="T4315" i="1"/>
  <c r="R4315" i="1"/>
  <c r="L4315" i="1"/>
  <c r="T4314" i="1"/>
  <c r="R4314" i="1"/>
  <c r="L4314" i="1"/>
  <c r="T4313" i="1"/>
  <c r="R4313" i="1"/>
  <c r="L4313" i="1"/>
  <c r="T4312" i="1"/>
  <c r="R4312" i="1"/>
  <c r="K4312" i="1"/>
  <c r="L4312" i="1" s="1"/>
  <c r="T4311" i="1"/>
  <c r="R4311" i="1"/>
  <c r="L4311" i="1"/>
  <c r="T4310" i="1"/>
  <c r="R4310" i="1"/>
  <c r="L4310" i="1"/>
  <c r="T4309" i="1"/>
  <c r="R4309" i="1"/>
  <c r="L4309" i="1"/>
  <c r="T4308" i="1"/>
  <c r="R4308" i="1"/>
  <c r="K4308" i="1"/>
  <c r="L4308" i="1" s="1"/>
  <c r="T4307" i="1"/>
  <c r="R4307" i="1"/>
  <c r="K4307" i="1"/>
  <c r="L4307" i="1" s="1"/>
  <c r="T4306" i="1"/>
  <c r="R4306" i="1"/>
  <c r="K4306" i="1"/>
  <c r="L4306" i="1" s="1"/>
  <c r="T4305" i="1"/>
  <c r="R4305" i="1"/>
  <c r="L4305" i="1"/>
  <c r="T4304" i="1"/>
  <c r="R4304" i="1"/>
  <c r="K4304" i="1"/>
  <c r="L4304" i="1" s="1"/>
  <c r="T4303" i="1"/>
  <c r="R4303" i="1"/>
  <c r="K4303" i="1"/>
  <c r="L4303" i="1" s="1"/>
  <c r="T4302" i="1"/>
  <c r="R4302" i="1"/>
  <c r="L4302" i="1"/>
  <c r="T4301" i="1"/>
  <c r="R4301" i="1"/>
  <c r="L4301" i="1"/>
  <c r="T4300" i="1"/>
  <c r="R4300" i="1"/>
  <c r="L4300" i="1"/>
  <c r="T4299" i="1"/>
  <c r="R4299" i="1"/>
  <c r="L4299" i="1"/>
  <c r="T4298" i="1"/>
  <c r="R4298" i="1"/>
  <c r="L4298" i="1"/>
  <c r="T4297" i="1"/>
  <c r="R4297" i="1"/>
  <c r="L4297" i="1"/>
  <c r="T4296" i="1"/>
  <c r="R4296" i="1"/>
  <c r="L4296" i="1"/>
  <c r="T4295" i="1"/>
  <c r="R4295" i="1"/>
  <c r="L4295" i="1"/>
  <c r="T4294" i="1"/>
  <c r="R4294" i="1"/>
  <c r="L4294" i="1"/>
  <c r="T4293" i="1"/>
  <c r="R4293" i="1"/>
  <c r="L4293" i="1"/>
  <c r="T4292" i="1"/>
  <c r="R4292" i="1"/>
  <c r="L4292" i="1"/>
  <c r="T4291" i="1"/>
  <c r="R4291" i="1"/>
  <c r="L4291" i="1"/>
  <c r="T4290" i="1"/>
  <c r="R4290" i="1"/>
  <c r="L4290" i="1"/>
  <c r="T4289" i="1"/>
  <c r="R4289" i="1"/>
  <c r="L4289" i="1"/>
  <c r="T4288" i="1"/>
  <c r="R4288" i="1"/>
  <c r="L4288" i="1"/>
  <c r="T4287" i="1"/>
  <c r="R4287" i="1"/>
  <c r="L4287" i="1"/>
  <c r="T4286" i="1"/>
  <c r="R4286" i="1"/>
  <c r="L4286" i="1"/>
  <c r="T4285" i="1"/>
  <c r="R4285" i="1"/>
  <c r="K4285" i="1"/>
  <c r="L4285" i="1" s="1"/>
  <c r="T4284" i="1"/>
  <c r="R4284" i="1"/>
  <c r="L4284" i="1"/>
  <c r="T4283" i="1"/>
  <c r="R4283" i="1"/>
  <c r="L4283" i="1"/>
  <c r="T4282" i="1"/>
  <c r="R4282" i="1"/>
  <c r="L4282" i="1"/>
  <c r="T4281" i="1"/>
  <c r="R4281" i="1"/>
  <c r="L4281" i="1"/>
  <c r="T4280" i="1"/>
  <c r="R4280" i="1"/>
  <c r="L4280" i="1"/>
  <c r="T4279" i="1"/>
  <c r="R4279" i="1"/>
  <c r="L4279" i="1"/>
  <c r="T4278" i="1"/>
  <c r="R4278" i="1"/>
  <c r="K4278" i="1"/>
  <c r="L4278" i="1" s="1"/>
  <c r="T4277" i="1"/>
  <c r="R4277" i="1"/>
  <c r="L4277" i="1"/>
  <c r="T4276" i="1"/>
  <c r="R4276" i="1"/>
  <c r="L4276" i="1"/>
  <c r="T4275" i="1"/>
  <c r="R4275" i="1"/>
  <c r="L4275" i="1"/>
  <c r="T4274" i="1"/>
  <c r="R4274" i="1"/>
  <c r="L4274" i="1"/>
  <c r="T4273" i="1"/>
  <c r="R4273" i="1"/>
  <c r="L4273" i="1"/>
  <c r="T4272" i="1"/>
  <c r="R4272" i="1"/>
  <c r="L4272" i="1"/>
  <c r="T4271" i="1"/>
  <c r="R4271" i="1"/>
  <c r="L4271" i="1"/>
  <c r="T4270" i="1"/>
  <c r="R4270" i="1"/>
  <c r="K4270" i="1"/>
  <c r="L4270" i="1" s="1"/>
  <c r="T4269" i="1"/>
  <c r="R4269" i="1"/>
  <c r="L4269" i="1"/>
  <c r="T4268" i="1"/>
  <c r="R4268" i="1"/>
  <c r="L4268" i="1"/>
  <c r="T4267" i="1"/>
  <c r="R4267" i="1"/>
  <c r="L4267" i="1"/>
  <c r="T4266" i="1"/>
  <c r="R4266" i="1"/>
  <c r="L4266" i="1"/>
  <c r="T4265" i="1"/>
  <c r="R4265" i="1"/>
  <c r="L4265" i="1"/>
  <c r="T4264" i="1"/>
  <c r="R4264" i="1"/>
  <c r="L4264" i="1"/>
  <c r="T4263" i="1"/>
  <c r="R4263" i="1"/>
  <c r="L4263" i="1"/>
  <c r="T4262" i="1"/>
  <c r="R4262" i="1"/>
  <c r="K4262" i="1"/>
  <c r="L4262" i="1" s="1"/>
  <c r="T4261" i="1"/>
  <c r="R4261" i="1"/>
  <c r="K4261" i="1"/>
  <c r="L4261" i="1" s="1"/>
  <c r="T4260" i="1"/>
  <c r="R4260" i="1"/>
  <c r="L4260" i="1"/>
  <c r="T4259" i="1"/>
  <c r="R4259" i="1"/>
  <c r="L4259" i="1"/>
  <c r="T4258" i="1"/>
  <c r="R4258" i="1"/>
  <c r="L4258" i="1"/>
  <c r="T4257" i="1"/>
  <c r="R4257" i="1"/>
  <c r="L4257" i="1"/>
  <c r="T4256" i="1"/>
  <c r="R4256" i="1"/>
  <c r="L4256" i="1"/>
  <c r="T4255" i="1"/>
  <c r="R4255" i="1"/>
  <c r="L4255" i="1"/>
  <c r="T4254" i="1"/>
  <c r="R4254" i="1"/>
  <c r="K4254" i="1"/>
  <c r="L4254" i="1" s="1"/>
  <c r="T4253" i="1"/>
  <c r="R4253" i="1"/>
  <c r="L4253" i="1"/>
  <c r="T4252" i="1"/>
  <c r="R4252" i="1"/>
  <c r="L4252" i="1"/>
  <c r="T4251" i="1"/>
  <c r="R4251" i="1"/>
  <c r="L4251" i="1"/>
  <c r="T4250" i="1"/>
  <c r="R4250" i="1"/>
  <c r="L4250" i="1"/>
  <c r="T4249" i="1"/>
  <c r="R4249" i="1"/>
  <c r="L4249" i="1"/>
  <c r="R4248" i="1"/>
  <c r="L4248" i="1"/>
  <c r="R4247" i="1"/>
  <c r="L4247" i="1"/>
  <c r="T4246" i="1"/>
  <c r="R4246" i="1"/>
  <c r="L4246" i="1"/>
  <c r="T4245" i="1"/>
  <c r="R4245" i="1"/>
  <c r="L4245" i="1"/>
  <c r="T4244" i="1"/>
  <c r="R4244" i="1"/>
  <c r="L4244" i="1"/>
  <c r="T4243" i="1"/>
  <c r="R4243" i="1"/>
  <c r="L4243" i="1"/>
  <c r="T4242" i="1"/>
  <c r="R4242" i="1"/>
  <c r="L4242" i="1"/>
  <c r="R4241" i="1"/>
  <c r="O4241" i="1"/>
  <c r="L4241" i="1"/>
  <c r="R4240" i="1"/>
  <c r="O4240" i="1"/>
  <c r="L4240" i="1"/>
  <c r="T4239" i="1"/>
  <c r="R4239" i="1"/>
  <c r="L4239" i="1"/>
  <c r="T4238" i="1"/>
  <c r="R4238" i="1"/>
  <c r="L4238" i="1"/>
  <c r="T4237" i="1"/>
  <c r="R4237" i="1"/>
  <c r="L4237" i="1"/>
  <c r="R4236" i="1"/>
  <c r="L4236" i="1"/>
  <c r="R4235" i="1"/>
  <c r="L4235" i="1"/>
  <c r="R4234" i="1"/>
  <c r="L4234" i="1"/>
  <c r="R4233" i="1"/>
  <c r="L4233" i="1"/>
  <c r="R4232" i="1"/>
  <c r="O4232" i="1"/>
  <c r="L4232" i="1"/>
  <c r="R4231" i="1"/>
  <c r="O4231" i="1"/>
  <c r="L4231" i="1"/>
  <c r="R4230" i="1"/>
  <c r="O4230" i="1"/>
  <c r="L4230" i="1"/>
  <c r="R4229" i="1"/>
  <c r="O4229" i="1"/>
  <c r="L4229" i="1"/>
  <c r="R4228" i="1"/>
  <c r="O4228" i="1"/>
  <c r="L4228" i="1"/>
  <c r="R4227" i="1"/>
  <c r="O4227" i="1"/>
  <c r="L4227" i="1"/>
  <c r="R4226" i="1"/>
  <c r="L4226" i="1"/>
  <c r="R4225" i="1"/>
  <c r="L4225" i="1"/>
  <c r="R4224" i="1"/>
  <c r="L4224" i="1"/>
  <c r="R4223" i="1"/>
  <c r="L4223" i="1"/>
  <c r="R4222" i="1"/>
  <c r="L4222" i="1"/>
  <c r="R4221" i="1"/>
  <c r="L4221" i="1"/>
  <c r="R4220" i="1"/>
  <c r="L4220" i="1"/>
  <c r="R4219" i="1"/>
  <c r="L4219" i="1"/>
  <c r="R4218" i="1"/>
  <c r="K4218" i="1"/>
  <c r="L4218" i="1" s="1"/>
  <c r="R4217" i="1"/>
  <c r="K4217" i="1"/>
  <c r="L4217" i="1" s="1"/>
  <c r="R4216" i="1"/>
  <c r="L4216" i="1"/>
  <c r="R4215" i="1"/>
  <c r="L4215" i="1"/>
  <c r="R4214" i="1"/>
  <c r="L4214" i="1"/>
  <c r="R4213" i="1"/>
  <c r="L4213" i="1"/>
  <c r="R4212" i="1"/>
  <c r="L4212" i="1"/>
  <c r="R4211" i="1"/>
  <c r="L4211" i="1"/>
  <c r="R4210" i="1"/>
  <c r="L4210" i="1"/>
  <c r="R4209" i="1"/>
  <c r="L4209" i="1"/>
  <c r="R4208" i="1"/>
  <c r="L4208" i="1"/>
  <c r="R4207" i="1"/>
  <c r="L4207" i="1"/>
  <c r="R4206" i="1"/>
  <c r="L4206" i="1"/>
  <c r="R4205" i="1"/>
  <c r="K4205" i="1"/>
  <c r="L4205" i="1" s="1"/>
  <c r="R4204" i="1"/>
  <c r="L4204" i="1"/>
  <c r="R4203" i="1"/>
  <c r="K4203" i="1"/>
  <c r="L4203" i="1" s="1"/>
  <c r="R4202" i="1"/>
  <c r="L4202" i="1"/>
  <c r="R4201" i="1"/>
  <c r="K4201" i="1"/>
  <c r="L4201" i="1" s="1"/>
  <c r="R4200" i="1"/>
  <c r="K4200" i="1"/>
  <c r="L4200" i="1" s="1"/>
  <c r="R4199" i="1"/>
  <c r="L4199" i="1"/>
  <c r="R4198" i="1"/>
  <c r="L4198" i="1"/>
  <c r="R4197" i="1"/>
  <c r="L4197" i="1"/>
  <c r="R4196" i="1"/>
  <c r="L4196" i="1"/>
  <c r="R4195" i="1"/>
  <c r="L4195" i="1"/>
  <c r="T4194" i="1"/>
  <c r="R4194" i="1"/>
  <c r="L4194" i="1"/>
  <c r="T4193" i="1"/>
  <c r="R4193" i="1"/>
  <c r="L4193" i="1"/>
  <c r="R4192" i="1"/>
  <c r="L4192" i="1"/>
  <c r="G4192" i="1"/>
  <c r="T4192" i="1" s="1"/>
  <c r="R4191" i="1"/>
  <c r="L4191" i="1"/>
  <c r="G4191" i="1"/>
  <c r="T4191" i="1" s="1"/>
  <c r="R4190" i="1"/>
  <c r="L4190" i="1"/>
  <c r="G4190" i="1"/>
  <c r="T4190" i="1" s="1"/>
  <c r="T4189" i="1"/>
  <c r="R4189" i="1"/>
  <c r="L4189" i="1"/>
  <c r="T4188" i="1"/>
  <c r="R4188" i="1"/>
  <c r="L4188" i="1"/>
  <c r="T4187" i="1"/>
  <c r="R4187" i="1"/>
  <c r="L4187" i="1"/>
  <c r="T4186" i="1"/>
  <c r="R4186" i="1"/>
  <c r="L4186" i="1"/>
  <c r="T4185" i="1"/>
  <c r="R4185" i="1"/>
  <c r="L4185" i="1"/>
  <c r="T4184" i="1"/>
  <c r="R4184" i="1"/>
  <c r="L4184" i="1"/>
  <c r="T4183" i="1"/>
  <c r="R4183" i="1"/>
  <c r="L4183" i="1"/>
  <c r="T4182" i="1"/>
  <c r="R4182" i="1"/>
  <c r="L4182" i="1"/>
  <c r="T4181" i="1"/>
  <c r="R4181" i="1"/>
  <c r="K4181" i="1"/>
  <c r="L4181" i="1" s="1"/>
  <c r="T4180" i="1"/>
  <c r="R4180" i="1"/>
  <c r="K4180" i="1"/>
  <c r="L4180" i="1" s="1"/>
  <c r="T4179" i="1"/>
  <c r="R4179" i="1"/>
  <c r="L4179" i="1"/>
  <c r="T4178" i="1"/>
  <c r="R4178" i="1"/>
  <c r="K4178" i="1"/>
  <c r="L4178" i="1" s="1"/>
  <c r="T4177" i="1"/>
  <c r="R4177" i="1"/>
  <c r="L4177" i="1"/>
  <c r="T4176" i="1"/>
  <c r="R4176" i="1"/>
  <c r="K4176" i="1"/>
  <c r="L4176" i="1" s="1"/>
  <c r="T4175" i="1"/>
  <c r="R4175" i="1"/>
  <c r="K4175" i="1"/>
  <c r="L4175" i="1" s="1"/>
  <c r="T4174" i="1"/>
  <c r="R4174" i="1"/>
  <c r="K4174" i="1"/>
  <c r="L4174" i="1" s="1"/>
  <c r="T4173" i="1"/>
  <c r="R4173" i="1"/>
  <c r="L4173" i="1"/>
  <c r="T4172" i="1"/>
  <c r="R4172" i="1"/>
  <c r="L4172" i="1"/>
  <c r="T4171" i="1"/>
  <c r="R4171" i="1"/>
  <c r="K4171" i="1"/>
  <c r="L4171" i="1" s="1"/>
  <c r="T4170" i="1"/>
  <c r="R4170" i="1"/>
  <c r="L4170" i="1"/>
  <c r="T4169" i="1"/>
  <c r="R4169" i="1"/>
  <c r="L4169" i="1"/>
  <c r="T4168" i="1"/>
  <c r="R4168" i="1"/>
  <c r="L4168" i="1"/>
  <c r="T4167" i="1"/>
  <c r="R4167" i="1"/>
  <c r="L4167" i="1"/>
  <c r="T4166" i="1"/>
  <c r="R4166" i="1"/>
  <c r="K4166" i="1"/>
  <c r="L4166" i="1" s="1"/>
  <c r="T4165" i="1"/>
  <c r="R4165" i="1"/>
  <c r="L4165" i="1"/>
  <c r="T4164" i="1"/>
  <c r="R4164" i="1"/>
  <c r="L4164" i="1"/>
  <c r="T4163" i="1"/>
  <c r="R4163" i="1"/>
  <c r="L4163" i="1"/>
  <c r="T4162" i="1"/>
  <c r="R4162" i="1"/>
  <c r="L4162" i="1"/>
  <c r="T4161" i="1"/>
  <c r="R4161" i="1"/>
  <c r="L4161" i="1"/>
  <c r="T4160" i="1"/>
  <c r="R4160" i="1"/>
  <c r="L4160" i="1"/>
  <c r="T4159" i="1"/>
  <c r="R4159" i="1"/>
  <c r="L4159" i="1"/>
  <c r="T4158" i="1"/>
  <c r="R4158" i="1"/>
  <c r="K4158" i="1"/>
  <c r="L4158" i="1" s="1"/>
  <c r="T4157" i="1"/>
  <c r="R4157" i="1"/>
  <c r="K4157" i="1"/>
  <c r="L4157" i="1" s="1"/>
  <c r="T4156" i="1"/>
  <c r="R4156" i="1"/>
  <c r="L4156" i="1"/>
  <c r="T4155" i="1"/>
  <c r="R4155" i="1"/>
  <c r="L4155" i="1"/>
  <c r="T4154" i="1"/>
  <c r="R4154" i="1"/>
  <c r="K4154" i="1"/>
  <c r="L4154" i="1" s="1"/>
  <c r="T4153" i="1"/>
  <c r="R4153" i="1"/>
  <c r="K4153" i="1"/>
  <c r="L4153" i="1" s="1"/>
  <c r="T4152" i="1"/>
  <c r="R4152" i="1"/>
  <c r="L4152" i="1"/>
  <c r="T4151" i="1"/>
  <c r="R4151" i="1"/>
  <c r="L4151" i="1"/>
  <c r="T4150" i="1"/>
  <c r="R4150" i="1"/>
  <c r="L4150" i="1"/>
  <c r="T4149" i="1"/>
  <c r="R4149" i="1"/>
  <c r="L4149" i="1"/>
  <c r="T4148" i="1"/>
  <c r="R4148" i="1"/>
  <c r="K4148" i="1"/>
  <c r="L4148" i="1" s="1"/>
  <c r="T4147" i="1"/>
  <c r="R4147" i="1"/>
  <c r="K4147" i="1"/>
  <c r="L4147" i="1" s="1"/>
  <c r="T4146" i="1"/>
  <c r="R4146" i="1"/>
  <c r="K4146" i="1"/>
  <c r="L4146" i="1" s="1"/>
  <c r="T4145" i="1"/>
  <c r="R4145" i="1"/>
  <c r="K4145" i="1"/>
  <c r="L4145" i="1" s="1"/>
  <c r="T4144" i="1"/>
  <c r="R4144" i="1"/>
  <c r="K4144" i="1"/>
  <c r="L4144" i="1" s="1"/>
  <c r="T4143" i="1"/>
  <c r="R4143" i="1"/>
  <c r="K4143" i="1"/>
  <c r="L4143" i="1" s="1"/>
  <c r="T4142" i="1"/>
  <c r="R4142" i="1"/>
  <c r="K4142" i="1"/>
  <c r="L4142" i="1" s="1"/>
  <c r="T4141" i="1"/>
  <c r="R4141" i="1"/>
  <c r="K4141" i="1"/>
  <c r="L4141" i="1" s="1"/>
  <c r="T4140" i="1"/>
  <c r="R4140" i="1"/>
  <c r="K4140" i="1"/>
  <c r="L4140" i="1" s="1"/>
  <c r="T4139" i="1"/>
  <c r="R4139" i="1"/>
  <c r="K4139" i="1"/>
  <c r="L4139" i="1" s="1"/>
  <c r="T4138" i="1"/>
  <c r="R4138" i="1"/>
  <c r="K4138" i="1"/>
  <c r="L4138" i="1" s="1"/>
  <c r="T4137" i="1"/>
  <c r="R4137" i="1"/>
  <c r="K4137" i="1"/>
  <c r="L4137" i="1" s="1"/>
  <c r="T4136" i="1"/>
  <c r="R4136" i="1"/>
  <c r="K4136" i="1"/>
  <c r="L4136" i="1" s="1"/>
  <c r="T4135" i="1"/>
  <c r="R4135" i="1"/>
  <c r="K4135" i="1"/>
  <c r="L4135" i="1" s="1"/>
  <c r="T4134" i="1"/>
  <c r="R4134" i="1"/>
  <c r="K4134" i="1"/>
  <c r="L4134" i="1" s="1"/>
  <c r="U4134" i="1" s="1"/>
  <c r="T4133" i="1"/>
  <c r="R4133" i="1"/>
  <c r="L4133" i="1"/>
  <c r="T4132" i="1"/>
  <c r="R4132" i="1"/>
  <c r="K4132" i="1"/>
  <c r="L4132" i="1" s="1"/>
  <c r="T4131" i="1"/>
  <c r="R4131" i="1"/>
  <c r="K4131" i="1"/>
  <c r="L4131" i="1" s="1"/>
  <c r="T4130" i="1"/>
  <c r="R4130" i="1"/>
  <c r="L4130" i="1"/>
  <c r="T4129" i="1"/>
  <c r="R4129" i="1"/>
  <c r="L4129" i="1"/>
  <c r="T4128" i="1"/>
  <c r="R4128" i="1"/>
  <c r="L4128" i="1"/>
  <c r="T4127" i="1"/>
  <c r="R4127" i="1"/>
  <c r="K4127" i="1"/>
  <c r="L4127" i="1" s="1"/>
  <c r="T4126" i="1"/>
  <c r="R4126" i="1"/>
  <c r="L4126" i="1"/>
  <c r="T4125" i="1"/>
  <c r="R4125" i="1"/>
  <c r="K4125" i="1"/>
  <c r="L4125" i="1" s="1"/>
  <c r="T4124" i="1"/>
  <c r="R4124" i="1"/>
  <c r="K4124" i="1"/>
  <c r="L4124" i="1" s="1"/>
  <c r="T4123" i="1"/>
  <c r="R4123" i="1"/>
  <c r="K4123" i="1"/>
  <c r="L4123" i="1" s="1"/>
  <c r="T4122" i="1"/>
  <c r="R4122" i="1"/>
  <c r="L4122" i="1"/>
  <c r="T4121" i="1"/>
  <c r="R4121" i="1"/>
  <c r="K4121" i="1"/>
  <c r="L4121" i="1" s="1"/>
  <c r="T4120" i="1"/>
  <c r="R4120" i="1"/>
  <c r="K4120" i="1"/>
  <c r="L4120" i="1" s="1"/>
  <c r="T4119" i="1"/>
  <c r="R4119" i="1"/>
  <c r="L4119" i="1"/>
  <c r="T4118" i="1"/>
  <c r="R4118" i="1"/>
  <c r="L4118" i="1"/>
  <c r="T4117" i="1"/>
  <c r="R4117" i="1"/>
  <c r="L4117" i="1"/>
  <c r="T4116" i="1"/>
  <c r="R4116" i="1"/>
  <c r="K4116" i="1"/>
  <c r="L4116" i="1" s="1"/>
  <c r="T4115" i="1"/>
  <c r="R4115" i="1"/>
  <c r="L4115" i="1"/>
  <c r="T4114" i="1"/>
  <c r="R4114" i="1"/>
  <c r="L4114" i="1"/>
  <c r="T4113" i="1"/>
  <c r="R4113" i="1"/>
  <c r="L4113" i="1"/>
  <c r="T4112" i="1"/>
  <c r="R4112" i="1"/>
  <c r="L4112" i="1"/>
  <c r="T4111" i="1"/>
  <c r="R4111" i="1"/>
  <c r="K4111" i="1"/>
  <c r="L4111" i="1" s="1"/>
  <c r="T4110" i="1"/>
  <c r="R4110" i="1"/>
  <c r="L4110" i="1"/>
  <c r="T4109" i="1"/>
  <c r="R4109" i="1"/>
  <c r="L4109" i="1"/>
  <c r="T4108" i="1"/>
  <c r="R4108" i="1"/>
  <c r="L4108" i="1"/>
  <c r="T4107" i="1"/>
  <c r="R4107" i="1"/>
  <c r="L4107" i="1"/>
  <c r="T4106" i="1"/>
  <c r="R4106" i="1"/>
  <c r="L4106" i="1"/>
  <c r="T4105" i="1"/>
  <c r="R4105" i="1"/>
  <c r="L4105" i="1"/>
  <c r="T4104" i="1"/>
  <c r="R4104" i="1"/>
  <c r="L4104" i="1"/>
  <c r="T4103" i="1"/>
  <c r="R4103" i="1"/>
  <c r="L4103" i="1"/>
  <c r="T4102" i="1"/>
  <c r="R4102" i="1"/>
  <c r="L4102" i="1"/>
  <c r="T4101" i="1"/>
  <c r="R4101" i="1"/>
  <c r="L4101" i="1"/>
  <c r="T4100" i="1"/>
  <c r="R4100" i="1"/>
  <c r="L4100" i="1"/>
  <c r="T4099" i="1"/>
  <c r="R4099" i="1"/>
  <c r="L4099" i="1"/>
  <c r="T4098" i="1"/>
  <c r="R4098" i="1"/>
  <c r="L4098" i="1"/>
  <c r="T4097" i="1"/>
  <c r="R4097" i="1"/>
  <c r="L4097" i="1"/>
  <c r="T4096" i="1"/>
  <c r="R4096" i="1"/>
  <c r="L4096" i="1"/>
  <c r="R4095" i="1"/>
  <c r="K4095" i="1"/>
  <c r="L4095" i="1" s="1"/>
  <c r="T4094" i="1"/>
  <c r="R4094" i="1"/>
  <c r="L4094" i="1"/>
  <c r="T4093" i="1"/>
  <c r="R4093" i="1"/>
  <c r="L4093" i="1"/>
  <c r="T4092" i="1"/>
  <c r="R4092" i="1"/>
  <c r="L4092" i="1"/>
  <c r="R4091" i="1"/>
  <c r="L4091" i="1"/>
  <c r="T4090" i="1"/>
  <c r="R4090" i="1"/>
  <c r="L4090" i="1"/>
  <c r="R4089" i="1"/>
  <c r="O4089" i="1"/>
  <c r="L4089" i="1"/>
  <c r="T4088" i="1"/>
  <c r="R4088" i="1"/>
  <c r="L4088" i="1"/>
  <c r="T4087" i="1"/>
  <c r="R4087" i="1"/>
  <c r="L4087" i="1"/>
  <c r="T4086" i="1"/>
  <c r="R4086" i="1"/>
  <c r="L4086" i="1"/>
  <c r="T4085" i="1"/>
  <c r="R4085" i="1"/>
  <c r="L4085" i="1"/>
  <c r="T4084" i="1"/>
  <c r="R4084" i="1"/>
  <c r="L4084" i="1"/>
  <c r="T4083" i="1"/>
  <c r="R4083" i="1"/>
  <c r="L4083" i="1"/>
  <c r="T4082" i="1"/>
  <c r="R4082" i="1"/>
  <c r="L4082" i="1"/>
  <c r="T4081" i="1"/>
  <c r="R4081" i="1"/>
  <c r="L4081" i="1"/>
  <c r="T4080" i="1"/>
  <c r="R4080" i="1"/>
  <c r="L4080" i="1"/>
  <c r="T4079" i="1"/>
  <c r="R4079" i="1"/>
  <c r="L4079" i="1"/>
  <c r="R4078" i="1"/>
  <c r="L4078" i="1"/>
  <c r="R4077" i="1"/>
  <c r="L4077" i="1"/>
  <c r="T4076" i="1"/>
  <c r="R4076" i="1"/>
  <c r="L4076" i="1"/>
  <c r="T4075" i="1"/>
  <c r="R4075" i="1"/>
  <c r="L4075" i="1"/>
  <c r="R4074" i="1"/>
  <c r="L4074" i="1"/>
  <c r="R4073" i="1"/>
  <c r="L4073" i="1"/>
  <c r="T4072" i="1"/>
  <c r="R4072" i="1"/>
  <c r="L4072" i="1"/>
  <c r="R4071" i="1"/>
  <c r="L4071" i="1"/>
  <c r="T4070" i="1"/>
  <c r="R4070" i="1"/>
  <c r="L4070" i="1"/>
  <c r="R4069" i="1"/>
  <c r="L4069" i="1"/>
  <c r="R4068" i="1"/>
  <c r="O4068" i="1"/>
  <c r="L4068" i="1"/>
  <c r="R4067" i="1"/>
  <c r="L4067" i="1"/>
  <c r="T4066" i="1"/>
  <c r="R4066" i="1"/>
  <c r="L4066" i="1"/>
  <c r="T4065" i="1"/>
  <c r="R4065" i="1"/>
  <c r="L4065" i="1"/>
  <c r="R4064" i="1"/>
  <c r="O4064" i="1"/>
  <c r="L4064" i="1"/>
  <c r="T4063" i="1"/>
  <c r="R4063" i="1"/>
  <c r="L4063" i="1"/>
  <c r="R4062" i="1"/>
  <c r="L4062" i="1"/>
  <c r="T4061" i="1"/>
  <c r="R4061" i="1"/>
  <c r="L4061" i="1"/>
  <c r="T4060" i="1"/>
  <c r="R4060" i="1"/>
  <c r="L4060" i="1"/>
  <c r="T4059" i="1"/>
  <c r="R4059" i="1"/>
  <c r="L4059" i="1"/>
  <c r="T4058" i="1"/>
  <c r="R4058" i="1"/>
  <c r="L4058" i="1"/>
  <c r="T4057" i="1"/>
  <c r="R4057" i="1"/>
  <c r="L4057" i="1"/>
  <c r="T4056" i="1"/>
  <c r="R4056" i="1"/>
  <c r="L4056" i="1"/>
  <c r="T4055" i="1"/>
  <c r="R4055" i="1"/>
  <c r="L4055" i="1"/>
  <c r="I4055" i="1"/>
  <c r="T4054" i="1"/>
  <c r="R4054" i="1"/>
  <c r="L4054" i="1"/>
  <c r="I4054" i="1"/>
  <c r="T4053" i="1"/>
  <c r="R4053" i="1"/>
  <c r="L4053" i="1"/>
  <c r="I4053" i="1"/>
  <c r="T4052" i="1"/>
  <c r="R4052" i="1"/>
  <c r="L4052" i="1"/>
  <c r="I4052" i="1"/>
  <c r="T4051" i="1"/>
  <c r="R4051" i="1"/>
  <c r="L4051" i="1"/>
  <c r="I4051" i="1"/>
  <c r="T4050" i="1"/>
  <c r="R4050" i="1"/>
  <c r="L4050" i="1"/>
  <c r="I4050" i="1"/>
  <c r="T4049" i="1"/>
  <c r="R4049" i="1"/>
  <c r="L4049" i="1"/>
  <c r="I4049" i="1"/>
  <c r="T4048" i="1"/>
  <c r="R4048" i="1"/>
  <c r="L4048" i="1"/>
  <c r="I4048" i="1"/>
  <c r="T4047" i="1"/>
  <c r="R4047" i="1"/>
  <c r="L4047" i="1"/>
  <c r="T4046" i="1"/>
  <c r="R4046" i="1"/>
  <c r="L4046" i="1"/>
  <c r="R4045" i="1"/>
  <c r="L4045" i="1"/>
  <c r="R4044" i="1"/>
  <c r="L4044" i="1"/>
  <c r="R4043" i="1"/>
  <c r="L4043" i="1"/>
  <c r="R4042" i="1"/>
  <c r="O4042" i="1"/>
  <c r="L4042" i="1"/>
  <c r="R4041" i="1"/>
  <c r="O4041" i="1"/>
  <c r="L4041" i="1"/>
  <c r="R4040" i="1"/>
  <c r="O4040" i="1"/>
  <c r="L4040" i="1"/>
  <c r="R4039" i="1"/>
  <c r="O4039" i="1"/>
  <c r="L4039" i="1"/>
  <c r="R4038" i="1"/>
  <c r="O4038" i="1"/>
  <c r="L4038" i="1"/>
  <c r="R4037" i="1"/>
  <c r="L4037" i="1"/>
  <c r="R4036" i="1"/>
  <c r="L4036" i="1"/>
  <c r="R4035" i="1"/>
  <c r="L4035" i="1"/>
  <c r="R4034" i="1"/>
  <c r="L4034" i="1"/>
  <c r="R4033" i="1"/>
  <c r="L4033" i="1"/>
  <c r="R4032" i="1"/>
  <c r="L4032" i="1"/>
  <c r="R4031" i="1"/>
  <c r="L4031" i="1"/>
  <c r="R4030" i="1"/>
  <c r="L4030" i="1"/>
  <c r="R4029" i="1"/>
  <c r="L4029" i="1"/>
  <c r="I4029" i="1"/>
  <c r="R4028" i="1"/>
  <c r="L4028" i="1"/>
  <c r="I4028" i="1"/>
  <c r="R4027" i="1"/>
  <c r="L4027" i="1"/>
  <c r="I4027" i="1"/>
  <c r="R4026" i="1"/>
  <c r="L4026" i="1"/>
  <c r="R4025" i="1"/>
  <c r="L4025" i="1"/>
  <c r="R4024" i="1"/>
  <c r="L4024" i="1"/>
  <c r="R4023" i="1"/>
  <c r="L4023" i="1"/>
  <c r="R4022" i="1"/>
  <c r="L4022" i="1"/>
  <c r="R4021" i="1"/>
  <c r="L4021" i="1"/>
  <c r="R4020" i="1"/>
  <c r="L4020" i="1"/>
  <c r="R4019" i="1"/>
  <c r="L4019" i="1"/>
  <c r="R4018" i="1"/>
  <c r="L4018" i="1"/>
  <c r="R4017" i="1"/>
  <c r="L4017" i="1"/>
  <c r="R4016" i="1"/>
  <c r="L4016" i="1"/>
  <c r="W4015" i="1"/>
  <c r="R4015" i="1"/>
  <c r="L4015" i="1"/>
  <c r="G4015" i="1"/>
  <c r="T4015" i="1" s="1"/>
  <c r="R4014" i="1"/>
  <c r="L4014" i="1"/>
  <c r="G4014" i="1"/>
  <c r="T4014" i="1" s="1"/>
  <c r="R4013" i="1"/>
  <c r="L4013" i="1"/>
  <c r="G4013" i="1"/>
  <c r="T4013" i="1" s="1"/>
  <c r="R4012" i="1"/>
  <c r="L4012" i="1"/>
  <c r="G4012" i="1"/>
  <c r="T4012" i="1" s="1"/>
  <c r="R4011" i="1"/>
  <c r="L4011" i="1"/>
  <c r="G4011" i="1"/>
  <c r="T4011" i="1" s="1"/>
  <c r="T4010" i="1"/>
  <c r="R4010" i="1"/>
  <c r="L4010" i="1"/>
  <c r="T4009" i="1"/>
  <c r="R4009" i="1"/>
  <c r="L4009" i="1"/>
  <c r="T4008" i="1"/>
  <c r="R4008" i="1"/>
  <c r="L4008" i="1"/>
  <c r="T4007" i="1"/>
  <c r="R4007" i="1"/>
  <c r="L4007" i="1"/>
  <c r="T4006" i="1"/>
  <c r="R4006" i="1"/>
  <c r="L4006" i="1"/>
  <c r="T4005" i="1"/>
  <c r="R4005" i="1"/>
  <c r="L4005" i="1"/>
  <c r="T4004" i="1"/>
  <c r="R4004" i="1"/>
  <c r="L4004" i="1"/>
  <c r="T4003" i="1"/>
  <c r="R4003" i="1"/>
  <c r="L4003" i="1"/>
  <c r="T4002" i="1"/>
  <c r="R4002" i="1"/>
  <c r="L4002" i="1"/>
  <c r="T4001" i="1"/>
  <c r="R4001" i="1"/>
  <c r="L4001" i="1"/>
  <c r="T4000" i="1"/>
  <c r="R4000" i="1"/>
  <c r="L4000" i="1"/>
  <c r="T3999" i="1"/>
  <c r="R3999" i="1"/>
  <c r="L3999" i="1"/>
  <c r="T3998" i="1"/>
  <c r="R3998" i="1"/>
  <c r="L3998" i="1"/>
  <c r="R3997" i="1"/>
  <c r="L3997" i="1"/>
  <c r="T3996" i="1"/>
  <c r="R3996" i="1"/>
  <c r="L3996" i="1"/>
  <c r="T3995" i="1"/>
  <c r="R3995" i="1"/>
  <c r="K3995" i="1"/>
  <c r="L3995" i="1" s="1"/>
  <c r="T3994" i="1"/>
  <c r="R3994" i="1"/>
  <c r="L3994" i="1"/>
  <c r="T3993" i="1"/>
  <c r="R3993" i="1"/>
  <c r="L3993" i="1"/>
  <c r="R3992" i="1"/>
  <c r="L3992" i="1"/>
  <c r="T3991" i="1"/>
  <c r="R3991" i="1"/>
  <c r="L3991" i="1"/>
  <c r="T3990" i="1"/>
  <c r="R3990" i="1"/>
  <c r="L3990" i="1"/>
  <c r="T3989" i="1"/>
  <c r="R3989" i="1"/>
  <c r="L3989" i="1"/>
  <c r="R3988" i="1"/>
  <c r="L3988" i="1"/>
  <c r="T3987" i="1"/>
  <c r="R3987" i="1"/>
  <c r="L3987" i="1"/>
  <c r="T3986" i="1"/>
  <c r="R3986" i="1"/>
  <c r="L3986" i="1"/>
  <c r="R3985" i="1"/>
  <c r="L3985" i="1"/>
  <c r="R3984" i="1"/>
  <c r="L3984" i="1"/>
  <c r="R3983" i="1"/>
  <c r="L3983" i="1"/>
  <c r="G3983" i="1"/>
  <c r="T3983" i="1" s="1"/>
  <c r="R3982" i="1"/>
  <c r="L3982" i="1"/>
  <c r="G3982" i="1"/>
  <c r="T3982" i="1" s="1"/>
  <c r="T3981" i="1"/>
  <c r="R3981" i="1"/>
  <c r="L3981" i="1"/>
  <c r="R3980" i="1"/>
  <c r="O3980" i="1"/>
  <c r="L3980" i="1"/>
  <c r="R3979" i="1"/>
  <c r="L3979" i="1"/>
  <c r="T3978" i="1"/>
  <c r="R3978" i="1"/>
  <c r="L3978" i="1"/>
  <c r="T3977" i="1"/>
  <c r="R3977" i="1"/>
  <c r="L3977" i="1"/>
  <c r="R3976" i="1"/>
  <c r="L3976" i="1"/>
  <c r="T3975" i="1"/>
  <c r="R3975" i="1"/>
  <c r="L3975" i="1"/>
  <c r="T3974" i="1"/>
  <c r="R3974" i="1"/>
  <c r="L3974" i="1"/>
  <c r="T3973" i="1"/>
  <c r="R3973" i="1"/>
  <c r="L3973" i="1"/>
  <c r="T3972" i="1"/>
  <c r="R3972" i="1"/>
  <c r="L3972" i="1"/>
  <c r="T3971" i="1"/>
  <c r="R3971" i="1"/>
  <c r="L3971" i="1"/>
  <c r="T3970" i="1"/>
  <c r="R3970" i="1"/>
  <c r="L3970" i="1"/>
  <c r="R3969" i="1"/>
  <c r="L3969" i="1"/>
  <c r="R3968" i="1"/>
  <c r="O3968" i="1"/>
  <c r="K3968" i="1"/>
  <c r="L3968" i="1" s="1"/>
  <c r="R3967" i="1"/>
  <c r="O3967" i="1"/>
  <c r="K3967" i="1"/>
  <c r="L3967" i="1" s="1"/>
  <c r="R3966" i="1"/>
  <c r="O3966" i="1"/>
  <c r="K3966" i="1"/>
  <c r="L3966" i="1" s="1"/>
  <c r="R3965" i="1"/>
  <c r="O3965" i="1"/>
  <c r="K3965" i="1"/>
  <c r="L3965" i="1" s="1"/>
  <c r="T3964" i="1"/>
  <c r="R3964" i="1"/>
  <c r="L3964" i="1"/>
  <c r="T3963" i="1"/>
  <c r="R3963" i="1"/>
  <c r="L3963" i="1"/>
  <c r="T3962" i="1"/>
  <c r="R3962" i="1"/>
  <c r="L3962" i="1"/>
  <c r="T3961" i="1"/>
  <c r="U3961" i="1" s="1"/>
  <c r="R3961" i="1"/>
  <c r="L3961" i="1"/>
  <c r="R3960" i="1"/>
  <c r="O3960" i="1"/>
  <c r="L3960" i="1"/>
  <c r="T3959" i="1"/>
  <c r="R3959" i="1"/>
  <c r="L3959" i="1"/>
  <c r="T3958" i="1"/>
  <c r="R3958" i="1"/>
  <c r="L3958" i="1"/>
  <c r="T3957" i="1"/>
  <c r="R3957" i="1"/>
  <c r="L3957" i="1"/>
  <c r="R3956" i="1"/>
  <c r="L3956" i="1"/>
  <c r="R3955" i="1"/>
  <c r="L3955" i="1"/>
  <c r="R3954" i="1"/>
  <c r="L3954" i="1"/>
  <c r="R3953" i="1"/>
  <c r="L3953" i="1"/>
  <c r="T3952" i="1"/>
  <c r="R3952" i="1"/>
  <c r="L3952" i="1"/>
  <c r="T3951" i="1"/>
  <c r="R3951" i="1"/>
  <c r="L3951" i="1"/>
  <c r="R3950" i="1"/>
  <c r="O3950" i="1"/>
  <c r="L3950" i="1"/>
  <c r="T3949" i="1"/>
  <c r="R3949" i="1"/>
  <c r="L3949" i="1"/>
  <c r="R3948" i="1"/>
  <c r="L3948" i="1"/>
  <c r="T3947" i="1"/>
  <c r="R3947" i="1"/>
  <c r="L3947" i="1"/>
  <c r="R3946" i="1"/>
  <c r="L3946" i="1"/>
  <c r="T3945" i="1"/>
  <c r="R3945" i="1"/>
  <c r="L3945" i="1"/>
  <c r="T3944" i="1"/>
  <c r="R3944" i="1"/>
  <c r="L3944" i="1"/>
  <c r="T3943" i="1"/>
  <c r="R3943" i="1"/>
  <c r="L3943" i="1"/>
  <c r="T3942" i="1"/>
  <c r="R3942" i="1"/>
  <c r="L3942" i="1"/>
  <c r="T3941" i="1"/>
  <c r="R3941" i="1"/>
  <c r="L3941" i="1"/>
  <c r="T3940" i="1"/>
  <c r="R3940" i="1"/>
  <c r="L3940" i="1"/>
  <c r="T3939" i="1"/>
  <c r="R3939" i="1"/>
  <c r="L3939" i="1"/>
  <c r="T3938" i="1"/>
  <c r="R3938" i="1"/>
  <c r="L3938" i="1"/>
  <c r="T3937" i="1"/>
  <c r="R3937" i="1"/>
  <c r="L3937" i="1"/>
  <c r="T3936" i="1"/>
  <c r="R3936" i="1"/>
  <c r="L3936" i="1"/>
  <c r="T3935" i="1"/>
  <c r="R3935" i="1"/>
  <c r="L3935" i="1"/>
  <c r="T3934" i="1"/>
  <c r="R3934" i="1"/>
  <c r="L3934" i="1"/>
  <c r="T3933" i="1"/>
  <c r="R3933" i="1"/>
  <c r="L3933" i="1"/>
  <c r="T3932" i="1"/>
  <c r="R3932" i="1"/>
  <c r="L3932" i="1"/>
  <c r="T3931" i="1"/>
  <c r="R3931" i="1"/>
  <c r="L3931" i="1"/>
  <c r="T3930" i="1"/>
  <c r="R3930" i="1"/>
  <c r="L3930" i="1"/>
  <c r="T3929" i="1"/>
  <c r="R3929" i="1"/>
  <c r="L3929" i="1"/>
  <c r="T3928" i="1"/>
  <c r="R3928" i="1"/>
  <c r="L3928" i="1"/>
  <c r="T3927" i="1"/>
  <c r="R3927" i="1"/>
  <c r="L3927" i="1"/>
  <c r="T3926" i="1"/>
  <c r="R3926" i="1"/>
  <c r="L3926" i="1"/>
  <c r="T3925" i="1"/>
  <c r="R3925" i="1"/>
  <c r="L3925" i="1"/>
  <c r="T3924" i="1"/>
  <c r="R3924" i="1"/>
  <c r="L3924" i="1"/>
  <c r="T3923" i="1"/>
  <c r="R3923" i="1"/>
  <c r="L3923" i="1"/>
  <c r="R3922" i="1"/>
  <c r="L3922" i="1"/>
  <c r="R3921" i="1"/>
  <c r="L3921" i="1"/>
  <c r="T3920" i="1"/>
  <c r="R3920" i="1"/>
  <c r="L3920" i="1"/>
  <c r="T3919" i="1"/>
  <c r="R3919" i="1"/>
  <c r="L3919" i="1"/>
  <c r="T3918" i="1"/>
  <c r="R3918" i="1"/>
  <c r="L3918" i="1"/>
  <c r="R3917" i="1"/>
  <c r="L3917" i="1"/>
  <c r="R3916" i="1"/>
  <c r="L3916" i="1"/>
  <c r="R3915" i="1"/>
  <c r="L3915" i="1"/>
  <c r="R3914" i="1"/>
  <c r="L3914" i="1"/>
  <c r="G3914" i="1"/>
  <c r="T3914" i="1" s="1"/>
  <c r="T3913" i="1"/>
  <c r="R3913" i="1"/>
  <c r="L3913" i="1"/>
  <c r="T3912" i="1"/>
  <c r="R3912" i="1"/>
  <c r="L3912" i="1"/>
  <c r="T3911" i="1"/>
  <c r="R3911" i="1"/>
  <c r="L3911" i="1"/>
  <c r="T3910" i="1"/>
  <c r="R3910" i="1"/>
  <c r="L3910" i="1"/>
  <c r="T3909" i="1"/>
  <c r="R3909" i="1"/>
  <c r="L3909" i="1"/>
  <c r="T3908" i="1"/>
  <c r="R3908" i="1"/>
  <c r="L3908" i="1"/>
  <c r="T3907" i="1"/>
  <c r="R3907" i="1"/>
  <c r="L3907" i="1"/>
  <c r="T3906" i="1"/>
  <c r="R3906" i="1"/>
  <c r="L3906" i="1"/>
  <c r="T3905" i="1"/>
  <c r="R3905" i="1"/>
  <c r="L3905" i="1"/>
  <c r="T3904" i="1"/>
  <c r="R3904" i="1"/>
  <c r="L3904" i="1"/>
  <c r="T3903" i="1"/>
  <c r="R3903" i="1"/>
  <c r="L3903" i="1"/>
  <c r="T3902" i="1"/>
  <c r="R3902" i="1"/>
  <c r="L3902" i="1"/>
  <c r="T3901" i="1"/>
  <c r="R3901" i="1"/>
  <c r="L3901" i="1"/>
  <c r="T3900" i="1"/>
  <c r="R3900" i="1"/>
  <c r="L3900" i="1"/>
  <c r="T3899" i="1"/>
  <c r="R3899" i="1"/>
  <c r="L3899" i="1"/>
  <c r="T3898" i="1"/>
  <c r="R3898" i="1"/>
  <c r="L3898" i="1"/>
  <c r="T3897" i="1"/>
  <c r="R3897" i="1"/>
  <c r="L3897" i="1"/>
  <c r="T3896" i="1"/>
  <c r="R3896" i="1"/>
  <c r="L3896" i="1"/>
  <c r="T3895" i="1"/>
  <c r="R3895" i="1"/>
  <c r="L3895" i="1"/>
  <c r="T3894" i="1"/>
  <c r="R3894" i="1"/>
  <c r="L3894" i="1"/>
  <c r="T3893" i="1"/>
  <c r="R3893" i="1"/>
  <c r="L3893" i="1"/>
  <c r="T3892" i="1"/>
  <c r="R3892" i="1"/>
  <c r="L3892" i="1"/>
  <c r="T3891" i="1"/>
  <c r="R3891" i="1"/>
  <c r="L3891" i="1"/>
  <c r="T3890" i="1"/>
  <c r="R3890" i="1"/>
  <c r="L3890" i="1"/>
  <c r="R3889" i="1"/>
  <c r="K3889" i="1"/>
  <c r="L3889" i="1" s="1"/>
  <c r="R3888" i="1"/>
  <c r="L3888" i="1"/>
  <c r="R3887" i="1"/>
  <c r="O3887" i="1"/>
  <c r="L3887" i="1"/>
  <c r="R3886" i="1"/>
  <c r="L3886" i="1"/>
  <c r="R3885" i="1"/>
  <c r="L3885" i="1"/>
  <c r="R3884" i="1"/>
  <c r="L3884" i="1"/>
  <c r="T3883" i="1"/>
  <c r="R3883" i="1"/>
  <c r="L3883" i="1"/>
  <c r="T3882" i="1"/>
  <c r="R3882" i="1"/>
  <c r="L3882" i="1"/>
  <c r="T3881" i="1"/>
  <c r="R3881" i="1"/>
  <c r="L3881" i="1"/>
  <c r="T3880" i="1"/>
  <c r="R3880" i="1"/>
  <c r="L3880" i="1"/>
  <c r="T3879" i="1"/>
  <c r="R3879" i="1"/>
  <c r="L3879" i="1"/>
  <c r="T3878" i="1"/>
  <c r="R3878" i="1"/>
  <c r="L3878" i="1"/>
  <c r="T3877" i="1"/>
  <c r="R3877" i="1"/>
  <c r="K3877" i="1"/>
  <c r="L3877" i="1" s="1"/>
  <c r="T3876" i="1"/>
  <c r="R3876" i="1"/>
  <c r="L3876" i="1"/>
  <c r="T3875" i="1"/>
  <c r="R3875" i="1"/>
  <c r="L3875" i="1"/>
  <c r="T3874" i="1"/>
  <c r="R3874" i="1"/>
  <c r="L3874" i="1"/>
  <c r="T3873" i="1"/>
  <c r="R3873" i="1"/>
  <c r="L3873" i="1"/>
  <c r="T3872" i="1"/>
  <c r="R3872" i="1"/>
  <c r="L3872" i="1"/>
  <c r="T3871" i="1"/>
  <c r="R3871" i="1"/>
  <c r="L3871" i="1"/>
  <c r="T3870" i="1"/>
  <c r="R3870" i="1"/>
  <c r="L3870" i="1"/>
  <c r="T3869" i="1"/>
  <c r="R3869" i="1"/>
  <c r="L3869" i="1"/>
  <c r="T3868" i="1"/>
  <c r="R3868" i="1"/>
  <c r="L3868" i="1"/>
  <c r="T3867" i="1"/>
  <c r="R3867" i="1"/>
  <c r="L3867" i="1"/>
  <c r="T3866" i="1"/>
  <c r="R3866" i="1"/>
  <c r="L3866" i="1"/>
  <c r="T3865" i="1"/>
  <c r="R3865" i="1"/>
  <c r="L3865" i="1"/>
  <c r="T3864" i="1"/>
  <c r="R3864" i="1"/>
  <c r="L3864" i="1"/>
  <c r="T3863" i="1"/>
  <c r="R3863" i="1"/>
  <c r="L3863" i="1"/>
  <c r="T3862" i="1"/>
  <c r="R3862" i="1"/>
  <c r="L3862" i="1"/>
  <c r="T3861" i="1"/>
  <c r="R3861" i="1"/>
  <c r="L3861" i="1"/>
  <c r="R3860" i="1"/>
  <c r="L3860" i="1"/>
  <c r="T3859" i="1"/>
  <c r="R3859" i="1"/>
  <c r="L3859" i="1"/>
  <c r="T3858" i="1"/>
  <c r="R3858" i="1"/>
  <c r="L3858" i="1"/>
  <c r="T3857" i="1"/>
  <c r="R3857" i="1"/>
  <c r="L3857" i="1"/>
  <c r="R3856" i="1"/>
  <c r="L3856" i="1"/>
  <c r="R3855" i="1"/>
  <c r="L3855" i="1"/>
  <c r="R3854" i="1"/>
  <c r="L3854" i="1"/>
  <c r="T3853" i="1"/>
  <c r="R3853" i="1"/>
  <c r="L3853" i="1"/>
  <c r="T3852" i="1"/>
  <c r="R3852" i="1"/>
  <c r="L3852" i="1"/>
  <c r="T3851" i="1"/>
  <c r="R3851" i="1"/>
  <c r="L3851" i="1"/>
  <c r="T3850" i="1"/>
  <c r="R3850" i="1"/>
  <c r="L3850" i="1"/>
  <c r="T3849" i="1"/>
  <c r="R3849" i="1"/>
  <c r="L3849" i="1"/>
  <c r="T3848" i="1"/>
  <c r="R3848" i="1"/>
  <c r="L3848" i="1"/>
  <c r="U3847" i="1"/>
  <c r="T3847" i="1"/>
  <c r="R3847" i="1"/>
  <c r="L3847" i="1"/>
  <c r="T3846" i="1"/>
  <c r="R3846" i="1"/>
  <c r="L3846" i="1"/>
  <c r="T3845" i="1"/>
  <c r="R3845" i="1"/>
  <c r="K3845" i="1"/>
  <c r="L3845" i="1" s="1"/>
  <c r="T3844" i="1"/>
  <c r="R3844" i="1"/>
  <c r="L3844" i="1"/>
  <c r="T3843" i="1"/>
  <c r="R3843" i="1"/>
  <c r="L3843" i="1"/>
  <c r="T3842" i="1"/>
  <c r="R3842" i="1"/>
  <c r="L3842" i="1"/>
  <c r="T3841" i="1"/>
  <c r="R3841" i="1"/>
  <c r="L3841" i="1"/>
  <c r="T3840" i="1"/>
  <c r="R3840" i="1"/>
  <c r="L3840" i="1"/>
  <c r="T3839" i="1"/>
  <c r="R3839" i="1"/>
  <c r="L3839" i="1"/>
  <c r="T3838" i="1"/>
  <c r="R3838" i="1"/>
  <c r="L3838" i="1"/>
  <c r="T3837" i="1"/>
  <c r="R3837" i="1"/>
  <c r="L3837" i="1"/>
  <c r="T3836" i="1"/>
  <c r="R3836" i="1"/>
  <c r="L3836" i="1"/>
  <c r="T3835" i="1"/>
  <c r="R3835" i="1"/>
  <c r="L3835" i="1"/>
  <c r="T3834" i="1"/>
  <c r="R3834" i="1"/>
  <c r="L3834" i="1"/>
  <c r="T3833" i="1"/>
  <c r="R3833" i="1"/>
  <c r="L3833" i="1"/>
  <c r="R3832" i="1"/>
  <c r="L3832" i="1"/>
  <c r="R3831" i="1"/>
  <c r="L3831" i="1"/>
  <c r="R3830" i="1"/>
  <c r="L3830" i="1"/>
  <c r="T3829" i="1"/>
  <c r="R3829" i="1"/>
  <c r="L3829" i="1"/>
  <c r="T3828" i="1"/>
  <c r="R3828" i="1"/>
  <c r="L3828" i="1"/>
  <c r="T3827" i="1"/>
  <c r="R3827" i="1"/>
  <c r="L3827" i="1"/>
  <c r="T3826" i="1"/>
  <c r="R3826" i="1"/>
  <c r="L3826" i="1"/>
  <c r="T3825" i="1"/>
  <c r="R3825" i="1"/>
  <c r="L3825" i="1"/>
  <c r="T3824" i="1"/>
  <c r="R3824" i="1"/>
  <c r="L3824" i="1"/>
  <c r="T3823" i="1"/>
  <c r="R3823" i="1"/>
  <c r="L3823" i="1"/>
  <c r="T3822" i="1"/>
  <c r="R3822" i="1"/>
  <c r="L3822" i="1"/>
  <c r="T3821" i="1"/>
  <c r="R3821" i="1"/>
  <c r="L3821" i="1"/>
  <c r="T3820" i="1"/>
  <c r="R3820" i="1"/>
  <c r="L3820" i="1"/>
  <c r="T3819" i="1"/>
  <c r="R3819" i="1"/>
  <c r="L3819" i="1"/>
  <c r="T3818" i="1"/>
  <c r="R3818" i="1"/>
  <c r="K3818" i="1"/>
  <c r="L3818" i="1" s="1"/>
  <c r="T3817" i="1"/>
  <c r="R3817" i="1"/>
  <c r="K3817" i="1"/>
  <c r="L3817" i="1" s="1"/>
  <c r="R3816" i="1"/>
  <c r="O3816" i="1"/>
  <c r="L3816" i="1"/>
  <c r="R3815" i="1"/>
  <c r="O3815" i="1"/>
  <c r="L3815" i="1"/>
  <c r="R3814" i="1"/>
  <c r="O3814" i="1"/>
  <c r="L3814" i="1"/>
  <c r="R3813" i="1"/>
  <c r="O3813" i="1"/>
  <c r="L3813" i="1"/>
  <c r="T3812" i="1"/>
  <c r="R3812" i="1"/>
  <c r="L3812" i="1"/>
  <c r="T3811" i="1"/>
  <c r="R3811" i="1"/>
  <c r="L3811" i="1"/>
  <c r="T3810" i="1"/>
  <c r="R3810" i="1"/>
  <c r="L3810" i="1"/>
  <c r="T3809" i="1"/>
  <c r="R3809" i="1"/>
  <c r="L3809" i="1"/>
  <c r="T3808" i="1"/>
  <c r="R3808" i="1"/>
  <c r="L3808" i="1"/>
  <c r="T3807" i="1"/>
  <c r="R3807" i="1"/>
  <c r="L3807" i="1"/>
  <c r="T3806" i="1"/>
  <c r="R3806" i="1"/>
  <c r="L3806" i="1"/>
  <c r="T3805" i="1"/>
  <c r="R3805" i="1"/>
  <c r="L3805" i="1"/>
  <c r="R3804" i="1"/>
  <c r="O3804" i="1"/>
  <c r="L3804" i="1"/>
  <c r="R3803" i="1"/>
  <c r="O3803" i="1"/>
  <c r="L3803" i="1"/>
  <c r="T3802" i="1"/>
  <c r="R3802" i="1"/>
  <c r="L3802" i="1"/>
  <c r="T3801" i="1"/>
  <c r="R3801" i="1"/>
  <c r="L3801" i="1"/>
  <c r="T3800" i="1"/>
  <c r="R3800" i="1"/>
  <c r="L3800" i="1"/>
  <c r="T3799" i="1"/>
  <c r="R3799" i="1"/>
  <c r="L3799" i="1"/>
  <c r="T3798" i="1"/>
  <c r="R3798" i="1"/>
  <c r="L3798" i="1"/>
  <c r="T3797" i="1"/>
  <c r="R3797" i="1"/>
  <c r="L3797" i="1"/>
  <c r="R3796" i="1"/>
  <c r="O3796" i="1"/>
  <c r="L3796" i="1"/>
  <c r="R3795" i="1"/>
  <c r="O3795" i="1"/>
  <c r="L3795" i="1"/>
  <c r="R3794" i="1"/>
  <c r="O3794" i="1"/>
  <c r="L3794" i="1"/>
  <c r="R3793" i="1"/>
  <c r="O3793" i="1"/>
  <c r="L3793" i="1"/>
  <c r="R3792" i="1"/>
  <c r="O3792" i="1"/>
  <c r="L3792" i="1"/>
  <c r="R3791" i="1"/>
  <c r="L3791" i="1"/>
  <c r="T3790" i="1"/>
  <c r="R3790" i="1"/>
  <c r="L3790" i="1"/>
  <c r="R3789" i="1"/>
  <c r="L3789" i="1"/>
  <c r="T3788" i="1"/>
  <c r="R3788" i="1"/>
  <c r="K3788" i="1"/>
  <c r="L3788" i="1" s="1"/>
  <c r="T3787" i="1"/>
  <c r="R3787" i="1"/>
  <c r="K3787" i="1"/>
  <c r="L3787" i="1" s="1"/>
  <c r="T3786" i="1"/>
  <c r="R3786" i="1"/>
  <c r="K3786" i="1"/>
  <c r="L3786" i="1" s="1"/>
  <c r="T3785" i="1"/>
  <c r="R3785" i="1"/>
  <c r="L3785" i="1"/>
  <c r="T3784" i="1"/>
  <c r="R3784" i="1"/>
  <c r="L3784" i="1"/>
  <c r="T3783" i="1"/>
  <c r="R3783" i="1"/>
  <c r="L3783" i="1"/>
  <c r="T3782" i="1"/>
  <c r="R3782" i="1"/>
  <c r="L3782" i="1"/>
  <c r="T3781" i="1"/>
  <c r="R3781" i="1"/>
  <c r="L3781" i="1"/>
  <c r="T3780" i="1"/>
  <c r="R3780" i="1"/>
  <c r="L3780" i="1"/>
  <c r="T3779" i="1"/>
  <c r="R3779" i="1"/>
  <c r="L3779" i="1"/>
  <c r="T3778" i="1"/>
  <c r="R3778" i="1"/>
  <c r="L3778" i="1"/>
  <c r="T3777" i="1"/>
  <c r="R3777" i="1"/>
  <c r="L3777" i="1"/>
  <c r="T3776" i="1"/>
  <c r="R3776" i="1"/>
  <c r="L3776" i="1"/>
  <c r="T3775" i="1"/>
  <c r="R3775" i="1"/>
  <c r="L3775" i="1"/>
  <c r="T3774" i="1"/>
  <c r="R3774" i="1"/>
  <c r="L3774" i="1"/>
  <c r="R3773" i="1"/>
  <c r="L3773" i="1"/>
  <c r="R3772" i="1"/>
  <c r="O3772" i="1"/>
  <c r="L3772" i="1"/>
  <c r="R3771" i="1"/>
  <c r="O3771" i="1"/>
  <c r="L3771" i="1"/>
  <c r="T3770" i="1"/>
  <c r="R3770" i="1"/>
  <c r="L3770" i="1"/>
  <c r="T3769" i="1"/>
  <c r="R3769" i="1"/>
  <c r="L3769" i="1"/>
  <c r="T3768" i="1"/>
  <c r="R3768" i="1"/>
  <c r="L3768" i="1"/>
  <c r="T3767" i="1"/>
  <c r="R3767" i="1"/>
  <c r="L3767" i="1"/>
  <c r="R3766" i="1"/>
  <c r="O3766" i="1"/>
  <c r="L3766" i="1"/>
  <c r="R3765" i="1"/>
  <c r="L3765" i="1"/>
  <c r="R3764" i="1"/>
  <c r="O3764" i="1"/>
  <c r="L3764" i="1"/>
  <c r="T3763" i="1"/>
  <c r="R3763" i="1"/>
  <c r="L3763" i="1"/>
  <c r="W3762" i="1"/>
  <c r="W3763" i="1" s="1"/>
  <c r="R3762" i="1"/>
  <c r="L3762" i="1"/>
  <c r="X3762" i="1" s="1"/>
  <c r="X3763" i="1" s="1"/>
  <c r="G3762" i="1"/>
  <c r="T3762" i="1" s="1"/>
  <c r="T3761" i="1"/>
  <c r="R3761" i="1"/>
  <c r="L3761" i="1"/>
  <c r="T3760" i="1"/>
  <c r="R3760" i="1"/>
  <c r="L3760" i="1"/>
  <c r="T3759" i="1"/>
  <c r="R3759" i="1"/>
  <c r="L3759" i="1"/>
  <c r="R3758" i="1"/>
  <c r="L3758" i="1"/>
  <c r="R3757" i="1"/>
  <c r="L3757" i="1"/>
  <c r="R3756" i="1"/>
  <c r="L3756" i="1"/>
  <c r="R3755" i="1"/>
  <c r="L3755" i="1"/>
  <c r="R3754" i="1"/>
  <c r="L3754" i="1"/>
  <c r="R3753" i="1"/>
  <c r="L3753" i="1"/>
  <c r="R3752" i="1"/>
  <c r="L3752" i="1"/>
  <c r="T3751" i="1"/>
  <c r="R3751" i="1"/>
  <c r="L3751" i="1"/>
  <c r="R3750" i="1"/>
  <c r="L3750" i="1"/>
  <c r="R3749" i="1"/>
  <c r="L3749" i="1"/>
  <c r="R3748" i="1"/>
  <c r="L3748" i="1"/>
  <c r="T3747" i="1"/>
  <c r="R3747" i="1"/>
  <c r="K3747" i="1"/>
  <c r="L3747" i="1" s="1"/>
  <c r="T3746" i="1"/>
  <c r="R3746" i="1"/>
  <c r="L3746" i="1"/>
  <c r="T3745" i="1"/>
  <c r="R3745" i="1"/>
  <c r="L3745" i="1"/>
  <c r="T3744" i="1"/>
  <c r="R3744" i="1"/>
  <c r="L3744" i="1"/>
  <c r="T3743" i="1"/>
  <c r="R3743" i="1"/>
  <c r="L3743" i="1"/>
  <c r="T3742" i="1"/>
  <c r="R3742" i="1"/>
  <c r="L3742" i="1"/>
  <c r="T3741" i="1"/>
  <c r="R3741" i="1"/>
  <c r="L3741" i="1"/>
  <c r="T3740" i="1"/>
  <c r="R3740" i="1"/>
  <c r="L3740" i="1"/>
  <c r="T3739" i="1"/>
  <c r="R3739" i="1"/>
  <c r="L3739" i="1"/>
  <c r="T3738" i="1"/>
  <c r="R3738" i="1"/>
  <c r="L3738" i="1"/>
  <c r="T3737" i="1"/>
  <c r="R3737" i="1"/>
  <c r="L3737" i="1"/>
  <c r="T3736" i="1"/>
  <c r="R3736" i="1"/>
  <c r="L3736" i="1"/>
  <c r="T3735" i="1"/>
  <c r="R3735" i="1"/>
  <c r="L3735" i="1"/>
  <c r="T3734" i="1"/>
  <c r="R3734" i="1"/>
  <c r="L3734" i="1"/>
  <c r="T3733" i="1"/>
  <c r="R3733" i="1"/>
  <c r="L3733" i="1"/>
  <c r="T3732" i="1"/>
  <c r="R3732" i="1"/>
  <c r="L3732" i="1"/>
  <c r="T3731" i="1"/>
  <c r="R3731" i="1"/>
  <c r="L3731" i="1"/>
  <c r="T3730" i="1"/>
  <c r="R3730" i="1"/>
  <c r="L3730" i="1"/>
  <c r="T3729" i="1"/>
  <c r="R3729" i="1"/>
  <c r="L3729" i="1"/>
  <c r="T3728" i="1"/>
  <c r="R3728" i="1"/>
  <c r="L3728" i="1"/>
  <c r="T3727" i="1"/>
  <c r="R3727" i="1"/>
  <c r="L3727" i="1"/>
  <c r="T3726" i="1"/>
  <c r="R3726" i="1"/>
  <c r="L3726" i="1"/>
  <c r="R3725" i="1"/>
  <c r="L3725" i="1"/>
  <c r="T3724" i="1"/>
  <c r="R3724" i="1"/>
  <c r="L3724" i="1"/>
  <c r="T3723" i="1"/>
  <c r="R3723" i="1"/>
  <c r="L3723" i="1"/>
  <c r="R3722" i="1"/>
  <c r="L3722" i="1"/>
  <c r="R3721" i="1"/>
  <c r="L3721" i="1"/>
  <c r="T3720" i="1"/>
  <c r="R3720" i="1"/>
  <c r="L3720" i="1"/>
  <c r="T3719" i="1"/>
  <c r="R3719" i="1"/>
  <c r="L3719" i="1"/>
  <c r="T3718" i="1"/>
  <c r="R3718" i="1"/>
  <c r="L3718" i="1"/>
  <c r="T3717" i="1"/>
  <c r="R3717" i="1"/>
  <c r="L3717" i="1"/>
  <c r="T3716" i="1"/>
  <c r="R3716" i="1"/>
  <c r="L3716" i="1"/>
  <c r="T3715" i="1"/>
  <c r="R3715" i="1"/>
  <c r="L3715" i="1"/>
  <c r="T3714" i="1"/>
  <c r="R3714" i="1"/>
  <c r="L3714" i="1"/>
  <c r="R3713" i="1"/>
  <c r="L3713" i="1"/>
  <c r="R3712" i="1"/>
  <c r="L3712" i="1"/>
  <c r="R3711" i="1"/>
  <c r="L3711" i="1"/>
  <c r="R3710" i="1"/>
  <c r="L3710" i="1"/>
  <c r="R3709" i="1"/>
  <c r="L3709" i="1"/>
  <c r="T3708" i="1"/>
  <c r="R3708" i="1"/>
  <c r="L3708" i="1"/>
  <c r="T3707" i="1"/>
  <c r="R3707" i="1"/>
  <c r="L3707" i="1"/>
  <c r="T3706" i="1"/>
  <c r="R3706" i="1"/>
  <c r="L3706" i="1"/>
  <c r="T3705" i="1"/>
  <c r="R3705" i="1"/>
  <c r="L3705" i="1"/>
  <c r="T3704" i="1"/>
  <c r="R3704" i="1"/>
  <c r="L3704" i="1"/>
  <c r="T3703" i="1"/>
  <c r="R3703" i="1"/>
  <c r="L3703" i="1"/>
  <c r="T3702" i="1"/>
  <c r="R3702" i="1"/>
  <c r="L3702" i="1"/>
  <c r="R3701" i="1"/>
  <c r="L3701" i="1"/>
  <c r="R3700" i="1"/>
  <c r="O3700" i="1"/>
  <c r="L3700" i="1"/>
  <c r="R3699" i="1"/>
  <c r="L3699" i="1"/>
  <c r="R3698" i="1"/>
  <c r="L3698" i="1"/>
  <c r="T3697" i="1"/>
  <c r="R3697" i="1"/>
  <c r="L3697" i="1"/>
  <c r="T3696" i="1"/>
  <c r="R3696" i="1"/>
  <c r="L3696" i="1"/>
  <c r="T3695" i="1"/>
  <c r="R3695" i="1"/>
  <c r="L3695" i="1"/>
  <c r="T3694" i="1"/>
  <c r="R3694" i="1"/>
  <c r="L3694" i="1"/>
  <c r="T3693" i="1"/>
  <c r="R3693" i="1"/>
  <c r="L3693" i="1"/>
  <c r="T3692" i="1"/>
  <c r="R3692" i="1"/>
  <c r="L3692" i="1"/>
  <c r="T3691" i="1"/>
  <c r="R3691" i="1"/>
  <c r="L3691" i="1"/>
  <c r="T3690" i="1"/>
  <c r="R3690" i="1"/>
  <c r="L3690" i="1"/>
  <c r="T3689" i="1"/>
  <c r="R3689" i="1"/>
  <c r="L3689" i="1"/>
  <c r="T3688" i="1"/>
  <c r="R3688" i="1"/>
  <c r="L3688" i="1"/>
  <c r="T3687" i="1"/>
  <c r="R3687" i="1"/>
  <c r="L3687" i="1"/>
  <c r="T3686" i="1"/>
  <c r="R3686" i="1"/>
  <c r="L3686" i="1"/>
  <c r="T3685" i="1"/>
  <c r="R3685" i="1"/>
  <c r="L3685" i="1"/>
  <c r="T3684" i="1"/>
  <c r="R3684" i="1"/>
  <c r="L3684" i="1"/>
  <c r="T3683" i="1"/>
  <c r="R3683" i="1"/>
  <c r="L3683" i="1"/>
  <c r="T3682" i="1"/>
  <c r="R3682" i="1"/>
  <c r="L3682" i="1"/>
  <c r="T3681" i="1"/>
  <c r="R3681" i="1"/>
  <c r="L3681" i="1"/>
  <c r="T3680" i="1"/>
  <c r="R3680" i="1"/>
  <c r="L3680" i="1"/>
  <c r="T3679" i="1"/>
  <c r="R3679" i="1"/>
  <c r="K3679" i="1"/>
  <c r="L3679" i="1" s="1"/>
  <c r="T3678" i="1"/>
  <c r="R3678" i="1"/>
  <c r="L3678" i="1"/>
  <c r="T3677" i="1"/>
  <c r="R3677" i="1"/>
  <c r="L3677" i="1"/>
  <c r="T3676" i="1"/>
  <c r="R3676" i="1"/>
  <c r="L3676" i="1"/>
  <c r="T3675" i="1"/>
  <c r="R3675" i="1"/>
  <c r="L3675" i="1"/>
  <c r="T3674" i="1"/>
  <c r="R3674" i="1"/>
  <c r="L3674" i="1"/>
  <c r="T3673" i="1"/>
  <c r="R3673" i="1"/>
  <c r="L3673" i="1"/>
  <c r="T3672" i="1"/>
  <c r="R3672" i="1"/>
  <c r="L3672" i="1"/>
  <c r="T3671" i="1"/>
  <c r="R3671" i="1"/>
  <c r="L3671" i="1"/>
  <c r="T3670" i="1"/>
  <c r="R3670" i="1"/>
  <c r="L3670" i="1"/>
  <c r="T3669" i="1"/>
  <c r="R3669" i="1"/>
  <c r="L3669" i="1"/>
  <c r="T3668" i="1"/>
  <c r="R3668" i="1"/>
  <c r="L3668" i="1"/>
  <c r="T3667" i="1"/>
  <c r="R3667" i="1"/>
  <c r="L3667" i="1"/>
  <c r="T3666" i="1"/>
  <c r="R3666" i="1"/>
  <c r="L3666" i="1"/>
  <c r="T3665" i="1"/>
  <c r="R3665" i="1"/>
  <c r="L3665" i="1"/>
  <c r="T3664" i="1"/>
  <c r="R3664" i="1"/>
  <c r="L3664" i="1"/>
  <c r="T3663" i="1"/>
  <c r="R3663" i="1"/>
  <c r="L3663" i="1"/>
  <c r="T3662" i="1"/>
  <c r="R3662" i="1"/>
  <c r="L3662" i="1"/>
  <c r="T3661" i="1"/>
  <c r="R3661" i="1"/>
  <c r="L3661" i="1"/>
  <c r="T3660" i="1"/>
  <c r="R3660" i="1"/>
  <c r="L3660" i="1"/>
  <c r="T3659" i="1"/>
  <c r="R3659" i="1"/>
  <c r="L3659" i="1"/>
  <c r="T3658" i="1"/>
  <c r="R3658" i="1"/>
  <c r="L3658" i="1"/>
  <c r="T3657" i="1"/>
  <c r="R3657" i="1"/>
  <c r="L3657" i="1"/>
  <c r="T3656" i="1"/>
  <c r="R3656" i="1"/>
  <c r="L3656" i="1"/>
  <c r="T3655" i="1"/>
  <c r="R3655" i="1"/>
  <c r="L3655" i="1"/>
  <c r="R3654" i="1"/>
  <c r="L3654" i="1"/>
  <c r="R3653" i="1"/>
  <c r="L3653" i="1"/>
  <c r="R3652" i="1"/>
  <c r="L3652" i="1"/>
  <c r="R3651" i="1"/>
  <c r="L3651" i="1"/>
  <c r="T3650" i="1"/>
  <c r="R3650" i="1"/>
  <c r="L3650" i="1"/>
  <c r="T3649" i="1"/>
  <c r="R3649" i="1"/>
  <c r="L3649" i="1"/>
  <c r="T3648" i="1"/>
  <c r="R3648" i="1"/>
  <c r="K3648" i="1"/>
  <c r="L3648" i="1" s="1"/>
  <c r="T3647" i="1"/>
  <c r="R3647" i="1"/>
  <c r="L3647" i="1"/>
  <c r="T3646" i="1"/>
  <c r="R3646" i="1"/>
  <c r="L3646" i="1"/>
  <c r="T3645" i="1"/>
  <c r="R3645" i="1"/>
  <c r="L3645" i="1"/>
  <c r="T3644" i="1"/>
  <c r="R3644" i="1"/>
  <c r="L3644" i="1"/>
  <c r="R3643" i="1"/>
  <c r="O3643" i="1"/>
  <c r="L3643" i="1"/>
  <c r="I3643" i="1"/>
  <c r="R3642" i="1"/>
  <c r="O3642" i="1"/>
  <c r="L3642" i="1"/>
  <c r="I3642" i="1"/>
  <c r="T3641" i="1"/>
  <c r="R3641" i="1"/>
  <c r="L3641" i="1"/>
  <c r="T3640" i="1"/>
  <c r="R3640" i="1"/>
  <c r="L3640" i="1"/>
  <c r="T3639" i="1"/>
  <c r="R3639" i="1"/>
  <c r="L3639" i="1"/>
  <c r="T3638" i="1"/>
  <c r="R3638" i="1"/>
  <c r="L3638" i="1"/>
  <c r="T3637" i="1"/>
  <c r="R3637" i="1"/>
  <c r="L3637" i="1"/>
  <c r="T3636" i="1"/>
  <c r="R3636" i="1"/>
  <c r="L3636" i="1"/>
  <c r="T3635" i="1"/>
  <c r="R3635" i="1"/>
  <c r="L3635" i="1"/>
  <c r="T3634" i="1"/>
  <c r="R3634" i="1"/>
  <c r="L3634" i="1"/>
  <c r="T3633" i="1"/>
  <c r="R3633" i="1"/>
  <c r="L3633" i="1"/>
  <c r="T3632" i="1"/>
  <c r="R3632" i="1"/>
  <c r="L3632" i="1"/>
  <c r="T3631" i="1"/>
  <c r="R3631" i="1"/>
  <c r="L3631" i="1"/>
  <c r="R3630" i="1"/>
  <c r="L3630" i="1"/>
  <c r="R3629" i="1"/>
  <c r="L3629" i="1"/>
  <c r="R3628" i="1"/>
  <c r="L3628" i="1"/>
  <c r="T3627" i="1"/>
  <c r="R3627" i="1"/>
  <c r="L3627" i="1"/>
  <c r="R3626" i="1"/>
  <c r="L3626" i="1"/>
  <c r="R3625" i="1"/>
  <c r="L3625" i="1"/>
  <c r="R3624" i="1"/>
  <c r="L3624" i="1"/>
  <c r="R3623" i="1"/>
  <c r="L3623" i="1"/>
  <c r="R3622" i="1"/>
  <c r="L3622" i="1"/>
  <c r="R3621" i="1"/>
  <c r="L3621" i="1"/>
  <c r="R3620" i="1"/>
  <c r="L3620" i="1"/>
  <c r="R3619" i="1"/>
  <c r="K3619" i="1"/>
  <c r="L3619" i="1" s="1"/>
  <c r="R3618" i="1"/>
  <c r="L3618" i="1"/>
  <c r="R3617" i="1"/>
  <c r="K3617" i="1"/>
  <c r="L3617" i="1" s="1"/>
  <c r="R3616" i="1"/>
  <c r="L3616" i="1"/>
  <c r="R3615" i="1"/>
  <c r="L3615" i="1"/>
  <c r="R3614" i="1"/>
  <c r="K3614" i="1"/>
  <c r="L3614" i="1" s="1"/>
  <c r="R3613" i="1"/>
  <c r="L3613" i="1"/>
  <c r="R3612" i="1"/>
  <c r="L3612" i="1"/>
  <c r="R3611" i="1"/>
  <c r="K3611" i="1"/>
  <c r="L3611" i="1" s="1"/>
  <c r="R3610" i="1"/>
  <c r="L3610" i="1"/>
  <c r="X3609" i="1"/>
  <c r="R3609" i="1"/>
  <c r="K3609" i="1"/>
  <c r="L3609" i="1" s="1"/>
  <c r="R3608" i="1"/>
  <c r="L3608" i="1"/>
  <c r="R3607" i="1"/>
  <c r="K3607" i="1"/>
  <c r="L3607" i="1" s="1"/>
  <c r="R3606" i="1"/>
  <c r="L3606" i="1"/>
  <c r="R3605" i="1"/>
  <c r="L3605" i="1"/>
  <c r="R3604" i="1"/>
  <c r="K3604" i="1"/>
  <c r="L3604" i="1" s="1"/>
  <c r="R3603" i="1"/>
  <c r="L3603" i="1"/>
  <c r="T3602" i="1"/>
  <c r="R3602" i="1"/>
  <c r="K3602" i="1"/>
  <c r="L3602" i="1" s="1"/>
  <c r="T3601" i="1"/>
  <c r="R3601" i="1"/>
  <c r="L3601" i="1"/>
  <c r="T3600" i="1"/>
  <c r="R3600" i="1"/>
  <c r="L3600" i="1"/>
  <c r="Y3599" i="1"/>
  <c r="T3599" i="1"/>
  <c r="R3599" i="1"/>
  <c r="K3599" i="1"/>
  <c r="L3599" i="1" s="1"/>
  <c r="T3598" i="1"/>
  <c r="R3598" i="1"/>
  <c r="L3598" i="1"/>
  <c r="T3597" i="1"/>
  <c r="R3597" i="1"/>
  <c r="L3597" i="1"/>
  <c r="T3596" i="1"/>
  <c r="R3596" i="1"/>
  <c r="L3596" i="1"/>
  <c r="T3595" i="1"/>
  <c r="R3595" i="1"/>
  <c r="L3595" i="1"/>
  <c r="T3594" i="1"/>
  <c r="R3594" i="1"/>
  <c r="L3594" i="1"/>
  <c r="T3593" i="1"/>
  <c r="R3593" i="1"/>
  <c r="L3593" i="1"/>
  <c r="T3592" i="1"/>
  <c r="R3592" i="1"/>
  <c r="L3592" i="1"/>
  <c r="T3591" i="1"/>
  <c r="R3591" i="1"/>
  <c r="L3591" i="1"/>
  <c r="T3590" i="1"/>
  <c r="R3590" i="1"/>
  <c r="L3590" i="1"/>
  <c r="T3589" i="1"/>
  <c r="R3589" i="1"/>
  <c r="L3589" i="1"/>
  <c r="T3588" i="1"/>
  <c r="R3588" i="1"/>
  <c r="L3588" i="1"/>
  <c r="T3587" i="1"/>
  <c r="R3587" i="1"/>
  <c r="L3587" i="1"/>
  <c r="T3586" i="1"/>
  <c r="R3586" i="1"/>
  <c r="L3586" i="1"/>
  <c r="T3585" i="1"/>
  <c r="R3585" i="1"/>
  <c r="L3585" i="1"/>
  <c r="T3584" i="1"/>
  <c r="R3584" i="1"/>
  <c r="L3584" i="1"/>
  <c r="T3583" i="1"/>
  <c r="R3583" i="1"/>
  <c r="L3583" i="1"/>
  <c r="T3582" i="1"/>
  <c r="R3582" i="1"/>
  <c r="L3582" i="1"/>
  <c r="T3581" i="1"/>
  <c r="R3581" i="1"/>
  <c r="L3581" i="1"/>
  <c r="T3580" i="1"/>
  <c r="R3580" i="1"/>
  <c r="L3580" i="1"/>
  <c r="T3579" i="1"/>
  <c r="R3579" i="1"/>
  <c r="L3579" i="1"/>
  <c r="T3578" i="1"/>
  <c r="R3578" i="1"/>
  <c r="L3578" i="1"/>
  <c r="T3577" i="1"/>
  <c r="R3577" i="1"/>
  <c r="L3577" i="1"/>
  <c r="T3576" i="1"/>
  <c r="R3576" i="1"/>
  <c r="L3576" i="1"/>
  <c r="T3575" i="1"/>
  <c r="R3575" i="1"/>
  <c r="K3575" i="1"/>
  <c r="L3575" i="1" s="1"/>
  <c r="T3574" i="1"/>
  <c r="R3574" i="1"/>
  <c r="L3574" i="1"/>
  <c r="T3573" i="1"/>
  <c r="R3573" i="1"/>
  <c r="L3573" i="1"/>
  <c r="T3572" i="1"/>
  <c r="R3572" i="1"/>
  <c r="L3572" i="1"/>
  <c r="T3571" i="1"/>
  <c r="R3571" i="1"/>
  <c r="L3571" i="1"/>
  <c r="T3570" i="1"/>
  <c r="R3570" i="1"/>
  <c r="L3570" i="1"/>
  <c r="T3569" i="1"/>
  <c r="R3569" i="1"/>
  <c r="L3569" i="1"/>
  <c r="T3568" i="1"/>
  <c r="R3568" i="1"/>
  <c r="L3568" i="1"/>
  <c r="T3567" i="1"/>
  <c r="R3567" i="1"/>
  <c r="L3567" i="1"/>
  <c r="T3566" i="1"/>
  <c r="R3566" i="1"/>
  <c r="L3566" i="1"/>
  <c r="T3565" i="1"/>
  <c r="R3565" i="1"/>
  <c r="L3565" i="1"/>
  <c r="T3564" i="1"/>
  <c r="R3564" i="1"/>
  <c r="L3564" i="1"/>
  <c r="T3563" i="1"/>
  <c r="R3563" i="1"/>
  <c r="L3563" i="1"/>
  <c r="T3562" i="1"/>
  <c r="R3562" i="1"/>
  <c r="L3562" i="1"/>
  <c r="T3561" i="1"/>
  <c r="R3561" i="1"/>
  <c r="L3561" i="1"/>
  <c r="T3560" i="1"/>
  <c r="R3560" i="1"/>
  <c r="L3560" i="1"/>
  <c r="T3559" i="1"/>
  <c r="R3559" i="1"/>
  <c r="L3559" i="1"/>
  <c r="T3558" i="1"/>
  <c r="R3558" i="1"/>
  <c r="L3558" i="1"/>
  <c r="T3557" i="1"/>
  <c r="R3557" i="1"/>
  <c r="L3557" i="1"/>
  <c r="T3556" i="1"/>
  <c r="R3556" i="1"/>
  <c r="L3556" i="1"/>
  <c r="T3555" i="1"/>
  <c r="R3555" i="1"/>
  <c r="L3555" i="1"/>
  <c r="T3554" i="1"/>
  <c r="R3554" i="1"/>
  <c r="L3554" i="1"/>
  <c r="T3553" i="1"/>
  <c r="R3553" i="1"/>
  <c r="L3553" i="1"/>
  <c r="T3552" i="1"/>
  <c r="R3552" i="1"/>
  <c r="L3552" i="1"/>
  <c r="T3551" i="1"/>
  <c r="R3551" i="1"/>
  <c r="L3551" i="1"/>
  <c r="T3550" i="1"/>
  <c r="R3550" i="1"/>
  <c r="L3550" i="1"/>
  <c r="T3549" i="1"/>
  <c r="R3549" i="1"/>
  <c r="L3549" i="1"/>
  <c r="T3548" i="1"/>
  <c r="R3548" i="1"/>
  <c r="L3548" i="1"/>
  <c r="T3547" i="1"/>
  <c r="R3547" i="1"/>
  <c r="L3547" i="1"/>
  <c r="T3546" i="1"/>
  <c r="R3546" i="1"/>
  <c r="L3546" i="1"/>
  <c r="T3545" i="1"/>
  <c r="R3545" i="1"/>
  <c r="L3545" i="1"/>
  <c r="T3544" i="1"/>
  <c r="R3544" i="1"/>
  <c r="L3544" i="1"/>
  <c r="T3543" i="1"/>
  <c r="R3543" i="1"/>
  <c r="L3543" i="1"/>
  <c r="T3542" i="1"/>
  <c r="R3542" i="1"/>
  <c r="L3542" i="1"/>
  <c r="T3541" i="1"/>
  <c r="R3541" i="1"/>
  <c r="L3541" i="1"/>
  <c r="T3540" i="1"/>
  <c r="R3540" i="1"/>
  <c r="L3540" i="1"/>
  <c r="T3539" i="1"/>
  <c r="R3539" i="1"/>
  <c r="L3539" i="1"/>
  <c r="T3538" i="1"/>
  <c r="R3538" i="1"/>
  <c r="L3538" i="1"/>
  <c r="T3537" i="1"/>
  <c r="R3537" i="1"/>
  <c r="L3537" i="1"/>
  <c r="T3536" i="1"/>
  <c r="R3536" i="1"/>
  <c r="L3536" i="1"/>
  <c r="T3535" i="1"/>
  <c r="R3535" i="1"/>
  <c r="L3535" i="1"/>
  <c r="T3534" i="1"/>
  <c r="R3534" i="1"/>
  <c r="L3534" i="1"/>
  <c r="T3533" i="1"/>
  <c r="R3533" i="1"/>
  <c r="L3533" i="1"/>
  <c r="T3532" i="1"/>
  <c r="R3532" i="1"/>
  <c r="L3532" i="1"/>
  <c r="T3531" i="1"/>
  <c r="R3531" i="1"/>
  <c r="L3531" i="1"/>
  <c r="T3530" i="1"/>
  <c r="R3530" i="1"/>
  <c r="L3530" i="1"/>
  <c r="T3529" i="1"/>
  <c r="R3529" i="1"/>
  <c r="L3529" i="1"/>
  <c r="T3528" i="1"/>
  <c r="R3528" i="1"/>
  <c r="L3528" i="1"/>
  <c r="T3527" i="1"/>
  <c r="R3527" i="1"/>
  <c r="L3527" i="1"/>
  <c r="T3526" i="1"/>
  <c r="R3526" i="1"/>
  <c r="L3526" i="1"/>
  <c r="T3525" i="1"/>
  <c r="R3525" i="1"/>
  <c r="L3525" i="1"/>
  <c r="T3524" i="1"/>
  <c r="R3524" i="1"/>
  <c r="L3524" i="1"/>
  <c r="T3523" i="1"/>
  <c r="R3523" i="1"/>
  <c r="K3523" i="1"/>
  <c r="L3523" i="1" s="1"/>
  <c r="T3522" i="1"/>
  <c r="R3522" i="1"/>
  <c r="K3522" i="1"/>
  <c r="L3522" i="1" s="1"/>
  <c r="T3521" i="1"/>
  <c r="R3521" i="1"/>
  <c r="K3521" i="1"/>
  <c r="L3521" i="1" s="1"/>
  <c r="T3520" i="1"/>
  <c r="R3520" i="1"/>
  <c r="K3520" i="1"/>
  <c r="L3520" i="1" s="1"/>
  <c r="T3519" i="1"/>
  <c r="R3519" i="1"/>
  <c r="K3519" i="1"/>
  <c r="L3519" i="1" s="1"/>
  <c r="T3518" i="1"/>
  <c r="R3518" i="1"/>
  <c r="L3518" i="1"/>
  <c r="T3517" i="1"/>
  <c r="R3517" i="1"/>
  <c r="L3517" i="1"/>
  <c r="T3516" i="1"/>
  <c r="R3516" i="1"/>
  <c r="L3516" i="1"/>
  <c r="T3515" i="1"/>
  <c r="R3515" i="1"/>
  <c r="L3515" i="1"/>
  <c r="T3514" i="1"/>
  <c r="R3514" i="1"/>
  <c r="L3514" i="1"/>
  <c r="T3513" i="1"/>
  <c r="R3513" i="1"/>
  <c r="L3513" i="1"/>
  <c r="T3512" i="1"/>
  <c r="R3512" i="1"/>
  <c r="L3512" i="1"/>
  <c r="T3511" i="1"/>
  <c r="R3511" i="1"/>
  <c r="L3511" i="1"/>
  <c r="T3510" i="1"/>
  <c r="R3510" i="1"/>
  <c r="L3510" i="1"/>
  <c r="T3509" i="1"/>
  <c r="R3509" i="1"/>
  <c r="L3509" i="1"/>
  <c r="T3508" i="1"/>
  <c r="R3508" i="1"/>
  <c r="L3508" i="1"/>
  <c r="T3507" i="1"/>
  <c r="R3507" i="1"/>
  <c r="L3507" i="1"/>
  <c r="T3506" i="1"/>
  <c r="R3506" i="1"/>
  <c r="L3506" i="1"/>
  <c r="T3505" i="1"/>
  <c r="R3505" i="1"/>
  <c r="L3505" i="1"/>
  <c r="T3504" i="1"/>
  <c r="R3504" i="1"/>
  <c r="L3504" i="1"/>
  <c r="T3503" i="1"/>
  <c r="R3503" i="1"/>
  <c r="L3503" i="1"/>
  <c r="T3502" i="1"/>
  <c r="R3502" i="1"/>
  <c r="L3502" i="1"/>
  <c r="T3501" i="1"/>
  <c r="R3501" i="1"/>
  <c r="L3501" i="1"/>
  <c r="T3500" i="1"/>
  <c r="R3500" i="1"/>
  <c r="L3500" i="1"/>
  <c r="R3499" i="1"/>
  <c r="O3499" i="1"/>
  <c r="L3499" i="1"/>
  <c r="T3498" i="1"/>
  <c r="R3498" i="1"/>
  <c r="L3498" i="1"/>
  <c r="R3497" i="1"/>
  <c r="L3497" i="1"/>
  <c r="G3497" i="1"/>
  <c r="T3497" i="1" s="1"/>
  <c r="T3496" i="1"/>
  <c r="R3496" i="1"/>
  <c r="L3496" i="1"/>
  <c r="T3495" i="1"/>
  <c r="R3495" i="1"/>
  <c r="K3495" i="1"/>
  <c r="L3495" i="1" s="1"/>
  <c r="T3494" i="1"/>
  <c r="R3494" i="1"/>
  <c r="L3494" i="1"/>
  <c r="T3493" i="1"/>
  <c r="R3493" i="1"/>
  <c r="L3493" i="1"/>
  <c r="T3492" i="1"/>
  <c r="R3492" i="1"/>
  <c r="L3492" i="1"/>
  <c r="T3491" i="1"/>
  <c r="R3491" i="1"/>
  <c r="L3491" i="1"/>
  <c r="T3490" i="1"/>
  <c r="R3490" i="1"/>
  <c r="L3490" i="1"/>
  <c r="T3489" i="1"/>
  <c r="R3489" i="1"/>
  <c r="L3489" i="1"/>
  <c r="R3488" i="1"/>
  <c r="O3488" i="1"/>
  <c r="L3488" i="1"/>
  <c r="T3487" i="1"/>
  <c r="R3487" i="1"/>
  <c r="L3487" i="1"/>
  <c r="T3486" i="1"/>
  <c r="R3486" i="1"/>
  <c r="L3486" i="1"/>
  <c r="T3485" i="1"/>
  <c r="R3485" i="1"/>
  <c r="L3485" i="1"/>
  <c r="T3484" i="1"/>
  <c r="R3484" i="1"/>
  <c r="L3484" i="1"/>
  <c r="R3483" i="1"/>
  <c r="L3483" i="1"/>
  <c r="R3482" i="1"/>
  <c r="L3482" i="1"/>
  <c r="R3481" i="1"/>
  <c r="L3481" i="1"/>
  <c r="R3480" i="1"/>
  <c r="L3480" i="1"/>
  <c r="R3479" i="1"/>
  <c r="L3479" i="1"/>
  <c r="R3478" i="1"/>
  <c r="L3478" i="1"/>
  <c r="T3477" i="1"/>
  <c r="R3477" i="1"/>
  <c r="L3477" i="1"/>
  <c r="T3476" i="1"/>
  <c r="R3476" i="1"/>
  <c r="L3476" i="1"/>
  <c r="T3475" i="1"/>
  <c r="R3475" i="1"/>
  <c r="L3475" i="1"/>
  <c r="T3474" i="1"/>
  <c r="R3474" i="1"/>
  <c r="L3474" i="1"/>
  <c r="T3473" i="1"/>
  <c r="R3473" i="1"/>
  <c r="L3473" i="1"/>
  <c r="T3472" i="1"/>
  <c r="R3472" i="1"/>
  <c r="L3472" i="1"/>
  <c r="T3471" i="1"/>
  <c r="R3471" i="1"/>
  <c r="L3471" i="1"/>
  <c r="T3470" i="1"/>
  <c r="R3470" i="1"/>
  <c r="L3470" i="1"/>
  <c r="T3469" i="1"/>
  <c r="R3469" i="1"/>
  <c r="L3469" i="1"/>
  <c r="T3468" i="1"/>
  <c r="R3468" i="1"/>
  <c r="L3468" i="1"/>
  <c r="T3467" i="1"/>
  <c r="R3467" i="1"/>
  <c r="L3467" i="1"/>
  <c r="T3466" i="1"/>
  <c r="R3466" i="1"/>
  <c r="L3466" i="1"/>
  <c r="T3465" i="1"/>
  <c r="R3465" i="1"/>
  <c r="L3465" i="1"/>
  <c r="T3464" i="1"/>
  <c r="R3464" i="1"/>
  <c r="L3464" i="1"/>
  <c r="T3463" i="1"/>
  <c r="R3463" i="1"/>
  <c r="L3463" i="1"/>
  <c r="I3463" i="1"/>
  <c r="T3462" i="1"/>
  <c r="R3462" i="1"/>
  <c r="L3462" i="1"/>
  <c r="T3461" i="1"/>
  <c r="R3461" i="1"/>
  <c r="L3461" i="1"/>
  <c r="T3460" i="1"/>
  <c r="R3460" i="1"/>
  <c r="L3460" i="1"/>
  <c r="T3459" i="1"/>
  <c r="R3459" i="1"/>
  <c r="K3459" i="1"/>
  <c r="L3459" i="1" s="1"/>
  <c r="T3458" i="1"/>
  <c r="R3458" i="1"/>
  <c r="L3458" i="1"/>
  <c r="T3457" i="1"/>
  <c r="R3457" i="1"/>
  <c r="L3457" i="1"/>
  <c r="T3456" i="1"/>
  <c r="R3456" i="1"/>
  <c r="L3456" i="1"/>
  <c r="T3455" i="1"/>
  <c r="R3455" i="1"/>
  <c r="L3455" i="1"/>
  <c r="T3454" i="1"/>
  <c r="R3454" i="1"/>
  <c r="L3454" i="1"/>
  <c r="R3453" i="1"/>
  <c r="L3453" i="1"/>
  <c r="R3452" i="1"/>
  <c r="L3452" i="1"/>
  <c r="T3451" i="1"/>
  <c r="R3451" i="1"/>
  <c r="L3451" i="1"/>
  <c r="T3450" i="1"/>
  <c r="R3450" i="1"/>
  <c r="L3450" i="1"/>
  <c r="T3449" i="1"/>
  <c r="R3449" i="1"/>
  <c r="L3449" i="1"/>
  <c r="T3448" i="1"/>
  <c r="R3448" i="1"/>
  <c r="K3448" i="1"/>
  <c r="L3448" i="1" s="1"/>
  <c r="R3447" i="1"/>
  <c r="L3447" i="1"/>
  <c r="R3446" i="1"/>
  <c r="L3446" i="1"/>
  <c r="R3445" i="1"/>
  <c r="L3445" i="1"/>
  <c r="T3444" i="1"/>
  <c r="R3444" i="1"/>
  <c r="L3444" i="1"/>
  <c r="T3443" i="1"/>
  <c r="R3443" i="1"/>
  <c r="L3443" i="1"/>
  <c r="T3442" i="1"/>
  <c r="R3442" i="1"/>
  <c r="L3442" i="1"/>
  <c r="T3441" i="1"/>
  <c r="R3441" i="1"/>
  <c r="L3441" i="1"/>
  <c r="T3440" i="1"/>
  <c r="R3440" i="1"/>
  <c r="L3440" i="1"/>
  <c r="T3439" i="1"/>
  <c r="R3439" i="1"/>
  <c r="L3439" i="1"/>
  <c r="T3438" i="1"/>
  <c r="R3438" i="1"/>
  <c r="L3438" i="1"/>
  <c r="T3437" i="1"/>
  <c r="R3437" i="1"/>
  <c r="L3437" i="1"/>
  <c r="T3436" i="1"/>
  <c r="R3436" i="1"/>
  <c r="K3436" i="1"/>
  <c r="L3436" i="1" s="1"/>
  <c r="T3435" i="1"/>
  <c r="R3435" i="1"/>
  <c r="L3435" i="1"/>
  <c r="T3434" i="1"/>
  <c r="R3434" i="1"/>
  <c r="L3434" i="1"/>
  <c r="R3433" i="1"/>
  <c r="L3433" i="1"/>
  <c r="T3432" i="1"/>
  <c r="R3432" i="1"/>
  <c r="L3432" i="1"/>
  <c r="R3431" i="1"/>
  <c r="L3431" i="1"/>
  <c r="R3430" i="1"/>
  <c r="L3430" i="1"/>
  <c r="R3429" i="1"/>
  <c r="L3429" i="1"/>
  <c r="T3428" i="1"/>
  <c r="R3428" i="1"/>
  <c r="R3427" i="1"/>
  <c r="L3427" i="1"/>
  <c r="R3426" i="1"/>
  <c r="L3426" i="1"/>
  <c r="T3425" i="1"/>
  <c r="R3425" i="1"/>
  <c r="L3425" i="1"/>
  <c r="R3424" i="1"/>
  <c r="L3424" i="1"/>
  <c r="G3424" i="1"/>
  <c r="T3424" i="1" s="1"/>
  <c r="T3423" i="1"/>
  <c r="R3423" i="1"/>
  <c r="L3423" i="1"/>
  <c r="R3422" i="1"/>
  <c r="L3422" i="1"/>
  <c r="R3421" i="1"/>
  <c r="L3421" i="1"/>
  <c r="T3420" i="1"/>
  <c r="R3420" i="1"/>
  <c r="L3420" i="1"/>
  <c r="T3419" i="1"/>
  <c r="R3419" i="1"/>
  <c r="L3419" i="1"/>
  <c r="R3418" i="1"/>
  <c r="O3418" i="1"/>
  <c r="L3418" i="1"/>
  <c r="R3417" i="1"/>
  <c r="L3417" i="1"/>
  <c r="R3416" i="1"/>
  <c r="L3416" i="1"/>
  <c r="G3416" i="1"/>
  <c r="T3416" i="1" s="1"/>
  <c r="R3415" i="1"/>
  <c r="L3415" i="1"/>
  <c r="G3415" i="1"/>
  <c r="T3415" i="1" s="1"/>
  <c r="R3414" i="1"/>
  <c r="L3414" i="1"/>
  <c r="G3414" i="1"/>
  <c r="T3414" i="1" s="1"/>
  <c r="T3413" i="1"/>
  <c r="R3413" i="1"/>
  <c r="L3413" i="1"/>
  <c r="T3412" i="1"/>
  <c r="R3412" i="1"/>
  <c r="L3412" i="1"/>
  <c r="T3411" i="1"/>
  <c r="R3411" i="1"/>
  <c r="L3411" i="1"/>
  <c r="T3410" i="1"/>
  <c r="R3410" i="1"/>
  <c r="L3410" i="1"/>
  <c r="T3409" i="1"/>
  <c r="R3409" i="1"/>
  <c r="L3409" i="1"/>
  <c r="T3408" i="1"/>
  <c r="R3408" i="1"/>
  <c r="L3408" i="1"/>
  <c r="T3407" i="1"/>
  <c r="R3407" i="1"/>
  <c r="L3407" i="1"/>
  <c r="T3406" i="1"/>
  <c r="R3406" i="1"/>
  <c r="L3406" i="1"/>
  <c r="R3405" i="1"/>
  <c r="L3405" i="1"/>
  <c r="R3404" i="1"/>
  <c r="O3404" i="1"/>
  <c r="L3404" i="1"/>
  <c r="R3403" i="1"/>
  <c r="L3403" i="1"/>
  <c r="R3402" i="1"/>
  <c r="L3402" i="1"/>
  <c r="R3401" i="1"/>
  <c r="L3401" i="1"/>
  <c r="G3401" i="1"/>
  <c r="R3400" i="1"/>
  <c r="L3400" i="1"/>
  <c r="G3400" i="1"/>
  <c r="R3399" i="1"/>
  <c r="L3399" i="1"/>
  <c r="G3399" i="1"/>
  <c r="T3399" i="1" s="1"/>
  <c r="R3398" i="1"/>
  <c r="L3398" i="1"/>
  <c r="R3397" i="1"/>
  <c r="L3397" i="1"/>
  <c r="R3396" i="1"/>
  <c r="L3396" i="1"/>
  <c r="R3395" i="1"/>
  <c r="L3395" i="1"/>
  <c r="R3394" i="1"/>
  <c r="L3394" i="1"/>
  <c r="R3393" i="1"/>
  <c r="L3393" i="1"/>
  <c r="R3392" i="1"/>
  <c r="L3392" i="1"/>
  <c r="R3391" i="1"/>
  <c r="L3391" i="1"/>
  <c r="G3391" i="1"/>
  <c r="T3391" i="1" s="1"/>
  <c r="R3390" i="1"/>
  <c r="L3390" i="1"/>
  <c r="G3390" i="1"/>
  <c r="T3390" i="1" s="1"/>
  <c r="T3389" i="1"/>
  <c r="R3389" i="1"/>
  <c r="L3389" i="1"/>
  <c r="T3388" i="1"/>
  <c r="R3388" i="1"/>
  <c r="L3388" i="1"/>
  <c r="T3387" i="1"/>
  <c r="R3387" i="1"/>
  <c r="L3387" i="1"/>
  <c r="T3386" i="1"/>
  <c r="R3386" i="1"/>
  <c r="L3386" i="1"/>
  <c r="T3385" i="1"/>
  <c r="R3385" i="1"/>
  <c r="L3385" i="1"/>
  <c r="R3384" i="1"/>
  <c r="L3384" i="1"/>
  <c r="R3383" i="1"/>
  <c r="L3383" i="1"/>
  <c r="R3382" i="1"/>
  <c r="L3382" i="1"/>
  <c r="T3381" i="1"/>
  <c r="R3381" i="1"/>
  <c r="L3381" i="1"/>
  <c r="T3380" i="1"/>
  <c r="R3380" i="1"/>
  <c r="L3380" i="1"/>
  <c r="T3379" i="1"/>
  <c r="R3379" i="1"/>
  <c r="L3379" i="1"/>
  <c r="T3378" i="1"/>
  <c r="R3378" i="1"/>
  <c r="L3378" i="1"/>
  <c r="T3377" i="1"/>
  <c r="R3377" i="1"/>
  <c r="L3377" i="1"/>
  <c r="T3376" i="1"/>
  <c r="R3376" i="1"/>
  <c r="L3376" i="1"/>
  <c r="T3375" i="1"/>
  <c r="R3375" i="1"/>
  <c r="L3375" i="1"/>
  <c r="T3374" i="1"/>
  <c r="R3374" i="1"/>
  <c r="L3374" i="1"/>
  <c r="T3373" i="1"/>
  <c r="R3373" i="1"/>
  <c r="L3373" i="1"/>
  <c r="T3372" i="1"/>
  <c r="R3372" i="1"/>
  <c r="L3372" i="1"/>
  <c r="T3371" i="1"/>
  <c r="R3371" i="1"/>
  <c r="L3371" i="1"/>
  <c r="T3370" i="1"/>
  <c r="R3370" i="1"/>
  <c r="L3370" i="1"/>
  <c r="T3369" i="1"/>
  <c r="R3369" i="1"/>
  <c r="L3369" i="1"/>
  <c r="R3368" i="1"/>
  <c r="L3368" i="1"/>
  <c r="T3367" i="1"/>
  <c r="R3367" i="1"/>
  <c r="L3367" i="1"/>
  <c r="T3366" i="1"/>
  <c r="R3366" i="1"/>
  <c r="L3366" i="1"/>
  <c r="T3365" i="1"/>
  <c r="R3365" i="1"/>
  <c r="L3365" i="1"/>
  <c r="T3364" i="1"/>
  <c r="R3364" i="1"/>
  <c r="L3364" i="1"/>
  <c r="T3363" i="1"/>
  <c r="R3363" i="1"/>
  <c r="O3363" i="1"/>
  <c r="L3363" i="1"/>
  <c r="T3362" i="1"/>
  <c r="R3362" i="1"/>
  <c r="O3362" i="1"/>
  <c r="L3362" i="1"/>
  <c r="T3361" i="1"/>
  <c r="R3361" i="1"/>
  <c r="O3361" i="1"/>
  <c r="L3361" i="1"/>
  <c r="T3360" i="1"/>
  <c r="R3360" i="1"/>
  <c r="O3360" i="1"/>
  <c r="L3360" i="1"/>
  <c r="T3359" i="1"/>
  <c r="R3359" i="1"/>
  <c r="O3359" i="1"/>
  <c r="L3359" i="1"/>
  <c r="T3358" i="1"/>
  <c r="R3358" i="1"/>
  <c r="O3358" i="1"/>
  <c r="L3358" i="1"/>
  <c r="T3357" i="1"/>
  <c r="R3357" i="1"/>
  <c r="O3357" i="1"/>
  <c r="L3357" i="1"/>
  <c r="T3356" i="1"/>
  <c r="R3356" i="1"/>
  <c r="O3356" i="1"/>
  <c r="L3356" i="1"/>
  <c r="R3355" i="1"/>
  <c r="L3355" i="1"/>
  <c r="R3354" i="1"/>
  <c r="L3354" i="1"/>
  <c r="R3353" i="1"/>
  <c r="L3353" i="1"/>
  <c r="R3352" i="1"/>
  <c r="L3352" i="1"/>
  <c r="R3351" i="1"/>
  <c r="L3351" i="1"/>
  <c r="G3351" i="1"/>
  <c r="T3351" i="1" s="1"/>
  <c r="R3350" i="1"/>
  <c r="L3350" i="1"/>
  <c r="T3349" i="1"/>
  <c r="R3349" i="1"/>
  <c r="L3349" i="1"/>
  <c r="R3348" i="1"/>
  <c r="L3348" i="1"/>
  <c r="R3347" i="1"/>
  <c r="L3347" i="1"/>
  <c r="R3346" i="1"/>
  <c r="L3346" i="1"/>
  <c r="R3345" i="1"/>
  <c r="L3345" i="1"/>
  <c r="T3344" i="1"/>
  <c r="R3344" i="1"/>
  <c r="S3344" i="1" s="1"/>
  <c r="L3344" i="1"/>
  <c r="R3343" i="1"/>
  <c r="O3343" i="1"/>
  <c r="L3343" i="1"/>
  <c r="R3342" i="1"/>
  <c r="L3342" i="1"/>
  <c r="R3341" i="1"/>
  <c r="L3341" i="1"/>
  <c r="R3340" i="1"/>
  <c r="L3340" i="1"/>
  <c r="R3339" i="1"/>
  <c r="L3339" i="1"/>
  <c r="R3338" i="1"/>
  <c r="L3338" i="1"/>
  <c r="R3337" i="1"/>
  <c r="L3337" i="1"/>
  <c r="R3336" i="1"/>
  <c r="L3336" i="1"/>
  <c r="R3335" i="1"/>
  <c r="L3335" i="1"/>
  <c r="R3334" i="1"/>
  <c r="L3334" i="1"/>
  <c r="R3333" i="1"/>
  <c r="L3333" i="1"/>
  <c r="R3332" i="1"/>
  <c r="L3332" i="1"/>
  <c r="R3331" i="1"/>
  <c r="L3331" i="1"/>
  <c r="R3330" i="1"/>
  <c r="L3330" i="1"/>
  <c r="R3329" i="1"/>
  <c r="L3329" i="1"/>
  <c r="R3328" i="1"/>
  <c r="L3328" i="1"/>
  <c r="R3327" i="1"/>
  <c r="L3327" i="1"/>
  <c r="R3326" i="1"/>
  <c r="L3326" i="1"/>
  <c r="R3325" i="1"/>
  <c r="L3325" i="1"/>
  <c r="R3324" i="1"/>
  <c r="L3324" i="1"/>
  <c r="R3323" i="1"/>
  <c r="L3323" i="1"/>
  <c r="R3322" i="1"/>
  <c r="L3322" i="1"/>
  <c r="T3321" i="1"/>
  <c r="R3321" i="1"/>
  <c r="L3321" i="1"/>
  <c r="R3320" i="1"/>
  <c r="K3320" i="1"/>
  <c r="L3320" i="1" s="1"/>
  <c r="R3319" i="1"/>
  <c r="L3319" i="1"/>
  <c r="R3318" i="1"/>
  <c r="L3318" i="1"/>
  <c r="R3317" i="1"/>
  <c r="L3317" i="1"/>
  <c r="R3316" i="1"/>
  <c r="L3316" i="1"/>
  <c r="R3315" i="1"/>
  <c r="L3315" i="1"/>
  <c r="R3314" i="1"/>
  <c r="L3314" i="1"/>
  <c r="R3313" i="1"/>
  <c r="L3313" i="1"/>
  <c r="R3312" i="1"/>
  <c r="L3312" i="1"/>
  <c r="R3311" i="1"/>
  <c r="L3311" i="1"/>
  <c r="R3310" i="1"/>
  <c r="L3310" i="1"/>
  <c r="R3309" i="1"/>
  <c r="L3309" i="1"/>
  <c r="R3308" i="1"/>
  <c r="L3308" i="1"/>
  <c r="R3307" i="1"/>
  <c r="L3307" i="1"/>
  <c r="R3306" i="1"/>
  <c r="L3306" i="1"/>
  <c r="R3305" i="1"/>
  <c r="L3305" i="1"/>
  <c r="R3304" i="1"/>
  <c r="K3304" i="1"/>
  <c r="L3304" i="1" s="1"/>
  <c r="R3303" i="1"/>
  <c r="L3303" i="1"/>
  <c r="R3302" i="1"/>
  <c r="L3302" i="1"/>
  <c r="R3301" i="1"/>
  <c r="L3301" i="1"/>
  <c r="R3300" i="1"/>
  <c r="L3300" i="1"/>
  <c r="R3299" i="1"/>
  <c r="L3299" i="1"/>
  <c r="R3298" i="1"/>
  <c r="L3298" i="1"/>
  <c r="R3297" i="1"/>
  <c r="L3297" i="1"/>
  <c r="R3296" i="1"/>
  <c r="L3296" i="1"/>
  <c r="R3295" i="1"/>
  <c r="L3295" i="1"/>
  <c r="R3294" i="1"/>
  <c r="L3294" i="1"/>
  <c r="R3293" i="1"/>
  <c r="L3293" i="1"/>
  <c r="R3292" i="1"/>
  <c r="L3292" i="1"/>
  <c r="R3291" i="1"/>
  <c r="L3291" i="1"/>
  <c r="R3290" i="1"/>
  <c r="L3290" i="1"/>
  <c r="R3289" i="1"/>
  <c r="L3289" i="1"/>
  <c r="R3288" i="1"/>
  <c r="L3288" i="1"/>
  <c r="R3287" i="1"/>
  <c r="L3287" i="1"/>
  <c r="R3286" i="1"/>
  <c r="L3286" i="1"/>
  <c r="T3285" i="1"/>
  <c r="R3285" i="1"/>
  <c r="L3285" i="1"/>
  <c r="R3284" i="1"/>
  <c r="L3284" i="1"/>
  <c r="T3283" i="1"/>
  <c r="R3283" i="1"/>
  <c r="L3283" i="1"/>
  <c r="R3282" i="1"/>
  <c r="L3282" i="1"/>
  <c r="R3281" i="1"/>
  <c r="L3281" i="1"/>
  <c r="R3280" i="1"/>
  <c r="L3280" i="1"/>
  <c r="R3279" i="1"/>
  <c r="L3279" i="1"/>
  <c r="R3278" i="1"/>
  <c r="L3278" i="1"/>
  <c r="R3277" i="1"/>
  <c r="L3277" i="1"/>
  <c r="R3276" i="1"/>
  <c r="L3276" i="1"/>
  <c r="R3275" i="1"/>
  <c r="L3275" i="1"/>
  <c r="R3274" i="1"/>
  <c r="L3274" i="1"/>
  <c r="R3273" i="1"/>
  <c r="L3273" i="1"/>
  <c r="R3272" i="1"/>
  <c r="L3272" i="1"/>
  <c r="R3271" i="1"/>
  <c r="R3270" i="1"/>
  <c r="R3269" i="1"/>
  <c r="L3269" i="1"/>
  <c r="R3268" i="1"/>
  <c r="L3268" i="1"/>
  <c r="R3267" i="1"/>
  <c r="L3267" i="1"/>
  <c r="R3266" i="1"/>
  <c r="L3266" i="1"/>
  <c r="R3265" i="1"/>
  <c r="L3265" i="1"/>
  <c r="R3264" i="1"/>
  <c r="L3264" i="1"/>
  <c r="R3263" i="1"/>
  <c r="L3263" i="1"/>
  <c r="R3262" i="1"/>
  <c r="L3262" i="1"/>
  <c r="R3261" i="1"/>
  <c r="L3261" i="1"/>
  <c r="R3260" i="1"/>
  <c r="L3260" i="1"/>
  <c r="R3259" i="1"/>
  <c r="L3259" i="1"/>
  <c r="R3258" i="1"/>
  <c r="L3258" i="1"/>
  <c r="R3257" i="1"/>
  <c r="L3257" i="1"/>
  <c r="R3256" i="1"/>
  <c r="L3256" i="1"/>
  <c r="R3255" i="1"/>
  <c r="L3255" i="1"/>
  <c r="R3254" i="1"/>
  <c r="L3254" i="1"/>
  <c r="R3253" i="1"/>
  <c r="L3253" i="1"/>
  <c r="Y3252" i="1"/>
  <c r="R3252" i="1"/>
  <c r="L3252" i="1"/>
  <c r="R3251" i="1"/>
  <c r="L3251" i="1"/>
  <c r="R3250" i="1"/>
  <c r="L3250" i="1"/>
  <c r="G3250" i="1"/>
  <c r="T3250" i="1" s="1"/>
  <c r="R3249" i="1"/>
  <c r="L3249" i="1"/>
  <c r="G3249" i="1"/>
  <c r="T3249" i="1" s="1"/>
  <c r="R3248" i="1"/>
  <c r="L3248" i="1"/>
  <c r="G3248" i="1"/>
  <c r="T3248" i="1" s="1"/>
  <c r="R3247" i="1"/>
  <c r="L3247" i="1"/>
  <c r="G3247" i="1"/>
  <c r="T3247" i="1" s="1"/>
  <c r="R3246" i="1"/>
  <c r="L3246" i="1"/>
  <c r="G3246" i="1"/>
  <c r="T3246" i="1" s="1"/>
  <c r="R3245" i="1"/>
  <c r="L3245" i="1"/>
  <c r="G3245" i="1"/>
  <c r="T3245" i="1" s="1"/>
  <c r="R3244" i="1"/>
  <c r="L3244" i="1"/>
  <c r="G3244" i="1"/>
  <c r="T3244" i="1" s="1"/>
  <c r="R3243" i="1"/>
  <c r="L3243" i="1"/>
  <c r="G3243" i="1"/>
  <c r="T3243" i="1" s="1"/>
  <c r="R3242" i="1"/>
  <c r="L3242" i="1"/>
  <c r="G3242" i="1"/>
  <c r="T3242" i="1" s="1"/>
  <c r="R3241" i="1"/>
  <c r="L3241" i="1"/>
  <c r="G3241" i="1"/>
  <c r="T3241" i="1" s="1"/>
  <c r="R3240" i="1"/>
  <c r="L3240" i="1"/>
  <c r="G3240" i="1"/>
  <c r="T3240" i="1" s="1"/>
  <c r="R3239" i="1"/>
  <c r="L3239" i="1"/>
  <c r="G3239" i="1"/>
  <c r="T3239" i="1" s="1"/>
  <c r="R3238" i="1"/>
  <c r="L3238" i="1"/>
  <c r="G3238" i="1"/>
  <c r="T3238" i="1" s="1"/>
  <c r="R3237" i="1"/>
  <c r="L3237" i="1"/>
  <c r="G3237" i="1"/>
  <c r="T3237" i="1" s="1"/>
  <c r="R3236" i="1"/>
  <c r="L3236" i="1"/>
  <c r="G3236" i="1"/>
  <c r="T3236" i="1" s="1"/>
  <c r="R3235" i="1"/>
  <c r="L3235" i="1"/>
  <c r="G3235" i="1"/>
  <c r="T3235" i="1" s="1"/>
  <c r="R3234" i="1"/>
  <c r="L3234" i="1"/>
  <c r="G3234" i="1"/>
  <c r="T3234" i="1" s="1"/>
  <c r="T3233" i="1"/>
  <c r="R3233" i="1"/>
  <c r="L3233" i="1"/>
  <c r="T3232" i="1"/>
  <c r="R3232" i="1"/>
  <c r="L3232" i="1"/>
  <c r="T3231" i="1"/>
  <c r="R3231" i="1"/>
  <c r="L3231" i="1"/>
  <c r="T3230" i="1"/>
  <c r="R3230" i="1"/>
  <c r="L3230" i="1"/>
  <c r="T3229" i="1"/>
  <c r="R3229" i="1"/>
  <c r="L3229" i="1"/>
  <c r="T3228" i="1"/>
  <c r="R3228" i="1"/>
  <c r="L3228" i="1"/>
  <c r="T3227" i="1"/>
  <c r="R3227" i="1"/>
  <c r="L3227" i="1"/>
  <c r="T3226" i="1"/>
  <c r="R3226" i="1"/>
  <c r="L3226" i="1"/>
  <c r="T3225" i="1"/>
  <c r="R3225" i="1"/>
  <c r="L3225" i="1"/>
  <c r="T3224" i="1"/>
  <c r="R3224" i="1"/>
  <c r="L3224" i="1"/>
  <c r="T3223" i="1"/>
  <c r="R3223" i="1"/>
  <c r="L3223" i="1"/>
  <c r="T3222" i="1"/>
  <c r="R3222" i="1"/>
  <c r="L3222" i="1"/>
  <c r="T3221" i="1"/>
  <c r="R3221" i="1"/>
  <c r="L3221" i="1"/>
  <c r="T3220" i="1"/>
  <c r="R3220" i="1"/>
  <c r="L3220" i="1"/>
  <c r="T3219" i="1"/>
  <c r="R3219" i="1"/>
  <c r="L3219" i="1"/>
  <c r="T3218" i="1"/>
  <c r="R3218" i="1"/>
  <c r="L3218" i="1"/>
  <c r="T3217" i="1"/>
  <c r="R3217" i="1"/>
  <c r="K3217" i="1"/>
  <c r="L3217" i="1" s="1"/>
  <c r="T3216" i="1"/>
  <c r="R3216" i="1"/>
  <c r="K3216" i="1"/>
  <c r="L3216" i="1" s="1"/>
  <c r="U3215" i="1"/>
  <c r="T3215" i="1"/>
  <c r="R3215" i="1"/>
  <c r="K3215" i="1"/>
  <c r="L3215" i="1" s="1"/>
  <c r="T3214" i="1"/>
  <c r="R3214" i="1"/>
  <c r="L3214" i="1"/>
  <c r="T3213" i="1"/>
  <c r="R3213" i="1"/>
  <c r="L3213" i="1"/>
  <c r="T3212" i="1"/>
  <c r="R3212" i="1"/>
  <c r="L3212" i="1"/>
  <c r="T3211" i="1"/>
  <c r="R3211" i="1"/>
  <c r="L3211" i="1"/>
  <c r="T3210" i="1"/>
  <c r="R3210" i="1"/>
  <c r="L3210" i="1"/>
  <c r="T3209" i="1"/>
  <c r="R3209" i="1"/>
  <c r="L3209" i="1"/>
  <c r="T3208" i="1"/>
  <c r="R3208" i="1"/>
  <c r="L3208" i="1"/>
  <c r="T3207" i="1"/>
  <c r="R3207" i="1"/>
  <c r="L3207" i="1"/>
  <c r="T3206" i="1"/>
  <c r="R3206" i="1"/>
  <c r="L3206" i="1"/>
  <c r="T3205" i="1"/>
  <c r="R3205" i="1"/>
  <c r="L3205" i="1"/>
  <c r="T3204" i="1"/>
  <c r="R3204" i="1"/>
  <c r="L3204" i="1"/>
  <c r="T3203" i="1"/>
  <c r="R3203" i="1"/>
  <c r="L3203" i="1"/>
  <c r="T3202" i="1"/>
  <c r="R3202" i="1"/>
  <c r="L3202" i="1"/>
  <c r="T3201" i="1"/>
  <c r="R3201" i="1"/>
  <c r="L3201" i="1"/>
  <c r="T3200" i="1"/>
  <c r="R3200" i="1"/>
  <c r="L3200" i="1"/>
  <c r="T3199" i="1"/>
  <c r="R3199" i="1"/>
  <c r="L3199" i="1"/>
  <c r="T3198" i="1"/>
  <c r="R3198" i="1"/>
  <c r="L3198" i="1"/>
  <c r="T3197" i="1"/>
  <c r="R3197" i="1"/>
  <c r="L3197" i="1"/>
  <c r="T3196" i="1"/>
  <c r="R3196" i="1"/>
  <c r="L3196" i="1"/>
  <c r="T3195" i="1"/>
  <c r="R3195" i="1"/>
  <c r="L3195" i="1"/>
  <c r="T3194" i="1"/>
  <c r="R3194" i="1"/>
  <c r="L3194" i="1"/>
  <c r="T3193" i="1"/>
  <c r="R3193" i="1"/>
  <c r="L3193" i="1"/>
  <c r="T3192" i="1"/>
  <c r="R3192" i="1"/>
  <c r="L3192" i="1"/>
  <c r="T3191" i="1"/>
  <c r="R3191" i="1"/>
  <c r="L3191" i="1"/>
  <c r="T3190" i="1"/>
  <c r="R3190" i="1"/>
  <c r="L3190" i="1"/>
  <c r="T3189" i="1"/>
  <c r="R3189" i="1"/>
  <c r="L3189" i="1"/>
  <c r="T3188" i="1"/>
  <c r="R3188" i="1"/>
  <c r="L3188" i="1"/>
  <c r="T3187" i="1"/>
  <c r="R3187" i="1"/>
  <c r="L3187" i="1"/>
  <c r="T3186" i="1"/>
  <c r="R3186" i="1"/>
  <c r="L3186" i="1"/>
  <c r="T3185" i="1"/>
  <c r="R3185" i="1"/>
  <c r="L3185" i="1"/>
  <c r="T3184" i="1"/>
  <c r="R3184" i="1"/>
  <c r="L3184" i="1"/>
  <c r="T3183" i="1"/>
  <c r="R3183" i="1"/>
  <c r="L3183" i="1"/>
  <c r="T3182" i="1"/>
  <c r="L3182" i="1"/>
  <c r="T3181" i="1"/>
  <c r="R3181" i="1"/>
  <c r="L3181" i="1"/>
  <c r="T3180" i="1"/>
  <c r="R3180" i="1"/>
  <c r="L3180" i="1"/>
  <c r="T3179" i="1"/>
  <c r="R3179" i="1"/>
  <c r="L3179" i="1"/>
  <c r="T3178" i="1"/>
  <c r="R3178" i="1"/>
  <c r="L3178" i="1"/>
  <c r="T3177" i="1"/>
  <c r="R3177" i="1"/>
  <c r="L3177" i="1"/>
  <c r="T3176" i="1"/>
  <c r="R3176" i="1"/>
  <c r="L3176" i="1"/>
  <c r="T3175" i="1"/>
  <c r="R3175" i="1"/>
  <c r="L3175" i="1"/>
  <c r="T3174" i="1"/>
  <c r="R3174" i="1"/>
  <c r="L3174" i="1"/>
  <c r="T3173" i="1"/>
  <c r="R3173" i="1"/>
  <c r="L3173" i="1"/>
  <c r="T3172" i="1"/>
  <c r="R3172" i="1"/>
  <c r="L3172" i="1"/>
  <c r="X3171" i="1"/>
  <c r="T3171" i="1"/>
  <c r="R3171" i="1"/>
  <c r="L3171" i="1"/>
  <c r="T3170" i="1"/>
  <c r="R3170" i="1"/>
  <c r="L3170" i="1"/>
  <c r="T3169" i="1"/>
  <c r="R3169" i="1"/>
  <c r="L3169" i="1"/>
  <c r="T3168" i="1"/>
  <c r="R3168" i="1"/>
  <c r="L3168" i="1"/>
  <c r="T3167" i="1"/>
  <c r="R3167" i="1"/>
  <c r="L3167" i="1"/>
  <c r="T3166" i="1"/>
  <c r="R3166" i="1"/>
  <c r="L3166" i="1"/>
  <c r="T3165" i="1"/>
  <c r="R3165" i="1"/>
  <c r="L3165" i="1"/>
  <c r="T3164" i="1"/>
  <c r="R3164" i="1"/>
  <c r="L3164" i="1"/>
  <c r="T3163" i="1"/>
  <c r="R3163" i="1"/>
  <c r="L3163" i="1"/>
  <c r="T3162" i="1"/>
  <c r="R3162" i="1"/>
  <c r="L3162" i="1"/>
  <c r="T3161" i="1"/>
  <c r="R3161" i="1"/>
  <c r="L3161" i="1"/>
  <c r="T3160" i="1"/>
  <c r="R3160" i="1"/>
  <c r="L3160" i="1"/>
  <c r="T3159" i="1"/>
  <c r="R3159" i="1"/>
  <c r="L3159" i="1"/>
  <c r="T3158" i="1"/>
  <c r="R3158" i="1"/>
  <c r="L3158" i="1"/>
  <c r="T3157" i="1"/>
  <c r="R3157" i="1"/>
  <c r="L3157" i="1"/>
  <c r="T3156" i="1"/>
  <c r="R3156" i="1"/>
  <c r="L3156" i="1"/>
  <c r="T3155" i="1"/>
  <c r="R3155" i="1"/>
  <c r="L3155" i="1"/>
  <c r="T3154" i="1"/>
  <c r="R3154" i="1"/>
  <c r="L3154" i="1"/>
  <c r="T3153" i="1"/>
  <c r="R3153" i="1"/>
  <c r="L3153" i="1"/>
  <c r="T3152" i="1"/>
  <c r="R3152" i="1"/>
  <c r="L3152" i="1"/>
  <c r="T3151" i="1"/>
  <c r="R3151" i="1"/>
  <c r="L3151" i="1"/>
  <c r="T3150" i="1"/>
  <c r="R3150" i="1"/>
  <c r="L3150" i="1"/>
  <c r="T3149" i="1"/>
  <c r="R3149" i="1"/>
  <c r="L3149" i="1"/>
  <c r="T3148" i="1"/>
  <c r="R3148" i="1"/>
  <c r="K3148" i="1"/>
  <c r="L3148" i="1" s="1"/>
  <c r="T3147" i="1"/>
  <c r="R3147" i="1"/>
  <c r="L3147" i="1"/>
  <c r="T3146" i="1"/>
  <c r="R3146" i="1"/>
  <c r="L3146" i="1"/>
  <c r="T3145" i="1"/>
  <c r="R3145" i="1"/>
  <c r="L3145" i="1"/>
  <c r="T3144" i="1"/>
  <c r="R3144" i="1"/>
  <c r="L3144" i="1"/>
  <c r="T3143" i="1"/>
  <c r="R3143" i="1"/>
  <c r="K3143" i="1"/>
  <c r="L3143" i="1" s="1"/>
  <c r="T3142" i="1"/>
  <c r="R3142" i="1"/>
  <c r="L3142" i="1"/>
  <c r="T3141" i="1"/>
  <c r="R3141" i="1"/>
  <c r="L3141" i="1"/>
  <c r="T3140" i="1"/>
  <c r="R3140" i="1"/>
  <c r="L3140" i="1"/>
  <c r="T3139" i="1"/>
  <c r="R3139" i="1"/>
  <c r="L3139" i="1"/>
  <c r="T3138" i="1"/>
  <c r="R3138" i="1"/>
  <c r="L3138" i="1"/>
  <c r="T3137" i="1"/>
  <c r="R3137" i="1"/>
  <c r="L3137" i="1"/>
  <c r="T3136" i="1"/>
  <c r="R3136" i="1"/>
  <c r="L3136" i="1"/>
  <c r="T3135" i="1"/>
  <c r="R3135" i="1"/>
  <c r="L3135" i="1"/>
  <c r="T3134" i="1"/>
  <c r="R3134" i="1"/>
  <c r="L3134" i="1"/>
  <c r="T3133" i="1"/>
  <c r="R3133" i="1"/>
  <c r="L3133" i="1"/>
  <c r="T3132" i="1"/>
  <c r="R3132" i="1"/>
  <c r="L3132" i="1"/>
  <c r="T3131" i="1"/>
  <c r="R3131" i="1"/>
  <c r="L3131" i="1"/>
  <c r="T3130" i="1"/>
  <c r="R3130" i="1"/>
  <c r="L3130" i="1"/>
  <c r="T3129" i="1"/>
  <c r="R3129" i="1"/>
  <c r="L3129" i="1"/>
  <c r="T3128" i="1"/>
  <c r="R3128" i="1"/>
  <c r="L3128" i="1"/>
  <c r="T3127" i="1"/>
  <c r="R3127" i="1"/>
  <c r="L3127" i="1"/>
  <c r="T3126" i="1"/>
  <c r="R3126" i="1"/>
  <c r="L3126" i="1"/>
  <c r="T3125" i="1"/>
  <c r="R3125" i="1"/>
  <c r="L3125" i="1"/>
  <c r="T3124" i="1"/>
  <c r="R3124" i="1"/>
  <c r="L3124" i="1"/>
  <c r="T3123" i="1"/>
  <c r="R3123" i="1"/>
  <c r="L3123" i="1"/>
  <c r="T3122" i="1"/>
  <c r="R3122" i="1"/>
  <c r="L3122" i="1"/>
  <c r="T3121" i="1"/>
  <c r="R3121" i="1"/>
  <c r="L3121" i="1"/>
  <c r="T3120" i="1"/>
  <c r="R3120" i="1"/>
  <c r="L3120" i="1"/>
  <c r="T3119" i="1"/>
  <c r="R3119" i="1"/>
  <c r="L3119" i="1"/>
  <c r="T3118" i="1"/>
  <c r="R3118" i="1"/>
  <c r="L3118" i="1"/>
  <c r="T3117" i="1"/>
  <c r="R3117" i="1"/>
  <c r="L3117" i="1"/>
  <c r="T3116" i="1"/>
  <c r="R3116" i="1"/>
  <c r="L3116" i="1"/>
  <c r="T3115" i="1"/>
  <c r="R3115" i="1"/>
  <c r="L3115" i="1"/>
  <c r="T3114" i="1"/>
  <c r="R3114" i="1"/>
  <c r="L3114" i="1"/>
  <c r="T3113" i="1"/>
  <c r="R3113" i="1"/>
  <c r="L3113" i="1"/>
  <c r="T3112" i="1"/>
  <c r="R3112" i="1"/>
  <c r="L3112" i="1"/>
  <c r="T3111" i="1"/>
  <c r="R3111" i="1"/>
  <c r="L3111" i="1"/>
  <c r="T3110" i="1"/>
  <c r="R3110" i="1"/>
  <c r="L3110" i="1"/>
  <c r="T3109" i="1"/>
  <c r="R3109" i="1"/>
  <c r="L3109" i="1"/>
  <c r="T3108" i="1"/>
  <c r="R3108" i="1"/>
  <c r="L3108" i="1"/>
  <c r="W3108" i="1" s="1"/>
  <c r="T3107" i="1"/>
  <c r="R3107" i="1"/>
  <c r="K3107" i="1"/>
  <c r="L3107" i="1" s="1"/>
  <c r="T3106" i="1"/>
  <c r="R3106" i="1"/>
  <c r="L3106" i="1"/>
  <c r="T3105" i="1"/>
  <c r="R3105" i="1"/>
  <c r="L3105" i="1"/>
  <c r="T3104" i="1"/>
  <c r="R3104" i="1"/>
  <c r="L3104" i="1"/>
  <c r="T3103" i="1"/>
  <c r="R3103" i="1"/>
  <c r="L3103" i="1"/>
  <c r="T3102" i="1"/>
  <c r="R3102" i="1"/>
  <c r="L3102" i="1"/>
  <c r="T3101" i="1"/>
  <c r="R3101" i="1"/>
  <c r="L3101" i="1"/>
  <c r="T3100" i="1"/>
  <c r="R3100" i="1"/>
  <c r="L3100" i="1"/>
  <c r="T3099" i="1"/>
  <c r="R3099" i="1"/>
  <c r="L3099" i="1"/>
  <c r="T3098" i="1"/>
  <c r="R3098" i="1"/>
  <c r="L3098" i="1"/>
  <c r="T3097" i="1"/>
  <c r="R3097" i="1"/>
  <c r="L3097" i="1"/>
  <c r="T3096" i="1"/>
  <c r="R3096" i="1"/>
  <c r="L3096" i="1"/>
  <c r="T3095" i="1"/>
  <c r="R3095" i="1"/>
  <c r="L3095" i="1"/>
  <c r="T3094" i="1"/>
  <c r="R3094" i="1"/>
  <c r="L3094" i="1"/>
  <c r="T3093" i="1"/>
  <c r="R3093" i="1"/>
  <c r="L3093" i="1"/>
  <c r="T3092" i="1"/>
  <c r="R3092" i="1"/>
  <c r="L3092" i="1"/>
  <c r="T3091" i="1"/>
  <c r="R3091" i="1"/>
  <c r="L3091" i="1"/>
  <c r="T3090" i="1"/>
  <c r="R3090" i="1"/>
  <c r="L3090" i="1"/>
  <c r="T3089" i="1"/>
  <c r="R3089" i="1"/>
  <c r="L3089" i="1"/>
  <c r="T3088" i="1"/>
  <c r="R3088" i="1"/>
  <c r="L3088" i="1"/>
  <c r="T3087" i="1"/>
  <c r="R3087" i="1"/>
  <c r="L3087" i="1"/>
  <c r="T3086" i="1"/>
  <c r="R3086" i="1"/>
  <c r="L3086" i="1"/>
  <c r="T3085" i="1"/>
  <c r="R3085" i="1"/>
  <c r="L3085" i="1"/>
  <c r="T3084" i="1"/>
  <c r="R3084" i="1"/>
  <c r="L3084" i="1"/>
  <c r="T3083" i="1"/>
  <c r="R3083" i="1"/>
  <c r="L3083" i="1"/>
  <c r="W3082" i="1"/>
  <c r="T3082" i="1"/>
  <c r="R3082" i="1"/>
  <c r="L3082" i="1"/>
  <c r="X3082" i="1" s="1"/>
  <c r="T3081" i="1"/>
  <c r="R3081" i="1"/>
  <c r="L3081" i="1"/>
  <c r="T3080" i="1"/>
  <c r="R3080" i="1"/>
  <c r="L3080" i="1"/>
  <c r="T3079" i="1"/>
  <c r="R3079" i="1"/>
  <c r="L3079" i="1"/>
  <c r="T3078" i="1"/>
  <c r="R3078" i="1"/>
  <c r="L3078" i="1"/>
  <c r="T3077" i="1"/>
  <c r="R3077" i="1"/>
  <c r="L3077" i="1"/>
  <c r="T3076" i="1"/>
  <c r="S3076" i="1"/>
  <c r="R3076" i="1"/>
  <c r="L3076" i="1"/>
  <c r="T3075" i="1"/>
  <c r="S3075" i="1"/>
  <c r="R3075" i="1"/>
  <c r="L3075" i="1"/>
  <c r="T3074" i="1"/>
  <c r="S3074" i="1"/>
  <c r="R3074" i="1"/>
  <c r="L3074" i="1"/>
  <c r="T3073" i="1"/>
  <c r="S3073" i="1"/>
  <c r="R3073" i="1"/>
  <c r="L3073" i="1"/>
  <c r="T3072" i="1"/>
  <c r="S3072" i="1"/>
  <c r="R3072" i="1"/>
  <c r="L3072" i="1"/>
  <c r="T3071" i="1"/>
  <c r="S3071" i="1"/>
  <c r="R3071" i="1"/>
  <c r="L3071" i="1"/>
  <c r="T3070" i="1"/>
  <c r="S3070" i="1"/>
  <c r="R3070" i="1"/>
  <c r="L3070" i="1"/>
  <c r="T3069" i="1"/>
  <c r="S3069" i="1"/>
  <c r="R3069" i="1"/>
  <c r="L3069" i="1"/>
  <c r="T3068" i="1"/>
  <c r="S3068" i="1"/>
  <c r="R3068" i="1"/>
  <c r="L3068" i="1"/>
  <c r="T3067" i="1"/>
  <c r="S3067" i="1"/>
  <c r="R3067" i="1"/>
  <c r="L3067" i="1"/>
  <c r="T3066" i="1"/>
  <c r="S3066" i="1"/>
  <c r="R3066" i="1"/>
  <c r="L3066" i="1"/>
  <c r="T3065" i="1"/>
  <c r="S3065" i="1"/>
  <c r="R3065" i="1"/>
  <c r="L3065" i="1"/>
  <c r="T3064" i="1"/>
  <c r="S3064" i="1"/>
  <c r="R3064" i="1"/>
  <c r="L3064" i="1"/>
  <c r="T3063" i="1"/>
  <c r="S3063" i="1"/>
  <c r="R3063" i="1"/>
  <c r="L3063" i="1"/>
  <c r="T3062" i="1"/>
  <c r="S3062" i="1"/>
  <c r="R3062" i="1"/>
  <c r="L3062" i="1"/>
  <c r="T3061" i="1"/>
  <c r="S3061" i="1"/>
  <c r="R3061" i="1"/>
  <c r="L3061" i="1"/>
  <c r="T3060" i="1"/>
  <c r="S3060" i="1"/>
  <c r="R3060" i="1"/>
  <c r="L3060" i="1"/>
  <c r="T3059" i="1"/>
  <c r="S3059" i="1"/>
  <c r="R3059" i="1"/>
  <c r="L3059" i="1"/>
  <c r="T3058" i="1"/>
  <c r="S3058" i="1"/>
  <c r="R3058" i="1"/>
  <c r="L3058" i="1"/>
  <c r="T3057" i="1"/>
  <c r="S3057" i="1"/>
  <c r="R3057" i="1"/>
  <c r="L3057" i="1"/>
  <c r="T3056" i="1"/>
  <c r="S3056" i="1"/>
  <c r="R3056" i="1"/>
  <c r="L3056" i="1"/>
  <c r="T3055" i="1"/>
  <c r="S3055" i="1"/>
  <c r="R3055" i="1"/>
  <c r="L3055" i="1"/>
  <c r="W3054" i="1"/>
  <c r="T3054" i="1"/>
  <c r="S3054" i="1"/>
  <c r="R3054" i="1"/>
  <c r="L3054" i="1"/>
  <c r="W3053" i="1"/>
  <c r="T3053" i="1"/>
  <c r="S3053" i="1"/>
  <c r="R3053" i="1"/>
  <c r="L3053" i="1"/>
  <c r="T3052" i="1"/>
  <c r="S3052" i="1"/>
  <c r="R3052" i="1"/>
  <c r="L3052" i="1"/>
  <c r="T3051" i="1"/>
  <c r="S3051" i="1"/>
  <c r="R3051" i="1"/>
  <c r="L3051" i="1"/>
  <c r="T3050" i="1"/>
  <c r="S3050" i="1"/>
  <c r="R3050" i="1"/>
  <c r="L3050" i="1"/>
  <c r="T3049" i="1"/>
  <c r="S3049" i="1"/>
  <c r="R3049" i="1"/>
  <c r="L3049" i="1"/>
  <c r="T3048" i="1"/>
  <c r="S3048" i="1"/>
  <c r="R3048" i="1"/>
  <c r="L3048" i="1"/>
  <c r="T3047" i="1"/>
  <c r="S3047" i="1"/>
  <c r="R3047" i="1"/>
  <c r="L3047" i="1"/>
  <c r="T3046" i="1"/>
  <c r="S3046" i="1"/>
  <c r="R3046" i="1"/>
  <c r="L3046" i="1"/>
  <c r="T3045" i="1"/>
  <c r="S3045" i="1"/>
  <c r="R3045" i="1"/>
  <c r="L3045" i="1"/>
  <c r="T3044" i="1"/>
  <c r="S3044" i="1"/>
  <c r="R3044" i="1"/>
  <c r="L3044" i="1"/>
  <c r="T3043" i="1"/>
  <c r="S3043" i="1"/>
  <c r="R3043" i="1"/>
  <c r="L3043" i="1"/>
  <c r="T3042" i="1"/>
  <c r="S3042" i="1"/>
  <c r="R3042" i="1"/>
  <c r="L3042" i="1"/>
  <c r="T3041" i="1"/>
  <c r="S3041" i="1"/>
  <c r="R3041" i="1"/>
  <c r="L3041" i="1"/>
  <c r="T3040" i="1"/>
  <c r="S3040" i="1"/>
  <c r="R3040" i="1"/>
  <c r="L3040" i="1"/>
  <c r="T3039" i="1"/>
  <c r="S3039" i="1"/>
  <c r="R3039" i="1"/>
  <c r="L3039" i="1"/>
  <c r="T3038" i="1"/>
  <c r="S3038" i="1"/>
  <c r="R3038" i="1"/>
  <c r="L3038" i="1"/>
  <c r="T3037" i="1"/>
  <c r="S3037" i="1"/>
  <c r="R3037" i="1"/>
  <c r="L3037" i="1"/>
  <c r="T3036" i="1"/>
  <c r="S3036" i="1"/>
  <c r="R3036" i="1"/>
  <c r="L3036" i="1"/>
  <c r="T3035" i="1"/>
  <c r="S3035" i="1"/>
  <c r="R3035" i="1"/>
  <c r="L3035" i="1"/>
  <c r="T3034" i="1"/>
  <c r="S3034" i="1"/>
  <c r="R3034" i="1"/>
  <c r="L3034" i="1"/>
  <c r="T3033" i="1"/>
  <c r="S3033" i="1"/>
  <c r="R3033" i="1"/>
  <c r="L3033" i="1"/>
  <c r="T3032" i="1"/>
  <c r="S3032" i="1"/>
  <c r="R3032" i="1"/>
  <c r="L3032" i="1"/>
  <c r="T3031" i="1"/>
  <c r="S3031" i="1"/>
  <c r="R3031" i="1"/>
  <c r="L3031" i="1"/>
  <c r="T3030" i="1"/>
  <c r="S3030" i="1"/>
  <c r="R3030" i="1"/>
  <c r="L3030" i="1"/>
  <c r="T3029" i="1"/>
  <c r="S3029" i="1"/>
  <c r="R3029" i="1"/>
  <c r="L3029" i="1"/>
  <c r="T3028" i="1"/>
  <c r="S3028" i="1"/>
  <c r="R3028" i="1"/>
  <c r="L3028" i="1"/>
  <c r="T3027" i="1"/>
  <c r="S3027" i="1"/>
  <c r="R3027" i="1"/>
  <c r="L3027" i="1"/>
  <c r="T3026" i="1"/>
  <c r="S3026" i="1"/>
  <c r="R3026" i="1"/>
  <c r="L3026" i="1"/>
  <c r="T3025" i="1"/>
  <c r="S3025" i="1"/>
  <c r="R3025" i="1"/>
  <c r="L3025" i="1"/>
  <c r="T3024" i="1"/>
  <c r="S3024" i="1"/>
  <c r="R3024" i="1"/>
  <c r="L3024" i="1"/>
  <c r="T3023" i="1"/>
  <c r="S3023" i="1"/>
  <c r="R3023" i="1"/>
  <c r="L3023" i="1"/>
  <c r="T3022" i="1"/>
  <c r="S3022" i="1"/>
  <c r="R3022" i="1"/>
  <c r="L3022" i="1"/>
  <c r="T3021" i="1"/>
  <c r="S3021" i="1"/>
  <c r="R3021" i="1"/>
  <c r="L3021" i="1"/>
  <c r="T3020" i="1"/>
  <c r="S3020" i="1"/>
  <c r="R3020" i="1"/>
  <c r="L3020" i="1"/>
  <c r="T3019" i="1"/>
  <c r="S3019" i="1"/>
  <c r="R3019" i="1"/>
  <c r="L3019" i="1"/>
  <c r="T3018" i="1"/>
  <c r="S3018" i="1"/>
  <c r="R3018" i="1"/>
  <c r="L3018" i="1"/>
  <c r="T3017" i="1"/>
  <c r="S3017" i="1"/>
  <c r="R3017" i="1"/>
  <c r="L3017" i="1"/>
  <c r="T3016" i="1"/>
  <c r="S3016" i="1"/>
  <c r="R3016" i="1"/>
  <c r="L3016" i="1"/>
  <c r="T3015" i="1"/>
  <c r="S3015" i="1"/>
  <c r="R3015" i="1"/>
  <c r="L3015" i="1"/>
  <c r="T3014" i="1"/>
  <c r="S3014" i="1"/>
  <c r="R3014" i="1"/>
  <c r="L3014" i="1"/>
  <c r="T3013" i="1"/>
  <c r="S3013" i="1"/>
  <c r="R3013" i="1"/>
  <c r="L3013" i="1"/>
  <c r="T3012" i="1"/>
  <c r="S3012" i="1"/>
  <c r="R3012" i="1"/>
  <c r="L3012" i="1"/>
  <c r="T3011" i="1"/>
  <c r="S3011" i="1"/>
  <c r="R3011" i="1"/>
  <c r="L3011" i="1"/>
  <c r="T3010" i="1"/>
  <c r="S3010" i="1"/>
  <c r="R3010" i="1"/>
  <c r="L3010" i="1"/>
  <c r="T3009" i="1"/>
  <c r="S3009" i="1"/>
  <c r="R3009" i="1"/>
  <c r="L3009" i="1"/>
  <c r="T3008" i="1"/>
  <c r="S3008" i="1"/>
  <c r="R3008" i="1"/>
  <c r="L3008" i="1"/>
  <c r="T3007" i="1"/>
  <c r="S3007" i="1"/>
  <c r="R3007" i="1"/>
  <c r="L3007" i="1"/>
  <c r="W3006" i="1"/>
  <c r="T3006" i="1"/>
  <c r="S3006" i="1"/>
  <c r="R3006" i="1"/>
  <c r="L3006" i="1"/>
  <c r="T3005" i="1"/>
  <c r="S3005" i="1"/>
  <c r="R3005" i="1"/>
  <c r="L3005" i="1"/>
  <c r="T3004" i="1"/>
  <c r="S3004" i="1"/>
  <c r="R3004" i="1"/>
  <c r="L3004" i="1"/>
  <c r="T3003" i="1"/>
  <c r="S3003" i="1"/>
  <c r="R3003" i="1"/>
  <c r="L3003" i="1"/>
  <c r="T3002" i="1"/>
  <c r="S3002" i="1"/>
  <c r="R3002" i="1"/>
  <c r="L3002" i="1"/>
  <c r="T3001" i="1"/>
  <c r="S3001" i="1"/>
  <c r="R3001" i="1"/>
  <c r="L3001" i="1"/>
  <c r="T3000" i="1"/>
  <c r="S3000" i="1"/>
  <c r="R3000" i="1"/>
  <c r="L3000" i="1"/>
  <c r="T2999" i="1"/>
  <c r="S2999" i="1"/>
  <c r="R2999" i="1"/>
  <c r="L2999" i="1"/>
  <c r="T2998" i="1"/>
  <c r="S2998" i="1"/>
  <c r="R2998" i="1"/>
  <c r="L2998" i="1"/>
  <c r="T2997" i="1"/>
  <c r="S2997" i="1"/>
  <c r="R2997" i="1"/>
  <c r="L2997" i="1"/>
  <c r="T2996" i="1"/>
  <c r="S2996" i="1"/>
  <c r="R2996" i="1"/>
  <c r="L2996" i="1"/>
  <c r="T2995" i="1"/>
  <c r="S2995" i="1"/>
  <c r="R2995" i="1"/>
  <c r="L2995" i="1"/>
  <c r="T2994" i="1"/>
  <c r="S2994" i="1"/>
  <c r="R2994" i="1"/>
  <c r="L2994" i="1"/>
  <c r="T2993" i="1"/>
  <c r="S2993" i="1"/>
  <c r="R2993" i="1"/>
  <c r="L2993" i="1"/>
  <c r="T2992" i="1"/>
  <c r="S2992" i="1"/>
  <c r="R2992" i="1"/>
  <c r="L2992" i="1"/>
  <c r="T2991" i="1"/>
  <c r="S2991" i="1"/>
  <c r="R2991" i="1"/>
  <c r="L2991" i="1"/>
  <c r="T2990" i="1"/>
  <c r="S2990" i="1"/>
  <c r="R2990" i="1"/>
  <c r="L2990" i="1"/>
  <c r="T2989" i="1"/>
  <c r="S2989" i="1"/>
  <c r="R2989" i="1"/>
  <c r="L2989" i="1"/>
  <c r="T2988" i="1"/>
  <c r="S2988" i="1"/>
  <c r="R2988" i="1"/>
  <c r="L2988" i="1"/>
  <c r="T2987" i="1"/>
  <c r="S2987" i="1"/>
  <c r="R2987" i="1"/>
  <c r="L2987" i="1"/>
  <c r="T2986" i="1"/>
  <c r="S2986" i="1"/>
  <c r="R2986" i="1"/>
  <c r="L2986" i="1"/>
  <c r="T2985" i="1"/>
  <c r="S2985" i="1"/>
  <c r="R2985" i="1"/>
  <c r="L2985" i="1"/>
  <c r="T2984" i="1"/>
  <c r="S2984" i="1"/>
  <c r="R2984" i="1"/>
  <c r="L2984" i="1"/>
  <c r="T2983" i="1"/>
  <c r="S2983" i="1"/>
  <c r="R2983" i="1"/>
  <c r="L2983" i="1"/>
  <c r="T2982" i="1"/>
  <c r="S2982" i="1"/>
  <c r="R2982" i="1"/>
  <c r="L2982" i="1"/>
  <c r="T2981" i="1"/>
  <c r="S2981" i="1"/>
  <c r="R2981" i="1"/>
  <c r="L2981" i="1"/>
  <c r="T2980" i="1"/>
  <c r="S2980" i="1"/>
  <c r="R2980" i="1"/>
  <c r="L2980" i="1"/>
  <c r="T2979" i="1"/>
  <c r="S2979" i="1"/>
  <c r="R2979" i="1"/>
  <c r="L2979" i="1"/>
  <c r="T2978" i="1"/>
  <c r="S2978" i="1"/>
  <c r="R2978" i="1"/>
  <c r="L2978" i="1"/>
  <c r="T2977" i="1"/>
  <c r="S2977" i="1"/>
  <c r="R2977" i="1"/>
  <c r="L2977" i="1"/>
  <c r="T2976" i="1"/>
  <c r="S2976" i="1"/>
  <c r="R2976" i="1"/>
  <c r="L2976" i="1"/>
  <c r="T2975" i="1"/>
  <c r="S2975" i="1"/>
  <c r="R2975" i="1"/>
  <c r="L2975" i="1"/>
  <c r="T2974" i="1"/>
  <c r="S2974" i="1"/>
  <c r="R2974" i="1"/>
  <c r="L2974" i="1"/>
  <c r="T2973" i="1"/>
  <c r="S2973" i="1"/>
  <c r="R2973" i="1"/>
  <c r="L2973" i="1"/>
  <c r="T2972" i="1"/>
  <c r="S2972" i="1"/>
  <c r="R2972" i="1"/>
  <c r="L2972" i="1"/>
  <c r="T2971" i="1"/>
  <c r="S2971" i="1"/>
  <c r="R2971" i="1"/>
  <c r="L2971" i="1"/>
  <c r="T2970" i="1"/>
  <c r="S2970" i="1"/>
  <c r="R2970" i="1"/>
  <c r="L2970" i="1"/>
  <c r="T2969" i="1"/>
  <c r="S2969" i="1"/>
  <c r="R2969" i="1"/>
  <c r="L2969" i="1"/>
  <c r="T2968" i="1"/>
  <c r="S2968" i="1"/>
  <c r="R2968" i="1"/>
  <c r="L2968" i="1"/>
  <c r="T2967" i="1"/>
  <c r="S2967" i="1"/>
  <c r="R2967" i="1"/>
  <c r="L2967" i="1"/>
  <c r="T2966" i="1"/>
  <c r="S2966" i="1"/>
  <c r="R2966" i="1"/>
  <c r="L2966" i="1"/>
  <c r="T2965" i="1"/>
  <c r="S2965" i="1"/>
  <c r="R2965" i="1"/>
  <c r="L2965" i="1"/>
  <c r="T2964" i="1"/>
  <c r="S2964" i="1"/>
  <c r="R2964" i="1"/>
  <c r="L2964" i="1"/>
  <c r="T2963" i="1"/>
  <c r="S2963" i="1"/>
  <c r="R2963" i="1"/>
  <c r="L2963" i="1"/>
  <c r="T2962" i="1"/>
  <c r="S2962" i="1"/>
  <c r="R2962" i="1"/>
  <c r="L2962" i="1"/>
  <c r="T2961" i="1"/>
  <c r="S2961" i="1"/>
  <c r="R2961" i="1"/>
  <c r="L2961" i="1"/>
  <c r="T2960" i="1"/>
  <c r="S2960" i="1"/>
  <c r="R2960" i="1"/>
  <c r="L2960" i="1"/>
  <c r="T2959" i="1"/>
  <c r="S2959" i="1"/>
  <c r="R2959" i="1"/>
  <c r="L2959" i="1"/>
  <c r="T2958" i="1"/>
  <c r="S2958" i="1"/>
  <c r="R2958" i="1"/>
  <c r="L2958" i="1"/>
  <c r="T2957" i="1"/>
  <c r="S2957" i="1"/>
  <c r="R2957" i="1"/>
  <c r="L2957" i="1"/>
  <c r="T2956" i="1"/>
  <c r="S2956" i="1"/>
  <c r="R2956" i="1"/>
  <c r="L2956" i="1"/>
  <c r="T2955" i="1"/>
  <c r="S2955" i="1"/>
  <c r="R2955" i="1"/>
  <c r="L2955" i="1"/>
  <c r="T2954" i="1"/>
  <c r="S2954" i="1"/>
  <c r="R2954" i="1"/>
  <c r="L2954" i="1"/>
  <c r="T2953" i="1"/>
  <c r="S2953" i="1"/>
  <c r="R2953" i="1"/>
  <c r="L2953" i="1"/>
  <c r="T2952" i="1"/>
  <c r="S2952" i="1"/>
  <c r="R2952" i="1"/>
  <c r="L2952" i="1"/>
  <c r="T2951" i="1"/>
  <c r="S2951" i="1"/>
  <c r="R2951" i="1"/>
  <c r="L2951" i="1"/>
  <c r="T2950" i="1"/>
  <c r="S2950" i="1"/>
  <c r="R2950" i="1"/>
  <c r="L2950" i="1"/>
  <c r="T2949" i="1"/>
  <c r="S2949" i="1"/>
  <c r="R2949" i="1"/>
  <c r="L2949" i="1"/>
  <c r="T2948" i="1"/>
  <c r="S2948" i="1"/>
  <c r="R2948" i="1"/>
  <c r="L2948" i="1"/>
  <c r="T2947" i="1"/>
  <c r="S2947" i="1"/>
  <c r="R2947" i="1"/>
  <c r="K2947" i="1"/>
  <c r="L2947" i="1" s="1"/>
  <c r="V2947" i="1" s="1"/>
  <c r="T2946" i="1"/>
  <c r="S2946" i="1"/>
  <c r="R2946" i="1"/>
  <c r="L2946" i="1"/>
  <c r="T2945" i="1"/>
  <c r="S2945" i="1"/>
  <c r="R2945" i="1"/>
  <c r="L2945" i="1"/>
  <c r="T2944" i="1"/>
  <c r="S2944" i="1"/>
  <c r="R2944" i="1"/>
  <c r="L2944" i="1"/>
  <c r="T2943" i="1"/>
  <c r="S2943" i="1"/>
  <c r="R2943" i="1"/>
  <c r="L2943" i="1"/>
  <c r="T2942" i="1"/>
  <c r="S2942" i="1"/>
  <c r="R2942" i="1"/>
  <c r="L2942" i="1"/>
  <c r="T2941" i="1"/>
  <c r="S2941" i="1"/>
  <c r="R2941" i="1"/>
  <c r="L2941" i="1"/>
  <c r="T2940" i="1"/>
  <c r="S2940" i="1"/>
  <c r="R2940" i="1"/>
  <c r="L2940" i="1"/>
  <c r="T2939" i="1"/>
  <c r="S2939" i="1"/>
  <c r="R2939" i="1"/>
  <c r="L2939" i="1"/>
  <c r="T2938" i="1"/>
  <c r="S2938" i="1"/>
  <c r="R2938" i="1"/>
  <c r="L2938" i="1"/>
  <c r="T2937" i="1"/>
  <c r="S2937" i="1"/>
  <c r="R2937" i="1"/>
  <c r="L2937" i="1"/>
  <c r="T2936" i="1"/>
  <c r="S2936" i="1"/>
  <c r="R2936" i="1"/>
  <c r="L2936" i="1"/>
  <c r="T2935" i="1"/>
  <c r="S2935" i="1"/>
  <c r="R2935" i="1"/>
  <c r="L2935" i="1"/>
  <c r="T2934" i="1"/>
  <c r="S2934" i="1"/>
  <c r="R2934" i="1"/>
  <c r="L2934" i="1"/>
  <c r="T2933" i="1"/>
  <c r="S2933" i="1"/>
  <c r="R2933" i="1"/>
  <c r="L2933" i="1"/>
  <c r="T2932" i="1"/>
  <c r="S2932" i="1"/>
  <c r="R2932" i="1"/>
  <c r="L2932" i="1"/>
  <c r="T2931" i="1"/>
  <c r="S2931" i="1"/>
  <c r="R2931" i="1"/>
  <c r="L2931" i="1"/>
  <c r="T2930" i="1"/>
  <c r="S2930" i="1"/>
  <c r="R2930" i="1"/>
  <c r="L2930" i="1"/>
  <c r="T2929" i="1"/>
  <c r="S2929" i="1"/>
  <c r="R2929" i="1"/>
  <c r="L2929" i="1"/>
  <c r="T2928" i="1"/>
  <c r="S2928" i="1"/>
  <c r="R2928" i="1"/>
  <c r="L2928" i="1"/>
  <c r="T2927" i="1"/>
  <c r="S2927" i="1"/>
  <c r="R2927" i="1"/>
  <c r="L2927" i="1"/>
  <c r="T2926" i="1"/>
  <c r="S2926" i="1"/>
  <c r="R2926" i="1"/>
  <c r="L2926" i="1"/>
  <c r="T2925" i="1"/>
  <c r="S2925" i="1"/>
  <c r="R2925" i="1"/>
  <c r="L2925" i="1"/>
  <c r="T2924" i="1"/>
  <c r="S2924" i="1"/>
  <c r="R2924" i="1"/>
  <c r="L2924" i="1"/>
  <c r="T2923" i="1"/>
  <c r="S2923" i="1"/>
  <c r="R2923" i="1"/>
  <c r="L2923" i="1"/>
  <c r="T2922" i="1"/>
  <c r="S2922" i="1"/>
  <c r="R2922" i="1"/>
  <c r="L2922" i="1"/>
  <c r="T2921" i="1"/>
  <c r="S2921" i="1"/>
  <c r="R2921" i="1"/>
  <c r="L2921" i="1"/>
  <c r="T2920" i="1"/>
  <c r="S2920" i="1"/>
  <c r="R2920" i="1"/>
  <c r="L2920" i="1"/>
  <c r="T2919" i="1"/>
  <c r="S2919" i="1"/>
  <c r="R2919" i="1"/>
  <c r="L2919" i="1"/>
  <c r="T2918" i="1"/>
  <c r="S2918" i="1"/>
  <c r="R2918" i="1"/>
  <c r="L2918" i="1"/>
  <c r="T2917" i="1"/>
  <c r="S2917" i="1"/>
  <c r="R2917" i="1"/>
  <c r="L2917" i="1"/>
  <c r="T2916" i="1"/>
  <c r="S2916" i="1"/>
  <c r="R2916" i="1"/>
  <c r="L2916" i="1"/>
  <c r="T2915" i="1"/>
  <c r="S2915" i="1"/>
  <c r="R2915" i="1"/>
  <c r="L2915" i="1"/>
  <c r="T2914" i="1"/>
  <c r="S2914" i="1"/>
  <c r="R2914" i="1"/>
  <c r="L2914" i="1"/>
  <c r="T2913" i="1"/>
  <c r="S2913" i="1"/>
  <c r="R2913" i="1"/>
  <c r="L2913" i="1"/>
  <c r="T2912" i="1"/>
  <c r="S2912" i="1"/>
  <c r="R2912" i="1"/>
  <c r="L2912" i="1"/>
  <c r="T2911" i="1"/>
  <c r="S2911" i="1"/>
  <c r="R2911" i="1"/>
  <c r="L2911" i="1"/>
  <c r="T2910" i="1"/>
  <c r="S2910" i="1"/>
  <c r="R2910" i="1"/>
  <c r="L2910" i="1"/>
  <c r="T2909" i="1"/>
  <c r="S2909" i="1"/>
  <c r="R2909" i="1"/>
  <c r="L2909" i="1"/>
  <c r="T2908" i="1"/>
  <c r="S2908" i="1"/>
  <c r="R2908" i="1"/>
  <c r="L2908" i="1"/>
  <c r="T2907" i="1"/>
  <c r="S2907" i="1"/>
  <c r="R2907" i="1"/>
  <c r="L2907" i="1"/>
  <c r="T2906" i="1"/>
  <c r="S2906" i="1"/>
  <c r="R2906" i="1"/>
  <c r="L2906" i="1"/>
  <c r="T2905" i="1"/>
  <c r="S2905" i="1"/>
  <c r="R2905" i="1"/>
  <c r="L2905" i="1"/>
  <c r="T2904" i="1"/>
  <c r="S2904" i="1"/>
  <c r="R2904" i="1"/>
  <c r="L2904" i="1"/>
  <c r="T2903" i="1"/>
  <c r="S2903" i="1"/>
  <c r="R2903" i="1"/>
  <c r="L2903" i="1"/>
  <c r="T2902" i="1"/>
  <c r="S2902" i="1"/>
  <c r="R2902" i="1"/>
  <c r="L2902" i="1"/>
  <c r="T2901" i="1"/>
  <c r="S2901" i="1"/>
  <c r="R2901" i="1"/>
  <c r="L2901" i="1"/>
  <c r="T2900" i="1"/>
  <c r="S2900" i="1"/>
  <c r="R2900" i="1"/>
  <c r="L2900" i="1"/>
  <c r="T2899" i="1"/>
  <c r="S2899" i="1"/>
  <c r="R2899" i="1"/>
  <c r="L2899" i="1"/>
  <c r="T2898" i="1"/>
  <c r="S2898" i="1"/>
  <c r="R2898" i="1"/>
  <c r="L2898" i="1"/>
  <c r="T2897" i="1"/>
  <c r="S2897" i="1"/>
  <c r="R2897" i="1"/>
  <c r="L2897" i="1"/>
  <c r="T2896" i="1"/>
  <c r="S2896" i="1"/>
  <c r="R2896" i="1"/>
  <c r="L2896" i="1"/>
  <c r="T2895" i="1"/>
  <c r="S2895" i="1"/>
  <c r="R2895" i="1"/>
  <c r="L2895" i="1"/>
  <c r="T2894" i="1"/>
  <c r="S2894" i="1"/>
  <c r="R2894" i="1"/>
  <c r="L2894" i="1"/>
  <c r="T2893" i="1"/>
  <c r="S2893" i="1"/>
  <c r="R2893" i="1"/>
  <c r="L2893" i="1"/>
  <c r="T2892" i="1"/>
  <c r="S2892" i="1"/>
  <c r="R2892" i="1"/>
  <c r="L2892" i="1"/>
  <c r="T2891" i="1"/>
  <c r="S2891" i="1"/>
  <c r="R2891" i="1"/>
  <c r="L2891" i="1"/>
  <c r="T2890" i="1"/>
  <c r="S2890" i="1"/>
  <c r="R2890" i="1"/>
  <c r="L2890" i="1"/>
  <c r="T2889" i="1"/>
  <c r="S2889" i="1"/>
  <c r="R2889" i="1"/>
  <c r="L2889" i="1"/>
  <c r="T2888" i="1"/>
  <c r="S2888" i="1"/>
  <c r="R2888" i="1"/>
  <c r="L2888" i="1"/>
  <c r="T2887" i="1"/>
  <c r="S2887" i="1"/>
  <c r="R2887" i="1"/>
  <c r="L2887" i="1"/>
  <c r="T2886" i="1"/>
  <c r="S2886" i="1"/>
  <c r="R2886" i="1"/>
  <c r="L2886" i="1"/>
  <c r="T2885" i="1"/>
  <c r="S2885" i="1"/>
  <c r="R2885" i="1"/>
  <c r="L2885" i="1"/>
  <c r="T2884" i="1"/>
  <c r="S2884" i="1"/>
  <c r="R2884" i="1"/>
  <c r="L2884" i="1"/>
  <c r="T2883" i="1"/>
  <c r="S2883" i="1"/>
  <c r="R2883" i="1"/>
  <c r="L2883" i="1"/>
  <c r="T2882" i="1"/>
  <c r="S2882" i="1"/>
  <c r="R2882" i="1"/>
  <c r="L2882" i="1"/>
  <c r="T2881" i="1"/>
  <c r="S2881" i="1"/>
  <c r="R2881" i="1"/>
  <c r="L2881" i="1"/>
  <c r="T2880" i="1"/>
  <c r="S2880" i="1"/>
  <c r="R2880" i="1"/>
  <c r="L2880" i="1"/>
  <c r="T2879" i="1"/>
  <c r="S2879" i="1"/>
  <c r="R2879" i="1"/>
  <c r="L2879" i="1"/>
  <c r="T2878" i="1"/>
  <c r="S2878" i="1"/>
  <c r="R2878" i="1"/>
  <c r="L2878" i="1"/>
  <c r="T2877" i="1"/>
  <c r="S2877" i="1"/>
  <c r="R2877" i="1"/>
  <c r="L2877" i="1"/>
  <c r="T2876" i="1"/>
  <c r="S2876" i="1"/>
  <c r="R2876" i="1"/>
  <c r="L2876" i="1"/>
  <c r="T2875" i="1"/>
  <c r="S2875" i="1"/>
  <c r="R2875" i="1"/>
  <c r="L2875" i="1"/>
  <c r="T2874" i="1"/>
  <c r="S2874" i="1"/>
  <c r="R2874" i="1"/>
  <c r="L2874" i="1"/>
  <c r="T2873" i="1"/>
  <c r="S2873" i="1"/>
  <c r="R2873" i="1"/>
  <c r="L2873" i="1"/>
  <c r="T2872" i="1"/>
  <c r="S2872" i="1"/>
  <c r="R2872" i="1"/>
  <c r="L2872" i="1"/>
  <c r="T2871" i="1"/>
  <c r="S2871" i="1"/>
  <c r="R2871" i="1"/>
  <c r="L2871" i="1"/>
  <c r="T2870" i="1"/>
  <c r="S2870" i="1"/>
  <c r="R2870" i="1"/>
  <c r="L2870" i="1"/>
  <c r="T2869" i="1"/>
  <c r="S2869" i="1"/>
  <c r="R2869" i="1"/>
  <c r="L2869" i="1"/>
  <c r="T2868" i="1"/>
  <c r="S2868" i="1"/>
  <c r="R2868" i="1"/>
  <c r="L2868" i="1"/>
  <c r="T2867" i="1"/>
  <c r="S2867" i="1"/>
  <c r="R2867" i="1"/>
  <c r="L2867" i="1"/>
  <c r="T2866" i="1"/>
  <c r="S2866" i="1"/>
  <c r="R2866" i="1"/>
  <c r="L2866" i="1"/>
  <c r="T2865" i="1"/>
  <c r="S2865" i="1"/>
  <c r="R2865" i="1"/>
  <c r="L2865" i="1"/>
  <c r="T2864" i="1"/>
  <c r="S2864" i="1"/>
  <c r="R2864" i="1"/>
  <c r="L2864" i="1"/>
  <c r="T2863" i="1"/>
  <c r="S2863" i="1"/>
  <c r="R2863" i="1"/>
  <c r="L2863" i="1"/>
  <c r="T2862" i="1"/>
  <c r="S2862" i="1"/>
  <c r="R2862" i="1"/>
  <c r="L2862" i="1"/>
  <c r="T2861" i="1"/>
  <c r="S2861" i="1"/>
  <c r="R2861" i="1"/>
  <c r="L2861" i="1"/>
  <c r="T2860" i="1"/>
  <c r="S2860" i="1"/>
  <c r="R2860" i="1"/>
  <c r="L2860" i="1"/>
  <c r="T2859" i="1"/>
  <c r="S2859" i="1"/>
  <c r="R2859" i="1"/>
  <c r="L2859" i="1"/>
  <c r="T2858" i="1"/>
  <c r="S2858" i="1"/>
  <c r="R2858" i="1"/>
  <c r="L2858" i="1"/>
  <c r="T2857" i="1"/>
  <c r="S2857" i="1"/>
  <c r="R2857" i="1"/>
  <c r="L2857" i="1"/>
  <c r="T2856" i="1"/>
  <c r="S2856" i="1"/>
  <c r="R2856" i="1"/>
  <c r="L2856" i="1"/>
  <c r="T2855" i="1"/>
  <c r="S2855" i="1"/>
  <c r="R2855" i="1"/>
  <c r="L2855" i="1"/>
  <c r="T2854" i="1"/>
  <c r="S2854" i="1"/>
  <c r="R2854" i="1"/>
  <c r="L2854" i="1"/>
  <c r="T2853" i="1"/>
  <c r="S2853" i="1"/>
  <c r="R2853" i="1"/>
  <c r="L2853" i="1"/>
  <c r="T2852" i="1"/>
  <c r="S2852" i="1"/>
  <c r="R2852" i="1"/>
  <c r="L2852" i="1"/>
  <c r="T2851" i="1"/>
  <c r="S2851" i="1"/>
  <c r="R2851" i="1"/>
  <c r="L2851" i="1"/>
  <c r="T2850" i="1"/>
  <c r="S2850" i="1"/>
  <c r="R2850" i="1"/>
  <c r="L2850" i="1"/>
  <c r="T2849" i="1"/>
  <c r="S2849" i="1"/>
  <c r="R2849" i="1"/>
  <c r="L2849" i="1"/>
  <c r="T2848" i="1"/>
  <c r="S2848" i="1"/>
  <c r="R2848" i="1"/>
  <c r="L2848" i="1"/>
  <c r="T2847" i="1"/>
  <c r="S2847" i="1"/>
  <c r="R2847" i="1"/>
  <c r="L2847" i="1"/>
  <c r="T2846" i="1"/>
  <c r="S2846" i="1"/>
  <c r="R2846" i="1"/>
  <c r="L2846" i="1"/>
  <c r="T2845" i="1"/>
  <c r="S2845" i="1"/>
  <c r="R2845" i="1"/>
  <c r="L2845" i="1"/>
  <c r="T2844" i="1"/>
  <c r="S2844" i="1"/>
  <c r="R2844" i="1"/>
  <c r="L2844" i="1"/>
  <c r="T2843" i="1"/>
  <c r="S2843" i="1"/>
  <c r="R2843" i="1"/>
  <c r="L2843" i="1"/>
  <c r="T2842" i="1"/>
  <c r="S2842" i="1"/>
  <c r="R2842" i="1"/>
  <c r="L2842" i="1"/>
  <c r="T2841" i="1"/>
  <c r="S2841" i="1"/>
  <c r="R2841" i="1"/>
  <c r="L2841" i="1"/>
  <c r="T2840" i="1"/>
  <c r="S2840" i="1"/>
  <c r="R2840" i="1"/>
  <c r="L2840" i="1"/>
  <c r="T2839" i="1"/>
  <c r="S2839" i="1"/>
  <c r="R2839" i="1"/>
  <c r="L2839" i="1"/>
  <c r="T2838" i="1"/>
  <c r="S2838" i="1"/>
  <c r="R2838" i="1"/>
  <c r="L2838" i="1"/>
  <c r="T2837" i="1"/>
  <c r="S2837" i="1"/>
  <c r="R2837" i="1"/>
  <c r="L2837" i="1"/>
  <c r="T2836" i="1"/>
  <c r="S2836" i="1"/>
  <c r="R2836" i="1"/>
  <c r="L2836" i="1"/>
  <c r="T2835" i="1"/>
  <c r="S2835" i="1"/>
  <c r="R2835" i="1"/>
  <c r="L2835" i="1"/>
  <c r="T2834" i="1"/>
  <c r="S2834" i="1"/>
  <c r="R2834" i="1"/>
  <c r="L2834" i="1"/>
  <c r="T2833" i="1"/>
  <c r="S2833" i="1"/>
  <c r="R2833" i="1"/>
  <c r="L2833" i="1"/>
  <c r="T2832" i="1"/>
  <c r="S2832" i="1"/>
  <c r="R2832" i="1"/>
  <c r="L2832" i="1"/>
  <c r="T2831" i="1"/>
  <c r="S2831" i="1"/>
  <c r="R2831" i="1"/>
  <c r="L2831" i="1"/>
  <c r="T2830" i="1"/>
  <c r="S2830" i="1"/>
  <c r="R2830" i="1"/>
  <c r="L2830" i="1"/>
  <c r="T2829" i="1"/>
  <c r="S2829" i="1"/>
  <c r="R2829" i="1"/>
  <c r="L2829" i="1"/>
  <c r="T2828" i="1"/>
  <c r="S2828" i="1"/>
  <c r="R2828" i="1"/>
  <c r="L2828" i="1"/>
  <c r="T2827" i="1"/>
  <c r="S2827" i="1"/>
  <c r="R2827" i="1"/>
  <c r="L2827" i="1"/>
  <c r="T2826" i="1"/>
  <c r="S2826" i="1"/>
  <c r="R2826" i="1"/>
  <c r="L2826" i="1"/>
  <c r="T2825" i="1"/>
  <c r="S2825" i="1"/>
  <c r="R2825" i="1"/>
  <c r="L2825" i="1"/>
  <c r="T2824" i="1"/>
  <c r="S2824" i="1"/>
  <c r="R2824" i="1"/>
  <c r="L2824" i="1"/>
  <c r="T2823" i="1"/>
  <c r="S2823" i="1"/>
  <c r="R2823" i="1"/>
  <c r="L2823" i="1"/>
  <c r="T2822" i="1"/>
  <c r="S2822" i="1"/>
  <c r="R2822" i="1"/>
  <c r="L2822" i="1"/>
  <c r="T2821" i="1"/>
  <c r="S2821" i="1"/>
  <c r="R2821" i="1"/>
  <c r="L2821" i="1"/>
  <c r="T2820" i="1"/>
  <c r="S2820" i="1"/>
  <c r="R2820" i="1"/>
  <c r="L2820" i="1"/>
  <c r="T2819" i="1"/>
  <c r="S2819" i="1"/>
  <c r="R2819" i="1"/>
  <c r="L2819" i="1"/>
  <c r="T2818" i="1"/>
  <c r="S2818" i="1"/>
  <c r="R2818" i="1"/>
  <c r="L2818" i="1"/>
  <c r="T2817" i="1"/>
  <c r="S2817" i="1"/>
  <c r="R2817" i="1"/>
  <c r="L2817" i="1"/>
  <c r="T2816" i="1"/>
  <c r="S2816" i="1"/>
  <c r="R2816" i="1"/>
  <c r="L2816" i="1"/>
  <c r="T2815" i="1"/>
  <c r="S2815" i="1"/>
  <c r="R2815" i="1"/>
  <c r="L2815" i="1"/>
  <c r="T2814" i="1"/>
  <c r="S2814" i="1"/>
  <c r="R2814" i="1"/>
  <c r="L2814" i="1"/>
  <c r="T2813" i="1"/>
  <c r="S2813" i="1"/>
  <c r="R2813" i="1"/>
  <c r="L2813" i="1"/>
  <c r="T2812" i="1"/>
  <c r="S2812" i="1"/>
  <c r="R2812" i="1"/>
  <c r="L2812" i="1"/>
  <c r="T2811" i="1"/>
  <c r="S2811" i="1"/>
  <c r="R2811" i="1"/>
  <c r="L2811" i="1"/>
  <c r="T2810" i="1"/>
  <c r="S2810" i="1"/>
  <c r="R2810" i="1"/>
  <c r="L2810" i="1"/>
  <c r="T2809" i="1"/>
  <c r="S2809" i="1"/>
  <c r="R2809" i="1"/>
  <c r="L2809" i="1"/>
  <c r="T2808" i="1"/>
  <c r="S2808" i="1"/>
  <c r="R2808" i="1"/>
  <c r="L2808" i="1"/>
  <c r="T2807" i="1"/>
  <c r="S2807" i="1"/>
  <c r="R2807" i="1"/>
  <c r="L2807" i="1"/>
  <c r="T2806" i="1"/>
  <c r="S2806" i="1"/>
  <c r="R2806" i="1"/>
  <c r="L2806" i="1"/>
  <c r="T2805" i="1"/>
  <c r="S2805" i="1"/>
  <c r="R2805" i="1"/>
  <c r="L2805" i="1"/>
  <c r="T2804" i="1"/>
  <c r="S2804" i="1"/>
  <c r="R2804" i="1"/>
  <c r="L2804" i="1"/>
  <c r="T2803" i="1"/>
  <c r="S2803" i="1"/>
  <c r="R2803" i="1"/>
  <c r="L2803" i="1"/>
  <c r="T2802" i="1"/>
  <c r="S2802" i="1"/>
  <c r="R2802" i="1"/>
  <c r="L2802" i="1"/>
  <c r="T2801" i="1"/>
  <c r="S2801" i="1"/>
  <c r="R2801" i="1"/>
  <c r="L2801" i="1"/>
  <c r="T2800" i="1"/>
  <c r="S2800" i="1"/>
  <c r="R2800" i="1"/>
  <c r="L2800" i="1"/>
  <c r="T2799" i="1"/>
  <c r="S2799" i="1"/>
  <c r="R2799" i="1"/>
  <c r="L2799" i="1"/>
  <c r="T2798" i="1"/>
  <c r="S2798" i="1"/>
  <c r="R2798" i="1"/>
  <c r="L2798" i="1"/>
  <c r="T2797" i="1"/>
  <c r="S2797" i="1"/>
  <c r="R2797" i="1"/>
  <c r="L2797" i="1"/>
  <c r="T2796" i="1"/>
  <c r="S2796" i="1"/>
  <c r="R2796" i="1"/>
  <c r="L2796" i="1"/>
  <c r="T2795" i="1"/>
  <c r="S2795" i="1"/>
  <c r="R2795" i="1"/>
  <c r="L2795" i="1"/>
  <c r="T2794" i="1"/>
  <c r="S2794" i="1"/>
  <c r="R2794" i="1"/>
  <c r="L2794" i="1"/>
  <c r="T2793" i="1"/>
  <c r="S2793" i="1"/>
  <c r="R2793" i="1"/>
  <c r="L2793" i="1"/>
  <c r="T2792" i="1"/>
  <c r="S2792" i="1"/>
  <c r="R2792" i="1"/>
  <c r="L2792" i="1"/>
  <c r="T2791" i="1"/>
  <c r="S2791" i="1"/>
  <c r="R2791" i="1"/>
  <c r="L2791" i="1"/>
  <c r="T2790" i="1"/>
  <c r="S2790" i="1"/>
  <c r="R2790" i="1"/>
  <c r="L2790" i="1"/>
  <c r="T2789" i="1"/>
  <c r="S2789" i="1"/>
  <c r="R2789" i="1"/>
  <c r="L2789" i="1"/>
  <c r="T2788" i="1"/>
  <c r="S2788" i="1"/>
  <c r="R2788" i="1"/>
  <c r="L2788" i="1"/>
  <c r="T2787" i="1"/>
  <c r="S2787" i="1"/>
  <c r="R2787" i="1"/>
  <c r="L2787" i="1"/>
  <c r="T2786" i="1"/>
  <c r="S2786" i="1"/>
  <c r="R2786" i="1"/>
  <c r="L2786" i="1"/>
  <c r="T2785" i="1"/>
  <c r="S2785" i="1"/>
  <c r="R2785" i="1"/>
  <c r="L2785" i="1"/>
  <c r="T2784" i="1"/>
  <c r="S2784" i="1"/>
  <c r="R2784" i="1"/>
  <c r="L2784" i="1"/>
  <c r="T2783" i="1"/>
  <c r="S2783" i="1"/>
  <c r="R2783" i="1"/>
  <c r="L2783" i="1"/>
  <c r="T2782" i="1"/>
  <c r="S2782" i="1"/>
  <c r="R2782" i="1"/>
  <c r="L2782" i="1"/>
  <c r="T2781" i="1"/>
  <c r="S2781" i="1"/>
  <c r="R2781" i="1"/>
  <c r="L2781" i="1"/>
  <c r="T2780" i="1"/>
  <c r="S2780" i="1"/>
  <c r="R2780" i="1"/>
  <c r="L2780" i="1"/>
  <c r="T2779" i="1"/>
  <c r="S2779" i="1"/>
  <c r="R2779" i="1"/>
  <c r="L2779" i="1"/>
  <c r="T2778" i="1"/>
  <c r="S2778" i="1"/>
  <c r="R2778" i="1"/>
  <c r="L2778" i="1"/>
  <c r="T2777" i="1"/>
  <c r="S2777" i="1"/>
  <c r="R2777" i="1"/>
  <c r="L2777" i="1"/>
  <c r="T2776" i="1"/>
  <c r="S2776" i="1"/>
  <c r="R2776" i="1"/>
  <c r="L2776" i="1"/>
  <c r="T2775" i="1"/>
  <c r="S2775" i="1"/>
  <c r="R2775" i="1"/>
  <c r="L2775" i="1"/>
  <c r="T2774" i="1"/>
  <c r="S2774" i="1"/>
  <c r="R2774" i="1"/>
  <c r="L2774" i="1"/>
  <c r="T2773" i="1"/>
  <c r="S2773" i="1"/>
  <c r="R2773" i="1"/>
  <c r="L2773" i="1"/>
  <c r="T2772" i="1"/>
  <c r="S2772" i="1"/>
  <c r="R2772" i="1"/>
  <c r="L2772" i="1"/>
  <c r="T2771" i="1"/>
  <c r="S2771" i="1"/>
  <c r="R2771" i="1"/>
  <c r="L2771" i="1"/>
  <c r="T2770" i="1"/>
  <c r="S2770" i="1"/>
  <c r="R2770" i="1"/>
  <c r="L2770" i="1"/>
  <c r="T2769" i="1"/>
  <c r="S2769" i="1"/>
  <c r="R2769" i="1"/>
  <c r="L2769" i="1"/>
  <c r="T2768" i="1"/>
  <c r="S2768" i="1"/>
  <c r="R2768" i="1"/>
  <c r="L2768" i="1"/>
  <c r="T2767" i="1"/>
  <c r="S2767" i="1"/>
  <c r="R2767" i="1"/>
  <c r="L2767" i="1"/>
  <c r="T2766" i="1"/>
  <c r="S2766" i="1"/>
  <c r="R2766" i="1"/>
  <c r="L2766" i="1"/>
  <c r="T2765" i="1"/>
  <c r="S2765" i="1"/>
  <c r="R2765" i="1"/>
  <c r="L2765" i="1"/>
  <c r="T2764" i="1"/>
  <c r="S2764" i="1"/>
  <c r="R2764" i="1"/>
  <c r="L2764" i="1"/>
  <c r="T2763" i="1"/>
  <c r="S2763" i="1"/>
  <c r="R2763" i="1"/>
  <c r="L2763" i="1"/>
  <c r="T2762" i="1"/>
  <c r="S2762" i="1"/>
  <c r="R2762" i="1"/>
  <c r="L2762" i="1"/>
  <c r="T2761" i="1"/>
  <c r="S2761" i="1"/>
  <c r="R2761" i="1"/>
  <c r="L2761" i="1"/>
  <c r="T2760" i="1"/>
  <c r="S2760" i="1"/>
  <c r="R2760" i="1"/>
  <c r="L2760" i="1"/>
  <c r="T2759" i="1"/>
  <c r="S2759" i="1"/>
  <c r="R2759" i="1"/>
  <c r="L2759" i="1"/>
  <c r="T2758" i="1"/>
  <c r="S2758" i="1"/>
  <c r="R2758" i="1"/>
  <c r="L2758" i="1"/>
  <c r="T2757" i="1"/>
  <c r="S2757" i="1"/>
  <c r="R2757" i="1"/>
  <c r="L2757" i="1"/>
  <c r="T2756" i="1"/>
  <c r="S2756" i="1"/>
  <c r="R2756" i="1"/>
  <c r="L2756" i="1"/>
  <c r="T2755" i="1"/>
  <c r="S2755" i="1"/>
  <c r="R2755" i="1"/>
  <c r="L2755" i="1"/>
  <c r="T2754" i="1"/>
  <c r="S2754" i="1"/>
  <c r="R2754" i="1"/>
  <c r="L2754" i="1"/>
  <c r="T2753" i="1"/>
  <c r="S2753" i="1"/>
  <c r="R2753" i="1"/>
  <c r="L2753" i="1"/>
  <c r="T2752" i="1"/>
  <c r="S2752" i="1"/>
  <c r="R2752" i="1"/>
  <c r="L2752" i="1"/>
  <c r="T2751" i="1"/>
  <c r="S2751" i="1"/>
  <c r="R2751" i="1"/>
  <c r="L2751" i="1"/>
  <c r="T2750" i="1"/>
  <c r="S2750" i="1"/>
  <c r="R2750" i="1"/>
  <c r="L2750" i="1"/>
  <c r="T2749" i="1"/>
  <c r="S2749" i="1"/>
  <c r="R2749" i="1"/>
  <c r="L2749" i="1"/>
  <c r="T2748" i="1"/>
  <c r="S2748" i="1"/>
  <c r="R2748" i="1"/>
  <c r="L2748" i="1"/>
  <c r="T2747" i="1"/>
  <c r="S2747" i="1"/>
  <c r="R2747" i="1"/>
  <c r="L2747" i="1"/>
  <c r="T2746" i="1"/>
  <c r="S2746" i="1"/>
  <c r="R2746" i="1"/>
  <c r="L2746" i="1"/>
  <c r="T2745" i="1"/>
  <c r="S2745" i="1"/>
  <c r="R2745" i="1"/>
  <c r="L2745" i="1"/>
  <c r="T2744" i="1"/>
  <c r="S2744" i="1"/>
  <c r="R2744" i="1"/>
  <c r="L2744" i="1"/>
  <c r="T2743" i="1"/>
  <c r="S2743" i="1"/>
  <c r="R2743" i="1"/>
  <c r="L2743" i="1"/>
  <c r="T2742" i="1"/>
  <c r="S2742" i="1"/>
  <c r="R2742" i="1"/>
  <c r="L2742" i="1"/>
  <c r="T2741" i="1"/>
  <c r="S2741" i="1"/>
  <c r="R2741" i="1"/>
  <c r="L2741" i="1"/>
  <c r="T2740" i="1"/>
  <c r="S2740" i="1"/>
  <c r="R2740" i="1"/>
  <c r="L2740" i="1"/>
  <c r="T2739" i="1"/>
  <c r="S2739" i="1"/>
  <c r="R2739" i="1"/>
  <c r="L2739" i="1"/>
  <c r="T2738" i="1"/>
  <c r="S2738" i="1"/>
  <c r="R2738" i="1"/>
  <c r="L2738" i="1"/>
  <c r="T2737" i="1"/>
  <c r="S2737" i="1"/>
  <c r="R2737" i="1"/>
  <c r="L2737" i="1"/>
  <c r="T2736" i="1"/>
  <c r="S2736" i="1"/>
  <c r="R2736" i="1"/>
  <c r="L2736" i="1"/>
  <c r="T2735" i="1"/>
  <c r="S2735" i="1"/>
  <c r="R2735" i="1"/>
  <c r="L2735" i="1"/>
  <c r="T2734" i="1"/>
  <c r="S2734" i="1"/>
  <c r="R2734" i="1"/>
  <c r="L2734" i="1"/>
  <c r="T2733" i="1"/>
  <c r="S2733" i="1"/>
  <c r="R2733" i="1"/>
  <c r="L2733" i="1"/>
  <c r="T2732" i="1"/>
  <c r="S2732" i="1"/>
  <c r="R2732" i="1"/>
  <c r="L2732" i="1"/>
  <c r="T2731" i="1"/>
  <c r="S2731" i="1"/>
  <c r="R2731" i="1"/>
  <c r="L2731" i="1"/>
  <c r="T2730" i="1"/>
  <c r="S2730" i="1"/>
  <c r="R2730" i="1"/>
  <c r="L2730" i="1"/>
  <c r="T2729" i="1"/>
  <c r="S2729" i="1"/>
  <c r="R2729" i="1"/>
  <c r="L2729" i="1"/>
  <c r="T2728" i="1"/>
  <c r="S2728" i="1"/>
  <c r="R2728" i="1"/>
  <c r="L2728" i="1"/>
  <c r="T2727" i="1"/>
  <c r="S2727" i="1"/>
  <c r="R2727" i="1"/>
  <c r="L2727" i="1"/>
  <c r="T2726" i="1"/>
  <c r="S2726" i="1"/>
  <c r="R2726" i="1"/>
  <c r="L2726" i="1"/>
  <c r="T2725" i="1"/>
  <c r="S2725" i="1"/>
  <c r="R2725" i="1"/>
  <c r="L2725" i="1"/>
  <c r="T2724" i="1"/>
  <c r="S2724" i="1"/>
  <c r="R2724" i="1"/>
  <c r="L2724" i="1"/>
  <c r="T2723" i="1"/>
  <c r="S2723" i="1"/>
  <c r="R2723" i="1"/>
  <c r="L2723" i="1"/>
  <c r="T2722" i="1"/>
  <c r="S2722" i="1"/>
  <c r="R2722" i="1"/>
  <c r="L2722" i="1"/>
  <c r="T2721" i="1"/>
  <c r="S2721" i="1"/>
  <c r="R2721" i="1"/>
  <c r="L2721" i="1"/>
  <c r="T2720" i="1"/>
  <c r="S2720" i="1"/>
  <c r="R2720" i="1"/>
  <c r="L2720" i="1"/>
  <c r="T2719" i="1"/>
  <c r="S2719" i="1"/>
  <c r="R2719" i="1"/>
  <c r="L2719" i="1"/>
  <c r="T2718" i="1"/>
  <c r="S2718" i="1"/>
  <c r="R2718" i="1"/>
  <c r="L2718" i="1"/>
  <c r="T2717" i="1"/>
  <c r="S2717" i="1"/>
  <c r="R2717" i="1"/>
  <c r="L2717" i="1"/>
  <c r="T2716" i="1"/>
  <c r="S2716" i="1"/>
  <c r="R2716" i="1"/>
  <c r="L2716" i="1"/>
  <c r="T2715" i="1"/>
  <c r="S2715" i="1"/>
  <c r="R2715" i="1"/>
  <c r="L2715" i="1"/>
  <c r="T2714" i="1"/>
  <c r="S2714" i="1"/>
  <c r="R2714" i="1"/>
  <c r="L2714" i="1"/>
  <c r="T2713" i="1"/>
  <c r="S2713" i="1"/>
  <c r="R2713" i="1"/>
  <c r="L2713" i="1"/>
  <c r="T2712" i="1"/>
  <c r="S2712" i="1"/>
  <c r="R2712" i="1"/>
  <c r="L2712" i="1"/>
  <c r="T2711" i="1"/>
  <c r="S2711" i="1"/>
  <c r="R2711" i="1"/>
  <c r="L2711" i="1"/>
  <c r="T2710" i="1"/>
  <c r="S2710" i="1"/>
  <c r="R2710" i="1"/>
  <c r="L2710" i="1"/>
  <c r="T2709" i="1"/>
  <c r="S2709" i="1"/>
  <c r="R2709" i="1"/>
  <c r="L2709" i="1"/>
  <c r="T2708" i="1"/>
  <c r="S2708" i="1"/>
  <c r="R2708" i="1"/>
  <c r="L2708" i="1"/>
  <c r="T2707" i="1"/>
  <c r="S2707" i="1"/>
  <c r="R2707" i="1"/>
  <c r="L2707" i="1"/>
  <c r="T2706" i="1"/>
  <c r="S2706" i="1"/>
  <c r="R2706" i="1"/>
  <c r="L2706" i="1"/>
  <c r="T2705" i="1"/>
  <c r="S2705" i="1"/>
  <c r="R2705" i="1"/>
  <c r="L2705" i="1"/>
  <c r="T2704" i="1"/>
  <c r="S2704" i="1"/>
  <c r="R2704" i="1"/>
  <c r="L2704" i="1"/>
  <c r="T2703" i="1"/>
  <c r="S2703" i="1"/>
  <c r="R2703" i="1"/>
  <c r="L2703" i="1"/>
  <c r="T2702" i="1"/>
  <c r="S2702" i="1"/>
  <c r="R2702" i="1"/>
  <c r="L2702" i="1"/>
  <c r="T2701" i="1"/>
  <c r="S2701" i="1"/>
  <c r="R2701" i="1"/>
  <c r="L2701" i="1"/>
  <c r="T2700" i="1"/>
  <c r="S2700" i="1"/>
  <c r="R2700" i="1"/>
  <c r="L2700" i="1"/>
  <c r="T2699" i="1"/>
  <c r="S2699" i="1"/>
  <c r="R2699" i="1"/>
  <c r="L2699" i="1"/>
  <c r="T2698" i="1"/>
  <c r="S2698" i="1"/>
  <c r="R2698" i="1"/>
  <c r="L2698" i="1"/>
  <c r="T2697" i="1"/>
  <c r="S2697" i="1"/>
  <c r="R2697" i="1"/>
  <c r="L2697" i="1"/>
  <c r="T2696" i="1"/>
  <c r="S2696" i="1"/>
  <c r="R2696" i="1"/>
  <c r="L2696" i="1"/>
  <c r="T2695" i="1"/>
  <c r="S2695" i="1"/>
  <c r="R2695" i="1"/>
  <c r="L2695" i="1"/>
  <c r="T2694" i="1"/>
  <c r="S2694" i="1"/>
  <c r="R2694" i="1"/>
  <c r="L2694" i="1"/>
  <c r="T2693" i="1"/>
  <c r="S2693" i="1"/>
  <c r="R2693" i="1"/>
  <c r="L2693" i="1"/>
  <c r="T2692" i="1"/>
  <c r="S2692" i="1"/>
  <c r="R2692" i="1"/>
  <c r="L2692" i="1"/>
  <c r="T2691" i="1"/>
  <c r="S2691" i="1"/>
  <c r="R2691" i="1"/>
  <c r="L2691" i="1"/>
  <c r="T2690" i="1"/>
  <c r="S2690" i="1"/>
  <c r="R2690" i="1"/>
  <c r="L2690" i="1"/>
  <c r="T2689" i="1"/>
  <c r="S2689" i="1"/>
  <c r="R2689" i="1"/>
  <c r="L2689" i="1"/>
  <c r="T2688" i="1"/>
  <c r="S2688" i="1"/>
  <c r="R2688" i="1"/>
  <c r="L2688" i="1"/>
  <c r="T2687" i="1"/>
  <c r="S2687" i="1"/>
  <c r="R2687" i="1"/>
  <c r="L2687" i="1"/>
  <c r="T2686" i="1"/>
  <c r="S2686" i="1"/>
  <c r="R2686" i="1"/>
  <c r="L2686" i="1"/>
  <c r="T2685" i="1"/>
  <c r="S2685" i="1"/>
  <c r="R2685" i="1"/>
  <c r="L2685" i="1"/>
  <c r="T2684" i="1"/>
  <c r="S2684" i="1"/>
  <c r="R2684" i="1"/>
  <c r="L2684" i="1"/>
  <c r="T2683" i="1"/>
  <c r="S2683" i="1"/>
  <c r="R2683" i="1"/>
  <c r="L2683" i="1"/>
  <c r="T2682" i="1"/>
  <c r="S2682" i="1"/>
  <c r="R2682" i="1"/>
  <c r="L2682" i="1"/>
  <c r="T2681" i="1"/>
  <c r="S2681" i="1"/>
  <c r="R2681" i="1"/>
  <c r="L2681" i="1"/>
  <c r="T2680" i="1"/>
  <c r="S2680" i="1"/>
  <c r="R2680" i="1"/>
  <c r="L2680" i="1"/>
  <c r="T2679" i="1"/>
  <c r="S2679" i="1"/>
  <c r="R2679" i="1"/>
  <c r="L2679" i="1"/>
  <c r="T2678" i="1"/>
  <c r="S2678" i="1"/>
  <c r="R2678" i="1"/>
  <c r="L2678" i="1"/>
  <c r="T2677" i="1"/>
  <c r="S2677" i="1"/>
  <c r="R2677" i="1"/>
  <c r="L2677" i="1"/>
  <c r="T2676" i="1"/>
  <c r="S2676" i="1"/>
  <c r="R2676" i="1"/>
  <c r="L2676" i="1"/>
  <c r="T2675" i="1"/>
  <c r="S2675" i="1"/>
  <c r="R2675" i="1"/>
  <c r="L2675" i="1"/>
  <c r="T2674" i="1"/>
  <c r="S2674" i="1"/>
  <c r="R2674" i="1"/>
  <c r="L2674" i="1"/>
  <c r="T2673" i="1"/>
  <c r="S2673" i="1"/>
  <c r="R2673" i="1"/>
  <c r="L2673" i="1"/>
  <c r="T2672" i="1"/>
  <c r="S2672" i="1"/>
  <c r="R2672" i="1"/>
  <c r="L2672" i="1"/>
  <c r="T2671" i="1"/>
  <c r="S2671" i="1"/>
  <c r="R2671" i="1"/>
  <c r="L2671" i="1"/>
  <c r="T2670" i="1"/>
  <c r="S2670" i="1"/>
  <c r="R2670" i="1"/>
  <c r="L2670" i="1"/>
  <c r="T2669" i="1"/>
  <c r="S2669" i="1"/>
  <c r="R2669" i="1"/>
  <c r="L2669" i="1"/>
  <c r="T2668" i="1"/>
  <c r="S2668" i="1"/>
  <c r="R2668" i="1"/>
  <c r="L2668" i="1"/>
  <c r="T2667" i="1"/>
  <c r="S2667" i="1"/>
  <c r="R2667" i="1"/>
  <c r="L2667" i="1"/>
  <c r="T2666" i="1"/>
  <c r="S2666" i="1"/>
  <c r="R2666" i="1"/>
  <c r="L2666" i="1"/>
  <c r="T2665" i="1"/>
  <c r="S2665" i="1"/>
  <c r="R2665" i="1"/>
  <c r="L2665" i="1"/>
  <c r="T2664" i="1"/>
  <c r="S2664" i="1"/>
  <c r="R2664" i="1"/>
  <c r="L2664" i="1"/>
  <c r="T2663" i="1"/>
  <c r="S2663" i="1"/>
  <c r="R2663" i="1"/>
  <c r="L2663" i="1"/>
  <c r="T2662" i="1"/>
  <c r="S2662" i="1"/>
  <c r="R2662" i="1"/>
  <c r="L2662" i="1"/>
  <c r="T2661" i="1"/>
  <c r="S2661" i="1"/>
  <c r="R2661" i="1"/>
  <c r="L2661" i="1"/>
  <c r="T2660" i="1"/>
  <c r="S2660" i="1"/>
  <c r="R2660" i="1"/>
  <c r="L2660" i="1"/>
  <c r="T2659" i="1"/>
  <c r="S2659" i="1"/>
  <c r="R2659" i="1"/>
  <c r="L2659" i="1"/>
  <c r="T2658" i="1"/>
  <c r="S2658" i="1"/>
  <c r="R2658" i="1"/>
  <c r="L2658" i="1"/>
  <c r="T2657" i="1"/>
  <c r="S2657" i="1"/>
  <c r="R2657" i="1"/>
  <c r="L2657" i="1"/>
  <c r="T2656" i="1"/>
  <c r="S2656" i="1"/>
  <c r="R2656" i="1"/>
  <c r="L2656" i="1"/>
  <c r="T2655" i="1"/>
  <c r="S2655" i="1"/>
  <c r="R2655" i="1"/>
  <c r="L2655" i="1"/>
  <c r="T2654" i="1"/>
  <c r="S2654" i="1"/>
  <c r="R2654" i="1"/>
  <c r="L2654" i="1"/>
  <c r="T2653" i="1"/>
  <c r="S2653" i="1"/>
  <c r="R2653" i="1"/>
  <c r="L2653" i="1"/>
  <c r="T2652" i="1"/>
  <c r="S2652" i="1"/>
  <c r="R2652" i="1"/>
  <c r="L2652" i="1"/>
  <c r="T2651" i="1"/>
  <c r="S2651" i="1"/>
  <c r="R2651" i="1"/>
  <c r="L2651" i="1"/>
  <c r="T2650" i="1"/>
  <c r="S2650" i="1"/>
  <c r="R2650" i="1"/>
  <c r="L2650" i="1"/>
  <c r="T2649" i="1"/>
  <c r="S2649" i="1"/>
  <c r="R2649" i="1"/>
  <c r="L2649" i="1"/>
  <c r="AA2648" i="1"/>
  <c r="T2648" i="1"/>
  <c r="S2648" i="1"/>
  <c r="R2648" i="1"/>
  <c r="L2648" i="1"/>
  <c r="T2647" i="1"/>
  <c r="R2647" i="1"/>
  <c r="K2647" i="1"/>
  <c r="L2647" i="1" s="1"/>
  <c r="T2646" i="1"/>
  <c r="R2646" i="1"/>
  <c r="L2646" i="1"/>
  <c r="T2645" i="1"/>
  <c r="R2645" i="1"/>
  <c r="L2645" i="1"/>
  <c r="T2644" i="1"/>
  <c r="R2644" i="1"/>
  <c r="L2644" i="1"/>
  <c r="T2643" i="1"/>
  <c r="R2643" i="1"/>
  <c r="L2643" i="1"/>
  <c r="T2642" i="1"/>
  <c r="R2642" i="1"/>
  <c r="L2642" i="1"/>
  <c r="T2641" i="1"/>
  <c r="R2641" i="1"/>
  <c r="L2641" i="1"/>
  <c r="T2640" i="1"/>
  <c r="R2640" i="1"/>
  <c r="L2640" i="1"/>
  <c r="T2639" i="1"/>
  <c r="R2639" i="1"/>
  <c r="L2639" i="1"/>
  <c r="T2638" i="1"/>
  <c r="R2638" i="1"/>
  <c r="L2638" i="1"/>
  <c r="T2637" i="1"/>
  <c r="R2637" i="1"/>
  <c r="L2637" i="1"/>
  <c r="T2636" i="1"/>
  <c r="R2636" i="1"/>
  <c r="L2636" i="1"/>
  <c r="T2635" i="1"/>
  <c r="R2635" i="1"/>
  <c r="L2635" i="1"/>
  <c r="T2634" i="1"/>
  <c r="R2634" i="1"/>
  <c r="L2634" i="1"/>
  <c r="T2633" i="1"/>
  <c r="R2633" i="1"/>
  <c r="L2633" i="1"/>
  <c r="T2632" i="1"/>
  <c r="R2632" i="1"/>
  <c r="L2632" i="1"/>
  <c r="T2631" i="1"/>
  <c r="R2631" i="1"/>
  <c r="L2631" i="1"/>
  <c r="T2630" i="1"/>
  <c r="R2630" i="1"/>
  <c r="L2630" i="1"/>
  <c r="T2629" i="1"/>
  <c r="R2629" i="1"/>
  <c r="L2629" i="1"/>
  <c r="T2628" i="1"/>
  <c r="R2628" i="1"/>
  <c r="L2628" i="1"/>
  <c r="T2627" i="1"/>
  <c r="R2627" i="1"/>
  <c r="L2627" i="1"/>
  <c r="T2626" i="1"/>
  <c r="R2626" i="1"/>
  <c r="L2626" i="1"/>
  <c r="T2625" i="1"/>
  <c r="R2625" i="1"/>
  <c r="L2625" i="1"/>
  <c r="T2624" i="1"/>
  <c r="R2624" i="1"/>
  <c r="L2624" i="1"/>
  <c r="T2623" i="1"/>
  <c r="R2623" i="1"/>
  <c r="K2623" i="1"/>
  <c r="L2623" i="1" s="1"/>
  <c r="T2622" i="1"/>
  <c r="R2622" i="1"/>
  <c r="L2622" i="1"/>
  <c r="T2621" i="1"/>
  <c r="R2621" i="1"/>
  <c r="L2621" i="1"/>
  <c r="T2620" i="1"/>
  <c r="R2620" i="1"/>
  <c r="L2620" i="1"/>
  <c r="T2619" i="1"/>
  <c r="R2619" i="1"/>
  <c r="L2619" i="1"/>
  <c r="T2618" i="1"/>
  <c r="R2618" i="1"/>
  <c r="L2618" i="1"/>
  <c r="T2617" i="1"/>
  <c r="R2617" i="1"/>
  <c r="L2617" i="1"/>
  <c r="T2616" i="1"/>
  <c r="R2616" i="1"/>
  <c r="L2616" i="1"/>
  <c r="T2615" i="1"/>
  <c r="R2615" i="1"/>
  <c r="L2615" i="1"/>
  <c r="T2614" i="1"/>
  <c r="R2614" i="1"/>
  <c r="L2614" i="1"/>
  <c r="T2613" i="1"/>
  <c r="R2613" i="1"/>
  <c r="L2613" i="1"/>
  <c r="R2612" i="1"/>
  <c r="L2612" i="1"/>
  <c r="R2611" i="1"/>
  <c r="L2611" i="1"/>
  <c r="R2610" i="1"/>
  <c r="L2610" i="1"/>
  <c r="R2609" i="1"/>
  <c r="L2609" i="1"/>
  <c r="R2608" i="1"/>
  <c r="L2608" i="1"/>
  <c r="R2607" i="1"/>
  <c r="L2607" i="1"/>
  <c r="T2606" i="1"/>
  <c r="R2606" i="1"/>
  <c r="L2606" i="1"/>
  <c r="T2605" i="1"/>
  <c r="R2605" i="1"/>
  <c r="L2605" i="1"/>
  <c r="T2604" i="1"/>
  <c r="R2604" i="1"/>
  <c r="L2604" i="1"/>
  <c r="T2603" i="1"/>
  <c r="R2603" i="1"/>
  <c r="L2603" i="1"/>
  <c r="T2602" i="1"/>
  <c r="R2602" i="1"/>
  <c r="L2602" i="1"/>
  <c r="T2601" i="1"/>
  <c r="R2601" i="1"/>
  <c r="L2601" i="1"/>
  <c r="T2600" i="1"/>
  <c r="R2600" i="1"/>
  <c r="L2600" i="1"/>
  <c r="T2599" i="1"/>
  <c r="R2599" i="1"/>
  <c r="L2599" i="1"/>
  <c r="T2598" i="1"/>
  <c r="R2598" i="1"/>
  <c r="L2598" i="1"/>
  <c r="T2597" i="1"/>
  <c r="R2597" i="1"/>
  <c r="L2597" i="1"/>
  <c r="T2596" i="1"/>
  <c r="R2596" i="1"/>
  <c r="L2596" i="1"/>
  <c r="T2595" i="1"/>
  <c r="R2595" i="1"/>
  <c r="L2595" i="1"/>
  <c r="T2594" i="1"/>
  <c r="R2594" i="1"/>
  <c r="L2594" i="1"/>
  <c r="T2593" i="1"/>
  <c r="R2593" i="1"/>
  <c r="L2593" i="1"/>
  <c r="T2592" i="1"/>
  <c r="R2592" i="1"/>
  <c r="L2592" i="1"/>
  <c r="T2591" i="1"/>
  <c r="R2591" i="1"/>
  <c r="L2591" i="1"/>
  <c r="T2590" i="1"/>
  <c r="R2590" i="1"/>
  <c r="L2590" i="1"/>
  <c r="T2589" i="1"/>
  <c r="R2589" i="1"/>
  <c r="L2589" i="1"/>
  <c r="T2588" i="1"/>
  <c r="R2588" i="1"/>
  <c r="L2588" i="1"/>
  <c r="T2587" i="1"/>
  <c r="R2587" i="1"/>
  <c r="L2587" i="1"/>
  <c r="T2586" i="1"/>
  <c r="R2586" i="1"/>
  <c r="L2586" i="1"/>
  <c r="T2585" i="1"/>
  <c r="R2585" i="1"/>
  <c r="L2585" i="1"/>
  <c r="T2584" i="1"/>
  <c r="R2584" i="1"/>
  <c r="L2584" i="1"/>
  <c r="T2583" i="1"/>
  <c r="R2583" i="1"/>
  <c r="L2583" i="1"/>
  <c r="T2582" i="1"/>
  <c r="R2582" i="1"/>
  <c r="L2582" i="1"/>
  <c r="T2581" i="1"/>
  <c r="R2581" i="1"/>
  <c r="L2581" i="1"/>
  <c r="T2580" i="1"/>
  <c r="R2580" i="1"/>
  <c r="L2580" i="1"/>
  <c r="T2579" i="1"/>
  <c r="R2579" i="1"/>
  <c r="L2579" i="1"/>
  <c r="T2578" i="1"/>
  <c r="R2578" i="1"/>
  <c r="K2578" i="1"/>
  <c r="L2578" i="1" s="1"/>
  <c r="T2577" i="1"/>
  <c r="R2577" i="1"/>
  <c r="L2577" i="1"/>
  <c r="T2576" i="1"/>
  <c r="R2576" i="1"/>
  <c r="L2576" i="1"/>
  <c r="T2575" i="1"/>
  <c r="R2575" i="1"/>
  <c r="L2575" i="1"/>
  <c r="T2574" i="1"/>
  <c r="R2574" i="1"/>
  <c r="L2574" i="1"/>
  <c r="T2573" i="1"/>
  <c r="R2573" i="1"/>
  <c r="L2573" i="1"/>
  <c r="T2572" i="1"/>
  <c r="R2572" i="1"/>
  <c r="L2572" i="1"/>
  <c r="T2571" i="1"/>
  <c r="R2571" i="1"/>
  <c r="L2571" i="1"/>
  <c r="T2570" i="1"/>
  <c r="R2570" i="1"/>
  <c r="L2570" i="1"/>
  <c r="T2569" i="1"/>
  <c r="R2569" i="1"/>
  <c r="L2569" i="1"/>
  <c r="T2568" i="1"/>
  <c r="R2568" i="1"/>
  <c r="L2568" i="1"/>
  <c r="T2567" i="1"/>
  <c r="R2567" i="1"/>
  <c r="L2567" i="1"/>
  <c r="T2566" i="1"/>
  <c r="R2566" i="1"/>
  <c r="L2566" i="1"/>
  <c r="T2565" i="1"/>
  <c r="R2565" i="1"/>
  <c r="L2565" i="1"/>
  <c r="T2564" i="1"/>
  <c r="R2564" i="1"/>
  <c r="L2564" i="1"/>
  <c r="T2563" i="1"/>
  <c r="R2563" i="1"/>
  <c r="L2563" i="1"/>
  <c r="T2562" i="1"/>
  <c r="R2562" i="1"/>
  <c r="L2562" i="1"/>
  <c r="T2561" i="1"/>
  <c r="R2561" i="1"/>
  <c r="L2561" i="1"/>
  <c r="T2560" i="1"/>
  <c r="R2560" i="1"/>
  <c r="L2560" i="1"/>
  <c r="T2559" i="1"/>
  <c r="R2559" i="1"/>
  <c r="L2559" i="1"/>
  <c r="T2558" i="1"/>
  <c r="R2558" i="1"/>
  <c r="L2558" i="1"/>
  <c r="T2557" i="1"/>
  <c r="R2557" i="1"/>
  <c r="L2557" i="1"/>
  <c r="T2556" i="1"/>
  <c r="R2556" i="1"/>
  <c r="L2556" i="1"/>
  <c r="T2555" i="1"/>
  <c r="R2555" i="1"/>
  <c r="L2555" i="1"/>
  <c r="T2554" i="1"/>
  <c r="R2554" i="1"/>
  <c r="L2554" i="1"/>
  <c r="T2553" i="1"/>
  <c r="R2553" i="1"/>
  <c r="L2553" i="1"/>
  <c r="T2552" i="1"/>
  <c r="R2552" i="1"/>
  <c r="L2552" i="1"/>
  <c r="T2551" i="1"/>
  <c r="R2551" i="1"/>
  <c r="L2551" i="1"/>
  <c r="T2550" i="1"/>
  <c r="R2550" i="1"/>
  <c r="L2550" i="1"/>
  <c r="T2549" i="1"/>
  <c r="R2549" i="1"/>
  <c r="L2549" i="1"/>
  <c r="T2548" i="1"/>
  <c r="R2548" i="1"/>
  <c r="K2548" i="1"/>
  <c r="L2548" i="1" s="1"/>
  <c r="T2547" i="1"/>
  <c r="R2547" i="1"/>
  <c r="L2547" i="1"/>
  <c r="T2546" i="1"/>
  <c r="R2546" i="1"/>
  <c r="L2546" i="1"/>
  <c r="T2545" i="1"/>
  <c r="R2545" i="1"/>
  <c r="L2545" i="1"/>
  <c r="T2544" i="1"/>
  <c r="R2544" i="1"/>
  <c r="L2544" i="1"/>
  <c r="T2543" i="1"/>
  <c r="R2543" i="1"/>
  <c r="L2543" i="1"/>
  <c r="T2542" i="1"/>
  <c r="R2542" i="1"/>
  <c r="L2542" i="1"/>
  <c r="T2541" i="1"/>
  <c r="R2541" i="1"/>
  <c r="L2541" i="1"/>
  <c r="R2540" i="1"/>
  <c r="L2540" i="1"/>
  <c r="R2539" i="1"/>
  <c r="L2539" i="1"/>
  <c r="T2538" i="1"/>
  <c r="R2538" i="1"/>
  <c r="L2538" i="1"/>
  <c r="R2537" i="1"/>
  <c r="L2537" i="1"/>
  <c r="R2536" i="1"/>
  <c r="K2536" i="1"/>
  <c r="L2536" i="1" s="1"/>
  <c r="R2535" i="1"/>
  <c r="L2535" i="1"/>
  <c r="R2534" i="1"/>
  <c r="L2534" i="1"/>
  <c r="G2534" i="1"/>
  <c r="T2534" i="1" s="1"/>
  <c r="R2533" i="1"/>
  <c r="L2533" i="1"/>
  <c r="G2533" i="1"/>
  <c r="T2533" i="1" s="1"/>
  <c r="R2532" i="1"/>
  <c r="L2532" i="1"/>
  <c r="G2532" i="1"/>
  <c r="T2532" i="1" s="1"/>
  <c r="R2531" i="1"/>
  <c r="L2531" i="1"/>
  <c r="G2531" i="1"/>
  <c r="T2531" i="1" s="1"/>
  <c r="T2530" i="1"/>
  <c r="R2530" i="1"/>
  <c r="L2530" i="1"/>
  <c r="T2529" i="1"/>
  <c r="R2529" i="1"/>
  <c r="L2529" i="1"/>
  <c r="T2528" i="1"/>
  <c r="R2528" i="1"/>
  <c r="L2528" i="1"/>
  <c r="T2527" i="1"/>
  <c r="R2527" i="1"/>
  <c r="L2527" i="1"/>
  <c r="T2526" i="1"/>
  <c r="R2526" i="1"/>
  <c r="L2526" i="1"/>
  <c r="T2525" i="1"/>
  <c r="R2525" i="1"/>
  <c r="L2525" i="1"/>
  <c r="R2524" i="1"/>
  <c r="O2524" i="1"/>
  <c r="L2524" i="1"/>
  <c r="R2523" i="1"/>
  <c r="L2523" i="1"/>
  <c r="R2522" i="1"/>
  <c r="L2522" i="1"/>
  <c r="R2521" i="1"/>
  <c r="L2521" i="1"/>
  <c r="T2520" i="1"/>
  <c r="R2520" i="1"/>
  <c r="L2520" i="1"/>
  <c r="T2519" i="1"/>
  <c r="R2519" i="1"/>
  <c r="L2519" i="1"/>
  <c r="T2518" i="1"/>
  <c r="R2518" i="1"/>
  <c r="L2518" i="1"/>
  <c r="T2517" i="1"/>
  <c r="R2517" i="1"/>
  <c r="L2517" i="1"/>
  <c r="R2516" i="1"/>
  <c r="L2516" i="1"/>
  <c r="R2515" i="1"/>
  <c r="L2515" i="1"/>
  <c r="R2514" i="1"/>
  <c r="L2514" i="1"/>
  <c r="R2513" i="1"/>
  <c r="L2513" i="1"/>
  <c r="R2512" i="1"/>
  <c r="L2512" i="1"/>
  <c r="G2512" i="1"/>
  <c r="T2512" i="1" s="1"/>
  <c r="R2511" i="1"/>
  <c r="L2511" i="1"/>
  <c r="R2510" i="1"/>
  <c r="L2510" i="1"/>
  <c r="G2510" i="1"/>
  <c r="T2510" i="1" s="1"/>
  <c r="R2509" i="1"/>
  <c r="L2509" i="1"/>
  <c r="G2509" i="1"/>
  <c r="T2509" i="1" s="1"/>
  <c r="R2508" i="1"/>
  <c r="L2508" i="1"/>
  <c r="G2508" i="1"/>
  <c r="T2508" i="1" s="1"/>
  <c r="R2507" i="1"/>
  <c r="L2507" i="1"/>
  <c r="S2507" i="1" s="1"/>
  <c r="T2506" i="1"/>
  <c r="R2506" i="1"/>
  <c r="L2506" i="1"/>
  <c r="T2505" i="1"/>
  <c r="R2505" i="1"/>
  <c r="L2505" i="1"/>
  <c r="T2504" i="1"/>
  <c r="R2504" i="1"/>
  <c r="L2504" i="1"/>
  <c r="R2503" i="1"/>
  <c r="L2503" i="1"/>
  <c r="R2502" i="1"/>
  <c r="L2502" i="1"/>
  <c r="R2501" i="1"/>
  <c r="L2501" i="1"/>
  <c r="R2500" i="1"/>
  <c r="L2500" i="1"/>
  <c r="R2499" i="1"/>
  <c r="L2499" i="1"/>
  <c r="T2498" i="1"/>
  <c r="R2498" i="1"/>
  <c r="K2498" i="1"/>
  <c r="L2498" i="1" s="1"/>
  <c r="T2497" i="1"/>
  <c r="R2497" i="1"/>
  <c r="L2497" i="1"/>
  <c r="T2496" i="1"/>
  <c r="R2496" i="1"/>
  <c r="K2496" i="1"/>
  <c r="L2496" i="1" s="1"/>
  <c r="T2495" i="1"/>
  <c r="R2495" i="1"/>
  <c r="L2495" i="1"/>
  <c r="R2494" i="1"/>
  <c r="L2494" i="1"/>
  <c r="R2493" i="1"/>
  <c r="L2493" i="1"/>
  <c r="R2492" i="1"/>
  <c r="L2492" i="1"/>
  <c r="T2491" i="1"/>
  <c r="R2491" i="1"/>
  <c r="L2491" i="1"/>
  <c r="T2490" i="1"/>
  <c r="R2490" i="1"/>
  <c r="L2490" i="1"/>
  <c r="T2489" i="1"/>
  <c r="R2489" i="1"/>
  <c r="L2489" i="1"/>
  <c r="T2488" i="1"/>
  <c r="R2488" i="1"/>
  <c r="L2488" i="1"/>
  <c r="T2487" i="1"/>
  <c r="R2487" i="1"/>
  <c r="L2487" i="1"/>
  <c r="T2486" i="1"/>
  <c r="R2486" i="1"/>
  <c r="L2486" i="1"/>
  <c r="R2485" i="1"/>
  <c r="L2485" i="1"/>
  <c r="R2484" i="1"/>
  <c r="L2484" i="1"/>
  <c r="R2483" i="1"/>
  <c r="L2483" i="1"/>
  <c r="R2482" i="1"/>
  <c r="L2482" i="1"/>
  <c r="R2481" i="1"/>
  <c r="L2481" i="1"/>
  <c r="R2480" i="1"/>
  <c r="L2480" i="1"/>
  <c r="R2479" i="1"/>
  <c r="L2479" i="1"/>
  <c r="R2478" i="1"/>
  <c r="O2478" i="1"/>
  <c r="L2478" i="1"/>
  <c r="R2477" i="1"/>
  <c r="L2477" i="1"/>
  <c r="R2476" i="1"/>
  <c r="L2476" i="1"/>
  <c r="T2475" i="1"/>
  <c r="R2475" i="1"/>
  <c r="L2475" i="1"/>
  <c r="T2474" i="1"/>
  <c r="R2474" i="1"/>
  <c r="L2474" i="1"/>
  <c r="T2473" i="1"/>
  <c r="R2473" i="1"/>
  <c r="L2473" i="1"/>
  <c r="T2472" i="1"/>
  <c r="R2472" i="1"/>
  <c r="L2472" i="1"/>
  <c r="T2471" i="1"/>
  <c r="R2471" i="1"/>
  <c r="L2471" i="1"/>
  <c r="T2470" i="1"/>
  <c r="R2470" i="1"/>
  <c r="L2470" i="1"/>
  <c r="T2469" i="1"/>
  <c r="R2469" i="1"/>
  <c r="L2469" i="1"/>
  <c r="T2468" i="1"/>
  <c r="R2468" i="1"/>
  <c r="L2468" i="1"/>
  <c r="T2467" i="1"/>
  <c r="R2467" i="1"/>
  <c r="L2467" i="1"/>
  <c r="T2466" i="1"/>
  <c r="R2466" i="1"/>
  <c r="L2466" i="1"/>
  <c r="T2465" i="1"/>
  <c r="R2465" i="1"/>
  <c r="K2465" i="1"/>
  <c r="L2465" i="1" s="1"/>
  <c r="T2464" i="1"/>
  <c r="R2464" i="1"/>
  <c r="K2464" i="1"/>
  <c r="L2464" i="1" s="1"/>
  <c r="T2463" i="1"/>
  <c r="R2463" i="1"/>
  <c r="L2463" i="1"/>
  <c r="T2462" i="1"/>
  <c r="R2462" i="1"/>
  <c r="L2462" i="1"/>
  <c r="T2461" i="1"/>
  <c r="R2461" i="1"/>
  <c r="L2461" i="1"/>
  <c r="T2460" i="1"/>
  <c r="R2460" i="1"/>
  <c r="L2460" i="1"/>
  <c r="T2459" i="1"/>
  <c r="R2459" i="1"/>
  <c r="L2459" i="1"/>
  <c r="T2458" i="1"/>
  <c r="R2458" i="1"/>
  <c r="L2458" i="1"/>
  <c r="T2457" i="1"/>
  <c r="R2457" i="1"/>
  <c r="L2457" i="1"/>
  <c r="T2456" i="1"/>
  <c r="R2456" i="1"/>
  <c r="L2456" i="1"/>
  <c r="T2455" i="1"/>
  <c r="R2455" i="1"/>
  <c r="L2455" i="1"/>
  <c r="T2454" i="1"/>
  <c r="R2454" i="1"/>
  <c r="L2454" i="1"/>
  <c r="T2453" i="1"/>
  <c r="R2453" i="1"/>
  <c r="L2453" i="1"/>
  <c r="T2452" i="1"/>
  <c r="R2452" i="1"/>
  <c r="L2452" i="1"/>
  <c r="T2451" i="1"/>
  <c r="R2451" i="1"/>
  <c r="L2451" i="1"/>
  <c r="T2450" i="1"/>
  <c r="R2450" i="1"/>
  <c r="L2450" i="1"/>
  <c r="T2449" i="1"/>
  <c r="R2449" i="1"/>
  <c r="L2449" i="1"/>
  <c r="T2448" i="1"/>
  <c r="R2448" i="1"/>
  <c r="L2448" i="1"/>
  <c r="T2447" i="1"/>
  <c r="R2447" i="1"/>
  <c r="L2447" i="1"/>
  <c r="T2446" i="1"/>
  <c r="R2446" i="1"/>
  <c r="L2446" i="1"/>
  <c r="T2445" i="1"/>
  <c r="R2445" i="1"/>
  <c r="L2445" i="1"/>
  <c r="T2444" i="1"/>
  <c r="R2444" i="1"/>
  <c r="L2444" i="1"/>
  <c r="T2443" i="1"/>
  <c r="R2443" i="1"/>
  <c r="L2443" i="1"/>
  <c r="T2442" i="1"/>
  <c r="R2442" i="1"/>
  <c r="L2442" i="1"/>
  <c r="T2441" i="1"/>
  <c r="R2441" i="1"/>
  <c r="L2441" i="1"/>
  <c r="T2440" i="1"/>
  <c r="R2440" i="1"/>
  <c r="L2440" i="1"/>
  <c r="T2439" i="1"/>
  <c r="R2439" i="1"/>
  <c r="L2439" i="1"/>
  <c r="T2438" i="1"/>
  <c r="R2438" i="1"/>
  <c r="L2438" i="1"/>
  <c r="T2437" i="1"/>
  <c r="R2437" i="1"/>
  <c r="L2437" i="1"/>
  <c r="T2436" i="1"/>
  <c r="R2436" i="1"/>
  <c r="L2436" i="1"/>
  <c r="T2435" i="1"/>
  <c r="R2435" i="1"/>
  <c r="L2435" i="1"/>
  <c r="T2434" i="1"/>
  <c r="R2434" i="1"/>
  <c r="L2434" i="1"/>
  <c r="T2433" i="1"/>
  <c r="R2433" i="1"/>
  <c r="L2433" i="1"/>
  <c r="T2432" i="1"/>
  <c r="R2432" i="1"/>
  <c r="L2432" i="1"/>
  <c r="T2431" i="1"/>
  <c r="R2431" i="1"/>
  <c r="L2431" i="1"/>
  <c r="T2430" i="1"/>
  <c r="R2430" i="1"/>
  <c r="L2430" i="1"/>
  <c r="T2429" i="1"/>
  <c r="R2429" i="1"/>
  <c r="L2429" i="1"/>
  <c r="T2428" i="1"/>
  <c r="R2428" i="1"/>
  <c r="L2428" i="1"/>
  <c r="T2427" i="1"/>
  <c r="R2427" i="1"/>
  <c r="L2427" i="1"/>
  <c r="T2426" i="1"/>
  <c r="R2426" i="1"/>
  <c r="L2426" i="1"/>
  <c r="T2425" i="1"/>
  <c r="R2425" i="1"/>
  <c r="L2425" i="1"/>
  <c r="T2424" i="1"/>
  <c r="R2424" i="1"/>
  <c r="L2424" i="1"/>
  <c r="T2423" i="1"/>
  <c r="R2423" i="1"/>
  <c r="L2423" i="1"/>
  <c r="T2422" i="1"/>
  <c r="R2422" i="1"/>
  <c r="L2422" i="1"/>
  <c r="T2421" i="1"/>
  <c r="R2421" i="1"/>
  <c r="L2421" i="1"/>
  <c r="T2420" i="1"/>
  <c r="R2420" i="1"/>
  <c r="L2420" i="1"/>
  <c r="T2419" i="1"/>
  <c r="R2419" i="1"/>
  <c r="K2419" i="1"/>
  <c r="L2419" i="1" s="1"/>
  <c r="T2418" i="1"/>
  <c r="R2418" i="1"/>
  <c r="L2418" i="1"/>
  <c r="T2417" i="1"/>
  <c r="R2417" i="1"/>
  <c r="L2417" i="1"/>
  <c r="T2416" i="1"/>
  <c r="R2416" i="1"/>
  <c r="L2416" i="1"/>
  <c r="T2415" i="1"/>
  <c r="R2415" i="1"/>
  <c r="L2415" i="1"/>
  <c r="T2414" i="1"/>
  <c r="R2414" i="1"/>
  <c r="L2414" i="1"/>
  <c r="T2413" i="1"/>
  <c r="R2413" i="1"/>
  <c r="L2413" i="1"/>
  <c r="T2412" i="1"/>
  <c r="R2412" i="1"/>
  <c r="L2412" i="1"/>
  <c r="T2411" i="1"/>
  <c r="R2411" i="1"/>
  <c r="L2411" i="1"/>
  <c r="T2410" i="1"/>
  <c r="R2410" i="1"/>
  <c r="L2410" i="1"/>
  <c r="T2409" i="1"/>
  <c r="R2409" i="1"/>
  <c r="L2409" i="1"/>
  <c r="R2408" i="1"/>
  <c r="O2408" i="1"/>
  <c r="L2408" i="1"/>
  <c r="R2407" i="1"/>
  <c r="O2407" i="1"/>
  <c r="L2407" i="1"/>
  <c r="T2406" i="1"/>
  <c r="R2406" i="1"/>
  <c r="L2406" i="1"/>
  <c r="T2405" i="1"/>
  <c r="R2405" i="1"/>
  <c r="L2405" i="1"/>
  <c r="T2404" i="1"/>
  <c r="R2404" i="1"/>
  <c r="L2404" i="1"/>
  <c r="T2403" i="1"/>
  <c r="R2403" i="1"/>
  <c r="L2403" i="1"/>
  <c r="T2402" i="1"/>
  <c r="R2402" i="1"/>
  <c r="L2402" i="1"/>
  <c r="R2401" i="1"/>
  <c r="O2401" i="1"/>
  <c r="L2401" i="1"/>
  <c r="R2400" i="1"/>
  <c r="O2400" i="1"/>
  <c r="L2400" i="1"/>
  <c r="R2399" i="1"/>
  <c r="O2399" i="1"/>
  <c r="L2399" i="1"/>
  <c r="R2398" i="1"/>
  <c r="O2398" i="1"/>
  <c r="L2398" i="1"/>
  <c r="R2397" i="1"/>
  <c r="O2397" i="1"/>
  <c r="L2397" i="1"/>
  <c r="R2396" i="1"/>
  <c r="L2396" i="1"/>
  <c r="T2395" i="1"/>
  <c r="R2395" i="1"/>
  <c r="L2395" i="1"/>
  <c r="R2394" i="1"/>
  <c r="L2394" i="1"/>
  <c r="T2393" i="1"/>
  <c r="R2393" i="1"/>
  <c r="L2393" i="1"/>
  <c r="T2392" i="1"/>
  <c r="R2392" i="1"/>
  <c r="L2392" i="1"/>
  <c r="T2391" i="1"/>
  <c r="R2391" i="1"/>
  <c r="L2391" i="1"/>
  <c r="T2390" i="1"/>
  <c r="R2390" i="1"/>
  <c r="L2390" i="1"/>
  <c r="T2389" i="1"/>
  <c r="R2389" i="1"/>
  <c r="L2389" i="1"/>
  <c r="T2388" i="1"/>
  <c r="R2388" i="1"/>
  <c r="L2388" i="1"/>
  <c r="T2387" i="1"/>
  <c r="R2387" i="1"/>
  <c r="L2387" i="1"/>
  <c r="T2386" i="1"/>
  <c r="R2386" i="1"/>
  <c r="L2386" i="1"/>
  <c r="T2385" i="1"/>
  <c r="R2385" i="1"/>
  <c r="L2385" i="1"/>
  <c r="T2384" i="1"/>
  <c r="R2384" i="1"/>
  <c r="L2384" i="1"/>
  <c r="T2383" i="1"/>
  <c r="R2383" i="1"/>
  <c r="L2383" i="1"/>
  <c r="T2382" i="1"/>
  <c r="R2382" i="1"/>
  <c r="L2382" i="1"/>
  <c r="T2381" i="1"/>
  <c r="R2381" i="1"/>
  <c r="L2381" i="1"/>
  <c r="T2380" i="1"/>
  <c r="R2380" i="1"/>
  <c r="L2380" i="1"/>
  <c r="T2379" i="1"/>
  <c r="R2379" i="1"/>
  <c r="L2379" i="1"/>
  <c r="T2378" i="1"/>
  <c r="R2378" i="1"/>
  <c r="L2378" i="1"/>
  <c r="T2377" i="1"/>
  <c r="R2377" i="1"/>
  <c r="L2377" i="1"/>
  <c r="T2376" i="1"/>
  <c r="R2376" i="1"/>
  <c r="L2376" i="1"/>
  <c r="T2375" i="1"/>
  <c r="R2375" i="1"/>
  <c r="L2375" i="1"/>
  <c r="T2374" i="1"/>
  <c r="R2374" i="1"/>
  <c r="L2374" i="1"/>
  <c r="T2373" i="1"/>
  <c r="R2373" i="1"/>
  <c r="L2373" i="1"/>
  <c r="T2372" i="1"/>
  <c r="R2372" i="1"/>
  <c r="L2372" i="1"/>
  <c r="T2371" i="1"/>
  <c r="R2371" i="1"/>
  <c r="L2371" i="1"/>
  <c r="T2370" i="1"/>
  <c r="R2370" i="1"/>
  <c r="L2370" i="1"/>
  <c r="T2369" i="1"/>
  <c r="R2369" i="1"/>
  <c r="L2369" i="1"/>
  <c r="T2368" i="1"/>
  <c r="R2368" i="1"/>
  <c r="L2368" i="1"/>
  <c r="T2367" i="1"/>
  <c r="R2367" i="1"/>
  <c r="L2367" i="1"/>
  <c r="T2366" i="1"/>
  <c r="R2366" i="1"/>
  <c r="L2366" i="1"/>
  <c r="T2365" i="1"/>
  <c r="R2365" i="1"/>
  <c r="L2365" i="1"/>
  <c r="T2364" i="1"/>
  <c r="R2364" i="1"/>
  <c r="L2364" i="1"/>
  <c r="T2363" i="1"/>
  <c r="R2363" i="1"/>
  <c r="L2363" i="1"/>
  <c r="T2362" i="1"/>
  <c r="R2362" i="1"/>
  <c r="T2361" i="1"/>
  <c r="R2361" i="1"/>
  <c r="L2361" i="1"/>
  <c r="R2360" i="1"/>
  <c r="K2360" i="1"/>
  <c r="L2360" i="1" s="1"/>
  <c r="R2359" i="1"/>
  <c r="K2359" i="1"/>
  <c r="L2359" i="1" s="1"/>
  <c r="R2358" i="1"/>
  <c r="K2358" i="1"/>
  <c r="L2358" i="1" s="1"/>
  <c r="R2357" i="1"/>
  <c r="L2357" i="1"/>
  <c r="R2356" i="1"/>
  <c r="L2356" i="1"/>
  <c r="R2355" i="1"/>
  <c r="L2355" i="1"/>
  <c r="R2354" i="1"/>
  <c r="L2354" i="1"/>
  <c r="R2353" i="1"/>
  <c r="L2353" i="1"/>
  <c r="R2352" i="1"/>
  <c r="L2352" i="1"/>
  <c r="R2351" i="1"/>
  <c r="L2351" i="1"/>
  <c r="R2350" i="1"/>
  <c r="L2350" i="1"/>
  <c r="R2349" i="1"/>
  <c r="L2349" i="1"/>
  <c r="R2348" i="1"/>
  <c r="L2348" i="1"/>
  <c r="R2347" i="1"/>
  <c r="K2347" i="1"/>
  <c r="L2347" i="1" s="1"/>
  <c r="T2346" i="1"/>
  <c r="R2346" i="1"/>
  <c r="L2346" i="1"/>
  <c r="T2345" i="1"/>
  <c r="R2345" i="1"/>
  <c r="L2345" i="1"/>
  <c r="T2344" i="1"/>
  <c r="R2344" i="1"/>
  <c r="L2344" i="1"/>
  <c r="T2343" i="1"/>
  <c r="R2343" i="1"/>
  <c r="L2343" i="1"/>
  <c r="T2342" i="1"/>
  <c r="R2342" i="1"/>
  <c r="L2342" i="1"/>
  <c r="T2341" i="1"/>
  <c r="R2341" i="1"/>
  <c r="L2341" i="1"/>
  <c r="T2340" i="1"/>
  <c r="R2340" i="1"/>
  <c r="L2340" i="1"/>
  <c r="T2339" i="1"/>
  <c r="R2339" i="1"/>
  <c r="L2339" i="1"/>
  <c r="T2338" i="1"/>
  <c r="R2338" i="1"/>
  <c r="L2338" i="1"/>
  <c r="T2337" i="1"/>
  <c r="R2337" i="1"/>
  <c r="L2337" i="1"/>
  <c r="T2336" i="1"/>
  <c r="R2336" i="1"/>
  <c r="L2336" i="1"/>
  <c r="T2335" i="1"/>
  <c r="R2335" i="1"/>
  <c r="L2335" i="1"/>
  <c r="R2334" i="1"/>
  <c r="O2334" i="1"/>
  <c r="L2334" i="1"/>
  <c r="R2333" i="1"/>
  <c r="O2333" i="1"/>
  <c r="L2333" i="1"/>
  <c r="R2332" i="1"/>
  <c r="O2332" i="1"/>
  <c r="L2332" i="1"/>
  <c r="T2331" i="1"/>
  <c r="R2331" i="1"/>
  <c r="L2331" i="1"/>
  <c r="T2330" i="1"/>
  <c r="R2330" i="1"/>
  <c r="L2330" i="1"/>
  <c r="T2329" i="1"/>
  <c r="R2329" i="1"/>
  <c r="L2329" i="1"/>
  <c r="R2328" i="1"/>
  <c r="L2328" i="1"/>
  <c r="R2327" i="1"/>
  <c r="L2327" i="1"/>
  <c r="R2326" i="1"/>
  <c r="L2326" i="1"/>
  <c r="R2325" i="1"/>
  <c r="L2325" i="1"/>
  <c r="R2324" i="1"/>
  <c r="L2324" i="1"/>
  <c r="R2323" i="1"/>
  <c r="L2323" i="1"/>
  <c r="R2322" i="1"/>
  <c r="L2322" i="1"/>
  <c r="R2321" i="1"/>
  <c r="L2321" i="1"/>
  <c r="R2320" i="1"/>
  <c r="L2320" i="1"/>
  <c r="R2319" i="1"/>
  <c r="L2319" i="1"/>
  <c r="R2318" i="1"/>
  <c r="L2318" i="1"/>
  <c r="R2317" i="1"/>
  <c r="L2317" i="1"/>
  <c r="R2316" i="1"/>
  <c r="L2316" i="1"/>
  <c r="R2315" i="1"/>
  <c r="L2315" i="1"/>
  <c r="R2314" i="1"/>
  <c r="L2314" i="1"/>
  <c r="R2313" i="1"/>
  <c r="L2313" i="1"/>
  <c r="R2312" i="1"/>
  <c r="L2312" i="1"/>
  <c r="R2311" i="1"/>
  <c r="L2311" i="1"/>
  <c r="R2310" i="1"/>
  <c r="L2310" i="1"/>
  <c r="R2309" i="1"/>
  <c r="L2309" i="1"/>
  <c r="R2308" i="1"/>
  <c r="L2308" i="1"/>
  <c r="R2307" i="1"/>
  <c r="L2307" i="1"/>
  <c r="R2306" i="1"/>
  <c r="L2306" i="1"/>
  <c r="R2305" i="1"/>
  <c r="L2305" i="1"/>
  <c r="R2304" i="1"/>
  <c r="L2304" i="1"/>
  <c r="R2303" i="1"/>
  <c r="L2303" i="1"/>
  <c r="R2302" i="1"/>
  <c r="L2302" i="1"/>
  <c r="R2301" i="1"/>
  <c r="L2301" i="1"/>
  <c r="R2300" i="1"/>
  <c r="L2300" i="1"/>
  <c r="R2299" i="1"/>
  <c r="L2299" i="1"/>
  <c r="R2298" i="1"/>
  <c r="L2298" i="1"/>
  <c r="R2297" i="1"/>
  <c r="L2297" i="1"/>
  <c r="I2297" i="1"/>
  <c r="R2296" i="1"/>
  <c r="L2296" i="1"/>
  <c r="I2296" i="1"/>
  <c r="R2295" i="1"/>
  <c r="L2295" i="1"/>
  <c r="I2295" i="1"/>
  <c r="R2294" i="1"/>
  <c r="L2294" i="1"/>
  <c r="I2294" i="1"/>
  <c r="R2293" i="1"/>
  <c r="L2293" i="1"/>
  <c r="I2293" i="1"/>
  <c r="R2292" i="1"/>
  <c r="L2292" i="1"/>
  <c r="I2292" i="1"/>
  <c r="R2291" i="1"/>
  <c r="L2291" i="1"/>
  <c r="I2291" i="1"/>
  <c r="R2290" i="1"/>
  <c r="K2290" i="1"/>
  <c r="L2290" i="1" s="1"/>
  <c r="I2290" i="1"/>
  <c r="R2289" i="1"/>
  <c r="L2289" i="1"/>
  <c r="R2288" i="1"/>
  <c r="L2288" i="1"/>
  <c r="R2287" i="1"/>
  <c r="L2287" i="1"/>
  <c r="I2287" i="1"/>
  <c r="R2286" i="1"/>
  <c r="L2286" i="1"/>
  <c r="I2286" i="1"/>
  <c r="R2285" i="1"/>
  <c r="L2285" i="1"/>
  <c r="R2284" i="1"/>
  <c r="L2284" i="1"/>
  <c r="R2283" i="1"/>
  <c r="L2283" i="1"/>
  <c r="R2282" i="1"/>
  <c r="L2282" i="1"/>
  <c r="R2281" i="1"/>
  <c r="L2281" i="1"/>
  <c r="R2280" i="1"/>
  <c r="L2280" i="1"/>
  <c r="R2279" i="1"/>
  <c r="L2279" i="1"/>
  <c r="R2278" i="1"/>
  <c r="L2278" i="1"/>
  <c r="R2277" i="1"/>
  <c r="L2277" i="1"/>
  <c r="R2276" i="1"/>
  <c r="L2276" i="1"/>
  <c r="R2275" i="1"/>
  <c r="L2275" i="1"/>
  <c r="R2274" i="1"/>
  <c r="L2274" i="1"/>
  <c r="R2273" i="1"/>
  <c r="L2273" i="1"/>
  <c r="R2272" i="1"/>
  <c r="L2272" i="1"/>
  <c r="R2271" i="1"/>
  <c r="L2271" i="1"/>
  <c r="R2270" i="1"/>
  <c r="L2270" i="1"/>
  <c r="R2269" i="1"/>
  <c r="L2269" i="1"/>
  <c r="R2268" i="1"/>
  <c r="L2268" i="1"/>
  <c r="R2267" i="1"/>
  <c r="L2267" i="1"/>
  <c r="R2266" i="1"/>
  <c r="L2266" i="1"/>
  <c r="R2265" i="1"/>
  <c r="L2265" i="1"/>
  <c r="R2264" i="1"/>
  <c r="L2264" i="1"/>
  <c r="R2263" i="1"/>
  <c r="L2263" i="1"/>
  <c r="R2262" i="1"/>
  <c r="L2262" i="1"/>
  <c r="R2261" i="1"/>
  <c r="L2261" i="1"/>
  <c r="R2260" i="1"/>
  <c r="L2260" i="1"/>
  <c r="R2259" i="1"/>
  <c r="L2259" i="1"/>
  <c r="R2258" i="1"/>
  <c r="L2258" i="1"/>
  <c r="R2257" i="1"/>
  <c r="L2257" i="1"/>
  <c r="R2256" i="1"/>
  <c r="L2256" i="1"/>
  <c r="R2255" i="1"/>
  <c r="L2255" i="1"/>
  <c r="R2254" i="1"/>
  <c r="L2254" i="1"/>
  <c r="R2253" i="1"/>
  <c r="L2253" i="1"/>
  <c r="R2252" i="1"/>
  <c r="L2252" i="1"/>
  <c r="R2251" i="1"/>
  <c r="L2251" i="1"/>
  <c r="R2250" i="1"/>
  <c r="L2250" i="1"/>
  <c r="R2249" i="1"/>
  <c r="L2249" i="1"/>
  <c r="R2248" i="1"/>
  <c r="L2248" i="1"/>
  <c r="R2247" i="1"/>
  <c r="L2247" i="1"/>
  <c r="R2246" i="1"/>
  <c r="L2246" i="1"/>
  <c r="R2245" i="1"/>
  <c r="L2245" i="1"/>
  <c r="R2244" i="1"/>
  <c r="L2244" i="1"/>
  <c r="R2243" i="1"/>
  <c r="L2243" i="1"/>
  <c r="R2242" i="1"/>
  <c r="L2242" i="1"/>
  <c r="R2241" i="1"/>
  <c r="L2241" i="1"/>
  <c r="R2240" i="1"/>
  <c r="L2240" i="1"/>
  <c r="R2239" i="1"/>
  <c r="L2239" i="1"/>
  <c r="G2239" i="1"/>
  <c r="T2239" i="1" s="1"/>
  <c r="R2238" i="1"/>
  <c r="L2238" i="1"/>
  <c r="G2238" i="1"/>
  <c r="T2238" i="1" s="1"/>
  <c r="R2237" i="1"/>
  <c r="L2237" i="1"/>
  <c r="G2237" i="1"/>
  <c r="T2237" i="1" s="1"/>
  <c r="R2236" i="1"/>
  <c r="L2236" i="1"/>
  <c r="G2236" i="1"/>
  <c r="T2236" i="1" s="1"/>
  <c r="R2235" i="1"/>
  <c r="L2235" i="1"/>
  <c r="G2235" i="1"/>
  <c r="T2235" i="1" s="1"/>
  <c r="R2234" i="1"/>
  <c r="L2234" i="1"/>
  <c r="G2234" i="1"/>
  <c r="T2234" i="1" s="1"/>
  <c r="R2233" i="1"/>
  <c r="K2233" i="1"/>
  <c r="L2233" i="1" s="1"/>
  <c r="G2233" i="1"/>
  <c r="T2233" i="1" s="1"/>
  <c r="R2232" i="1"/>
  <c r="L2232" i="1"/>
  <c r="G2232" i="1"/>
  <c r="T2232" i="1" s="1"/>
  <c r="R2231" i="1"/>
  <c r="L2231" i="1"/>
  <c r="G2231" i="1"/>
  <c r="T2231" i="1" s="1"/>
  <c r="R2230" i="1"/>
  <c r="L2230" i="1"/>
  <c r="G2230" i="1"/>
  <c r="T2230" i="1" s="1"/>
  <c r="R2229" i="1"/>
  <c r="L2229" i="1"/>
  <c r="G2229" i="1"/>
  <c r="T2229" i="1" s="1"/>
  <c r="R2228" i="1"/>
  <c r="L2228" i="1"/>
  <c r="G2228" i="1"/>
  <c r="T2228" i="1" s="1"/>
  <c r="R2227" i="1"/>
  <c r="L2227" i="1"/>
  <c r="G2227" i="1"/>
  <c r="T2227" i="1" s="1"/>
  <c r="R2226" i="1"/>
  <c r="L2226" i="1"/>
  <c r="G2226" i="1"/>
  <c r="T2226" i="1" s="1"/>
  <c r="R2225" i="1"/>
  <c r="L2225" i="1"/>
  <c r="G2225" i="1"/>
  <c r="T2225" i="1" s="1"/>
  <c r="R2224" i="1"/>
  <c r="L2224" i="1"/>
  <c r="G2224" i="1"/>
  <c r="T2224" i="1" s="1"/>
  <c r="R2223" i="1"/>
  <c r="L2223" i="1"/>
  <c r="G2223" i="1"/>
  <c r="T2223" i="1" s="1"/>
  <c r="T2222" i="1"/>
  <c r="R2222" i="1"/>
  <c r="L2222" i="1"/>
  <c r="R2221" i="1"/>
  <c r="L2221" i="1"/>
  <c r="G2221" i="1"/>
  <c r="T2221" i="1" s="1"/>
  <c r="T2220" i="1"/>
  <c r="R2220" i="1"/>
  <c r="L2220" i="1"/>
  <c r="T2219" i="1"/>
  <c r="R2219" i="1"/>
  <c r="L2219" i="1"/>
  <c r="T2218" i="1"/>
  <c r="R2218" i="1"/>
  <c r="L2218" i="1"/>
  <c r="T2217" i="1"/>
  <c r="R2217" i="1"/>
  <c r="L2217" i="1"/>
  <c r="T2216" i="1"/>
  <c r="R2216" i="1"/>
  <c r="L2216" i="1"/>
  <c r="T2215" i="1"/>
  <c r="R2215" i="1"/>
  <c r="L2215" i="1"/>
  <c r="T2214" i="1"/>
  <c r="R2214" i="1"/>
  <c r="L2214" i="1"/>
  <c r="T2213" i="1"/>
  <c r="R2213" i="1"/>
  <c r="L2213" i="1"/>
  <c r="T2212" i="1"/>
  <c r="R2212" i="1"/>
  <c r="L2212" i="1"/>
  <c r="T2211" i="1"/>
  <c r="R2211" i="1"/>
  <c r="L2211" i="1"/>
  <c r="T2210" i="1"/>
  <c r="R2210" i="1"/>
  <c r="L2210" i="1"/>
  <c r="T2209" i="1"/>
  <c r="R2209" i="1"/>
  <c r="L2209" i="1"/>
  <c r="T2208" i="1"/>
  <c r="R2208" i="1"/>
  <c r="L2208" i="1"/>
  <c r="T2207" i="1"/>
  <c r="R2207" i="1"/>
  <c r="L2207" i="1"/>
  <c r="T2206" i="1"/>
  <c r="R2206" i="1"/>
  <c r="L2206" i="1"/>
  <c r="T2205" i="1"/>
  <c r="R2205" i="1"/>
  <c r="L2205" i="1"/>
  <c r="T2204" i="1"/>
  <c r="R2204" i="1"/>
  <c r="L2204" i="1"/>
  <c r="T2203" i="1"/>
  <c r="R2203" i="1"/>
  <c r="T2202" i="1"/>
  <c r="R2202" i="1"/>
  <c r="T2201" i="1"/>
  <c r="R2201" i="1"/>
  <c r="L2201" i="1"/>
  <c r="T2200" i="1"/>
  <c r="R2200" i="1"/>
  <c r="L2200" i="1"/>
  <c r="T2199" i="1"/>
  <c r="R2199" i="1"/>
  <c r="L2199" i="1"/>
  <c r="T2198" i="1"/>
  <c r="R2198" i="1"/>
  <c r="L2198" i="1"/>
  <c r="T2197" i="1"/>
  <c r="R2197" i="1"/>
  <c r="L2197" i="1"/>
  <c r="T2196" i="1"/>
  <c r="R2196" i="1"/>
  <c r="L2196" i="1"/>
  <c r="T2195" i="1"/>
  <c r="R2195" i="1"/>
  <c r="L2195" i="1"/>
  <c r="T2194" i="1"/>
  <c r="R2194" i="1"/>
  <c r="L2194" i="1"/>
  <c r="T2193" i="1"/>
  <c r="R2193" i="1"/>
  <c r="L2193" i="1"/>
  <c r="T2192" i="1"/>
  <c r="R2192" i="1"/>
  <c r="L2192" i="1"/>
  <c r="T2191" i="1"/>
  <c r="R2191" i="1"/>
  <c r="L2191" i="1"/>
  <c r="T2190" i="1"/>
  <c r="R2190" i="1"/>
  <c r="L2190" i="1"/>
  <c r="T2189" i="1"/>
  <c r="R2189" i="1"/>
  <c r="L2189" i="1"/>
  <c r="T2188" i="1"/>
  <c r="R2188" i="1"/>
  <c r="L2188" i="1"/>
  <c r="T2187" i="1"/>
  <c r="R2187" i="1"/>
  <c r="L2187" i="1"/>
  <c r="T2186" i="1"/>
  <c r="R2186" i="1"/>
  <c r="L2186" i="1"/>
  <c r="T2185" i="1"/>
  <c r="R2185" i="1"/>
  <c r="L2185" i="1"/>
  <c r="T2184" i="1"/>
  <c r="R2184" i="1"/>
  <c r="L2184" i="1"/>
  <c r="T2183" i="1"/>
  <c r="R2183" i="1"/>
  <c r="L2183" i="1"/>
  <c r="T2182" i="1"/>
  <c r="R2182" i="1"/>
  <c r="L2182" i="1"/>
  <c r="T2181" i="1"/>
  <c r="R2181" i="1"/>
  <c r="L2181" i="1"/>
  <c r="T2180" i="1"/>
  <c r="R2180" i="1"/>
  <c r="K2180" i="1"/>
  <c r="L2180" i="1" s="1"/>
  <c r="T2179" i="1"/>
  <c r="R2179" i="1"/>
  <c r="K2179" i="1"/>
  <c r="L2179" i="1" s="1"/>
  <c r="T2178" i="1"/>
  <c r="R2178" i="1"/>
  <c r="K2178" i="1"/>
  <c r="L2178" i="1" s="1"/>
  <c r="T2177" i="1"/>
  <c r="R2177" i="1"/>
  <c r="K2177" i="1"/>
  <c r="L2177" i="1" s="1"/>
  <c r="T2176" i="1"/>
  <c r="R2176" i="1"/>
  <c r="K2176" i="1"/>
  <c r="L2176" i="1" s="1"/>
  <c r="T2175" i="1"/>
  <c r="R2175" i="1"/>
  <c r="L2175" i="1"/>
  <c r="T2174" i="1"/>
  <c r="R2174" i="1"/>
  <c r="L2174" i="1"/>
  <c r="T2173" i="1"/>
  <c r="R2173" i="1"/>
  <c r="L2173" i="1"/>
  <c r="T2172" i="1"/>
  <c r="R2172" i="1"/>
  <c r="L2172" i="1"/>
  <c r="T2171" i="1"/>
  <c r="R2171" i="1"/>
  <c r="L2171" i="1"/>
  <c r="T2170" i="1"/>
  <c r="R2170" i="1"/>
  <c r="L2170" i="1"/>
  <c r="T2169" i="1"/>
  <c r="R2169" i="1"/>
  <c r="L2169" i="1"/>
  <c r="T2168" i="1"/>
  <c r="R2168" i="1"/>
  <c r="L2168" i="1"/>
  <c r="T2167" i="1"/>
  <c r="R2167" i="1"/>
  <c r="L2167" i="1"/>
  <c r="T2166" i="1"/>
  <c r="R2166" i="1"/>
  <c r="L2166" i="1"/>
  <c r="T2165" i="1"/>
  <c r="R2165" i="1"/>
  <c r="L2165" i="1"/>
  <c r="T2164" i="1"/>
  <c r="R2164" i="1"/>
  <c r="L2164" i="1"/>
  <c r="T2163" i="1"/>
  <c r="R2163" i="1"/>
  <c r="L2163" i="1"/>
  <c r="T2162" i="1"/>
  <c r="R2162" i="1"/>
  <c r="L2162" i="1"/>
  <c r="T2161" i="1"/>
  <c r="R2161" i="1"/>
  <c r="L2161" i="1"/>
  <c r="T2160" i="1"/>
  <c r="R2160" i="1"/>
  <c r="L2160" i="1"/>
  <c r="T2159" i="1"/>
  <c r="R2159" i="1"/>
  <c r="L2159" i="1"/>
  <c r="T2158" i="1"/>
  <c r="R2158" i="1"/>
  <c r="L2158" i="1"/>
  <c r="T2157" i="1"/>
  <c r="R2157" i="1"/>
  <c r="L2157" i="1"/>
  <c r="T2156" i="1"/>
  <c r="R2156" i="1"/>
  <c r="L2156" i="1"/>
  <c r="T2155" i="1"/>
  <c r="R2155" i="1"/>
  <c r="L2155" i="1"/>
  <c r="T2154" i="1"/>
  <c r="R2154" i="1"/>
  <c r="L2154" i="1"/>
  <c r="T2153" i="1"/>
  <c r="R2153" i="1"/>
  <c r="L2153" i="1"/>
  <c r="T2152" i="1"/>
  <c r="R2152" i="1"/>
  <c r="L2152" i="1"/>
  <c r="T2151" i="1"/>
  <c r="R2151" i="1"/>
  <c r="L2151" i="1"/>
  <c r="T2150" i="1"/>
  <c r="R2150" i="1"/>
  <c r="L2150" i="1"/>
  <c r="T2149" i="1"/>
  <c r="R2149" i="1"/>
  <c r="L2149" i="1"/>
  <c r="T2148" i="1"/>
  <c r="R2148" i="1"/>
  <c r="L2148" i="1"/>
  <c r="T2147" i="1"/>
  <c r="R2147" i="1"/>
  <c r="L2147" i="1"/>
  <c r="T2146" i="1"/>
  <c r="R2146" i="1"/>
  <c r="L2146" i="1"/>
  <c r="T2145" i="1"/>
  <c r="R2145" i="1"/>
  <c r="L2145" i="1"/>
  <c r="T2144" i="1"/>
  <c r="R2144" i="1"/>
  <c r="L2144" i="1"/>
  <c r="T2143" i="1"/>
  <c r="R2143" i="1"/>
  <c r="K2143" i="1"/>
  <c r="L2143" i="1" s="1"/>
  <c r="T2142" i="1"/>
  <c r="R2142" i="1"/>
  <c r="L2142" i="1"/>
  <c r="T2141" i="1"/>
  <c r="R2141" i="1"/>
  <c r="K2141" i="1"/>
  <c r="L2141" i="1" s="1"/>
  <c r="T2140" i="1"/>
  <c r="R2140" i="1"/>
  <c r="L2140" i="1"/>
  <c r="T2139" i="1"/>
  <c r="R2139" i="1"/>
  <c r="L2139" i="1"/>
  <c r="T2138" i="1"/>
  <c r="R2138" i="1"/>
  <c r="L2138" i="1"/>
  <c r="T2137" i="1"/>
  <c r="R2137" i="1"/>
  <c r="L2137" i="1"/>
  <c r="T2136" i="1"/>
  <c r="R2136" i="1"/>
  <c r="L2136" i="1"/>
  <c r="T2135" i="1"/>
  <c r="R2135" i="1"/>
  <c r="L2135" i="1"/>
  <c r="T2134" i="1"/>
  <c r="R2134" i="1"/>
  <c r="L2134" i="1"/>
  <c r="T2133" i="1"/>
  <c r="R2133" i="1"/>
  <c r="L2133" i="1"/>
  <c r="T2132" i="1"/>
  <c r="R2132" i="1"/>
  <c r="L2132" i="1"/>
  <c r="T2131" i="1"/>
  <c r="R2131" i="1"/>
  <c r="L2131" i="1"/>
  <c r="T2130" i="1"/>
  <c r="R2130" i="1"/>
  <c r="L2130" i="1"/>
  <c r="T2129" i="1"/>
  <c r="R2129" i="1"/>
  <c r="L2129" i="1"/>
  <c r="T2128" i="1"/>
  <c r="R2128" i="1"/>
  <c r="L2128" i="1"/>
  <c r="T2127" i="1"/>
  <c r="R2127" i="1"/>
  <c r="L2127" i="1"/>
  <c r="T2126" i="1"/>
  <c r="R2126" i="1"/>
  <c r="L2126" i="1"/>
  <c r="T2125" i="1"/>
  <c r="R2125" i="1"/>
  <c r="L2125" i="1"/>
  <c r="T2124" i="1"/>
  <c r="R2124" i="1"/>
  <c r="L2124" i="1"/>
  <c r="T2123" i="1"/>
  <c r="R2123" i="1"/>
  <c r="L2123" i="1"/>
  <c r="T2122" i="1"/>
  <c r="R2122" i="1"/>
  <c r="L2122" i="1"/>
  <c r="T2121" i="1"/>
  <c r="R2121" i="1"/>
  <c r="L2121" i="1"/>
  <c r="T2120" i="1"/>
  <c r="R2120" i="1"/>
  <c r="L2120" i="1"/>
  <c r="T2119" i="1"/>
  <c r="R2119" i="1"/>
  <c r="L2119" i="1"/>
  <c r="T2118" i="1"/>
  <c r="R2118" i="1"/>
  <c r="L2118" i="1"/>
  <c r="T2117" i="1"/>
  <c r="R2117" i="1"/>
  <c r="L2117" i="1"/>
  <c r="T2116" i="1"/>
  <c r="R2116" i="1"/>
  <c r="L2116" i="1"/>
  <c r="T2115" i="1"/>
  <c r="R2115" i="1"/>
  <c r="L2115" i="1"/>
  <c r="T2114" i="1"/>
  <c r="R2114" i="1"/>
  <c r="L2114" i="1"/>
  <c r="T2113" i="1"/>
  <c r="R2113" i="1"/>
  <c r="L2113" i="1"/>
  <c r="T2112" i="1"/>
  <c r="R2112" i="1"/>
  <c r="L2112" i="1"/>
  <c r="T2111" i="1"/>
  <c r="R2111" i="1"/>
  <c r="L2111" i="1"/>
  <c r="T2110" i="1"/>
  <c r="R2110" i="1"/>
  <c r="L2110" i="1"/>
  <c r="T2109" i="1"/>
  <c r="R2109" i="1"/>
  <c r="L2109" i="1"/>
  <c r="T2108" i="1"/>
  <c r="R2108" i="1"/>
  <c r="L2108" i="1"/>
  <c r="T2107" i="1"/>
  <c r="R2107" i="1"/>
  <c r="L2107" i="1"/>
  <c r="T2106" i="1"/>
  <c r="R2106" i="1"/>
  <c r="L2106" i="1"/>
  <c r="T2105" i="1"/>
  <c r="R2105" i="1"/>
  <c r="L2105" i="1"/>
  <c r="T2104" i="1"/>
  <c r="R2104" i="1"/>
  <c r="L2104" i="1"/>
  <c r="T2103" i="1"/>
  <c r="R2103" i="1"/>
  <c r="L2103" i="1"/>
  <c r="T2102" i="1"/>
  <c r="R2102" i="1"/>
  <c r="L2102" i="1"/>
  <c r="T2101" i="1"/>
  <c r="R2101" i="1"/>
  <c r="L2101" i="1"/>
  <c r="T2100" i="1"/>
  <c r="R2100" i="1"/>
  <c r="L2100" i="1"/>
  <c r="T2099" i="1"/>
  <c r="R2099" i="1"/>
  <c r="L2099" i="1"/>
  <c r="T2098" i="1"/>
  <c r="R2098" i="1"/>
  <c r="L2098" i="1"/>
  <c r="T2097" i="1"/>
  <c r="R2097" i="1"/>
  <c r="L2097" i="1"/>
  <c r="T2096" i="1"/>
  <c r="R2096" i="1"/>
  <c r="L2096" i="1"/>
  <c r="T2095" i="1"/>
  <c r="R2095" i="1"/>
  <c r="L2095" i="1"/>
  <c r="T2094" i="1"/>
  <c r="R2094" i="1"/>
  <c r="L2094" i="1"/>
  <c r="T2093" i="1"/>
  <c r="R2093" i="1"/>
  <c r="L2093" i="1"/>
  <c r="T2092" i="1"/>
  <c r="R2092" i="1"/>
  <c r="L2092" i="1"/>
  <c r="T2091" i="1"/>
  <c r="R2091" i="1"/>
  <c r="L2091" i="1"/>
  <c r="T2090" i="1"/>
  <c r="R2090" i="1"/>
  <c r="L2090" i="1"/>
  <c r="T2089" i="1"/>
  <c r="R2089" i="1"/>
  <c r="L2089" i="1"/>
  <c r="T2088" i="1"/>
  <c r="R2088" i="1"/>
  <c r="L2088" i="1"/>
  <c r="T2087" i="1"/>
  <c r="R2087" i="1"/>
  <c r="L2087" i="1"/>
  <c r="T2086" i="1"/>
  <c r="R2086" i="1"/>
  <c r="L2086" i="1"/>
  <c r="T2085" i="1"/>
  <c r="R2085" i="1"/>
  <c r="L2085" i="1"/>
  <c r="T2084" i="1"/>
  <c r="R2084" i="1"/>
  <c r="L2084" i="1"/>
  <c r="T2083" i="1"/>
  <c r="R2083" i="1"/>
  <c r="L2083" i="1"/>
  <c r="T2082" i="1"/>
  <c r="R2082" i="1"/>
  <c r="L2082" i="1"/>
  <c r="T2081" i="1"/>
  <c r="R2081" i="1"/>
  <c r="L2081" i="1"/>
  <c r="T2080" i="1"/>
  <c r="R2080" i="1"/>
  <c r="L2080" i="1"/>
  <c r="T2079" i="1"/>
  <c r="R2079" i="1"/>
  <c r="L2079" i="1"/>
  <c r="T2078" i="1"/>
  <c r="R2078" i="1"/>
  <c r="L2078" i="1"/>
  <c r="T2077" i="1"/>
  <c r="R2077" i="1"/>
  <c r="L2077" i="1"/>
  <c r="T2076" i="1"/>
  <c r="R2076" i="1"/>
  <c r="L2076" i="1"/>
  <c r="T2075" i="1"/>
  <c r="R2075" i="1"/>
  <c r="L2075" i="1"/>
  <c r="T2074" i="1"/>
  <c r="R2074" i="1"/>
  <c r="L2074" i="1"/>
  <c r="T2073" i="1"/>
  <c r="R2073" i="1"/>
  <c r="L2073" i="1"/>
  <c r="T2072" i="1"/>
  <c r="R2072" i="1"/>
  <c r="L2072" i="1"/>
  <c r="T2071" i="1"/>
  <c r="R2071" i="1"/>
  <c r="L2071" i="1"/>
  <c r="T2070" i="1"/>
  <c r="R2070" i="1"/>
  <c r="L2070" i="1"/>
  <c r="T2069" i="1"/>
  <c r="R2069" i="1"/>
  <c r="L2069" i="1"/>
  <c r="T2068" i="1"/>
  <c r="R2068" i="1"/>
  <c r="L2068" i="1"/>
  <c r="T2067" i="1"/>
  <c r="R2067" i="1"/>
  <c r="L2067" i="1"/>
  <c r="T2066" i="1"/>
  <c r="R2066" i="1"/>
  <c r="L2066" i="1"/>
  <c r="T2065" i="1"/>
  <c r="R2065" i="1"/>
  <c r="L2065" i="1"/>
  <c r="T2064" i="1"/>
  <c r="R2064" i="1"/>
  <c r="L2064" i="1"/>
  <c r="T2063" i="1"/>
  <c r="R2063" i="1"/>
  <c r="L2063" i="1"/>
  <c r="T2062" i="1"/>
  <c r="R2062" i="1"/>
  <c r="L2062" i="1"/>
  <c r="T2061" i="1"/>
  <c r="R2061" i="1"/>
  <c r="L2061" i="1"/>
  <c r="T2060" i="1"/>
  <c r="R2060" i="1"/>
  <c r="L2060" i="1"/>
  <c r="T2059" i="1"/>
  <c r="R2059" i="1"/>
  <c r="L2059" i="1"/>
  <c r="T2058" i="1"/>
  <c r="R2058" i="1"/>
  <c r="L2058" i="1"/>
  <c r="T2057" i="1"/>
  <c r="R2057" i="1"/>
  <c r="L2057" i="1"/>
  <c r="T2056" i="1"/>
  <c r="R2056" i="1"/>
  <c r="L2056" i="1"/>
  <c r="T2055" i="1"/>
  <c r="R2055" i="1"/>
  <c r="L2055" i="1"/>
  <c r="T2054" i="1"/>
  <c r="R2054" i="1"/>
  <c r="L2054" i="1"/>
  <c r="T2053" i="1"/>
  <c r="R2053" i="1"/>
  <c r="L2053" i="1"/>
  <c r="T2052" i="1"/>
  <c r="R2052" i="1"/>
  <c r="L2052" i="1"/>
  <c r="T2051" i="1"/>
  <c r="R2051" i="1"/>
  <c r="L2051" i="1"/>
  <c r="T2050" i="1"/>
  <c r="R2050" i="1"/>
  <c r="L2050" i="1"/>
  <c r="T2049" i="1"/>
  <c r="R2049" i="1"/>
  <c r="L2049" i="1"/>
  <c r="T2048" i="1"/>
  <c r="R2048" i="1"/>
  <c r="L2048" i="1"/>
  <c r="T2047" i="1"/>
  <c r="R2047" i="1"/>
  <c r="L2047" i="1"/>
  <c r="T2046" i="1"/>
  <c r="R2046" i="1"/>
  <c r="L2046" i="1"/>
  <c r="T2045" i="1"/>
  <c r="R2045" i="1"/>
  <c r="L2045" i="1"/>
  <c r="T2044" i="1"/>
  <c r="R2044" i="1"/>
  <c r="L2044" i="1"/>
  <c r="T2043" i="1"/>
  <c r="R2043" i="1"/>
  <c r="L2043" i="1"/>
  <c r="T2042" i="1"/>
  <c r="R2042" i="1"/>
  <c r="L2042" i="1"/>
  <c r="T2041" i="1"/>
  <c r="R2041" i="1"/>
  <c r="L2041" i="1"/>
  <c r="T2040" i="1"/>
  <c r="R2040" i="1"/>
  <c r="L2040" i="1"/>
  <c r="T2039" i="1"/>
  <c r="R2039" i="1"/>
  <c r="L2039" i="1"/>
  <c r="T2038" i="1"/>
  <c r="R2038" i="1"/>
  <c r="K2038" i="1"/>
  <c r="L2038" i="1" s="1"/>
  <c r="T2037" i="1"/>
  <c r="R2037" i="1"/>
  <c r="L2037" i="1"/>
  <c r="T2036" i="1"/>
  <c r="R2036" i="1"/>
  <c r="L2036" i="1"/>
  <c r="T2035" i="1"/>
  <c r="R2035" i="1"/>
  <c r="L2035" i="1"/>
  <c r="T2034" i="1"/>
  <c r="R2034" i="1"/>
  <c r="L2034" i="1"/>
  <c r="T2033" i="1"/>
  <c r="R2033" i="1"/>
  <c r="L2033" i="1"/>
  <c r="T2032" i="1"/>
  <c r="R2032" i="1"/>
  <c r="L2032" i="1"/>
  <c r="T2031" i="1"/>
  <c r="R2031" i="1"/>
  <c r="L2031" i="1"/>
  <c r="T2030" i="1"/>
  <c r="R2030" i="1"/>
  <c r="L2030" i="1"/>
  <c r="T2029" i="1"/>
  <c r="R2029" i="1"/>
  <c r="L2029" i="1"/>
  <c r="T2028" i="1"/>
  <c r="R2028" i="1"/>
  <c r="L2028" i="1"/>
  <c r="T2027" i="1"/>
  <c r="R2027" i="1"/>
  <c r="L2027" i="1"/>
  <c r="T2026" i="1"/>
  <c r="R2026" i="1"/>
  <c r="L2026" i="1"/>
  <c r="T2025" i="1"/>
  <c r="R2025" i="1"/>
  <c r="K2025" i="1"/>
  <c r="L2025" i="1" s="1"/>
  <c r="T2024" i="1"/>
  <c r="R2024" i="1"/>
  <c r="L2024" i="1"/>
  <c r="T2023" i="1"/>
  <c r="R2023" i="1"/>
  <c r="L2023" i="1"/>
  <c r="T2022" i="1"/>
  <c r="R2022" i="1"/>
  <c r="L2022" i="1"/>
  <c r="T2021" i="1"/>
  <c r="R2021" i="1"/>
  <c r="L2021" i="1"/>
  <c r="T2020" i="1"/>
  <c r="R2020" i="1"/>
  <c r="L2020" i="1"/>
  <c r="T2019" i="1"/>
  <c r="R2019" i="1"/>
  <c r="L2019" i="1"/>
  <c r="T2018" i="1"/>
  <c r="R2018" i="1"/>
  <c r="L2018" i="1"/>
  <c r="T2017" i="1"/>
  <c r="R2017" i="1"/>
  <c r="L2017" i="1"/>
  <c r="T2016" i="1"/>
  <c r="R2016" i="1"/>
  <c r="L2016" i="1"/>
  <c r="T2015" i="1"/>
  <c r="R2015" i="1"/>
  <c r="L2015" i="1"/>
  <c r="T2014" i="1"/>
  <c r="R2014" i="1"/>
  <c r="L2014" i="1"/>
  <c r="T2013" i="1"/>
  <c r="R2013" i="1"/>
  <c r="L2013" i="1"/>
  <c r="T2012" i="1"/>
  <c r="R2012" i="1"/>
  <c r="L2012" i="1"/>
  <c r="T2011" i="1"/>
  <c r="R2011" i="1"/>
  <c r="L2011" i="1"/>
  <c r="T2010" i="1"/>
  <c r="R2010" i="1"/>
  <c r="L2010" i="1"/>
  <c r="T2009" i="1"/>
  <c r="R2009" i="1"/>
  <c r="L2009" i="1"/>
  <c r="T2008" i="1"/>
  <c r="R2008" i="1"/>
  <c r="L2008" i="1"/>
  <c r="T2007" i="1"/>
  <c r="R2007" i="1"/>
  <c r="L2007" i="1"/>
  <c r="T2006" i="1"/>
  <c r="R2006" i="1"/>
  <c r="L2006" i="1"/>
  <c r="T2005" i="1"/>
  <c r="R2005" i="1"/>
  <c r="L2005" i="1"/>
  <c r="T2004" i="1"/>
  <c r="R2004" i="1"/>
  <c r="L2004" i="1"/>
  <c r="T2003" i="1"/>
  <c r="R2003" i="1"/>
  <c r="L2003" i="1"/>
  <c r="T2002" i="1"/>
  <c r="R2002" i="1"/>
  <c r="K2002" i="1"/>
  <c r="L2002" i="1" s="1"/>
  <c r="T2001" i="1"/>
  <c r="R2001" i="1"/>
  <c r="L2001" i="1"/>
  <c r="T2000" i="1"/>
  <c r="R2000" i="1"/>
  <c r="L2000" i="1"/>
  <c r="T1999" i="1"/>
  <c r="R1999" i="1"/>
  <c r="L1999" i="1"/>
  <c r="T1998" i="1"/>
  <c r="R1998" i="1"/>
  <c r="L1998" i="1"/>
  <c r="T1997" i="1"/>
  <c r="R1997" i="1"/>
  <c r="L1997" i="1"/>
  <c r="T1996" i="1"/>
  <c r="R1996" i="1"/>
  <c r="L1996" i="1"/>
  <c r="T1995" i="1"/>
  <c r="R1995" i="1"/>
  <c r="L1995" i="1"/>
  <c r="T1994" i="1"/>
  <c r="R1994" i="1"/>
  <c r="L1994" i="1"/>
  <c r="T1993" i="1"/>
  <c r="R1993" i="1"/>
  <c r="L1993" i="1"/>
  <c r="T1992" i="1"/>
  <c r="R1992" i="1"/>
  <c r="L1992" i="1"/>
  <c r="T1991" i="1"/>
  <c r="R1991" i="1"/>
  <c r="L1991" i="1"/>
  <c r="T1990" i="1"/>
  <c r="R1990" i="1"/>
  <c r="L1990" i="1"/>
  <c r="T1989" i="1"/>
  <c r="R1989" i="1"/>
  <c r="L1989" i="1"/>
  <c r="T1988" i="1"/>
  <c r="R1988" i="1"/>
  <c r="L1988" i="1"/>
  <c r="T1987" i="1"/>
  <c r="R1987" i="1"/>
  <c r="L1987" i="1"/>
  <c r="T1986" i="1"/>
  <c r="R1986" i="1"/>
  <c r="L1986" i="1"/>
  <c r="T1985" i="1"/>
  <c r="R1985" i="1"/>
  <c r="P1985" i="1"/>
  <c r="L1985" i="1" s="1"/>
  <c r="T1984" i="1"/>
  <c r="R1984" i="1"/>
  <c r="L1984" i="1"/>
  <c r="T1983" i="1"/>
  <c r="R1983" i="1"/>
  <c r="L1983" i="1"/>
  <c r="T1982" i="1"/>
  <c r="R1982" i="1"/>
  <c r="L1982" i="1"/>
  <c r="T1981" i="1"/>
  <c r="R1981" i="1"/>
  <c r="L1981" i="1"/>
  <c r="T1980" i="1"/>
  <c r="R1980" i="1"/>
  <c r="L1980" i="1"/>
  <c r="T1979" i="1"/>
  <c r="R1979" i="1"/>
  <c r="L1979" i="1"/>
  <c r="T1978" i="1"/>
  <c r="R1978" i="1"/>
  <c r="L1978" i="1"/>
  <c r="T1977" i="1"/>
  <c r="R1977" i="1"/>
  <c r="L1977" i="1"/>
  <c r="T1976" i="1"/>
  <c r="R1976" i="1"/>
  <c r="L1976" i="1"/>
  <c r="T1975" i="1"/>
  <c r="R1975" i="1"/>
  <c r="L1975" i="1"/>
  <c r="T1974" i="1"/>
  <c r="R1974" i="1"/>
  <c r="L1974" i="1"/>
  <c r="T1973" i="1"/>
  <c r="R1973" i="1"/>
  <c r="L1973" i="1"/>
  <c r="T1972" i="1"/>
  <c r="R1972" i="1"/>
  <c r="L1972" i="1"/>
  <c r="T1971" i="1"/>
  <c r="R1971" i="1"/>
  <c r="L1971" i="1"/>
  <c r="T1970" i="1"/>
  <c r="R1970" i="1"/>
  <c r="L1970" i="1"/>
  <c r="T1969" i="1"/>
  <c r="R1969" i="1"/>
  <c r="L1969" i="1"/>
  <c r="T1968" i="1"/>
  <c r="R1968" i="1"/>
  <c r="L1968" i="1"/>
  <c r="T1967" i="1"/>
  <c r="R1967" i="1"/>
  <c r="L1967" i="1"/>
  <c r="T1966" i="1"/>
  <c r="R1966" i="1"/>
  <c r="L1966" i="1"/>
  <c r="T1965" i="1"/>
  <c r="R1965" i="1"/>
  <c r="L1965" i="1"/>
  <c r="T1964" i="1"/>
  <c r="R1964" i="1"/>
  <c r="L1964" i="1"/>
  <c r="T1963" i="1"/>
  <c r="R1963" i="1"/>
  <c r="L1963" i="1"/>
  <c r="T1962" i="1"/>
  <c r="R1962" i="1"/>
  <c r="L1962" i="1"/>
  <c r="T1961" i="1"/>
  <c r="R1961" i="1"/>
  <c r="L1961" i="1"/>
  <c r="T1960" i="1"/>
  <c r="R1960" i="1"/>
  <c r="L1960" i="1"/>
  <c r="T1959" i="1"/>
  <c r="R1959" i="1"/>
  <c r="L1959" i="1"/>
  <c r="T1958" i="1"/>
  <c r="R1958" i="1"/>
  <c r="L1958" i="1"/>
  <c r="T1957" i="1"/>
  <c r="R1957" i="1"/>
  <c r="L1957" i="1"/>
  <c r="T1956" i="1"/>
  <c r="R1956" i="1"/>
  <c r="L1956" i="1"/>
  <c r="T1955" i="1"/>
  <c r="R1955" i="1"/>
  <c r="L1955" i="1"/>
  <c r="T1954" i="1"/>
  <c r="R1954" i="1"/>
  <c r="L1954" i="1"/>
  <c r="T1953" i="1"/>
  <c r="R1953" i="1"/>
  <c r="L1953" i="1"/>
  <c r="T1952" i="1"/>
  <c r="R1952" i="1"/>
  <c r="L1952" i="1"/>
  <c r="T1951" i="1"/>
  <c r="R1951" i="1"/>
  <c r="L1951" i="1"/>
  <c r="T1950" i="1"/>
  <c r="R1950" i="1"/>
  <c r="L1950" i="1"/>
  <c r="T1949" i="1"/>
  <c r="R1949" i="1"/>
  <c r="L1949" i="1"/>
  <c r="T1948" i="1"/>
  <c r="R1948" i="1"/>
  <c r="L1948" i="1"/>
  <c r="T1947" i="1"/>
  <c r="R1947" i="1"/>
  <c r="L1947" i="1"/>
  <c r="T1946" i="1"/>
  <c r="R1946" i="1"/>
  <c r="L1946" i="1"/>
  <c r="T1945" i="1"/>
  <c r="R1945" i="1"/>
  <c r="L1945" i="1"/>
  <c r="T1944" i="1"/>
  <c r="R1944" i="1"/>
  <c r="L1944" i="1"/>
  <c r="T1943" i="1"/>
  <c r="R1943" i="1"/>
  <c r="L1943" i="1"/>
  <c r="T1942" i="1"/>
  <c r="R1942" i="1"/>
  <c r="L1942" i="1"/>
  <c r="T1941" i="1"/>
  <c r="R1941" i="1"/>
  <c r="L1941" i="1"/>
  <c r="T1940" i="1"/>
  <c r="R1940" i="1"/>
  <c r="L1940" i="1"/>
  <c r="T1939" i="1"/>
  <c r="R1939" i="1"/>
  <c r="L1939" i="1"/>
  <c r="T1938" i="1"/>
  <c r="R1938" i="1"/>
  <c r="L1938" i="1"/>
  <c r="T1937" i="1"/>
  <c r="R1937" i="1"/>
  <c r="L1937" i="1"/>
  <c r="T1936" i="1"/>
  <c r="R1936" i="1"/>
  <c r="L1936" i="1"/>
  <c r="T1935" i="1"/>
  <c r="R1935" i="1"/>
  <c r="L1935" i="1"/>
  <c r="T1934" i="1"/>
  <c r="R1934" i="1"/>
  <c r="L1934" i="1"/>
  <c r="T1933" i="1"/>
  <c r="R1933" i="1"/>
  <c r="L1933" i="1"/>
  <c r="T1932" i="1"/>
  <c r="R1932" i="1"/>
  <c r="L1932" i="1"/>
  <c r="T1931" i="1"/>
  <c r="R1931" i="1"/>
  <c r="L1931" i="1"/>
  <c r="T1930" i="1"/>
  <c r="R1930" i="1"/>
  <c r="L1930" i="1"/>
  <c r="T1929" i="1"/>
  <c r="R1929" i="1"/>
  <c r="L1929" i="1"/>
  <c r="T1928" i="1"/>
  <c r="R1928" i="1"/>
  <c r="L1928" i="1"/>
  <c r="T1927" i="1"/>
  <c r="R1927" i="1"/>
  <c r="L1927" i="1"/>
  <c r="T1926" i="1"/>
  <c r="R1926" i="1"/>
  <c r="L1926" i="1"/>
  <c r="T1925" i="1"/>
  <c r="R1925" i="1"/>
  <c r="L1925" i="1"/>
  <c r="T1924" i="1"/>
  <c r="R1924" i="1"/>
  <c r="L1924" i="1"/>
  <c r="T1923" i="1"/>
  <c r="R1923" i="1"/>
  <c r="L1923" i="1"/>
  <c r="T1922" i="1"/>
  <c r="R1922" i="1"/>
  <c r="L1922" i="1"/>
  <c r="T1921" i="1"/>
  <c r="R1921" i="1"/>
  <c r="L1921" i="1"/>
  <c r="T1920" i="1"/>
  <c r="R1920" i="1"/>
  <c r="L1920" i="1"/>
  <c r="T1919" i="1"/>
  <c r="R1919" i="1"/>
  <c r="L1919" i="1"/>
  <c r="T1918" i="1"/>
  <c r="R1918" i="1"/>
  <c r="K1918" i="1"/>
  <c r="L1918" i="1" s="1"/>
  <c r="T1917" i="1"/>
  <c r="R1917" i="1"/>
  <c r="K1917" i="1"/>
  <c r="L1917" i="1" s="1"/>
  <c r="T1916" i="1"/>
  <c r="R1916" i="1"/>
  <c r="L1916" i="1"/>
  <c r="T1915" i="1"/>
  <c r="R1915" i="1"/>
  <c r="L1915" i="1"/>
  <c r="T1914" i="1"/>
  <c r="R1914" i="1"/>
  <c r="T1913" i="1"/>
  <c r="R1913" i="1"/>
  <c r="L1913" i="1"/>
  <c r="T1912" i="1"/>
  <c r="R1912" i="1"/>
  <c r="L1912" i="1"/>
  <c r="T1911" i="1"/>
  <c r="R1911" i="1"/>
  <c r="K1911" i="1"/>
  <c r="L1911" i="1" s="1"/>
  <c r="T1910" i="1"/>
  <c r="R1910" i="1"/>
  <c r="L1910" i="1"/>
  <c r="T1909" i="1"/>
  <c r="R1909" i="1"/>
  <c r="L1909" i="1"/>
  <c r="T1908" i="1"/>
  <c r="R1908" i="1"/>
  <c r="K1908" i="1"/>
  <c r="L1908" i="1" s="1"/>
  <c r="T1907" i="1"/>
  <c r="R1907" i="1"/>
  <c r="L1907" i="1"/>
  <c r="T1906" i="1"/>
  <c r="R1906" i="1"/>
  <c r="L1906" i="1"/>
  <c r="T1905" i="1"/>
  <c r="R1905" i="1"/>
  <c r="L1905" i="1"/>
  <c r="T1904" i="1"/>
  <c r="R1904" i="1"/>
  <c r="L1904" i="1"/>
  <c r="T1903" i="1"/>
  <c r="R1903" i="1"/>
  <c r="L1903" i="1"/>
  <c r="T1902" i="1"/>
  <c r="R1902" i="1"/>
  <c r="L1902" i="1"/>
  <c r="T1901" i="1"/>
  <c r="R1901" i="1"/>
  <c r="L1901" i="1"/>
  <c r="T1900" i="1"/>
  <c r="R1900" i="1"/>
  <c r="L1900" i="1"/>
  <c r="T1899" i="1"/>
  <c r="R1899" i="1"/>
  <c r="L1899" i="1"/>
  <c r="T1898" i="1"/>
  <c r="R1898" i="1"/>
  <c r="L1898" i="1"/>
  <c r="T1897" i="1"/>
  <c r="R1897" i="1"/>
  <c r="L1897" i="1"/>
  <c r="T1896" i="1"/>
  <c r="R1896" i="1"/>
  <c r="L1896" i="1"/>
  <c r="T1895" i="1"/>
  <c r="R1895" i="1"/>
  <c r="L1895" i="1"/>
  <c r="T1894" i="1"/>
  <c r="R1894" i="1"/>
  <c r="L1894" i="1"/>
  <c r="T1893" i="1"/>
  <c r="R1893" i="1"/>
  <c r="L1893" i="1"/>
  <c r="T1892" i="1"/>
  <c r="R1892" i="1"/>
  <c r="L1892" i="1"/>
  <c r="T1891" i="1"/>
  <c r="R1891" i="1"/>
  <c r="L1891" i="1"/>
  <c r="T1890" i="1"/>
  <c r="R1890" i="1"/>
  <c r="L1890" i="1"/>
  <c r="T1889" i="1"/>
  <c r="R1889" i="1"/>
  <c r="L1889" i="1"/>
  <c r="T1888" i="1"/>
  <c r="R1888" i="1"/>
  <c r="L1888" i="1"/>
  <c r="T1887" i="1"/>
  <c r="R1887" i="1"/>
  <c r="L1887" i="1"/>
  <c r="T1886" i="1"/>
  <c r="R1886" i="1"/>
  <c r="L1886" i="1"/>
  <c r="T1885" i="1"/>
  <c r="R1885" i="1"/>
  <c r="L1885" i="1"/>
  <c r="T1884" i="1"/>
  <c r="R1884" i="1"/>
  <c r="L1884" i="1"/>
  <c r="T1883" i="1"/>
  <c r="R1883" i="1"/>
  <c r="L1883" i="1"/>
  <c r="T1882" i="1"/>
  <c r="R1882" i="1"/>
  <c r="L1882" i="1"/>
  <c r="T1881" i="1"/>
  <c r="R1881" i="1"/>
  <c r="K1881" i="1"/>
  <c r="L1881" i="1" s="1"/>
  <c r="T1880" i="1"/>
  <c r="R1880" i="1"/>
  <c r="L1880" i="1"/>
  <c r="T1879" i="1"/>
  <c r="R1879" i="1"/>
  <c r="K1879" i="1"/>
  <c r="L1879" i="1" s="1"/>
  <c r="T1878" i="1"/>
  <c r="R1878" i="1"/>
  <c r="L1878" i="1"/>
  <c r="T1877" i="1"/>
  <c r="R1877" i="1"/>
  <c r="L1877" i="1"/>
  <c r="T1876" i="1"/>
  <c r="R1876" i="1"/>
  <c r="L1876" i="1"/>
  <c r="T1875" i="1"/>
  <c r="R1875" i="1"/>
  <c r="L1875" i="1"/>
  <c r="T1874" i="1"/>
  <c r="R1874" i="1"/>
  <c r="L1874" i="1"/>
  <c r="T1873" i="1"/>
  <c r="R1873" i="1"/>
  <c r="L1873" i="1"/>
  <c r="T1872" i="1"/>
  <c r="R1872" i="1"/>
  <c r="L1872" i="1"/>
  <c r="T1871" i="1"/>
  <c r="R1871" i="1"/>
  <c r="L1871" i="1"/>
  <c r="T1870" i="1"/>
  <c r="R1870" i="1"/>
  <c r="L1870" i="1"/>
  <c r="T1869" i="1"/>
  <c r="R1869" i="1"/>
  <c r="L1869" i="1"/>
  <c r="T1868" i="1"/>
  <c r="R1868" i="1"/>
  <c r="L1868" i="1"/>
  <c r="T1867" i="1"/>
  <c r="R1867" i="1"/>
  <c r="L1867" i="1"/>
  <c r="T1866" i="1"/>
  <c r="R1866" i="1"/>
  <c r="L1866" i="1"/>
  <c r="T1865" i="1"/>
  <c r="R1865" i="1"/>
  <c r="L1865" i="1"/>
  <c r="T1864" i="1"/>
  <c r="R1864" i="1"/>
  <c r="L1864" i="1"/>
  <c r="T1863" i="1"/>
  <c r="R1863" i="1"/>
  <c r="L1863" i="1"/>
  <c r="T1862" i="1"/>
  <c r="R1862" i="1"/>
  <c r="L1862" i="1"/>
  <c r="T1861" i="1"/>
  <c r="R1861" i="1"/>
  <c r="L1861" i="1"/>
  <c r="T1860" i="1"/>
  <c r="R1860" i="1"/>
  <c r="L1860" i="1"/>
  <c r="T1859" i="1"/>
  <c r="R1859" i="1"/>
  <c r="L1859" i="1"/>
  <c r="T1858" i="1"/>
  <c r="R1858" i="1"/>
  <c r="L1858" i="1"/>
  <c r="T1857" i="1"/>
  <c r="R1857" i="1"/>
  <c r="L1857" i="1"/>
  <c r="T1856" i="1"/>
  <c r="R1856" i="1"/>
  <c r="L1856" i="1"/>
  <c r="T1855" i="1"/>
  <c r="R1855" i="1"/>
  <c r="L1855" i="1"/>
  <c r="T1854" i="1"/>
  <c r="R1854" i="1"/>
  <c r="L1854" i="1"/>
  <c r="T1853" i="1"/>
  <c r="R1853" i="1"/>
  <c r="L1853" i="1"/>
  <c r="T1852" i="1"/>
  <c r="R1852" i="1"/>
  <c r="L1852" i="1"/>
  <c r="T1851" i="1"/>
  <c r="R1851" i="1"/>
  <c r="L1851" i="1"/>
  <c r="T1850" i="1"/>
  <c r="R1850" i="1"/>
  <c r="L1850" i="1"/>
  <c r="T1849" i="1"/>
  <c r="R1849" i="1"/>
  <c r="L1849" i="1"/>
  <c r="T1848" i="1"/>
  <c r="R1848" i="1"/>
  <c r="L1848" i="1"/>
  <c r="T1847" i="1"/>
  <c r="R1847" i="1"/>
  <c r="L1847" i="1"/>
  <c r="T1846" i="1"/>
  <c r="R1846" i="1"/>
  <c r="L1846" i="1"/>
  <c r="T1845" i="1"/>
  <c r="R1845" i="1"/>
  <c r="L1845" i="1"/>
  <c r="T1844" i="1"/>
  <c r="R1844" i="1"/>
  <c r="L1844" i="1"/>
  <c r="T1843" i="1"/>
  <c r="R1843" i="1"/>
  <c r="L1843" i="1"/>
  <c r="T1842" i="1"/>
  <c r="R1842" i="1"/>
  <c r="L1842" i="1"/>
  <c r="T1841" i="1"/>
  <c r="R1841" i="1"/>
  <c r="L1841" i="1"/>
  <c r="T1840" i="1"/>
  <c r="R1840" i="1"/>
  <c r="L1840" i="1"/>
  <c r="T1839" i="1"/>
  <c r="R1839" i="1"/>
  <c r="L1839" i="1"/>
  <c r="T1838" i="1"/>
  <c r="R1838" i="1"/>
  <c r="L1838" i="1"/>
  <c r="T1837" i="1"/>
  <c r="R1837" i="1"/>
  <c r="L1837" i="1"/>
  <c r="T1836" i="1"/>
  <c r="R1836" i="1"/>
  <c r="L1836" i="1"/>
  <c r="T1835" i="1"/>
  <c r="R1835" i="1"/>
  <c r="L1835" i="1"/>
  <c r="T1834" i="1"/>
  <c r="R1834" i="1"/>
  <c r="L1834" i="1"/>
  <c r="T1833" i="1"/>
  <c r="R1833" i="1"/>
  <c r="L1833" i="1"/>
  <c r="T1832" i="1"/>
  <c r="R1832" i="1"/>
  <c r="L1832" i="1"/>
  <c r="T1831" i="1"/>
  <c r="R1831" i="1"/>
  <c r="L1831" i="1"/>
  <c r="T1830" i="1"/>
  <c r="R1830" i="1"/>
  <c r="L1830" i="1"/>
  <c r="T1829" i="1"/>
  <c r="R1829" i="1"/>
  <c r="L1829" i="1"/>
  <c r="T1828" i="1"/>
  <c r="R1828" i="1"/>
  <c r="L1828" i="1"/>
  <c r="T1827" i="1"/>
  <c r="R1827" i="1"/>
  <c r="L1827" i="1"/>
  <c r="T1826" i="1"/>
  <c r="R1826" i="1"/>
  <c r="L1826" i="1"/>
  <c r="T1825" i="1"/>
  <c r="R1825" i="1"/>
  <c r="L1825" i="1"/>
  <c r="T1824" i="1"/>
  <c r="R1824" i="1"/>
  <c r="L1824" i="1"/>
  <c r="T1823" i="1"/>
  <c r="R1823" i="1"/>
  <c r="L1823" i="1"/>
  <c r="T1822" i="1"/>
  <c r="R1822" i="1"/>
  <c r="L1822" i="1"/>
  <c r="T1821" i="1"/>
  <c r="R1821" i="1"/>
  <c r="L1821" i="1"/>
  <c r="T1820" i="1"/>
  <c r="R1820" i="1"/>
  <c r="L1820" i="1"/>
  <c r="T1819" i="1"/>
  <c r="R1819" i="1"/>
  <c r="L1819" i="1"/>
  <c r="T1818" i="1"/>
  <c r="R1818" i="1"/>
  <c r="L1818" i="1"/>
  <c r="T1817" i="1"/>
  <c r="R1817" i="1"/>
  <c r="L1817" i="1"/>
  <c r="T1816" i="1"/>
  <c r="R1816" i="1"/>
  <c r="L1816" i="1"/>
  <c r="T1815" i="1"/>
  <c r="R1815" i="1"/>
  <c r="L1815" i="1"/>
  <c r="T1814" i="1"/>
  <c r="R1814" i="1"/>
  <c r="L1814" i="1"/>
  <c r="T1813" i="1"/>
  <c r="R1813" i="1"/>
  <c r="L1813" i="1"/>
  <c r="T1812" i="1"/>
  <c r="R1812" i="1"/>
  <c r="L1812" i="1"/>
  <c r="T1811" i="1"/>
  <c r="R1811" i="1"/>
  <c r="L1811" i="1"/>
  <c r="T1810" i="1"/>
  <c r="R1810" i="1"/>
  <c r="L1810" i="1"/>
  <c r="T1809" i="1"/>
  <c r="R1809" i="1"/>
  <c r="L1809" i="1"/>
  <c r="T1808" i="1"/>
  <c r="R1808" i="1"/>
  <c r="L1808" i="1"/>
  <c r="T1807" i="1"/>
  <c r="R1807" i="1"/>
  <c r="L1807" i="1"/>
  <c r="T1806" i="1"/>
  <c r="R1806" i="1"/>
  <c r="L1806" i="1"/>
  <c r="T1805" i="1"/>
  <c r="R1805" i="1"/>
  <c r="L1805" i="1"/>
  <c r="T1804" i="1"/>
  <c r="R1804" i="1"/>
  <c r="L1804" i="1"/>
  <c r="T1803" i="1"/>
  <c r="R1803" i="1"/>
  <c r="L1803" i="1"/>
  <c r="T1802" i="1"/>
  <c r="R1802" i="1"/>
  <c r="L1802" i="1"/>
  <c r="T1801" i="1"/>
  <c r="R1801" i="1"/>
  <c r="L1801" i="1"/>
  <c r="T1800" i="1"/>
  <c r="R1800" i="1"/>
  <c r="L1800" i="1"/>
  <c r="T1799" i="1"/>
  <c r="R1799" i="1"/>
  <c r="L1799" i="1"/>
  <c r="T1798" i="1"/>
  <c r="R1798" i="1"/>
  <c r="L1798" i="1"/>
  <c r="T1797" i="1"/>
  <c r="R1797" i="1"/>
  <c r="L1797" i="1"/>
  <c r="T1796" i="1"/>
  <c r="R1796" i="1"/>
  <c r="L1796" i="1"/>
  <c r="T1795" i="1"/>
  <c r="R1795" i="1"/>
  <c r="L1795" i="1"/>
  <c r="T1794" i="1"/>
  <c r="R1794" i="1"/>
  <c r="L1794" i="1"/>
  <c r="T1793" i="1"/>
  <c r="R1793" i="1"/>
  <c r="L1793" i="1"/>
  <c r="T1792" i="1"/>
  <c r="R1792" i="1"/>
  <c r="L1792" i="1"/>
  <c r="T1791" i="1"/>
  <c r="R1791" i="1"/>
  <c r="L1791" i="1"/>
  <c r="T1790" i="1"/>
  <c r="R1790" i="1"/>
  <c r="L1790" i="1"/>
  <c r="T1789" i="1"/>
  <c r="R1789" i="1"/>
  <c r="L1789" i="1"/>
  <c r="T1788" i="1"/>
  <c r="R1788" i="1"/>
  <c r="L1788" i="1"/>
  <c r="T1787" i="1"/>
  <c r="R1787" i="1"/>
  <c r="L1787" i="1"/>
  <c r="T1786" i="1"/>
  <c r="R1786" i="1"/>
  <c r="L1786" i="1"/>
  <c r="T1785" i="1"/>
  <c r="R1785" i="1"/>
  <c r="L1785" i="1"/>
  <c r="T1784" i="1"/>
  <c r="R1784" i="1"/>
  <c r="L1784" i="1"/>
  <c r="T1783" i="1"/>
  <c r="R1783" i="1"/>
  <c r="L1783" i="1"/>
  <c r="T1782" i="1"/>
  <c r="R1782" i="1"/>
  <c r="L1782" i="1"/>
  <c r="T1781" i="1"/>
  <c r="R1781" i="1"/>
  <c r="L1781" i="1"/>
  <c r="T1780" i="1"/>
  <c r="R1780" i="1"/>
  <c r="L1780" i="1"/>
  <c r="T1779" i="1"/>
  <c r="R1779" i="1"/>
  <c r="L1779" i="1"/>
  <c r="T1778" i="1"/>
  <c r="R1778" i="1"/>
  <c r="L1778" i="1"/>
  <c r="T1777" i="1"/>
  <c r="R1777" i="1"/>
  <c r="L1777" i="1"/>
  <c r="T1776" i="1"/>
  <c r="R1776" i="1"/>
  <c r="K1776" i="1"/>
  <c r="L1776" i="1" s="1"/>
  <c r="T1775" i="1"/>
  <c r="R1775" i="1"/>
  <c r="L1775" i="1"/>
  <c r="T1774" i="1"/>
  <c r="R1774" i="1"/>
  <c r="L1774" i="1"/>
  <c r="T1773" i="1"/>
  <c r="R1773" i="1"/>
  <c r="L1773" i="1"/>
  <c r="T1772" i="1"/>
  <c r="R1772" i="1"/>
  <c r="L1772" i="1"/>
  <c r="T1771" i="1"/>
  <c r="R1771" i="1"/>
  <c r="L1771" i="1"/>
  <c r="T1770" i="1"/>
  <c r="R1770" i="1"/>
  <c r="L1770" i="1"/>
  <c r="T1769" i="1"/>
  <c r="R1769" i="1"/>
  <c r="L1769" i="1"/>
  <c r="T1768" i="1"/>
  <c r="R1768" i="1"/>
  <c r="L1768" i="1"/>
  <c r="T1767" i="1"/>
  <c r="R1767" i="1"/>
  <c r="L1767" i="1"/>
  <c r="T1766" i="1"/>
  <c r="R1766" i="1"/>
  <c r="L1766" i="1"/>
  <c r="T1765" i="1"/>
  <c r="R1765" i="1"/>
  <c r="L1765" i="1"/>
  <c r="T1764" i="1"/>
  <c r="R1764" i="1"/>
  <c r="L1764" i="1"/>
  <c r="T1763" i="1"/>
  <c r="R1763" i="1"/>
  <c r="K1763" i="1"/>
  <c r="L1763" i="1" s="1"/>
  <c r="T1762" i="1"/>
  <c r="R1762" i="1"/>
  <c r="L1762" i="1"/>
  <c r="T1761" i="1"/>
  <c r="R1761" i="1"/>
  <c r="L1761" i="1"/>
  <c r="T1760" i="1"/>
  <c r="R1760" i="1"/>
  <c r="L1760" i="1"/>
  <c r="T1759" i="1"/>
  <c r="R1759" i="1"/>
  <c r="L1759" i="1"/>
  <c r="T1758" i="1"/>
  <c r="R1758" i="1"/>
  <c r="L1758" i="1"/>
  <c r="T1757" i="1"/>
  <c r="R1757" i="1"/>
  <c r="L1757" i="1"/>
  <c r="T1756" i="1"/>
  <c r="R1756" i="1"/>
  <c r="L1756" i="1"/>
  <c r="T1755" i="1"/>
  <c r="R1755" i="1"/>
  <c r="L1755" i="1"/>
  <c r="T1754" i="1"/>
  <c r="R1754" i="1"/>
  <c r="L1754" i="1"/>
  <c r="T1753" i="1"/>
  <c r="R1753" i="1"/>
  <c r="L1753" i="1"/>
  <c r="T1752" i="1"/>
  <c r="R1752" i="1"/>
  <c r="L1752" i="1"/>
  <c r="T1751" i="1"/>
  <c r="R1751" i="1"/>
  <c r="L1751" i="1"/>
  <c r="T1750" i="1"/>
  <c r="R1750" i="1"/>
  <c r="L1750" i="1"/>
  <c r="T1749" i="1"/>
  <c r="R1749" i="1"/>
  <c r="L1749" i="1"/>
  <c r="T1748" i="1"/>
  <c r="R1748" i="1"/>
  <c r="L1748" i="1"/>
  <c r="T1747" i="1"/>
  <c r="R1747" i="1"/>
  <c r="L1747" i="1"/>
  <c r="T1746" i="1"/>
  <c r="R1746" i="1"/>
  <c r="L1746" i="1"/>
  <c r="T1745" i="1"/>
  <c r="R1745" i="1"/>
  <c r="L1745" i="1"/>
  <c r="T1744" i="1"/>
  <c r="R1744" i="1"/>
  <c r="L1744" i="1"/>
  <c r="T1743" i="1"/>
  <c r="R1743" i="1"/>
  <c r="L1743" i="1"/>
  <c r="T1742" i="1"/>
  <c r="R1742" i="1"/>
  <c r="L1742" i="1"/>
  <c r="T1741" i="1"/>
  <c r="R1741" i="1"/>
  <c r="L1741" i="1"/>
  <c r="T1740" i="1"/>
  <c r="R1740" i="1"/>
  <c r="K1740" i="1"/>
  <c r="L1740" i="1" s="1"/>
  <c r="T1739" i="1"/>
  <c r="R1739" i="1"/>
  <c r="L1739" i="1"/>
  <c r="T1738" i="1"/>
  <c r="R1738" i="1"/>
  <c r="L1738" i="1"/>
  <c r="T1737" i="1"/>
  <c r="R1737" i="1"/>
  <c r="L1737" i="1"/>
  <c r="T1736" i="1"/>
  <c r="R1736" i="1"/>
  <c r="L1736" i="1"/>
  <c r="T1735" i="1"/>
  <c r="R1735" i="1"/>
  <c r="L1735" i="1"/>
  <c r="T1734" i="1"/>
  <c r="R1734" i="1"/>
  <c r="L1734" i="1"/>
  <c r="T1733" i="1"/>
  <c r="R1733" i="1"/>
  <c r="L1733" i="1"/>
  <c r="T1732" i="1"/>
  <c r="R1732" i="1"/>
  <c r="L1732" i="1"/>
  <c r="T1731" i="1"/>
  <c r="R1731" i="1"/>
  <c r="L1731" i="1"/>
  <c r="T1730" i="1"/>
  <c r="R1730" i="1"/>
  <c r="L1730" i="1"/>
  <c r="T1729" i="1"/>
  <c r="R1729" i="1"/>
  <c r="L1729" i="1"/>
  <c r="T1728" i="1"/>
  <c r="R1728" i="1"/>
  <c r="K1728" i="1"/>
  <c r="L1728" i="1" s="1"/>
  <c r="T1727" i="1"/>
  <c r="R1727" i="1"/>
  <c r="L1727" i="1"/>
  <c r="T1726" i="1"/>
  <c r="R1726" i="1"/>
  <c r="L1726" i="1"/>
  <c r="T1725" i="1"/>
  <c r="R1725" i="1"/>
  <c r="L1725" i="1"/>
  <c r="T1724" i="1"/>
  <c r="R1724" i="1"/>
  <c r="L1724" i="1"/>
  <c r="T1723" i="1"/>
  <c r="R1723" i="1"/>
  <c r="L1723" i="1"/>
  <c r="T1722" i="1"/>
  <c r="R1722" i="1"/>
  <c r="L1722" i="1"/>
  <c r="T1721" i="1"/>
  <c r="R1721" i="1"/>
  <c r="L1721" i="1"/>
  <c r="R1720" i="1"/>
  <c r="L1720" i="1"/>
  <c r="R1719" i="1"/>
  <c r="L1719" i="1"/>
  <c r="R1718" i="1"/>
  <c r="L1718" i="1"/>
  <c r="R1717" i="1"/>
  <c r="L1717" i="1"/>
  <c r="R1716" i="1"/>
  <c r="K1716" i="1"/>
  <c r="L1716" i="1" s="1"/>
  <c r="R1715" i="1"/>
  <c r="L1715" i="1"/>
  <c r="R1714" i="1"/>
  <c r="L1714" i="1"/>
  <c r="R1713" i="1"/>
  <c r="L1713" i="1"/>
  <c r="R1712" i="1"/>
  <c r="K1712" i="1"/>
  <c r="L1712" i="1" s="1"/>
  <c r="R1711" i="1"/>
  <c r="L1711" i="1"/>
  <c r="R1710" i="1"/>
  <c r="L1710" i="1"/>
  <c r="R1709" i="1"/>
  <c r="L1709" i="1"/>
  <c r="R1708" i="1"/>
  <c r="L1708" i="1"/>
  <c r="R1707" i="1"/>
  <c r="L1707" i="1"/>
  <c r="R1706" i="1"/>
  <c r="L1706" i="1"/>
  <c r="R1705" i="1"/>
  <c r="L1705" i="1"/>
  <c r="G1705" i="1"/>
  <c r="T1705" i="1" s="1"/>
  <c r="R1704" i="1"/>
  <c r="L1704" i="1"/>
  <c r="G1704" i="1"/>
  <c r="T1704" i="1" s="1"/>
  <c r="T1703" i="1"/>
  <c r="R1703" i="1"/>
  <c r="L1703" i="1"/>
  <c r="T1702" i="1"/>
  <c r="R1702" i="1"/>
  <c r="K1702" i="1"/>
  <c r="L1702" i="1" s="1"/>
  <c r="T1701" i="1"/>
  <c r="R1701" i="1"/>
  <c r="L1701" i="1"/>
  <c r="T1700" i="1"/>
  <c r="R1700" i="1"/>
  <c r="L1700" i="1"/>
  <c r="T1699" i="1"/>
  <c r="R1699" i="1"/>
  <c r="L1699" i="1"/>
  <c r="T1698" i="1"/>
  <c r="R1698" i="1"/>
  <c r="L1698" i="1"/>
  <c r="T1697" i="1"/>
  <c r="R1697" i="1"/>
  <c r="L1697" i="1"/>
  <c r="T1696" i="1"/>
  <c r="R1696" i="1"/>
  <c r="L1696" i="1"/>
  <c r="T1695" i="1"/>
  <c r="R1695" i="1"/>
  <c r="L1695" i="1"/>
  <c r="T1694" i="1"/>
  <c r="R1694" i="1"/>
  <c r="L1694" i="1"/>
  <c r="T1693" i="1"/>
  <c r="R1693" i="1"/>
  <c r="L1693" i="1"/>
  <c r="T1692" i="1"/>
  <c r="R1692" i="1"/>
  <c r="L1692" i="1"/>
  <c r="T1691" i="1"/>
  <c r="R1691" i="1"/>
  <c r="L1691" i="1"/>
  <c r="T1690" i="1"/>
  <c r="R1690" i="1"/>
  <c r="L1690" i="1"/>
  <c r="T1689" i="1"/>
  <c r="R1689" i="1"/>
  <c r="L1689" i="1"/>
  <c r="R1688" i="1"/>
  <c r="L1688" i="1"/>
  <c r="T1687" i="1"/>
  <c r="R1687" i="1"/>
  <c r="L1687" i="1"/>
  <c r="T1686" i="1"/>
  <c r="R1686" i="1"/>
  <c r="L1686" i="1"/>
  <c r="T1685" i="1"/>
  <c r="R1685" i="1"/>
  <c r="L1685" i="1"/>
  <c r="T1684" i="1"/>
  <c r="R1684" i="1"/>
  <c r="L1684" i="1"/>
  <c r="T1683" i="1"/>
  <c r="R1683" i="1"/>
  <c r="L1683" i="1"/>
  <c r="T1682" i="1"/>
  <c r="R1682" i="1"/>
  <c r="L1682" i="1"/>
  <c r="R1681" i="1"/>
  <c r="L1681" i="1"/>
  <c r="T1680" i="1"/>
  <c r="R1680" i="1"/>
  <c r="L1680" i="1"/>
  <c r="T1679" i="1"/>
  <c r="R1679" i="1"/>
  <c r="T1678" i="1"/>
  <c r="R1678" i="1"/>
  <c r="L1678" i="1"/>
  <c r="T1677" i="1"/>
  <c r="R1677" i="1"/>
  <c r="L1677" i="1"/>
  <c r="T1676" i="1"/>
  <c r="R1676" i="1"/>
  <c r="L1676" i="1"/>
  <c r="T1675" i="1"/>
  <c r="R1675" i="1"/>
  <c r="L1675" i="1"/>
  <c r="T1674" i="1"/>
  <c r="R1674" i="1"/>
  <c r="L1674" i="1"/>
  <c r="T1673" i="1"/>
  <c r="R1673" i="1"/>
  <c r="L1673" i="1"/>
  <c r="T1672" i="1"/>
  <c r="R1672" i="1"/>
  <c r="L1672" i="1"/>
  <c r="T1671" i="1"/>
  <c r="R1671" i="1"/>
  <c r="L1671" i="1"/>
  <c r="T1670" i="1"/>
  <c r="R1670" i="1"/>
  <c r="L1670" i="1"/>
  <c r="T1669" i="1"/>
  <c r="R1669" i="1"/>
  <c r="L1669" i="1"/>
  <c r="T1668" i="1"/>
  <c r="R1668" i="1"/>
  <c r="L1668" i="1"/>
  <c r="T1667" i="1"/>
  <c r="R1667" i="1"/>
  <c r="K1667" i="1"/>
  <c r="L1667" i="1" s="1"/>
  <c r="T1666" i="1"/>
  <c r="R1666" i="1"/>
  <c r="L1666" i="1"/>
  <c r="T1665" i="1"/>
  <c r="R1665" i="1"/>
  <c r="L1665" i="1"/>
  <c r="T1664" i="1"/>
  <c r="R1664" i="1"/>
  <c r="L1664" i="1"/>
  <c r="T1663" i="1"/>
  <c r="R1663" i="1"/>
  <c r="L1663" i="1"/>
  <c r="T1662" i="1"/>
  <c r="R1662" i="1"/>
  <c r="L1662" i="1"/>
  <c r="T1661" i="1"/>
  <c r="R1661" i="1"/>
  <c r="L1661" i="1"/>
  <c r="T1660" i="1"/>
  <c r="R1660" i="1"/>
  <c r="L1660" i="1"/>
  <c r="T1659" i="1"/>
  <c r="R1659" i="1"/>
  <c r="L1659" i="1"/>
  <c r="T1658" i="1"/>
  <c r="R1658" i="1"/>
  <c r="K1658" i="1"/>
  <c r="L1658" i="1" s="1"/>
  <c r="T1657" i="1"/>
  <c r="R1657" i="1"/>
  <c r="L1657" i="1"/>
  <c r="T1656" i="1"/>
  <c r="R1656" i="1"/>
  <c r="L1656" i="1"/>
  <c r="T1655" i="1"/>
  <c r="R1655" i="1"/>
  <c r="L1655" i="1"/>
  <c r="R1654" i="1"/>
  <c r="L1654" i="1"/>
  <c r="R1653" i="1"/>
  <c r="L1653" i="1"/>
  <c r="T1652" i="1"/>
  <c r="R1652" i="1"/>
  <c r="K1652" i="1"/>
  <c r="L1652" i="1" s="1"/>
  <c r="R1651" i="1"/>
  <c r="L1651" i="1"/>
  <c r="R1650" i="1"/>
  <c r="L1650" i="1"/>
  <c r="R1649" i="1"/>
  <c r="L1649" i="1"/>
  <c r="T1648" i="1"/>
  <c r="R1648" i="1"/>
  <c r="L1648" i="1"/>
  <c r="T1647" i="1"/>
  <c r="R1647" i="1"/>
  <c r="L1647" i="1"/>
  <c r="T1646" i="1"/>
  <c r="R1646" i="1"/>
  <c r="L1646" i="1"/>
  <c r="T1645" i="1"/>
  <c r="R1645" i="1"/>
  <c r="L1645" i="1"/>
  <c r="R1644" i="1"/>
  <c r="O1644" i="1"/>
  <c r="L1644" i="1"/>
  <c r="R1643" i="1"/>
  <c r="O1643" i="1"/>
  <c r="L1643" i="1"/>
  <c r="T1642" i="1"/>
  <c r="R1642" i="1"/>
  <c r="L1642" i="1"/>
  <c r="R1641" i="1"/>
  <c r="L1641" i="1"/>
  <c r="R1640" i="1"/>
  <c r="L1640" i="1"/>
  <c r="R1639" i="1"/>
  <c r="L1639" i="1"/>
  <c r="R1638" i="1"/>
  <c r="L1638" i="1"/>
  <c r="R1637" i="1"/>
  <c r="L1637" i="1"/>
  <c r="R1636" i="1"/>
  <c r="L1636" i="1"/>
  <c r="R1635" i="1"/>
  <c r="K1635" i="1"/>
  <c r="L1635" i="1" s="1"/>
  <c r="G1635" i="1"/>
  <c r="T1635" i="1" s="1"/>
  <c r="R1634" i="1"/>
  <c r="K1634" i="1"/>
  <c r="L1634" i="1" s="1"/>
  <c r="G1634" i="1"/>
  <c r="T1634" i="1" s="1"/>
  <c r="R1633" i="1"/>
  <c r="L1633" i="1"/>
  <c r="G1633" i="1"/>
  <c r="T1633" i="1" s="1"/>
  <c r="R1632" i="1"/>
  <c r="K1632" i="1"/>
  <c r="L1632" i="1" s="1"/>
  <c r="G1632" i="1"/>
  <c r="T1632" i="1" s="1"/>
  <c r="R1631" i="1"/>
  <c r="L1631" i="1"/>
  <c r="G1631" i="1"/>
  <c r="T1631" i="1" s="1"/>
  <c r="T1630" i="1"/>
  <c r="R1630" i="1"/>
  <c r="L1630" i="1"/>
  <c r="T1629" i="1"/>
  <c r="R1629" i="1"/>
  <c r="L1629" i="1"/>
  <c r="T1628" i="1"/>
  <c r="R1628" i="1"/>
  <c r="K1628" i="1"/>
  <c r="L1628" i="1" s="1"/>
  <c r="T1627" i="1"/>
  <c r="R1627" i="1"/>
  <c r="K1627" i="1"/>
  <c r="L1627" i="1" s="1"/>
  <c r="T1626" i="1"/>
  <c r="R1626" i="1"/>
  <c r="K1626" i="1"/>
  <c r="L1626" i="1" s="1"/>
  <c r="T1625" i="1"/>
  <c r="R1625" i="1"/>
  <c r="K1625" i="1"/>
  <c r="L1625" i="1" s="1"/>
  <c r="T1624" i="1"/>
  <c r="R1624" i="1"/>
  <c r="L1624" i="1"/>
  <c r="T1623" i="1"/>
  <c r="R1623" i="1"/>
  <c r="L1623" i="1"/>
  <c r="R1622" i="1"/>
  <c r="L1622" i="1"/>
  <c r="T1621" i="1"/>
  <c r="R1621" i="1"/>
  <c r="L1621" i="1"/>
  <c r="R1620" i="1"/>
  <c r="L1620" i="1"/>
  <c r="T1619" i="1"/>
  <c r="R1619" i="1"/>
  <c r="K1619" i="1"/>
  <c r="L1619" i="1" s="1"/>
  <c r="T1618" i="1"/>
  <c r="R1618" i="1"/>
  <c r="L1618" i="1"/>
  <c r="T1617" i="1"/>
  <c r="R1617" i="1"/>
  <c r="L1617" i="1"/>
  <c r="T1616" i="1"/>
  <c r="R1616" i="1"/>
  <c r="L1616" i="1"/>
  <c r="T1615" i="1"/>
  <c r="R1615" i="1"/>
  <c r="L1615" i="1"/>
  <c r="T1614" i="1"/>
  <c r="R1614" i="1"/>
  <c r="L1614" i="1"/>
  <c r="T1613" i="1"/>
  <c r="R1613" i="1"/>
  <c r="L1613" i="1"/>
  <c r="T1612" i="1"/>
  <c r="R1612" i="1"/>
  <c r="L1612" i="1"/>
  <c r="T1611" i="1"/>
  <c r="R1611" i="1"/>
  <c r="L1611" i="1"/>
  <c r="T1610" i="1"/>
  <c r="R1610" i="1"/>
  <c r="L1610" i="1"/>
  <c r="T1609" i="1"/>
  <c r="R1609" i="1"/>
  <c r="L1609" i="1"/>
  <c r="T1608" i="1"/>
  <c r="R1608" i="1"/>
  <c r="L1608" i="1"/>
  <c r="T1607" i="1"/>
  <c r="R1607" i="1"/>
  <c r="L1607" i="1"/>
  <c r="R1606" i="1"/>
  <c r="L1606" i="1"/>
  <c r="R1605" i="1"/>
  <c r="L1605" i="1"/>
  <c r="R1604" i="1"/>
  <c r="O1604" i="1"/>
  <c r="L1604" i="1"/>
  <c r="T1603" i="1"/>
  <c r="R1603" i="1"/>
  <c r="L1603" i="1"/>
  <c r="R1602" i="1"/>
  <c r="L1602" i="1"/>
  <c r="R1601" i="1"/>
  <c r="L1601" i="1"/>
  <c r="R1600" i="1"/>
  <c r="L1600" i="1"/>
  <c r="R1599" i="1"/>
  <c r="L1599" i="1"/>
  <c r="R1598" i="1"/>
  <c r="K1598" i="1"/>
  <c r="L1598" i="1" s="1"/>
  <c r="R1597" i="1"/>
  <c r="L1597" i="1"/>
  <c r="T1596" i="1"/>
  <c r="R1596" i="1"/>
  <c r="L1596" i="1"/>
  <c r="T1595" i="1"/>
  <c r="R1595" i="1"/>
  <c r="L1595" i="1"/>
  <c r="T1594" i="1"/>
  <c r="R1594" i="1"/>
  <c r="L1594" i="1"/>
  <c r="T1593" i="1"/>
  <c r="R1593" i="1"/>
  <c r="K1593" i="1"/>
  <c r="L1593" i="1" s="1"/>
  <c r="T1592" i="1"/>
  <c r="R1592" i="1"/>
  <c r="K1592" i="1"/>
  <c r="L1592" i="1" s="1"/>
  <c r="T1591" i="1"/>
  <c r="R1591" i="1"/>
  <c r="K1591" i="1"/>
  <c r="L1591" i="1" s="1"/>
  <c r="T1590" i="1"/>
  <c r="R1590" i="1"/>
  <c r="K1590" i="1"/>
  <c r="L1590" i="1" s="1"/>
  <c r="T1589" i="1"/>
  <c r="R1589" i="1"/>
  <c r="K1589" i="1"/>
  <c r="L1589" i="1" s="1"/>
  <c r="T1588" i="1"/>
  <c r="R1588" i="1"/>
  <c r="K1588" i="1"/>
  <c r="L1588" i="1" s="1"/>
  <c r="T1587" i="1"/>
  <c r="R1587" i="1"/>
  <c r="K1587" i="1"/>
  <c r="L1587" i="1" s="1"/>
  <c r="T1586" i="1"/>
  <c r="R1586" i="1"/>
  <c r="K1586" i="1"/>
  <c r="L1586" i="1" s="1"/>
  <c r="T1585" i="1"/>
  <c r="R1585" i="1"/>
  <c r="K1585" i="1"/>
  <c r="L1585" i="1" s="1"/>
  <c r="T1584" i="1"/>
  <c r="R1584" i="1"/>
  <c r="K1584" i="1"/>
  <c r="L1584" i="1" s="1"/>
  <c r="T1583" i="1"/>
  <c r="R1583" i="1"/>
  <c r="K1583" i="1"/>
  <c r="L1583" i="1" s="1"/>
  <c r="T1582" i="1"/>
  <c r="R1582" i="1"/>
  <c r="K1582" i="1"/>
  <c r="L1582" i="1" s="1"/>
  <c r="T1581" i="1"/>
  <c r="R1581" i="1"/>
  <c r="K1581" i="1"/>
  <c r="L1581" i="1" s="1"/>
  <c r="T1580" i="1"/>
  <c r="R1580" i="1"/>
  <c r="K1580" i="1"/>
  <c r="L1580" i="1" s="1"/>
  <c r="T1579" i="1"/>
  <c r="R1579" i="1"/>
  <c r="K1579" i="1"/>
  <c r="L1579" i="1" s="1"/>
  <c r="T1578" i="1"/>
  <c r="R1578" i="1"/>
  <c r="K1578" i="1"/>
  <c r="L1578" i="1" s="1"/>
  <c r="R1577" i="1"/>
  <c r="O1577" i="1"/>
  <c r="L1577" i="1"/>
  <c r="T1576" i="1"/>
  <c r="R1576" i="1"/>
  <c r="L1576" i="1"/>
  <c r="T1575" i="1"/>
  <c r="R1575" i="1"/>
  <c r="L1575" i="1"/>
  <c r="T1574" i="1"/>
  <c r="R1574" i="1"/>
  <c r="L1574" i="1"/>
  <c r="T1573" i="1"/>
  <c r="R1573" i="1"/>
  <c r="L1573" i="1"/>
  <c r="T1572" i="1"/>
  <c r="R1572" i="1"/>
  <c r="L1572" i="1"/>
  <c r="T1571" i="1"/>
  <c r="R1571" i="1"/>
  <c r="L1571" i="1"/>
  <c r="T1570" i="1"/>
  <c r="R1570" i="1"/>
  <c r="L1570" i="1"/>
  <c r="T1569" i="1"/>
  <c r="R1569" i="1"/>
  <c r="L1569" i="1"/>
  <c r="T1568" i="1"/>
  <c r="R1568" i="1"/>
  <c r="L1568" i="1"/>
  <c r="T1567" i="1"/>
  <c r="R1567" i="1"/>
  <c r="L1567" i="1"/>
  <c r="T1566" i="1"/>
  <c r="R1566" i="1"/>
  <c r="L1566" i="1"/>
  <c r="R1565" i="1"/>
  <c r="L1565" i="1"/>
  <c r="T1564" i="1"/>
  <c r="R1564" i="1"/>
  <c r="K1564" i="1"/>
  <c r="L1564" i="1" s="1"/>
  <c r="R1563" i="1"/>
  <c r="L1563" i="1"/>
  <c r="R1562" i="1"/>
  <c r="L1562" i="1"/>
  <c r="R1561" i="1"/>
  <c r="L1561" i="1"/>
  <c r="R1560" i="1"/>
  <c r="L1560" i="1"/>
  <c r="R1559" i="1"/>
  <c r="K1559" i="1"/>
  <c r="L1559" i="1" s="1"/>
  <c r="R1558" i="1"/>
  <c r="K1558" i="1"/>
  <c r="L1558" i="1" s="1"/>
  <c r="R1557" i="1"/>
  <c r="L1557" i="1"/>
  <c r="R1556" i="1"/>
  <c r="L1556" i="1"/>
  <c r="R1555" i="1"/>
  <c r="L1555" i="1"/>
  <c r="R1554" i="1"/>
  <c r="L1554" i="1"/>
  <c r="R1553" i="1"/>
  <c r="L1553" i="1"/>
  <c r="R1552" i="1"/>
  <c r="L1552" i="1"/>
  <c r="R1551" i="1"/>
  <c r="L1551" i="1"/>
  <c r="R1550" i="1"/>
  <c r="L1550" i="1"/>
  <c r="R1549" i="1"/>
  <c r="L1549" i="1"/>
  <c r="R1548" i="1"/>
  <c r="L1548" i="1"/>
  <c r="R1547" i="1"/>
  <c r="L1547" i="1"/>
  <c r="R1546" i="1"/>
  <c r="L1546" i="1"/>
  <c r="R1545" i="1"/>
  <c r="L1545" i="1"/>
  <c r="R1544" i="1"/>
  <c r="L1544" i="1"/>
  <c r="R1543" i="1"/>
  <c r="L1543" i="1"/>
  <c r="T1542" i="1"/>
  <c r="R1542" i="1"/>
  <c r="L1542" i="1"/>
  <c r="R1541" i="1"/>
  <c r="O1541" i="1"/>
  <c r="L1541" i="1"/>
  <c r="R1540" i="1"/>
  <c r="L1540" i="1"/>
  <c r="R1539" i="1"/>
  <c r="L1539" i="1"/>
  <c r="R1538" i="1"/>
  <c r="L1538" i="1"/>
  <c r="R1537" i="1"/>
  <c r="L1537" i="1"/>
  <c r="R1536" i="1"/>
  <c r="L1536" i="1"/>
  <c r="T1535" i="1"/>
  <c r="R1535" i="1"/>
  <c r="K1535" i="1"/>
  <c r="L1535" i="1" s="1"/>
  <c r="T1534" i="1"/>
  <c r="R1534" i="1"/>
  <c r="L1534" i="1"/>
  <c r="T1533" i="1"/>
  <c r="R1533" i="1"/>
  <c r="L1533" i="1"/>
  <c r="T1532" i="1"/>
  <c r="R1532" i="1"/>
  <c r="L1532" i="1"/>
  <c r="T1531" i="1"/>
  <c r="R1531" i="1"/>
  <c r="L1531" i="1"/>
  <c r="T1530" i="1"/>
  <c r="R1530" i="1"/>
  <c r="L1530" i="1"/>
  <c r="T1529" i="1"/>
  <c r="R1529" i="1"/>
  <c r="L1529" i="1"/>
  <c r="T1528" i="1"/>
  <c r="R1528" i="1"/>
  <c r="L1528" i="1"/>
  <c r="R1527" i="1"/>
  <c r="L1527" i="1"/>
  <c r="R1526" i="1"/>
  <c r="L1526" i="1"/>
  <c r="R1525" i="1"/>
  <c r="L1525" i="1"/>
  <c r="T1524" i="1"/>
  <c r="R1524" i="1"/>
  <c r="L1524" i="1"/>
  <c r="T1523" i="1"/>
  <c r="R1523" i="1"/>
  <c r="L1523" i="1"/>
  <c r="T1522" i="1"/>
  <c r="R1522" i="1"/>
  <c r="L1522" i="1"/>
  <c r="T1521" i="1"/>
  <c r="R1521" i="1"/>
  <c r="L1521" i="1"/>
  <c r="T1520" i="1"/>
  <c r="R1520" i="1"/>
  <c r="L1520" i="1"/>
  <c r="T1519" i="1"/>
  <c r="R1519" i="1"/>
  <c r="L1519" i="1"/>
  <c r="T1518" i="1"/>
  <c r="R1518" i="1"/>
  <c r="L1518" i="1"/>
  <c r="T1517" i="1"/>
  <c r="R1517" i="1"/>
  <c r="L1517" i="1"/>
  <c r="T1516" i="1"/>
  <c r="R1516" i="1"/>
  <c r="L1516" i="1"/>
  <c r="T1515" i="1"/>
  <c r="R1515" i="1"/>
  <c r="L1515" i="1"/>
  <c r="T1514" i="1"/>
  <c r="R1514" i="1"/>
  <c r="L1514" i="1"/>
  <c r="T1513" i="1"/>
  <c r="R1513" i="1"/>
  <c r="L1513" i="1"/>
  <c r="T1512" i="1"/>
  <c r="R1512" i="1"/>
  <c r="L1512" i="1"/>
  <c r="T1511" i="1"/>
  <c r="R1511" i="1"/>
  <c r="L1511" i="1"/>
  <c r="T1510" i="1"/>
  <c r="R1510" i="1"/>
  <c r="K1510" i="1"/>
  <c r="L1510" i="1" s="1"/>
  <c r="T1509" i="1"/>
  <c r="R1509" i="1"/>
  <c r="L1509" i="1"/>
  <c r="T1508" i="1"/>
  <c r="R1508" i="1"/>
  <c r="L1508" i="1"/>
  <c r="T1507" i="1"/>
  <c r="R1507" i="1"/>
  <c r="K1507" i="1"/>
  <c r="L1507" i="1" s="1"/>
  <c r="T1506" i="1"/>
  <c r="R1506" i="1"/>
  <c r="K1506" i="1"/>
  <c r="L1506" i="1" s="1"/>
  <c r="T1505" i="1"/>
  <c r="R1505" i="1"/>
  <c r="K1505" i="1"/>
  <c r="L1505" i="1" s="1"/>
  <c r="T1504" i="1"/>
  <c r="R1504" i="1"/>
  <c r="L1504" i="1"/>
  <c r="T1503" i="1"/>
  <c r="R1503" i="1"/>
  <c r="L1503" i="1"/>
  <c r="T1502" i="1"/>
  <c r="R1502" i="1"/>
  <c r="L1502" i="1"/>
  <c r="T1501" i="1"/>
  <c r="R1501" i="1"/>
  <c r="L1501" i="1"/>
  <c r="T1500" i="1"/>
  <c r="R1500" i="1"/>
  <c r="L1500" i="1"/>
  <c r="R1499" i="1"/>
  <c r="L1499" i="1"/>
  <c r="T1498" i="1"/>
  <c r="R1498" i="1"/>
  <c r="L1498" i="1"/>
  <c r="T1497" i="1"/>
  <c r="R1497" i="1"/>
  <c r="L1497" i="1"/>
  <c r="T1496" i="1"/>
  <c r="R1496" i="1"/>
  <c r="L1496" i="1"/>
  <c r="T1495" i="1"/>
  <c r="R1495" i="1"/>
  <c r="L1495" i="1"/>
  <c r="R1494" i="1"/>
  <c r="L1494" i="1"/>
  <c r="R1493" i="1"/>
  <c r="O1493" i="1"/>
  <c r="L1493" i="1"/>
  <c r="T1492" i="1"/>
  <c r="R1492" i="1"/>
  <c r="L1492" i="1"/>
  <c r="T1491" i="1"/>
  <c r="R1491" i="1"/>
  <c r="L1491" i="1"/>
  <c r="T1490" i="1"/>
  <c r="R1490" i="1"/>
  <c r="L1490" i="1"/>
  <c r="R1489" i="1"/>
  <c r="K1489" i="1"/>
  <c r="L1489" i="1" s="1"/>
  <c r="T1488" i="1"/>
  <c r="R1488" i="1"/>
  <c r="L1488" i="1"/>
  <c r="T1487" i="1"/>
  <c r="R1487" i="1"/>
  <c r="L1487" i="1"/>
  <c r="R1486" i="1"/>
  <c r="K1486" i="1"/>
  <c r="L1486" i="1" s="1"/>
  <c r="S1486" i="1" s="1"/>
  <c r="T1486" i="1" s="1"/>
  <c r="R1485" i="1"/>
  <c r="O1485" i="1"/>
  <c r="L1485" i="1"/>
  <c r="T1484" i="1"/>
  <c r="R1484" i="1"/>
  <c r="L1484" i="1"/>
  <c r="T1483" i="1"/>
  <c r="R1483" i="1"/>
  <c r="L1483" i="1"/>
  <c r="T1482" i="1"/>
  <c r="R1482" i="1"/>
  <c r="L1482" i="1"/>
  <c r="T1481" i="1"/>
  <c r="R1481" i="1"/>
  <c r="L1481" i="1"/>
  <c r="T1480" i="1"/>
  <c r="R1480" i="1"/>
  <c r="L1480" i="1"/>
  <c r="R1479" i="1"/>
  <c r="L1479" i="1"/>
  <c r="R1478" i="1"/>
  <c r="L1478" i="1"/>
  <c r="R1477" i="1"/>
  <c r="L1477" i="1"/>
  <c r="R1476" i="1"/>
  <c r="L1476" i="1"/>
  <c r="R1475" i="1"/>
  <c r="L1475" i="1"/>
  <c r="R1474" i="1"/>
  <c r="L1474" i="1"/>
  <c r="R1473" i="1"/>
  <c r="O1473" i="1"/>
  <c r="L1473" i="1"/>
  <c r="R1472" i="1"/>
  <c r="O1472" i="1"/>
  <c r="K1472" i="1"/>
  <c r="L1472" i="1" s="1"/>
  <c r="R1471" i="1"/>
  <c r="O1471" i="1"/>
  <c r="L1471" i="1"/>
  <c r="R1470" i="1"/>
  <c r="O1470" i="1"/>
  <c r="L1470" i="1"/>
  <c r="R1469" i="1"/>
  <c r="O1469" i="1"/>
  <c r="L1469" i="1"/>
  <c r="R1468" i="1"/>
  <c r="O1468" i="1"/>
  <c r="L1468" i="1"/>
  <c r="R1467" i="1"/>
  <c r="O1467" i="1"/>
  <c r="L1467" i="1"/>
  <c r="R1466" i="1"/>
  <c r="O1466" i="1"/>
  <c r="L1466" i="1"/>
  <c r="R1465" i="1"/>
  <c r="O1465" i="1"/>
  <c r="L1465" i="1"/>
  <c r="R1464" i="1"/>
  <c r="O1464" i="1"/>
  <c r="L1464" i="1"/>
  <c r="R1463" i="1"/>
  <c r="O1463" i="1"/>
  <c r="L1463" i="1"/>
  <c r="R1462" i="1"/>
  <c r="O1462" i="1"/>
  <c r="L1462" i="1"/>
  <c r="R1461" i="1"/>
  <c r="O1461" i="1"/>
  <c r="L1461" i="1"/>
  <c r="R1460" i="1"/>
  <c r="O1460" i="1"/>
  <c r="L1460" i="1"/>
  <c r="R1459" i="1"/>
  <c r="O1459" i="1"/>
  <c r="L1459" i="1"/>
  <c r="R1458" i="1"/>
  <c r="O1458" i="1"/>
  <c r="L1458" i="1"/>
  <c r="R1457" i="1"/>
  <c r="O1457" i="1"/>
  <c r="L1457" i="1"/>
  <c r="R1456" i="1"/>
  <c r="O1456" i="1"/>
  <c r="L1456" i="1"/>
  <c r="R1455" i="1"/>
  <c r="L1455" i="1"/>
  <c r="R1454" i="1"/>
  <c r="L1454" i="1"/>
  <c r="R1453" i="1"/>
  <c r="L1453" i="1"/>
  <c r="R1452" i="1"/>
  <c r="L1452" i="1"/>
  <c r="R1451" i="1"/>
  <c r="L1451" i="1"/>
  <c r="R1450" i="1"/>
  <c r="L1450" i="1"/>
  <c r="R1449" i="1"/>
  <c r="L1449" i="1"/>
  <c r="R1448" i="1"/>
  <c r="L1448" i="1"/>
  <c r="R1447" i="1"/>
  <c r="L1447" i="1"/>
  <c r="R1446" i="1"/>
  <c r="L1446" i="1"/>
  <c r="R1445" i="1"/>
  <c r="L1445" i="1"/>
  <c r="R1444" i="1"/>
  <c r="L1444" i="1"/>
  <c r="R1443" i="1"/>
  <c r="L1443" i="1"/>
  <c r="R1442" i="1"/>
  <c r="L1442" i="1"/>
  <c r="R1441" i="1"/>
  <c r="L1441" i="1"/>
  <c r="R1440" i="1"/>
  <c r="L1440" i="1"/>
  <c r="R1439" i="1"/>
  <c r="L1439" i="1"/>
  <c r="T1438" i="1"/>
  <c r="R1438" i="1"/>
  <c r="L1438" i="1"/>
  <c r="R1437" i="1"/>
  <c r="L1437" i="1"/>
  <c r="R1436" i="1"/>
  <c r="L1436" i="1"/>
  <c r="R1435" i="1"/>
  <c r="L1435" i="1"/>
  <c r="R1434" i="1"/>
  <c r="L1434" i="1"/>
  <c r="R1433" i="1"/>
  <c r="L1433" i="1"/>
  <c r="R1432" i="1"/>
  <c r="L1432" i="1"/>
  <c r="R1431" i="1"/>
  <c r="L1431" i="1"/>
  <c r="R1430" i="1"/>
  <c r="L1430" i="1"/>
  <c r="R1429" i="1"/>
  <c r="L1429" i="1"/>
  <c r="R1428" i="1"/>
  <c r="L1428" i="1"/>
  <c r="R1427" i="1"/>
  <c r="L1427" i="1"/>
  <c r="R1426" i="1"/>
  <c r="L1426" i="1"/>
  <c r="R1425" i="1"/>
  <c r="L1425" i="1"/>
  <c r="R1424" i="1"/>
  <c r="K1424" i="1"/>
  <c r="L1424" i="1" s="1"/>
  <c r="R1423" i="1"/>
  <c r="L1423" i="1"/>
  <c r="R1422" i="1"/>
  <c r="L1422" i="1"/>
  <c r="R1421" i="1"/>
  <c r="L1421" i="1"/>
  <c r="R1420" i="1"/>
  <c r="L1420" i="1"/>
  <c r="R1419" i="1"/>
  <c r="L1419" i="1"/>
  <c r="R1418" i="1"/>
  <c r="L1418" i="1"/>
  <c r="R1417" i="1"/>
  <c r="L1417" i="1"/>
  <c r="T1416" i="1"/>
  <c r="R1416" i="1"/>
  <c r="L1416" i="1"/>
  <c r="R1415" i="1"/>
  <c r="L1415" i="1"/>
  <c r="R1414" i="1"/>
  <c r="L1414" i="1"/>
  <c r="R1413" i="1"/>
  <c r="L1413" i="1"/>
  <c r="R1412" i="1"/>
  <c r="L1412" i="1"/>
  <c r="R1411" i="1"/>
  <c r="L1411" i="1"/>
  <c r="R1410" i="1"/>
  <c r="K1410" i="1"/>
  <c r="L1410" i="1" s="1"/>
  <c r="R1409" i="1"/>
  <c r="L1409" i="1"/>
  <c r="R1408" i="1"/>
  <c r="L1408" i="1"/>
  <c r="R1407" i="1"/>
  <c r="L1407" i="1"/>
  <c r="R1406" i="1"/>
  <c r="L1406" i="1"/>
  <c r="R1405" i="1"/>
  <c r="L1405" i="1"/>
  <c r="R1404" i="1"/>
  <c r="L1404" i="1"/>
  <c r="R1403" i="1"/>
  <c r="L1403" i="1"/>
  <c r="G1403" i="1"/>
  <c r="T1403" i="1" s="1"/>
  <c r="R1402" i="1"/>
  <c r="L1402" i="1"/>
  <c r="G1402" i="1"/>
  <c r="T1402" i="1" s="1"/>
  <c r="R1401" i="1"/>
  <c r="L1401" i="1"/>
  <c r="G1401" i="1"/>
  <c r="T1401" i="1" s="1"/>
  <c r="T1400" i="1"/>
  <c r="R1400" i="1"/>
  <c r="L1400" i="1"/>
  <c r="T1399" i="1"/>
  <c r="R1399" i="1"/>
  <c r="L1399" i="1"/>
  <c r="T1398" i="1"/>
  <c r="R1398" i="1"/>
  <c r="L1398" i="1"/>
  <c r="T1397" i="1"/>
  <c r="R1397" i="1"/>
  <c r="L1397" i="1"/>
  <c r="T1396" i="1"/>
  <c r="R1396" i="1"/>
  <c r="L1396" i="1"/>
  <c r="T1395" i="1"/>
  <c r="R1395" i="1"/>
  <c r="L1395" i="1"/>
  <c r="T1394" i="1"/>
  <c r="R1394" i="1"/>
  <c r="L1394" i="1"/>
  <c r="T1393" i="1"/>
  <c r="R1393" i="1"/>
  <c r="L1393" i="1"/>
  <c r="T1392" i="1"/>
  <c r="R1392" i="1"/>
  <c r="L1392" i="1"/>
  <c r="T1391" i="1"/>
  <c r="R1391" i="1"/>
  <c r="L1391" i="1"/>
  <c r="T1390" i="1"/>
  <c r="R1390" i="1"/>
  <c r="L1390" i="1"/>
  <c r="T1389" i="1"/>
  <c r="R1389" i="1"/>
  <c r="L1389" i="1"/>
  <c r="T1388" i="1"/>
  <c r="R1388" i="1"/>
  <c r="L1388" i="1"/>
  <c r="T1387" i="1"/>
  <c r="R1387" i="1"/>
  <c r="L1387" i="1"/>
  <c r="T1386" i="1"/>
  <c r="R1386" i="1"/>
  <c r="L1386" i="1"/>
  <c r="T1385" i="1"/>
  <c r="R1385" i="1"/>
  <c r="L1385" i="1"/>
  <c r="T1384" i="1"/>
  <c r="R1384" i="1"/>
  <c r="L1384" i="1"/>
  <c r="T1383" i="1"/>
  <c r="R1383" i="1"/>
  <c r="L1383" i="1"/>
  <c r="T1382" i="1"/>
  <c r="R1382" i="1"/>
  <c r="L1382" i="1"/>
  <c r="T1381" i="1"/>
  <c r="R1381" i="1"/>
  <c r="L1381" i="1"/>
  <c r="T1380" i="1"/>
  <c r="R1380" i="1"/>
  <c r="L1380" i="1"/>
  <c r="T1379" i="1"/>
  <c r="R1379" i="1"/>
  <c r="L1379" i="1"/>
  <c r="T1378" i="1"/>
  <c r="R1378" i="1"/>
  <c r="L1378" i="1"/>
  <c r="T1377" i="1"/>
  <c r="R1377" i="1"/>
  <c r="L1377" i="1"/>
  <c r="T1376" i="1"/>
  <c r="R1376" i="1"/>
  <c r="L1376" i="1"/>
  <c r="T1375" i="1"/>
  <c r="R1375" i="1"/>
  <c r="L1375" i="1"/>
  <c r="T1374" i="1"/>
  <c r="R1374" i="1"/>
  <c r="L1374" i="1"/>
  <c r="T1373" i="1"/>
  <c r="R1373" i="1"/>
  <c r="L1373" i="1"/>
  <c r="T1372" i="1"/>
  <c r="R1372" i="1"/>
  <c r="L1372" i="1"/>
  <c r="T1371" i="1"/>
  <c r="R1371" i="1"/>
  <c r="L1371" i="1"/>
  <c r="T1370" i="1"/>
  <c r="R1370" i="1"/>
  <c r="L1370" i="1"/>
  <c r="T1369" i="1"/>
  <c r="R1369" i="1"/>
  <c r="L1369" i="1"/>
  <c r="T1368" i="1"/>
  <c r="R1368" i="1"/>
  <c r="L1368" i="1"/>
  <c r="T1367" i="1"/>
  <c r="R1367" i="1"/>
  <c r="L1367" i="1"/>
  <c r="T1366" i="1"/>
  <c r="R1366" i="1"/>
  <c r="K1366" i="1"/>
  <c r="L1366" i="1" s="1"/>
  <c r="T1365" i="1"/>
  <c r="R1365" i="1"/>
  <c r="L1365" i="1"/>
  <c r="T1364" i="1"/>
  <c r="R1364" i="1"/>
  <c r="L1364" i="1"/>
  <c r="T1363" i="1"/>
  <c r="R1363" i="1"/>
  <c r="L1363" i="1"/>
  <c r="T1362" i="1"/>
  <c r="R1362" i="1"/>
  <c r="L1362" i="1"/>
  <c r="T1361" i="1"/>
  <c r="R1361" i="1"/>
  <c r="L1361" i="1"/>
  <c r="T1360" i="1"/>
  <c r="R1360" i="1"/>
  <c r="L1360" i="1"/>
  <c r="T1359" i="1"/>
  <c r="R1359" i="1"/>
  <c r="L1359" i="1"/>
  <c r="T1358" i="1"/>
  <c r="R1358" i="1"/>
  <c r="L1358" i="1"/>
  <c r="T1357" i="1"/>
  <c r="R1357" i="1"/>
  <c r="L1357" i="1"/>
  <c r="T1356" i="1"/>
  <c r="R1356" i="1"/>
  <c r="L1356" i="1"/>
  <c r="T1355" i="1"/>
  <c r="R1355" i="1"/>
  <c r="L1355" i="1"/>
  <c r="T1354" i="1"/>
  <c r="R1354" i="1"/>
  <c r="L1354" i="1"/>
  <c r="T1353" i="1"/>
  <c r="R1353" i="1"/>
  <c r="L1353" i="1"/>
  <c r="T1352" i="1"/>
  <c r="R1352" i="1"/>
  <c r="L1352" i="1"/>
  <c r="T1351" i="1"/>
  <c r="R1351" i="1"/>
  <c r="L1351" i="1"/>
  <c r="T1350" i="1"/>
  <c r="R1350" i="1"/>
  <c r="L1350" i="1"/>
  <c r="T1349" i="1"/>
  <c r="R1349" i="1"/>
  <c r="L1349" i="1"/>
  <c r="T1348" i="1"/>
  <c r="R1348" i="1"/>
  <c r="L1348" i="1"/>
  <c r="T1347" i="1"/>
  <c r="R1347" i="1"/>
  <c r="L1347" i="1"/>
  <c r="T1346" i="1"/>
  <c r="R1346" i="1"/>
  <c r="L1346" i="1"/>
  <c r="T1345" i="1"/>
  <c r="R1345" i="1"/>
  <c r="L1345" i="1"/>
  <c r="T1344" i="1"/>
  <c r="R1344" i="1"/>
  <c r="L1344" i="1"/>
  <c r="T1343" i="1"/>
  <c r="R1343" i="1"/>
  <c r="L1343" i="1"/>
  <c r="T1342" i="1"/>
  <c r="R1342" i="1"/>
  <c r="L1342" i="1"/>
  <c r="T1341" i="1"/>
  <c r="R1341" i="1"/>
  <c r="K1341" i="1"/>
  <c r="L1341" i="1" s="1"/>
  <c r="T1340" i="1"/>
  <c r="R1340" i="1"/>
  <c r="L1340" i="1"/>
  <c r="T1339" i="1"/>
  <c r="R1339" i="1"/>
  <c r="L1339" i="1"/>
  <c r="T1338" i="1"/>
  <c r="R1338" i="1"/>
  <c r="L1338" i="1"/>
  <c r="T1337" i="1"/>
  <c r="R1337" i="1"/>
  <c r="L1337" i="1"/>
  <c r="T1336" i="1"/>
  <c r="R1336" i="1"/>
  <c r="T1335" i="1"/>
  <c r="R1335" i="1"/>
  <c r="T1334" i="1"/>
  <c r="R1334" i="1"/>
  <c r="T1333" i="1"/>
  <c r="R1333" i="1"/>
  <c r="T1332" i="1"/>
  <c r="R1332" i="1"/>
  <c r="T1331" i="1"/>
  <c r="R1331" i="1"/>
  <c r="T1330" i="1"/>
  <c r="R1330" i="1"/>
  <c r="T1329" i="1"/>
  <c r="R1329" i="1"/>
  <c r="T1328" i="1"/>
  <c r="R1328" i="1"/>
  <c r="T1327" i="1"/>
  <c r="R1327" i="1"/>
  <c r="L1327" i="1"/>
  <c r="T1326" i="1"/>
  <c r="R1326" i="1"/>
  <c r="L1326" i="1"/>
  <c r="T1325" i="1"/>
  <c r="R1325" i="1"/>
  <c r="L1325" i="1"/>
  <c r="T1324" i="1"/>
  <c r="R1324" i="1"/>
  <c r="L1324" i="1"/>
  <c r="T1323" i="1"/>
  <c r="R1323" i="1"/>
  <c r="L1323" i="1"/>
  <c r="T1322" i="1"/>
  <c r="R1322" i="1"/>
  <c r="L1322" i="1"/>
  <c r="T1321" i="1"/>
  <c r="R1321" i="1"/>
  <c r="L1321" i="1"/>
  <c r="T1320" i="1"/>
  <c r="R1320" i="1"/>
  <c r="L1320" i="1"/>
  <c r="T1319" i="1"/>
  <c r="R1319" i="1"/>
  <c r="L1319" i="1"/>
  <c r="T1318" i="1"/>
  <c r="R1318" i="1"/>
  <c r="L1318" i="1"/>
  <c r="T1317" i="1"/>
  <c r="R1317" i="1"/>
  <c r="L1317" i="1"/>
  <c r="T1316" i="1"/>
  <c r="R1316" i="1"/>
  <c r="L1316" i="1"/>
  <c r="T1315" i="1"/>
  <c r="R1315" i="1"/>
  <c r="L1315" i="1"/>
  <c r="T1314" i="1"/>
  <c r="R1314" i="1"/>
  <c r="L1314" i="1"/>
  <c r="T1313" i="1"/>
  <c r="R1313" i="1"/>
  <c r="L1313" i="1"/>
  <c r="T1312" i="1"/>
  <c r="R1312" i="1"/>
  <c r="L1312" i="1"/>
  <c r="T1311" i="1"/>
  <c r="R1311" i="1"/>
  <c r="L1311" i="1"/>
  <c r="T1310" i="1"/>
  <c r="R1310" i="1"/>
  <c r="L1310" i="1"/>
  <c r="T1309" i="1"/>
  <c r="R1309" i="1"/>
  <c r="L1309" i="1"/>
  <c r="T1308" i="1"/>
  <c r="R1308" i="1"/>
  <c r="L1308" i="1"/>
  <c r="T1307" i="1"/>
  <c r="R1307" i="1"/>
  <c r="L1307" i="1"/>
  <c r="T1306" i="1"/>
  <c r="R1306" i="1"/>
  <c r="K1306" i="1"/>
  <c r="L1306" i="1" s="1"/>
  <c r="T1305" i="1"/>
  <c r="R1305" i="1"/>
  <c r="L1305" i="1"/>
  <c r="T1304" i="1"/>
  <c r="R1304" i="1"/>
  <c r="L1304" i="1"/>
  <c r="T1303" i="1"/>
  <c r="R1303" i="1"/>
  <c r="L1303" i="1"/>
  <c r="T1302" i="1"/>
  <c r="R1302" i="1"/>
  <c r="L1302" i="1"/>
  <c r="T1301" i="1"/>
  <c r="R1301" i="1"/>
  <c r="L1301" i="1"/>
  <c r="T1300" i="1"/>
  <c r="R1300" i="1"/>
  <c r="L1300" i="1"/>
  <c r="T1299" i="1"/>
  <c r="R1299" i="1"/>
  <c r="L1299" i="1"/>
  <c r="T1298" i="1"/>
  <c r="R1298" i="1"/>
  <c r="K1298" i="1"/>
  <c r="L1298" i="1" s="1"/>
  <c r="T1297" i="1"/>
  <c r="R1297" i="1"/>
  <c r="K1297" i="1"/>
  <c r="L1297" i="1" s="1"/>
  <c r="T1296" i="1"/>
  <c r="R1296" i="1"/>
  <c r="K1296" i="1"/>
  <c r="L1296" i="1" s="1"/>
  <c r="T1295" i="1"/>
  <c r="R1295" i="1"/>
  <c r="L1295" i="1"/>
  <c r="T1294" i="1"/>
  <c r="R1294" i="1"/>
  <c r="L1294" i="1"/>
  <c r="T1293" i="1"/>
  <c r="R1293" i="1"/>
  <c r="L1293" i="1"/>
  <c r="T1292" i="1"/>
  <c r="R1292" i="1"/>
  <c r="L1292" i="1"/>
  <c r="T1291" i="1"/>
  <c r="R1291" i="1"/>
  <c r="L1291" i="1"/>
  <c r="T1290" i="1"/>
  <c r="R1290" i="1"/>
  <c r="L1290" i="1"/>
  <c r="T1289" i="1"/>
  <c r="R1289" i="1"/>
  <c r="K1289" i="1"/>
  <c r="L1289" i="1" s="1"/>
  <c r="T1288" i="1"/>
  <c r="R1288" i="1"/>
  <c r="K1288" i="1"/>
  <c r="L1288" i="1" s="1"/>
  <c r="T1287" i="1"/>
  <c r="R1287" i="1"/>
  <c r="K1287" i="1"/>
  <c r="L1287" i="1" s="1"/>
  <c r="T1286" i="1"/>
  <c r="R1286" i="1"/>
  <c r="L1286" i="1"/>
  <c r="T1285" i="1"/>
  <c r="R1285" i="1"/>
  <c r="L1285" i="1"/>
  <c r="T1284" i="1"/>
  <c r="R1284" i="1"/>
  <c r="L1284" i="1"/>
  <c r="T1283" i="1"/>
  <c r="R1283" i="1"/>
  <c r="L1283" i="1"/>
  <c r="T1282" i="1"/>
  <c r="R1282" i="1"/>
  <c r="L1282" i="1"/>
  <c r="T1281" i="1"/>
  <c r="R1281" i="1"/>
  <c r="L1281" i="1"/>
  <c r="T1280" i="1"/>
  <c r="R1280" i="1"/>
  <c r="L1280" i="1"/>
  <c r="T1279" i="1"/>
  <c r="R1279" i="1"/>
  <c r="L1279" i="1"/>
  <c r="T1278" i="1"/>
  <c r="R1278" i="1"/>
  <c r="L1278" i="1"/>
  <c r="T1277" i="1"/>
  <c r="R1277" i="1"/>
  <c r="L1277" i="1"/>
  <c r="T1276" i="1"/>
  <c r="R1276" i="1"/>
  <c r="L1276" i="1"/>
  <c r="T1275" i="1"/>
  <c r="R1275" i="1"/>
  <c r="L1275" i="1"/>
  <c r="T1274" i="1"/>
  <c r="R1274" i="1"/>
  <c r="L1274" i="1"/>
  <c r="T1273" i="1"/>
  <c r="R1273" i="1"/>
  <c r="L1273" i="1"/>
  <c r="T1272" i="1"/>
  <c r="R1272" i="1"/>
  <c r="L1272" i="1"/>
  <c r="T1271" i="1"/>
  <c r="R1271" i="1"/>
  <c r="L1271" i="1"/>
  <c r="T1270" i="1"/>
  <c r="R1270" i="1"/>
  <c r="L1270" i="1"/>
  <c r="T1269" i="1"/>
  <c r="R1269" i="1"/>
  <c r="L1269" i="1"/>
  <c r="T1268" i="1"/>
  <c r="R1268" i="1"/>
  <c r="L1268" i="1"/>
  <c r="T1267" i="1"/>
  <c r="R1267" i="1"/>
  <c r="L1267" i="1"/>
  <c r="T1266" i="1"/>
  <c r="R1266" i="1"/>
  <c r="L1266" i="1"/>
  <c r="T1265" i="1"/>
  <c r="R1265" i="1"/>
  <c r="L1265" i="1"/>
  <c r="T1264" i="1"/>
  <c r="R1264" i="1"/>
  <c r="L1264" i="1"/>
  <c r="T1263" i="1"/>
  <c r="R1263" i="1"/>
  <c r="L1263" i="1"/>
  <c r="T1262" i="1"/>
  <c r="R1262" i="1"/>
  <c r="L1262" i="1"/>
  <c r="T1261" i="1"/>
  <c r="R1261" i="1"/>
  <c r="L1261" i="1"/>
  <c r="T1260" i="1"/>
  <c r="R1260" i="1"/>
  <c r="L1260" i="1"/>
  <c r="T1259" i="1"/>
  <c r="R1259" i="1"/>
  <c r="L1259" i="1"/>
  <c r="T1258" i="1"/>
  <c r="R1258" i="1"/>
  <c r="L1258" i="1"/>
  <c r="T1257" i="1"/>
  <c r="R1257" i="1"/>
  <c r="L1257" i="1"/>
  <c r="T1256" i="1"/>
  <c r="R1256" i="1"/>
  <c r="L1256" i="1"/>
  <c r="T1255" i="1"/>
  <c r="R1255" i="1"/>
  <c r="L1255" i="1"/>
  <c r="T1254" i="1"/>
  <c r="R1254" i="1"/>
  <c r="L1254" i="1"/>
  <c r="T1253" i="1"/>
  <c r="R1253" i="1"/>
  <c r="L1253" i="1"/>
  <c r="T1252" i="1"/>
  <c r="R1252" i="1"/>
  <c r="L1252" i="1"/>
  <c r="T1251" i="1"/>
  <c r="R1251" i="1"/>
  <c r="L1251" i="1"/>
  <c r="T1250" i="1"/>
  <c r="R1250" i="1"/>
  <c r="L1250" i="1"/>
  <c r="T1249" i="1"/>
  <c r="R1249" i="1"/>
  <c r="O1249" i="1"/>
  <c r="L1249" i="1"/>
  <c r="T1248" i="1"/>
  <c r="R1248" i="1"/>
  <c r="O1248" i="1"/>
  <c r="L1248" i="1"/>
  <c r="T1247" i="1"/>
  <c r="R1247" i="1"/>
  <c r="O1247" i="1"/>
  <c r="L1247" i="1"/>
  <c r="T1246" i="1"/>
  <c r="R1246" i="1"/>
  <c r="L1246" i="1"/>
  <c r="T1245" i="1"/>
  <c r="R1245" i="1"/>
  <c r="L1245" i="1"/>
  <c r="T1244" i="1"/>
  <c r="R1244" i="1"/>
  <c r="L1244" i="1"/>
  <c r="T1243" i="1"/>
  <c r="R1243" i="1"/>
  <c r="L1243" i="1"/>
  <c r="T1242" i="1"/>
  <c r="R1242" i="1"/>
  <c r="L1242" i="1"/>
  <c r="T1241" i="1"/>
  <c r="R1241" i="1"/>
  <c r="L1241" i="1"/>
  <c r="T1240" i="1"/>
  <c r="R1240" i="1"/>
  <c r="L1240" i="1"/>
  <c r="T1239" i="1"/>
  <c r="R1239" i="1"/>
  <c r="L1239" i="1"/>
  <c r="T1238" i="1"/>
  <c r="R1238" i="1"/>
  <c r="L1238" i="1"/>
  <c r="T1237" i="1"/>
  <c r="R1237" i="1"/>
  <c r="L1237" i="1"/>
  <c r="T1236" i="1"/>
  <c r="R1236" i="1"/>
  <c r="L1236" i="1"/>
  <c r="T1235" i="1"/>
  <c r="R1235" i="1"/>
  <c r="L1235" i="1"/>
  <c r="T1234" i="1"/>
  <c r="R1234" i="1"/>
  <c r="L1234" i="1"/>
  <c r="T1233" i="1"/>
  <c r="R1233" i="1"/>
  <c r="L1233" i="1"/>
  <c r="T1232" i="1"/>
  <c r="R1232" i="1"/>
  <c r="L1232" i="1"/>
  <c r="T1231" i="1"/>
  <c r="R1231" i="1"/>
  <c r="L1231" i="1"/>
  <c r="T1230" i="1"/>
  <c r="R1230" i="1"/>
  <c r="L1230" i="1"/>
  <c r="T1229" i="1"/>
  <c r="R1229" i="1"/>
  <c r="L1229" i="1"/>
  <c r="T1228" i="1"/>
  <c r="R1228" i="1"/>
  <c r="L1228" i="1"/>
  <c r="T1227" i="1"/>
  <c r="R1227" i="1"/>
  <c r="L1227" i="1"/>
  <c r="T1226" i="1"/>
  <c r="R1226" i="1"/>
  <c r="L1226" i="1"/>
  <c r="T1225" i="1"/>
  <c r="R1225" i="1"/>
  <c r="L1225" i="1"/>
  <c r="T1224" i="1"/>
  <c r="R1224" i="1"/>
  <c r="L1224" i="1"/>
  <c r="T1223" i="1"/>
  <c r="R1223" i="1"/>
  <c r="L1223" i="1"/>
  <c r="T1222" i="1"/>
  <c r="R1222" i="1"/>
  <c r="L1222" i="1"/>
  <c r="T1221" i="1"/>
  <c r="R1221" i="1"/>
  <c r="L1221" i="1"/>
  <c r="T1220" i="1"/>
  <c r="R1220" i="1"/>
  <c r="L1220" i="1"/>
  <c r="T1219" i="1"/>
  <c r="R1219" i="1"/>
  <c r="L1219" i="1"/>
  <c r="T1218" i="1"/>
  <c r="R1218" i="1"/>
  <c r="L1218" i="1"/>
  <c r="T1217" i="1"/>
  <c r="R1217" i="1"/>
  <c r="K1217" i="1"/>
  <c r="L1217" i="1" s="1"/>
  <c r="T1216" i="1"/>
  <c r="R1216" i="1"/>
  <c r="L1216" i="1"/>
  <c r="T1215" i="1"/>
  <c r="R1215" i="1"/>
  <c r="L1215" i="1"/>
  <c r="T1214" i="1"/>
  <c r="R1214" i="1"/>
  <c r="L1214" i="1"/>
  <c r="T1213" i="1"/>
  <c r="R1213" i="1"/>
  <c r="L1213" i="1"/>
  <c r="T1212" i="1"/>
  <c r="R1212" i="1"/>
  <c r="L1212" i="1"/>
  <c r="T1211" i="1"/>
  <c r="R1211" i="1"/>
  <c r="L1211" i="1"/>
  <c r="T1210" i="1"/>
  <c r="R1210" i="1"/>
  <c r="K1210" i="1"/>
  <c r="L1210" i="1" s="1"/>
  <c r="T1209" i="1"/>
  <c r="R1209" i="1"/>
  <c r="L1209" i="1"/>
  <c r="T1208" i="1"/>
  <c r="R1208" i="1"/>
  <c r="L1208" i="1"/>
  <c r="T1207" i="1"/>
  <c r="R1207" i="1"/>
  <c r="L1207" i="1"/>
  <c r="T1206" i="1"/>
  <c r="R1206" i="1"/>
  <c r="L1206" i="1"/>
  <c r="T1205" i="1"/>
  <c r="R1205" i="1"/>
  <c r="L1205" i="1"/>
  <c r="T1204" i="1"/>
  <c r="R1204" i="1"/>
  <c r="L1204" i="1"/>
  <c r="T1203" i="1"/>
  <c r="R1203" i="1"/>
  <c r="L1203" i="1"/>
  <c r="T1202" i="1"/>
  <c r="R1202" i="1"/>
  <c r="L1202" i="1"/>
  <c r="T1201" i="1"/>
  <c r="R1201" i="1"/>
  <c r="L1201" i="1"/>
  <c r="T1200" i="1"/>
  <c r="R1200" i="1"/>
  <c r="L1200" i="1"/>
  <c r="T1199" i="1"/>
  <c r="R1199" i="1"/>
  <c r="L1199" i="1"/>
  <c r="T1198" i="1"/>
  <c r="R1198" i="1"/>
  <c r="L1198" i="1"/>
  <c r="T1197" i="1"/>
  <c r="R1197" i="1"/>
  <c r="K1197" i="1"/>
  <c r="L1197" i="1" s="1"/>
  <c r="T1196" i="1"/>
  <c r="R1196" i="1"/>
  <c r="L1196" i="1"/>
  <c r="T1195" i="1"/>
  <c r="R1195" i="1"/>
  <c r="L1195" i="1"/>
  <c r="T1194" i="1"/>
  <c r="R1194" i="1"/>
  <c r="L1194" i="1"/>
  <c r="T1193" i="1"/>
  <c r="R1193" i="1"/>
  <c r="L1193" i="1"/>
  <c r="T1192" i="1"/>
  <c r="R1192" i="1"/>
  <c r="L1192" i="1"/>
  <c r="T1191" i="1"/>
  <c r="R1191" i="1"/>
  <c r="L1191" i="1"/>
  <c r="T1190" i="1"/>
  <c r="R1190" i="1"/>
  <c r="L1190" i="1"/>
  <c r="T1189" i="1"/>
  <c r="R1189" i="1"/>
  <c r="L1189" i="1"/>
  <c r="T1188" i="1"/>
  <c r="R1188" i="1"/>
  <c r="L1188" i="1"/>
  <c r="T1187" i="1"/>
  <c r="R1187" i="1"/>
  <c r="K1187" i="1"/>
  <c r="L1187" i="1" s="1"/>
  <c r="T1186" i="1"/>
  <c r="R1186" i="1"/>
  <c r="L1186" i="1"/>
  <c r="T1185" i="1"/>
  <c r="R1185" i="1"/>
  <c r="L1185" i="1"/>
  <c r="T1184" i="1"/>
  <c r="R1184" i="1"/>
  <c r="L1184" i="1"/>
  <c r="T1183" i="1"/>
  <c r="R1183" i="1"/>
  <c r="L1183" i="1"/>
  <c r="T1182" i="1"/>
  <c r="R1182" i="1"/>
  <c r="L1182" i="1"/>
  <c r="T1181" i="1"/>
  <c r="R1181" i="1"/>
  <c r="L1181" i="1"/>
  <c r="T1180" i="1"/>
  <c r="R1180" i="1"/>
  <c r="L1180" i="1"/>
  <c r="T1179" i="1"/>
  <c r="R1179" i="1"/>
  <c r="L1179" i="1"/>
  <c r="T1178" i="1"/>
  <c r="R1178" i="1"/>
  <c r="L1178" i="1"/>
  <c r="T1177" i="1"/>
  <c r="R1177" i="1"/>
  <c r="L1177" i="1"/>
  <c r="T1176" i="1"/>
  <c r="R1176" i="1"/>
  <c r="L1176" i="1"/>
  <c r="T1175" i="1"/>
  <c r="R1175" i="1"/>
  <c r="L1175" i="1"/>
  <c r="T1174" i="1"/>
  <c r="R1174" i="1"/>
  <c r="K1174" i="1"/>
  <c r="L1174" i="1" s="1"/>
  <c r="T1173" i="1"/>
  <c r="R1173" i="1"/>
  <c r="L1173" i="1"/>
  <c r="T1172" i="1"/>
  <c r="R1172" i="1"/>
  <c r="L1172" i="1"/>
  <c r="T1171" i="1"/>
  <c r="R1171" i="1"/>
  <c r="L1171" i="1"/>
  <c r="T1170" i="1"/>
  <c r="R1170" i="1"/>
  <c r="L1170" i="1"/>
  <c r="T1169" i="1"/>
  <c r="R1169" i="1"/>
  <c r="L1169" i="1"/>
  <c r="T1168" i="1"/>
  <c r="R1168" i="1"/>
  <c r="L1168" i="1"/>
  <c r="T1167" i="1"/>
  <c r="R1167" i="1"/>
  <c r="L1167" i="1"/>
  <c r="T1166" i="1"/>
  <c r="R1166" i="1"/>
  <c r="L1166" i="1"/>
  <c r="T1165" i="1"/>
  <c r="R1165" i="1"/>
  <c r="L1165" i="1"/>
  <c r="T1164" i="1"/>
  <c r="R1164" i="1"/>
  <c r="L1164" i="1"/>
  <c r="T1163" i="1"/>
  <c r="R1163" i="1"/>
  <c r="L1163" i="1"/>
  <c r="T1162" i="1"/>
  <c r="R1162" i="1"/>
  <c r="L1162" i="1"/>
  <c r="T1161" i="1"/>
  <c r="R1161" i="1"/>
  <c r="L1161" i="1"/>
  <c r="T1160" i="1"/>
  <c r="R1160" i="1"/>
  <c r="L1160" i="1"/>
  <c r="T1159" i="1"/>
  <c r="R1159" i="1"/>
  <c r="L1159" i="1"/>
  <c r="T1158" i="1"/>
  <c r="R1158" i="1"/>
  <c r="L1158" i="1"/>
  <c r="T1157" i="1"/>
  <c r="R1157" i="1"/>
  <c r="L1157" i="1"/>
  <c r="T1156" i="1"/>
  <c r="R1156" i="1"/>
  <c r="L1156" i="1"/>
  <c r="T1155" i="1"/>
  <c r="R1155" i="1"/>
  <c r="L1155" i="1"/>
  <c r="T1154" i="1"/>
  <c r="R1154" i="1"/>
  <c r="L1154" i="1"/>
  <c r="T1153" i="1"/>
  <c r="R1153" i="1"/>
  <c r="L1153" i="1"/>
  <c r="T1152" i="1"/>
  <c r="R1152" i="1"/>
  <c r="L1152" i="1"/>
  <c r="T1151" i="1"/>
  <c r="R1151" i="1"/>
  <c r="L1151" i="1"/>
  <c r="T1150" i="1"/>
  <c r="R1150" i="1"/>
  <c r="L1150" i="1"/>
  <c r="T1149" i="1"/>
  <c r="R1149" i="1"/>
  <c r="L1149" i="1"/>
  <c r="T1148" i="1"/>
  <c r="R1148" i="1"/>
  <c r="L1148" i="1"/>
  <c r="T1147" i="1"/>
  <c r="R1147" i="1"/>
  <c r="L1147" i="1"/>
  <c r="T1146" i="1"/>
  <c r="R1146" i="1"/>
  <c r="L1146" i="1"/>
  <c r="T1145" i="1"/>
  <c r="R1145" i="1"/>
  <c r="L1145" i="1"/>
  <c r="T1144" i="1"/>
  <c r="R1144" i="1"/>
  <c r="L1144" i="1"/>
  <c r="T1143" i="1"/>
  <c r="R1143" i="1"/>
  <c r="L1143" i="1"/>
  <c r="T1142" i="1"/>
  <c r="R1142" i="1"/>
  <c r="L1142" i="1"/>
  <c r="T1141" i="1"/>
  <c r="R1141" i="1"/>
  <c r="L1141" i="1"/>
  <c r="T1140" i="1"/>
  <c r="R1140" i="1"/>
  <c r="L1140" i="1"/>
  <c r="T1139" i="1"/>
  <c r="R1139" i="1"/>
  <c r="L1139" i="1"/>
  <c r="T1138" i="1"/>
  <c r="R1138" i="1"/>
  <c r="L1138" i="1"/>
  <c r="T1137" i="1"/>
  <c r="R1137" i="1"/>
  <c r="L1137" i="1"/>
  <c r="T1136" i="1"/>
  <c r="R1136" i="1"/>
  <c r="L1136" i="1"/>
  <c r="T1135" i="1"/>
  <c r="R1135" i="1"/>
  <c r="L1135" i="1"/>
  <c r="T1134" i="1"/>
  <c r="R1134" i="1"/>
  <c r="L1134" i="1"/>
  <c r="T1133" i="1"/>
  <c r="R1133" i="1"/>
  <c r="L1133" i="1"/>
  <c r="T1132" i="1"/>
  <c r="R1132" i="1"/>
  <c r="L1132" i="1"/>
  <c r="T1131" i="1"/>
  <c r="R1131" i="1"/>
  <c r="L1131" i="1"/>
  <c r="T1130" i="1"/>
  <c r="R1130" i="1"/>
  <c r="L1130" i="1"/>
  <c r="T1129" i="1"/>
  <c r="R1129" i="1"/>
  <c r="L1129" i="1"/>
  <c r="T1128" i="1"/>
  <c r="R1128" i="1"/>
  <c r="L1128" i="1"/>
  <c r="T1127" i="1"/>
  <c r="R1127" i="1"/>
  <c r="L1127" i="1"/>
  <c r="T1126" i="1"/>
  <c r="R1126" i="1"/>
  <c r="L1126" i="1"/>
  <c r="T1125" i="1"/>
  <c r="R1125" i="1"/>
  <c r="L1125" i="1"/>
  <c r="T1124" i="1"/>
  <c r="R1124" i="1"/>
  <c r="L1124" i="1"/>
  <c r="T1123" i="1"/>
  <c r="R1123" i="1"/>
  <c r="L1123" i="1"/>
  <c r="T1122" i="1"/>
  <c r="R1122" i="1"/>
  <c r="K1122" i="1"/>
  <c r="L1122" i="1" s="1"/>
  <c r="T1121" i="1"/>
  <c r="R1121" i="1"/>
  <c r="L1121" i="1"/>
  <c r="T1120" i="1"/>
  <c r="R1120" i="1"/>
  <c r="K1120" i="1"/>
  <c r="L1120" i="1" s="1"/>
  <c r="T1119" i="1"/>
  <c r="R1119" i="1"/>
  <c r="L1119" i="1"/>
  <c r="T1118" i="1"/>
  <c r="R1118" i="1"/>
  <c r="L1118" i="1"/>
  <c r="T1117" i="1"/>
  <c r="R1117" i="1"/>
  <c r="L1117" i="1"/>
  <c r="T1116" i="1"/>
  <c r="R1116" i="1"/>
  <c r="L1116" i="1"/>
  <c r="T1115" i="1"/>
  <c r="R1115" i="1"/>
  <c r="L1115" i="1"/>
  <c r="T1114" i="1"/>
  <c r="R1114" i="1"/>
  <c r="L1114" i="1"/>
  <c r="T1113" i="1"/>
  <c r="R1113" i="1"/>
  <c r="L1113" i="1"/>
  <c r="T1112" i="1"/>
  <c r="R1112" i="1"/>
  <c r="L1112" i="1"/>
  <c r="T1111" i="1"/>
  <c r="R1111" i="1"/>
  <c r="L1111" i="1"/>
  <c r="T1110" i="1"/>
  <c r="R1110" i="1"/>
  <c r="L1110" i="1"/>
  <c r="T1109" i="1"/>
  <c r="R1109" i="1"/>
  <c r="L1109" i="1"/>
  <c r="T1108" i="1"/>
  <c r="R1108" i="1"/>
  <c r="L1108" i="1"/>
  <c r="T1107" i="1"/>
  <c r="R1107" i="1"/>
  <c r="L1107" i="1"/>
  <c r="T1106" i="1"/>
  <c r="R1106" i="1"/>
  <c r="K1106" i="1"/>
  <c r="L1106" i="1" s="1"/>
  <c r="T1105" i="1"/>
  <c r="R1105" i="1"/>
  <c r="K1105" i="1"/>
  <c r="L1105" i="1" s="1"/>
  <c r="T1104" i="1"/>
  <c r="R1104" i="1"/>
  <c r="L1104" i="1"/>
  <c r="T1103" i="1"/>
  <c r="R1103" i="1"/>
  <c r="L1103" i="1"/>
  <c r="T1102" i="1"/>
  <c r="R1102" i="1"/>
  <c r="L1102" i="1"/>
  <c r="T1101" i="1"/>
  <c r="R1101" i="1"/>
  <c r="L1101" i="1"/>
  <c r="T1100" i="1"/>
  <c r="R1100" i="1"/>
  <c r="L1100" i="1"/>
  <c r="T1099" i="1"/>
  <c r="R1099" i="1"/>
  <c r="L1099" i="1"/>
  <c r="T1098" i="1"/>
  <c r="R1098" i="1"/>
  <c r="L1098" i="1"/>
  <c r="T1097" i="1"/>
  <c r="R1097" i="1"/>
  <c r="L1097" i="1"/>
  <c r="T1096" i="1"/>
  <c r="R1096" i="1"/>
  <c r="L1096" i="1"/>
  <c r="T1095" i="1"/>
  <c r="R1095" i="1"/>
  <c r="L1095" i="1"/>
  <c r="T1094" i="1"/>
  <c r="R1094" i="1"/>
  <c r="L1094" i="1"/>
  <c r="T1093" i="1"/>
  <c r="R1093" i="1"/>
  <c r="L1093" i="1"/>
  <c r="T1092" i="1"/>
  <c r="R1092" i="1"/>
  <c r="L1092" i="1"/>
  <c r="T1091" i="1"/>
  <c r="R1091" i="1"/>
  <c r="K1091" i="1"/>
  <c r="L1091" i="1" s="1"/>
  <c r="T1090" i="1"/>
  <c r="R1090" i="1"/>
  <c r="L1090" i="1"/>
  <c r="T1089" i="1"/>
  <c r="R1089" i="1"/>
  <c r="L1089" i="1"/>
  <c r="T1088" i="1"/>
  <c r="R1088" i="1"/>
  <c r="L1088" i="1"/>
  <c r="T1087" i="1"/>
  <c r="R1087" i="1"/>
  <c r="L1087" i="1"/>
  <c r="T1086" i="1"/>
  <c r="R1086" i="1"/>
  <c r="L1086" i="1"/>
  <c r="T1085" i="1"/>
  <c r="R1085" i="1"/>
  <c r="L1085" i="1"/>
  <c r="T1084" i="1"/>
  <c r="R1084" i="1"/>
  <c r="L1084" i="1"/>
  <c r="T1083" i="1"/>
  <c r="R1083" i="1"/>
  <c r="L1083" i="1"/>
  <c r="T1082" i="1"/>
  <c r="R1082" i="1"/>
  <c r="L1082" i="1"/>
  <c r="T1081" i="1"/>
  <c r="R1081" i="1"/>
  <c r="L1081" i="1"/>
  <c r="T1080" i="1"/>
  <c r="R1080" i="1"/>
  <c r="L1080" i="1"/>
  <c r="T1079" i="1"/>
  <c r="R1079" i="1"/>
  <c r="L1079" i="1"/>
  <c r="T1078" i="1"/>
  <c r="R1078" i="1"/>
  <c r="L1078" i="1"/>
  <c r="T1077" i="1"/>
  <c r="R1077" i="1"/>
  <c r="L1077" i="1"/>
  <c r="T1076" i="1"/>
  <c r="R1076" i="1"/>
  <c r="L1076" i="1"/>
  <c r="T1075" i="1"/>
  <c r="R1075" i="1"/>
  <c r="L1075" i="1"/>
  <c r="T1074" i="1"/>
  <c r="R1074" i="1"/>
  <c r="L1074" i="1"/>
  <c r="T1073" i="1"/>
  <c r="R1073" i="1"/>
  <c r="L1073" i="1"/>
  <c r="T1072" i="1"/>
  <c r="R1072" i="1"/>
  <c r="L1072" i="1"/>
  <c r="T1071" i="1"/>
  <c r="R1071" i="1"/>
  <c r="L1071" i="1"/>
  <c r="T1070" i="1"/>
  <c r="R1070" i="1"/>
  <c r="L1070" i="1"/>
  <c r="T1069" i="1"/>
  <c r="R1069" i="1"/>
  <c r="L1069" i="1"/>
  <c r="T1068" i="1"/>
  <c r="R1068" i="1"/>
  <c r="L1068" i="1"/>
  <c r="T1067" i="1"/>
  <c r="R1067" i="1"/>
  <c r="L1067" i="1"/>
  <c r="T1066" i="1"/>
  <c r="R1066" i="1"/>
  <c r="L1066" i="1"/>
  <c r="T1065" i="1"/>
  <c r="R1065" i="1"/>
  <c r="L1065" i="1"/>
  <c r="T1064" i="1"/>
  <c r="R1064" i="1"/>
  <c r="L1064" i="1"/>
  <c r="T1063" i="1"/>
  <c r="R1063" i="1"/>
  <c r="L1063" i="1"/>
  <c r="T1062" i="1"/>
  <c r="R1062" i="1"/>
  <c r="L1062" i="1"/>
  <c r="T1061" i="1"/>
  <c r="R1061" i="1"/>
  <c r="L1061" i="1"/>
  <c r="T1060" i="1"/>
  <c r="R1060" i="1"/>
  <c r="L1060" i="1"/>
  <c r="T1059" i="1"/>
  <c r="R1059" i="1"/>
  <c r="L1059" i="1"/>
  <c r="T1058" i="1"/>
  <c r="R1058" i="1"/>
  <c r="L1058" i="1"/>
  <c r="T1057" i="1"/>
  <c r="R1057" i="1"/>
  <c r="L1057" i="1"/>
  <c r="T1056" i="1"/>
  <c r="R1056" i="1"/>
  <c r="L1056" i="1"/>
  <c r="T1055" i="1"/>
  <c r="R1055" i="1"/>
  <c r="L1055" i="1"/>
  <c r="T1054" i="1"/>
  <c r="R1054" i="1"/>
  <c r="L1054" i="1"/>
  <c r="T1053" i="1"/>
  <c r="R1053" i="1"/>
  <c r="L1053" i="1"/>
  <c r="T1052" i="1"/>
  <c r="R1052" i="1"/>
  <c r="L1052" i="1"/>
  <c r="T1051" i="1"/>
  <c r="R1051" i="1"/>
  <c r="L1051" i="1"/>
  <c r="T1050" i="1"/>
  <c r="R1050" i="1"/>
  <c r="T1049" i="1"/>
  <c r="R1049" i="1"/>
  <c r="L1049" i="1"/>
  <c r="T1048" i="1"/>
  <c r="R1048" i="1"/>
  <c r="L1048" i="1"/>
  <c r="R1047" i="1"/>
  <c r="L1047" i="1"/>
  <c r="T1046" i="1"/>
  <c r="R1046" i="1"/>
  <c r="L1046" i="1"/>
  <c r="T1045" i="1"/>
  <c r="R1045" i="1"/>
  <c r="L1045" i="1"/>
  <c r="T1044" i="1"/>
  <c r="R1044" i="1"/>
  <c r="L1044" i="1"/>
  <c r="T1043" i="1"/>
  <c r="R1043" i="1"/>
  <c r="L1043" i="1"/>
  <c r="T1042" i="1"/>
  <c r="R1042" i="1"/>
  <c r="L1042" i="1"/>
  <c r="T1041" i="1"/>
  <c r="R1041" i="1"/>
  <c r="L1041" i="1"/>
  <c r="T1040" i="1"/>
  <c r="R1040" i="1"/>
  <c r="L1040" i="1"/>
  <c r="T1039" i="1"/>
  <c r="R1039" i="1"/>
  <c r="L1039" i="1"/>
  <c r="R1038" i="1"/>
  <c r="L1038" i="1"/>
  <c r="R1037" i="1"/>
  <c r="L1037" i="1"/>
  <c r="R1036" i="1"/>
  <c r="L1036" i="1"/>
  <c r="R1035" i="1"/>
  <c r="L1035" i="1"/>
  <c r="R1034" i="1"/>
  <c r="R1033" i="1"/>
  <c r="L1033" i="1"/>
  <c r="T1032" i="1"/>
  <c r="R1032" i="1"/>
  <c r="L1032" i="1"/>
  <c r="T1031" i="1"/>
  <c r="R1031" i="1"/>
  <c r="L1031" i="1"/>
  <c r="T1030" i="1"/>
  <c r="R1030" i="1"/>
  <c r="L1030" i="1"/>
  <c r="T1029" i="1"/>
  <c r="R1029" i="1"/>
  <c r="L1029" i="1"/>
  <c r="T1028" i="1"/>
  <c r="R1028" i="1"/>
  <c r="L1028" i="1"/>
  <c r="T1027" i="1"/>
  <c r="R1027" i="1"/>
  <c r="L1027" i="1"/>
  <c r="T1026" i="1"/>
  <c r="R1026" i="1"/>
  <c r="K1026" i="1"/>
  <c r="L1026" i="1" s="1"/>
  <c r="T1025" i="1"/>
  <c r="R1025" i="1"/>
  <c r="L1025" i="1"/>
  <c r="T1024" i="1"/>
  <c r="R1024" i="1"/>
  <c r="L1024" i="1"/>
  <c r="T1023" i="1"/>
  <c r="R1023" i="1"/>
  <c r="L1023" i="1"/>
  <c r="R1022" i="1"/>
  <c r="L1022" i="1"/>
  <c r="T1021" i="1"/>
  <c r="R1021" i="1"/>
  <c r="L1021" i="1"/>
  <c r="R1020" i="1"/>
  <c r="L1020" i="1"/>
  <c r="T1019" i="1"/>
  <c r="R1019" i="1"/>
  <c r="L1019" i="1"/>
  <c r="T1018" i="1"/>
  <c r="R1018" i="1"/>
  <c r="L1018" i="1"/>
  <c r="R1017" i="1"/>
  <c r="L1017" i="1"/>
  <c r="R1016" i="1"/>
  <c r="L1016" i="1"/>
  <c r="T1015" i="1"/>
  <c r="R1015" i="1"/>
  <c r="K1015" i="1"/>
  <c r="L1015" i="1" s="1"/>
  <c r="T1014" i="1"/>
  <c r="R1014" i="1"/>
  <c r="K1014" i="1"/>
  <c r="L1014" i="1" s="1"/>
  <c r="T1013" i="1"/>
  <c r="R1013" i="1"/>
  <c r="K1013" i="1"/>
  <c r="L1013" i="1" s="1"/>
  <c r="T1012" i="1"/>
  <c r="R1012" i="1"/>
  <c r="K1012" i="1"/>
  <c r="L1012" i="1" s="1"/>
  <c r="T1011" i="1"/>
  <c r="R1011" i="1"/>
  <c r="K1011" i="1"/>
  <c r="L1011" i="1" s="1"/>
  <c r="T1010" i="1"/>
  <c r="R1010" i="1"/>
  <c r="K1010" i="1"/>
  <c r="L1010" i="1" s="1"/>
  <c r="T1009" i="1"/>
  <c r="R1009" i="1"/>
  <c r="K1009" i="1"/>
  <c r="L1009" i="1" s="1"/>
  <c r="T1008" i="1"/>
  <c r="R1008" i="1"/>
  <c r="K1008" i="1"/>
  <c r="L1008" i="1" s="1"/>
  <c r="T1007" i="1"/>
  <c r="R1007" i="1"/>
  <c r="K1007" i="1"/>
  <c r="L1007" i="1" s="1"/>
  <c r="T1006" i="1"/>
  <c r="R1006" i="1"/>
  <c r="L1006" i="1"/>
  <c r="R1005" i="1"/>
  <c r="L1005" i="1"/>
  <c r="R1004" i="1"/>
  <c r="L1004" i="1"/>
  <c r="T1003" i="1"/>
  <c r="R1003" i="1"/>
  <c r="L1003" i="1"/>
  <c r="T1002" i="1"/>
  <c r="R1002" i="1"/>
  <c r="L1002" i="1"/>
  <c r="T1001" i="1"/>
  <c r="R1001" i="1"/>
  <c r="L1001" i="1"/>
  <c r="T1000" i="1"/>
  <c r="R1000" i="1"/>
  <c r="L1000" i="1"/>
  <c r="R999" i="1"/>
  <c r="O999" i="1"/>
  <c r="L999" i="1"/>
  <c r="T998" i="1"/>
  <c r="R998" i="1"/>
  <c r="L998" i="1"/>
  <c r="T997" i="1"/>
  <c r="R997" i="1"/>
  <c r="L997" i="1"/>
  <c r="R996" i="1"/>
  <c r="L996" i="1"/>
  <c r="R995" i="1"/>
  <c r="L995" i="1"/>
  <c r="R994" i="1"/>
  <c r="O994" i="1"/>
  <c r="L994" i="1"/>
  <c r="T993" i="1"/>
  <c r="R993" i="1"/>
  <c r="L993" i="1"/>
  <c r="R992" i="1"/>
  <c r="L992" i="1"/>
  <c r="R991" i="1"/>
  <c r="L991" i="1"/>
  <c r="R990" i="1"/>
  <c r="L990" i="1"/>
  <c r="R989" i="1"/>
  <c r="L989" i="1"/>
  <c r="R988" i="1"/>
  <c r="L988" i="1"/>
  <c r="R987" i="1"/>
  <c r="L987" i="1"/>
  <c r="R986" i="1"/>
  <c r="L986" i="1"/>
  <c r="R985" i="1"/>
  <c r="L985" i="1"/>
  <c r="R984" i="1"/>
  <c r="L984" i="1"/>
  <c r="R983" i="1"/>
  <c r="L983" i="1"/>
  <c r="R982" i="1"/>
  <c r="L982" i="1"/>
  <c r="R981" i="1"/>
  <c r="L981" i="1"/>
  <c r="R980" i="1"/>
  <c r="L980" i="1"/>
  <c r="R979" i="1"/>
  <c r="L979" i="1"/>
  <c r="R978" i="1"/>
  <c r="L978" i="1"/>
  <c r="R977" i="1"/>
  <c r="L977" i="1"/>
  <c r="R976" i="1"/>
  <c r="L976" i="1"/>
  <c r="R975" i="1"/>
  <c r="L975" i="1"/>
  <c r="R974" i="1"/>
  <c r="L974" i="1"/>
  <c r="R973" i="1"/>
  <c r="L973" i="1"/>
  <c r="R972" i="1"/>
  <c r="L972" i="1"/>
  <c r="R971" i="1"/>
  <c r="L971" i="1"/>
  <c r="R970" i="1"/>
  <c r="L970" i="1"/>
  <c r="R969" i="1"/>
  <c r="L969" i="1"/>
  <c r="R968" i="1"/>
  <c r="L968" i="1"/>
  <c r="R967" i="1"/>
  <c r="L967" i="1"/>
  <c r="R966" i="1"/>
  <c r="L966" i="1"/>
  <c r="R965" i="1"/>
  <c r="L965" i="1"/>
  <c r="R964" i="1"/>
  <c r="L964" i="1"/>
  <c r="R963" i="1"/>
  <c r="L963" i="1"/>
  <c r="R962" i="1"/>
  <c r="L962" i="1"/>
  <c r="R961" i="1"/>
  <c r="L961" i="1"/>
  <c r="G961" i="1"/>
  <c r="T961" i="1" s="1"/>
  <c r="R960" i="1"/>
  <c r="L960" i="1"/>
  <c r="G960" i="1"/>
  <c r="T960" i="1" s="1"/>
  <c r="R959" i="1"/>
  <c r="L959" i="1"/>
  <c r="G959" i="1"/>
  <c r="T959" i="1" s="1"/>
  <c r="R958" i="1"/>
  <c r="L958" i="1"/>
  <c r="G958" i="1"/>
  <c r="T958" i="1" s="1"/>
  <c r="T957" i="1"/>
  <c r="R957" i="1"/>
  <c r="L957" i="1"/>
  <c r="T956" i="1"/>
  <c r="R956" i="1"/>
  <c r="K956" i="1"/>
  <c r="L956" i="1" s="1"/>
  <c r="T955" i="1"/>
  <c r="R955" i="1"/>
  <c r="K955" i="1"/>
  <c r="L955" i="1" s="1"/>
  <c r="T954" i="1"/>
  <c r="R954" i="1"/>
  <c r="L954" i="1"/>
  <c r="R953" i="1"/>
  <c r="O953" i="1"/>
  <c r="L953" i="1"/>
  <c r="T952" i="1"/>
  <c r="R952" i="1"/>
  <c r="L952" i="1"/>
  <c r="T951" i="1"/>
  <c r="R951" i="1"/>
  <c r="L951" i="1"/>
  <c r="T950" i="1"/>
  <c r="R950" i="1"/>
  <c r="L950" i="1"/>
  <c r="T949" i="1"/>
  <c r="R949" i="1"/>
  <c r="L949" i="1"/>
  <c r="T948" i="1"/>
  <c r="R948" i="1"/>
  <c r="L948" i="1"/>
  <c r="T947" i="1"/>
  <c r="R947" i="1"/>
  <c r="L947" i="1"/>
  <c r="T946" i="1"/>
  <c r="R946" i="1"/>
  <c r="L946" i="1"/>
  <c r="T945" i="1"/>
  <c r="R945" i="1"/>
  <c r="L945" i="1"/>
  <c r="R944" i="1"/>
  <c r="O944" i="1"/>
  <c r="L944" i="1"/>
  <c r="R943" i="1"/>
  <c r="L943" i="1"/>
  <c r="T942" i="1"/>
  <c r="R942" i="1"/>
  <c r="K942" i="1"/>
  <c r="L942" i="1" s="1"/>
  <c r="T941" i="1"/>
  <c r="R941" i="1"/>
  <c r="L941" i="1"/>
  <c r="T940" i="1"/>
  <c r="R940" i="1"/>
  <c r="L940" i="1"/>
  <c r="T939" i="1"/>
  <c r="R939" i="1"/>
  <c r="L939" i="1"/>
  <c r="T938" i="1"/>
  <c r="R938" i="1"/>
  <c r="L938" i="1"/>
  <c r="T937" i="1"/>
  <c r="R937" i="1"/>
  <c r="K937" i="1"/>
  <c r="L937" i="1" s="1"/>
  <c r="T936" i="1"/>
  <c r="R936" i="1"/>
  <c r="L936" i="1"/>
  <c r="T935" i="1"/>
  <c r="R935" i="1"/>
  <c r="L935" i="1"/>
  <c r="T934" i="1"/>
  <c r="R934" i="1"/>
  <c r="L934" i="1"/>
  <c r="T933" i="1"/>
  <c r="R933" i="1"/>
  <c r="L933" i="1"/>
  <c r="T932" i="1"/>
  <c r="R932" i="1"/>
  <c r="L932" i="1"/>
  <c r="T931" i="1"/>
  <c r="R931" i="1"/>
  <c r="L931" i="1"/>
  <c r="T930" i="1"/>
  <c r="R930" i="1"/>
  <c r="L930" i="1"/>
  <c r="T929" i="1"/>
  <c r="R929" i="1"/>
  <c r="L929" i="1"/>
  <c r="T928" i="1"/>
  <c r="R928" i="1"/>
  <c r="L928" i="1"/>
  <c r="R927" i="1"/>
  <c r="L927" i="1"/>
  <c r="R926" i="1"/>
  <c r="O926" i="1"/>
  <c r="L926" i="1"/>
  <c r="R925" i="1"/>
  <c r="O925" i="1"/>
  <c r="L925" i="1"/>
  <c r="R924" i="1"/>
  <c r="O924" i="1"/>
  <c r="L924" i="1"/>
  <c r="R923" i="1"/>
  <c r="O923" i="1"/>
  <c r="L923" i="1"/>
  <c r="R922" i="1"/>
  <c r="O922" i="1"/>
  <c r="L922" i="1"/>
  <c r="R921" i="1"/>
  <c r="O921" i="1"/>
  <c r="L921" i="1"/>
  <c r="R920" i="1"/>
  <c r="O920" i="1"/>
  <c r="L920" i="1"/>
  <c r="R919" i="1"/>
  <c r="O919" i="1"/>
  <c r="L919" i="1"/>
  <c r="R918" i="1"/>
  <c r="O918" i="1"/>
  <c r="L918" i="1"/>
  <c r="R917" i="1"/>
  <c r="O917" i="1"/>
  <c r="L917" i="1"/>
  <c r="R916" i="1"/>
  <c r="O916" i="1"/>
  <c r="K916" i="1"/>
  <c r="L916" i="1" s="1"/>
  <c r="R915" i="1"/>
  <c r="O915" i="1"/>
  <c r="L915" i="1"/>
  <c r="R914" i="1"/>
  <c r="O914" i="1"/>
  <c r="L914" i="1"/>
  <c r="R913" i="1"/>
  <c r="O913" i="1"/>
  <c r="L913" i="1"/>
  <c r="T912" i="1"/>
  <c r="R912" i="1"/>
  <c r="K912" i="1"/>
  <c r="L912" i="1" s="1"/>
  <c r="T911" i="1"/>
  <c r="R911" i="1"/>
  <c r="L911" i="1"/>
  <c r="T910" i="1"/>
  <c r="R910" i="1"/>
  <c r="L910" i="1"/>
  <c r="T909" i="1"/>
  <c r="R909" i="1"/>
  <c r="K909" i="1"/>
  <c r="L909" i="1" s="1"/>
  <c r="T908" i="1"/>
  <c r="R908" i="1"/>
  <c r="K908" i="1"/>
  <c r="L908" i="1" s="1"/>
  <c r="T907" i="1"/>
  <c r="R907" i="1"/>
  <c r="K907" i="1"/>
  <c r="L907" i="1" s="1"/>
  <c r="T906" i="1"/>
  <c r="R906" i="1"/>
  <c r="K906" i="1"/>
  <c r="L906" i="1" s="1"/>
  <c r="T905" i="1"/>
  <c r="R905" i="1"/>
  <c r="L905" i="1"/>
  <c r="T904" i="1"/>
  <c r="R904" i="1"/>
  <c r="L904" i="1"/>
  <c r="T903" i="1"/>
  <c r="R903" i="1"/>
  <c r="L903" i="1"/>
  <c r="T902" i="1"/>
  <c r="R902" i="1"/>
  <c r="L902" i="1"/>
  <c r="T901" i="1"/>
  <c r="R901" i="1"/>
  <c r="L901" i="1"/>
  <c r="T900" i="1"/>
  <c r="R900" i="1"/>
  <c r="K900" i="1"/>
  <c r="L900" i="1" s="1"/>
  <c r="T899" i="1"/>
  <c r="R899" i="1"/>
  <c r="L899" i="1"/>
  <c r="T898" i="1"/>
  <c r="R898" i="1"/>
  <c r="L898" i="1"/>
  <c r="T897" i="1"/>
  <c r="R897" i="1"/>
  <c r="L897" i="1"/>
  <c r="T896" i="1"/>
  <c r="R896" i="1"/>
  <c r="L896" i="1"/>
  <c r="T895" i="1"/>
  <c r="R895" i="1"/>
  <c r="L895" i="1"/>
  <c r="T894" i="1"/>
  <c r="R894" i="1"/>
  <c r="L894" i="1"/>
  <c r="T893" i="1"/>
  <c r="R893" i="1"/>
  <c r="L893" i="1"/>
  <c r="T892" i="1"/>
  <c r="R892" i="1"/>
  <c r="L892" i="1"/>
  <c r="R891" i="1"/>
  <c r="O891" i="1"/>
  <c r="K891" i="1"/>
  <c r="L891" i="1" s="1"/>
  <c r="R890" i="1"/>
  <c r="O890" i="1"/>
  <c r="K890" i="1"/>
  <c r="L890" i="1" s="1"/>
  <c r="R889" i="1"/>
  <c r="O889" i="1"/>
  <c r="K889" i="1"/>
  <c r="L889" i="1" s="1"/>
  <c r="R888" i="1"/>
  <c r="O888" i="1"/>
  <c r="L888" i="1"/>
  <c r="R887" i="1"/>
  <c r="L887" i="1"/>
  <c r="R886" i="1"/>
  <c r="L886" i="1"/>
  <c r="R885" i="1"/>
  <c r="L885" i="1"/>
  <c r="T884" i="1"/>
  <c r="R884" i="1"/>
  <c r="L884" i="1"/>
  <c r="T883" i="1"/>
  <c r="R883" i="1"/>
  <c r="L883" i="1"/>
  <c r="T882" i="1"/>
  <c r="R882" i="1"/>
  <c r="K882" i="1"/>
  <c r="L882" i="1" s="1"/>
  <c r="T881" i="1"/>
  <c r="R881" i="1"/>
  <c r="K881" i="1"/>
  <c r="L881" i="1" s="1"/>
  <c r="T880" i="1"/>
  <c r="R880" i="1"/>
  <c r="L880" i="1"/>
  <c r="T879" i="1"/>
  <c r="R879" i="1"/>
  <c r="L879" i="1"/>
  <c r="T878" i="1"/>
  <c r="R878" i="1"/>
  <c r="L878" i="1"/>
  <c r="T877" i="1"/>
  <c r="R877" i="1"/>
  <c r="L877" i="1"/>
  <c r="T876" i="1"/>
  <c r="R876" i="1"/>
  <c r="L876" i="1"/>
  <c r="T875" i="1"/>
  <c r="R875" i="1"/>
  <c r="O875" i="1"/>
  <c r="L875" i="1"/>
  <c r="T874" i="1"/>
  <c r="R874" i="1"/>
  <c r="O874" i="1"/>
  <c r="L874" i="1"/>
  <c r="T873" i="1"/>
  <c r="R873" i="1"/>
  <c r="O873" i="1"/>
  <c r="L873" i="1"/>
  <c r="T872" i="1"/>
  <c r="R872" i="1"/>
  <c r="O872" i="1"/>
  <c r="L872" i="1"/>
  <c r="T871" i="1"/>
  <c r="R871" i="1"/>
  <c r="O871" i="1"/>
  <c r="L871" i="1"/>
  <c r="T870" i="1"/>
  <c r="R870" i="1"/>
  <c r="O870" i="1"/>
  <c r="L870" i="1"/>
  <c r="T869" i="1"/>
  <c r="R869" i="1"/>
  <c r="O869" i="1"/>
  <c r="L869" i="1"/>
  <c r="T868" i="1"/>
  <c r="R868" i="1"/>
  <c r="O868" i="1"/>
  <c r="L868" i="1"/>
  <c r="T867" i="1"/>
  <c r="R867" i="1"/>
  <c r="O867" i="1"/>
  <c r="L867" i="1"/>
  <c r="T866" i="1"/>
  <c r="R866" i="1"/>
  <c r="O866" i="1"/>
  <c r="L866" i="1"/>
  <c r="T865" i="1"/>
  <c r="R865" i="1"/>
  <c r="O865" i="1"/>
  <c r="L865" i="1"/>
  <c r="T864" i="1"/>
  <c r="R864" i="1"/>
  <c r="O864" i="1"/>
  <c r="L864" i="1"/>
  <c r="T863" i="1"/>
  <c r="R863" i="1"/>
  <c r="O863" i="1"/>
  <c r="L863" i="1"/>
  <c r="T862" i="1"/>
  <c r="R862" i="1"/>
  <c r="O862" i="1"/>
  <c r="L862" i="1"/>
  <c r="T861" i="1"/>
  <c r="R861" i="1"/>
  <c r="O861" i="1"/>
  <c r="L861" i="1"/>
  <c r="T860" i="1"/>
  <c r="R860" i="1"/>
  <c r="O860" i="1"/>
  <c r="L860" i="1"/>
  <c r="T859" i="1"/>
  <c r="R859" i="1"/>
  <c r="O859" i="1"/>
  <c r="L859" i="1"/>
  <c r="T858" i="1"/>
  <c r="R858" i="1"/>
  <c r="L858" i="1"/>
  <c r="T857" i="1"/>
  <c r="R857" i="1"/>
  <c r="L857" i="1"/>
  <c r="T856" i="1"/>
  <c r="R856" i="1"/>
  <c r="L856" i="1"/>
  <c r="T855" i="1"/>
  <c r="R855" i="1"/>
  <c r="L855" i="1"/>
  <c r="T854" i="1"/>
  <c r="R854" i="1"/>
  <c r="L854" i="1"/>
  <c r="R853" i="1"/>
  <c r="L853" i="1"/>
  <c r="T852" i="1"/>
  <c r="R852" i="1"/>
  <c r="L852" i="1"/>
  <c r="T851" i="1"/>
  <c r="R851" i="1"/>
  <c r="L851" i="1"/>
  <c r="T850" i="1"/>
  <c r="R850" i="1"/>
  <c r="L850" i="1"/>
  <c r="T849" i="1"/>
  <c r="R849" i="1"/>
  <c r="L849" i="1"/>
  <c r="T848" i="1"/>
  <c r="R848" i="1"/>
  <c r="L848" i="1"/>
  <c r="T847" i="1"/>
  <c r="R847" i="1"/>
  <c r="L847" i="1"/>
  <c r="T846" i="1"/>
  <c r="R846" i="1"/>
  <c r="L846" i="1"/>
  <c r="T845" i="1"/>
  <c r="R845" i="1"/>
  <c r="L845" i="1"/>
  <c r="T844" i="1"/>
  <c r="R844" i="1"/>
  <c r="L844" i="1"/>
  <c r="T843" i="1"/>
  <c r="R843" i="1"/>
  <c r="L843" i="1"/>
  <c r="T842" i="1"/>
  <c r="R842" i="1"/>
  <c r="L842" i="1"/>
  <c r="T841" i="1"/>
  <c r="R841" i="1"/>
  <c r="L841" i="1"/>
  <c r="T840" i="1"/>
  <c r="R840" i="1"/>
  <c r="L840" i="1"/>
  <c r="T839" i="1"/>
  <c r="R839" i="1"/>
  <c r="L839" i="1"/>
  <c r="T838" i="1"/>
  <c r="R838" i="1"/>
  <c r="L838" i="1"/>
  <c r="T837" i="1"/>
  <c r="R837" i="1"/>
  <c r="L837" i="1"/>
  <c r="T836" i="1"/>
  <c r="R836" i="1"/>
  <c r="L836" i="1"/>
  <c r="T835" i="1"/>
  <c r="R835" i="1"/>
  <c r="L835" i="1"/>
  <c r="T834" i="1"/>
  <c r="R834" i="1"/>
  <c r="L834" i="1"/>
  <c r="T833" i="1"/>
  <c r="R833" i="1"/>
  <c r="L833" i="1"/>
  <c r="R832" i="1"/>
  <c r="L832" i="1"/>
  <c r="T831" i="1"/>
  <c r="R831" i="1"/>
  <c r="L831" i="1"/>
  <c r="T830" i="1"/>
  <c r="R830" i="1"/>
  <c r="L830" i="1"/>
  <c r="T829" i="1"/>
  <c r="R829" i="1"/>
  <c r="L829" i="1"/>
  <c r="T828" i="1"/>
  <c r="R828" i="1"/>
  <c r="L828" i="1"/>
  <c r="T827" i="1"/>
  <c r="R827" i="1"/>
  <c r="L827" i="1"/>
  <c r="T826" i="1"/>
  <c r="R826" i="1"/>
  <c r="L826" i="1"/>
  <c r="T825" i="1"/>
  <c r="R825" i="1"/>
  <c r="L825" i="1"/>
  <c r="T824" i="1"/>
  <c r="R824" i="1"/>
  <c r="L824" i="1"/>
  <c r="T823" i="1"/>
  <c r="R823" i="1"/>
  <c r="L823" i="1"/>
  <c r="T822" i="1"/>
  <c r="R822" i="1"/>
  <c r="L822" i="1"/>
  <c r="T821" i="1"/>
  <c r="R821" i="1"/>
  <c r="L821" i="1"/>
  <c r="T820" i="1"/>
  <c r="R820" i="1"/>
  <c r="L820" i="1"/>
  <c r="T819" i="1"/>
  <c r="R819" i="1"/>
  <c r="L819" i="1"/>
  <c r="R818" i="1"/>
  <c r="L818" i="1"/>
  <c r="R817" i="1"/>
  <c r="O817" i="1"/>
  <c r="L817" i="1"/>
  <c r="R816" i="1"/>
  <c r="L816" i="1"/>
  <c r="R815" i="1"/>
  <c r="O815" i="1"/>
  <c r="L815" i="1"/>
  <c r="R814" i="1"/>
  <c r="L814" i="1"/>
  <c r="R813" i="1"/>
  <c r="L813" i="1"/>
  <c r="R812" i="1"/>
  <c r="L812" i="1"/>
  <c r="R811" i="1"/>
  <c r="L811" i="1"/>
  <c r="R810" i="1"/>
  <c r="L810" i="1"/>
  <c r="T809" i="1"/>
  <c r="R809" i="1"/>
  <c r="L809" i="1"/>
  <c r="T808" i="1"/>
  <c r="R808" i="1"/>
  <c r="L808" i="1"/>
  <c r="T807" i="1"/>
  <c r="R807" i="1"/>
  <c r="K807" i="1"/>
  <c r="L807" i="1" s="1"/>
  <c r="T806" i="1"/>
  <c r="R806" i="1"/>
  <c r="L806" i="1"/>
  <c r="T805" i="1"/>
  <c r="R805" i="1"/>
  <c r="L805" i="1"/>
  <c r="T804" i="1"/>
  <c r="R804" i="1"/>
  <c r="L804" i="1"/>
  <c r="T803" i="1"/>
  <c r="R803" i="1"/>
  <c r="L803" i="1"/>
  <c r="T802" i="1"/>
  <c r="R802" i="1"/>
  <c r="L802" i="1"/>
  <c r="T801" i="1"/>
  <c r="R801" i="1"/>
  <c r="L801" i="1"/>
  <c r="T800" i="1"/>
  <c r="R800" i="1"/>
  <c r="L800" i="1"/>
  <c r="T799" i="1"/>
  <c r="R799" i="1"/>
  <c r="L799" i="1"/>
  <c r="T798" i="1"/>
  <c r="R798" i="1"/>
  <c r="L798" i="1"/>
  <c r="T797" i="1"/>
  <c r="R797" i="1"/>
  <c r="L797" i="1"/>
  <c r="T796" i="1"/>
  <c r="R796" i="1"/>
  <c r="L796" i="1"/>
  <c r="T795" i="1"/>
  <c r="R795" i="1"/>
  <c r="L795" i="1"/>
  <c r="T794" i="1"/>
  <c r="R794" i="1"/>
  <c r="L794" i="1"/>
  <c r="T793" i="1"/>
  <c r="R793" i="1"/>
  <c r="L793" i="1"/>
  <c r="T792" i="1"/>
  <c r="R792" i="1"/>
  <c r="L792" i="1"/>
  <c r="T791" i="1"/>
  <c r="R791" i="1"/>
  <c r="L791" i="1"/>
  <c r="T790" i="1"/>
  <c r="R790" i="1"/>
  <c r="L790" i="1"/>
  <c r="T789" i="1"/>
  <c r="R789" i="1"/>
  <c r="L789" i="1"/>
  <c r="T788" i="1"/>
  <c r="R788" i="1"/>
  <c r="L788" i="1"/>
  <c r="T787" i="1"/>
  <c r="R787" i="1"/>
  <c r="L787" i="1"/>
  <c r="T786" i="1"/>
  <c r="R786" i="1"/>
  <c r="L786" i="1"/>
  <c r="T785" i="1"/>
  <c r="R785" i="1"/>
  <c r="L785" i="1"/>
  <c r="T784" i="1"/>
  <c r="R784" i="1"/>
  <c r="L784" i="1"/>
  <c r="T783" i="1"/>
  <c r="R783" i="1"/>
  <c r="L783" i="1"/>
  <c r="T782" i="1"/>
  <c r="R782" i="1"/>
  <c r="K782" i="1"/>
  <c r="L782" i="1" s="1"/>
  <c r="T781" i="1"/>
  <c r="R781" i="1"/>
  <c r="L781" i="1"/>
  <c r="T780" i="1"/>
  <c r="R780" i="1"/>
  <c r="L780" i="1"/>
  <c r="T779" i="1"/>
  <c r="R779" i="1"/>
  <c r="L779" i="1"/>
  <c r="T778" i="1"/>
  <c r="R778" i="1"/>
  <c r="L778" i="1"/>
  <c r="T777" i="1"/>
  <c r="R777" i="1"/>
  <c r="L777" i="1"/>
  <c r="T776" i="1"/>
  <c r="R776" i="1"/>
  <c r="L776" i="1"/>
  <c r="T775" i="1"/>
  <c r="R775" i="1"/>
  <c r="L775" i="1"/>
  <c r="T774" i="1"/>
  <c r="R774" i="1"/>
  <c r="L774" i="1"/>
  <c r="T773" i="1"/>
  <c r="R773" i="1"/>
  <c r="L773" i="1"/>
  <c r="T772" i="1"/>
  <c r="R772" i="1"/>
  <c r="L772" i="1"/>
  <c r="T771" i="1"/>
  <c r="R771" i="1"/>
  <c r="L771" i="1"/>
  <c r="T770" i="1"/>
  <c r="R770" i="1"/>
  <c r="L770" i="1"/>
  <c r="T769" i="1"/>
  <c r="R769" i="1"/>
  <c r="L769" i="1"/>
  <c r="T768" i="1"/>
  <c r="R768" i="1"/>
  <c r="L768" i="1"/>
  <c r="T767" i="1"/>
  <c r="R767" i="1"/>
  <c r="L767" i="1"/>
  <c r="T766" i="1"/>
  <c r="R766" i="1"/>
  <c r="L766" i="1"/>
  <c r="R765" i="1"/>
  <c r="O765" i="1"/>
  <c r="L765" i="1"/>
  <c r="R764" i="1"/>
  <c r="O764" i="1"/>
  <c r="L764" i="1"/>
  <c r="T763" i="1"/>
  <c r="R763" i="1"/>
  <c r="L763" i="1"/>
  <c r="T762" i="1"/>
  <c r="R762" i="1"/>
  <c r="L762" i="1"/>
  <c r="T761" i="1"/>
  <c r="R761" i="1"/>
  <c r="L761" i="1"/>
  <c r="T760" i="1"/>
  <c r="R760" i="1"/>
  <c r="L760" i="1"/>
  <c r="T759" i="1"/>
  <c r="R759" i="1"/>
  <c r="L759" i="1"/>
  <c r="T758" i="1"/>
  <c r="R758" i="1"/>
  <c r="L758" i="1"/>
  <c r="T757" i="1"/>
  <c r="R757" i="1"/>
  <c r="L757" i="1"/>
  <c r="T756" i="1"/>
  <c r="R756" i="1"/>
  <c r="L756" i="1"/>
  <c r="T755" i="1"/>
  <c r="R755" i="1"/>
  <c r="L755" i="1"/>
  <c r="T754" i="1"/>
  <c r="R754" i="1"/>
  <c r="K754" i="1"/>
  <c r="L754" i="1" s="1"/>
  <c r="T753" i="1"/>
  <c r="R753" i="1"/>
  <c r="L753" i="1"/>
  <c r="T752" i="1"/>
  <c r="R752" i="1"/>
  <c r="L752" i="1"/>
  <c r="T751" i="1"/>
  <c r="R751" i="1"/>
  <c r="L751" i="1"/>
  <c r="T750" i="1"/>
  <c r="R750" i="1"/>
  <c r="L750" i="1"/>
  <c r="T749" i="1"/>
  <c r="R749" i="1"/>
  <c r="L749" i="1"/>
  <c r="T748" i="1"/>
  <c r="R748" i="1"/>
  <c r="L748" i="1"/>
  <c r="T747" i="1"/>
  <c r="R747" i="1"/>
  <c r="L747" i="1"/>
  <c r="T746" i="1"/>
  <c r="R746" i="1"/>
  <c r="L746" i="1"/>
  <c r="T745" i="1"/>
  <c r="R745" i="1"/>
  <c r="L745" i="1"/>
  <c r="T744" i="1"/>
  <c r="R744" i="1"/>
  <c r="L744" i="1"/>
  <c r="T743" i="1"/>
  <c r="R743" i="1"/>
  <c r="L743" i="1"/>
  <c r="T742" i="1"/>
  <c r="R742" i="1"/>
  <c r="L742" i="1"/>
  <c r="T741" i="1"/>
  <c r="R741" i="1"/>
  <c r="L741" i="1"/>
  <c r="T740" i="1"/>
  <c r="R740" i="1"/>
  <c r="L740" i="1"/>
  <c r="T739" i="1"/>
  <c r="R739" i="1"/>
  <c r="L739" i="1"/>
  <c r="T738" i="1"/>
  <c r="R738" i="1"/>
  <c r="L738" i="1"/>
  <c r="R737" i="1"/>
  <c r="K737" i="1"/>
  <c r="L737" i="1" s="1"/>
  <c r="R736" i="1"/>
  <c r="L736" i="1"/>
  <c r="R735" i="1"/>
  <c r="L735" i="1"/>
  <c r="R734" i="1"/>
  <c r="L734" i="1"/>
  <c r="R733" i="1"/>
  <c r="L733" i="1"/>
  <c r="R732" i="1"/>
  <c r="O732" i="1"/>
  <c r="L732" i="1"/>
  <c r="R731" i="1"/>
  <c r="O731" i="1"/>
  <c r="L731" i="1"/>
  <c r="R730" i="1"/>
  <c r="O730" i="1"/>
  <c r="L730" i="1"/>
  <c r="R729" i="1"/>
  <c r="O729" i="1"/>
  <c r="L729" i="1"/>
  <c r="R728" i="1"/>
  <c r="O728" i="1"/>
  <c r="L728" i="1"/>
  <c r="R727" i="1"/>
  <c r="O727" i="1"/>
  <c r="L727" i="1"/>
  <c r="R726" i="1"/>
  <c r="O726" i="1"/>
  <c r="L726" i="1"/>
  <c r="R725" i="1"/>
  <c r="O725" i="1"/>
  <c r="L725" i="1"/>
  <c r="R724" i="1"/>
  <c r="O724" i="1"/>
  <c r="L724" i="1"/>
  <c r="R723" i="1"/>
  <c r="O723" i="1"/>
  <c r="L723" i="1"/>
  <c r="R722" i="1"/>
  <c r="O722" i="1"/>
  <c r="L722" i="1"/>
  <c r="R721" i="1"/>
  <c r="O721" i="1"/>
  <c r="L721" i="1"/>
  <c r="R720" i="1"/>
  <c r="O720" i="1"/>
  <c r="L720" i="1"/>
  <c r="T719" i="1"/>
  <c r="R719" i="1"/>
  <c r="O719" i="1"/>
  <c r="L719" i="1"/>
  <c r="R718" i="1"/>
  <c r="O718" i="1"/>
  <c r="L718" i="1"/>
  <c r="R717" i="1"/>
  <c r="O717" i="1"/>
  <c r="L717" i="1"/>
  <c r="R716" i="1"/>
  <c r="O716" i="1"/>
  <c r="L716" i="1"/>
  <c r="R715" i="1"/>
  <c r="L715" i="1"/>
  <c r="R714" i="1"/>
  <c r="L714" i="1"/>
  <c r="R713" i="1"/>
  <c r="L713" i="1"/>
  <c r="R712" i="1"/>
  <c r="L712" i="1"/>
  <c r="R711" i="1"/>
  <c r="L711" i="1"/>
  <c r="R710" i="1"/>
  <c r="L710" i="1"/>
  <c r="R709" i="1"/>
  <c r="L709" i="1"/>
  <c r="R708" i="1"/>
  <c r="L708" i="1"/>
  <c r="R707" i="1"/>
  <c r="L707" i="1"/>
  <c r="R706" i="1"/>
  <c r="L706" i="1"/>
  <c r="R705" i="1"/>
  <c r="L705" i="1"/>
  <c r="R704" i="1"/>
  <c r="L704" i="1"/>
  <c r="R703" i="1"/>
  <c r="L703" i="1"/>
  <c r="R702" i="1"/>
  <c r="L702" i="1"/>
  <c r="R701" i="1"/>
  <c r="L701" i="1"/>
  <c r="T700" i="1"/>
  <c r="R700" i="1"/>
  <c r="L700" i="1"/>
  <c r="T699" i="1"/>
  <c r="R699" i="1"/>
  <c r="L699" i="1"/>
  <c r="T698" i="1"/>
  <c r="R698" i="1"/>
  <c r="L698" i="1"/>
  <c r="T697" i="1"/>
  <c r="R697" i="1"/>
  <c r="L697" i="1"/>
  <c r="T696" i="1"/>
  <c r="R696" i="1"/>
  <c r="L696" i="1"/>
  <c r="T695" i="1"/>
  <c r="R695" i="1"/>
  <c r="L695" i="1"/>
  <c r="T694" i="1"/>
  <c r="R694" i="1"/>
  <c r="L694" i="1"/>
  <c r="T693" i="1"/>
  <c r="R693" i="1"/>
  <c r="L693" i="1"/>
  <c r="T692" i="1"/>
  <c r="R692" i="1"/>
  <c r="L692" i="1"/>
  <c r="T691" i="1"/>
  <c r="R691" i="1"/>
  <c r="L691" i="1"/>
  <c r="T690" i="1"/>
  <c r="R690" i="1"/>
  <c r="L690" i="1"/>
  <c r="T689" i="1"/>
  <c r="R689" i="1"/>
  <c r="L689" i="1"/>
  <c r="T688" i="1"/>
  <c r="R688" i="1"/>
  <c r="L688" i="1"/>
  <c r="T687" i="1"/>
  <c r="R687" i="1"/>
  <c r="L687" i="1"/>
  <c r="T686" i="1"/>
  <c r="R686" i="1"/>
  <c r="L686" i="1"/>
  <c r="T685" i="1"/>
  <c r="R685" i="1"/>
  <c r="L685" i="1"/>
  <c r="T684" i="1"/>
  <c r="R684" i="1"/>
  <c r="L684" i="1"/>
  <c r="T683" i="1"/>
  <c r="R683" i="1"/>
  <c r="L683" i="1"/>
  <c r="T682" i="1"/>
  <c r="R682" i="1"/>
  <c r="L682" i="1"/>
  <c r="T681" i="1"/>
  <c r="R681" i="1"/>
  <c r="L681" i="1"/>
  <c r="T680" i="1"/>
  <c r="R680" i="1"/>
  <c r="L680" i="1"/>
  <c r="T679" i="1"/>
  <c r="R679" i="1"/>
  <c r="L679" i="1"/>
  <c r="T678" i="1"/>
  <c r="R678" i="1"/>
  <c r="L678" i="1"/>
  <c r="T677" i="1"/>
  <c r="R677" i="1"/>
  <c r="L677" i="1"/>
  <c r="T676" i="1"/>
  <c r="R676" i="1"/>
  <c r="L676" i="1"/>
  <c r="T675" i="1"/>
  <c r="R675" i="1"/>
  <c r="L675" i="1"/>
  <c r="T674" i="1"/>
  <c r="R674" i="1"/>
  <c r="L674" i="1"/>
  <c r="T673" i="1"/>
  <c r="R673" i="1"/>
  <c r="L673" i="1"/>
  <c r="T672" i="1"/>
  <c r="R672" i="1"/>
  <c r="L672" i="1"/>
  <c r="T671" i="1"/>
  <c r="R671" i="1"/>
  <c r="L671" i="1"/>
  <c r="T670" i="1"/>
  <c r="R670" i="1"/>
  <c r="L670" i="1"/>
  <c r="T669" i="1"/>
  <c r="R669" i="1"/>
  <c r="L669" i="1"/>
  <c r="T668" i="1"/>
  <c r="R668" i="1"/>
  <c r="K668" i="1"/>
  <c r="L668" i="1" s="1"/>
  <c r="T667" i="1"/>
  <c r="R667" i="1"/>
  <c r="K667" i="1"/>
  <c r="L667" i="1" s="1"/>
  <c r="T666" i="1"/>
  <c r="R666" i="1"/>
  <c r="L666" i="1"/>
  <c r="T665" i="1"/>
  <c r="R665" i="1"/>
  <c r="L665" i="1"/>
  <c r="T664" i="1"/>
  <c r="R664" i="1"/>
  <c r="L664" i="1"/>
  <c r="T663" i="1"/>
  <c r="R663" i="1"/>
  <c r="L663" i="1"/>
  <c r="T662" i="1"/>
  <c r="R662" i="1"/>
  <c r="L662" i="1"/>
  <c r="T661" i="1"/>
  <c r="R661" i="1"/>
  <c r="L661" i="1"/>
  <c r="T660" i="1"/>
  <c r="R660" i="1"/>
  <c r="L660" i="1"/>
  <c r="T659" i="1"/>
  <c r="R659" i="1"/>
  <c r="L659" i="1"/>
  <c r="T658" i="1"/>
  <c r="R658" i="1"/>
  <c r="L658" i="1"/>
  <c r="T657" i="1"/>
  <c r="R657" i="1"/>
  <c r="L657" i="1"/>
  <c r="T656" i="1"/>
  <c r="R656" i="1"/>
  <c r="L656" i="1"/>
  <c r="T655" i="1"/>
  <c r="R655" i="1"/>
  <c r="L655" i="1"/>
  <c r="T654" i="1"/>
  <c r="R654" i="1"/>
  <c r="L654" i="1"/>
  <c r="T653" i="1"/>
  <c r="R653" i="1"/>
  <c r="L653" i="1"/>
  <c r="T652" i="1"/>
  <c r="R652" i="1"/>
  <c r="L652" i="1"/>
  <c r="T651" i="1"/>
  <c r="R651" i="1"/>
  <c r="L651" i="1"/>
  <c r="T650" i="1"/>
  <c r="R650" i="1"/>
  <c r="L650" i="1"/>
  <c r="T649" i="1"/>
  <c r="R649" i="1"/>
  <c r="L649" i="1"/>
  <c r="T648" i="1"/>
  <c r="R648" i="1"/>
  <c r="L648" i="1"/>
  <c r="R647" i="1"/>
  <c r="L647" i="1"/>
  <c r="T646" i="1"/>
  <c r="R646" i="1"/>
  <c r="L646" i="1"/>
  <c r="T645" i="1"/>
  <c r="R645" i="1"/>
  <c r="L645" i="1"/>
  <c r="T644" i="1"/>
  <c r="R644" i="1"/>
  <c r="L644" i="1"/>
  <c r="T643" i="1"/>
  <c r="R643" i="1"/>
  <c r="L643" i="1"/>
  <c r="T642" i="1"/>
  <c r="R642" i="1"/>
  <c r="L642" i="1"/>
  <c r="T641" i="1"/>
  <c r="R641" i="1"/>
  <c r="T640" i="1"/>
  <c r="R640" i="1"/>
  <c r="L640" i="1"/>
  <c r="R639" i="1"/>
  <c r="L639" i="1"/>
  <c r="R638" i="1"/>
  <c r="K638" i="1"/>
  <c r="L638" i="1" s="1"/>
  <c r="G638" i="1"/>
  <c r="T638" i="1" s="1"/>
  <c r="T637" i="1"/>
  <c r="R637" i="1"/>
  <c r="K637" i="1"/>
  <c r="L637" i="1" s="1"/>
  <c r="T636" i="1"/>
  <c r="R636" i="1"/>
  <c r="K636" i="1"/>
  <c r="L636" i="1" s="1"/>
  <c r="T635" i="1"/>
  <c r="R635" i="1"/>
  <c r="K635" i="1"/>
  <c r="L635" i="1" s="1"/>
  <c r="R634" i="1"/>
  <c r="L634" i="1"/>
  <c r="R633" i="1"/>
  <c r="L633" i="1"/>
  <c r="T632" i="1"/>
  <c r="R632" i="1"/>
  <c r="L632" i="1"/>
  <c r="T631" i="1"/>
  <c r="R631" i="1"/>
  <c r="L631" i="1"/>
  <c r="T630" i="1"/>
  <c r="R630" i="1"/>
  <c r="L630" i="1"/>
  <c r="T629" i="1"/>
  <c r="R629" i="1"/>
  <c r="L629" i="1"/>
  <c r="T628" i="1"/>
  <c r="R628" i="1"/>
  <c r="L628" i="1"/>
  <c r="T627" i="1"/>
  <c r="R627" i="1"/>
  <c r="L627" i="1"/>
  <c r="T626" i="1"/>
  <c r="R626" i="1"/>
  <c r="L626" i="1"/>
  <c r="R625" i="1"/>
  <c r="O625" i="1"/>
  <c r="L625" i="1"/>
  <c r="R624" i="1"/>
  <c r="L624" i="1"/>
  <c r="R623" i="1"/>
  <c r="L623" i="1"/>
  <c r="R622" i="1"/>
  <c r="L622" i="1"/>
  <c r="T621" i="1"/>
  <c r="R621" i="1"/>
  <c r="O621" i="1"/>
  <c r="L621" i="1"/>
  <c r="T620" i="1"/>
  <c r="R620" i="1"/>
  <c r="O620" i="1"/>
  <c r="L620" i="1"/>
  <c r="T619" i="1"/>
  <c r="R619" i="1"/>
  <c r="O619" i="1"/>
  <c r="L619" i="1"/>
  <c r="T618" i="1"/>
  <c r="R618" i="1"/>
  <c r="O618" i="1"/>
  <c r="L618" i="1"/>
  <c r="T617" i="1"/>
  <c r="R617" i="1"/>
  <c r="O617" i="1"/>
  <c r="L617" i="1"/>
  <c r="T616" i="1"/>
  <c r="R616" i="1"/>
  <c r="O616" i="1"/>
  <c r="L616" i="1"/>
  <c r="T615" i="1"/>
  <c r="R615" i="1"/>
  <c r="L615" i="1"/>
  <c r="T614" i="1"/>
  <c r="R614" i="1"/>
  <c r="L614" i="1"/>
  <c r="T613" i="1"/>
  <c r="R613" i="1"/>
  <c r="L613" i="1"/>
  <c r="R612" i="1"/>
  <c r="L612" i="1"/>
  <c r="G612" i="1"/>
  <c r="T612" i="1" s="1"/>
  <c r="T611" i="1"/>
  <c r="R611" i="1"/>
  <c r="L611" i="1"/>
  <c r="T610" i="1"/>
  <c r="R610" i="1"/>
  <c r="L610" i="1"/>
  <c r="T609" i="1"/>
  <c r="R609" i="1"/>
  <c r="L609" i="1"/>
  <c r="T608" i="1"/>
  <c r="R608" i="1"/>
  <c r="L608" i="1"/>
  <c r="T607" i="1"/>
  <c r="R607" i="1"/>
  <c r="L607" i="1"/>
  <c r="T606" i="1"/>
  <c r="R606" i="1"/>
  <c r="L606" i="1"/>
  <c r="T605" i="1"/>
  <c r="R605" i="1"/>
  <c r="L605" i="1"/>
  <c r="T604" i="1"/>
  <c r="R604" i="1"/>
  <c r="L604" i="1"/>
  <c r="T603" i="1"/>
  <c r="R603" i="1"/>
  <c r="L603" i="1"/>
  <c r="T602" i="1"/>
  <c r="R602" i="1"/>
  <c r="L602" i="1"/>
  <c r="T601" i="1"/>
  <c r="R601" i="1"/>
  <c r="L601" i="1"/>
  <c r="T600" i="1"/>
  <c r="R600" i="1"/>
  <c r="L600" i="1"/>
  <c r="T599" i="1"/>
  <c r="R599" i="1"/>
  <c r="L599" i="1"/>
  <c r="T598" i="1"/>
  <c r="R598" i="1"/>
  <c r="L598" i="1"/>
  <c r="T597" i="1"/>
  <c r="R597" i="1"/>
  <c r="L597" i="1"/>
  <c r="T596" i="1"/>
  <c r="R596" i="1"/>
  <c r="L596" i="1"/>
  <c r="T595" i="1"/>
  <c r="R595" i="1"/>
  <c r="L595" i="1"/>
  <c r="T594" i="1"/>
  <c r="R594" i="1"/>
  <c r="L594" i="1"/>
  <c r="T593" i="1"/>
  <c r="R593" i="1"/>
  <c r="L593" i="1"/>
  <c r="T592" i="1"/>
  <c r="R592" i="1"/>
  <c r="L592" i="1"/>
  <c r="T591" i="1"/>
  <c r="R591" i="1"/>
  <c r="L591" i="1"/>
  <c r="T590" i="1"/>
  <c r="R590" i="1"/>
  <c r="L590" i="1"/>
  <c r="T589" i="1"/>
  <c r="R589" i="1"/>
  <c r="L589" i="1"/>
  <c r="T588" i="1"/>
  <c r="R588" i="1"/>
  <c r="K588" i="1"/>
  <c r="L588" i="1" s="1"/>
  <c r="T587" i="1"/>
  <c r="R587" i="1"/>
  <c r="K587" i="1"/>
  <c r="L587" i="1" s="1"/>
  <c r="T586" i="1"/>
  <c r="R586" i="1"/>
  <c r="K586" i="1"/>
  <c r="L586" i="1" s="1"/>
  <c r="T585" i="1"/>
  <c r="R585" i="1"/>
  <c r="K585" i="1"/>
  <c r="L585" i="1" s="1"/>
  <c r="T584" i="1"/>
  <c r="R584" i="1"/>
  <c r="L584" i="1"/>
  <c r="T583" i="1"/>
  <c r="R583" i="1"/>
  <c r="L583" i="1"/>
  <c r="T582" i="1"/>
  <c r="R582" i="1"/>
  <c r="L582" i="1"/>
  <c r="T581" i="1"/>
  <c r="R581" i="1"/>
  <c r="L581" i="1"/>
  <c r="T580" i="1"/>
  <c r="R580" i="1"/>
  <c r="L580" i="1"/>
  <c r="T579" i="1"/>
  <c r="R579" i="1"/>
  <c r="L579" i="1"/>
  <c r="T578" i="1"/>
  <c r="R578" i="1"/>
  <c r="L578" i="1"/>
  <c r="T577" i="1"/>
  <c r="R577" i="1"/>
  <c r="L577" i="1"/>
  <c r="T576" i="1"/>
  <c r="R576" i="1"/>
  <c r="L576" i="1"/>
  <c r="T575" i="1"/>
  <c r="R575" i="1"/>
  <c r="L575" i="1"/>
  <c r="T574" i="1"/>
  <c r="R574" i="1"/>
  <c r="L574" i="1"/>
  <c r="T573" i="1"/>
  <c r="R573" i="1"/>
  <c r="L573" i="1"/>
  <c r="T572" i="1"/>
  <c r="R572" i="1"/>
  <c r="L572" i="1"/>
  <c r="T571" i="1"/>
  <c r="R571" i="1"/>
  <c r="L571" i="1"/>
  <c r="T570" i="1"/>
  <c r="R570" i="1"/>
  <c r="L570" i="1"/>
  <c r="T569" i="1"/>
  <c r="R569" i="1"/>
  <c r="L569" i="1"/>
  <c r="T568" i="1"/>
  <c r="R568" i="1"/>
  <c r="L568" i="1"/>
  <c r="T567" i="1"/>
  <c r="R567" i="1"/>
  <c r="L567" i="1"/>
  <c r="T566" i="1"/>
  <c r="R566" i="1"/>
  <c r="L566" i="1"/>
  <c r="T565" i="1"/>
  <c r="R565" i="1"/>
  <c r="L565" i="1"/>
  <c r="T564" i="1"/>
  <c r="R564" i="1"/>
  <c r="L564" i="1"/>
  <c r="T563" i="1"/>
  <c r="R563" i="1"/>
  <c r="L563" i="1"/>
  <c r="T562" i="1"/>
  <c r="R562" i="1"/>
  <c r="L562" i="1"/>
  <c r="T561" i="1"/>
  <c r="R561" i="1"/>
  <c r="L561" i="1"/>
  <c r="T560" i="1"/>
  <c r="R560" i="1"/>
  <c r="L560" i="1"/>
  <c r="T559" i="1"/>
  <c r="R559" i="1"/>
  <c r="L559" i="1"/>
  <c r="T558" i="1"/>
  <c r="R558" i="1"/>
  <c r="L558" i="1"/>
  <c r="T557" i="1"/>
  <c r="R557" i="1"/>
  <c r="L557" i="1"/>
  <c r="T556" i="1"/>
  <c r="R556" i="1"/>
  <c r="L556" i="1"/>
  <c r="T555" i="1"/>
  <c r="R555" i="1"/>
  <c r="L555" i="1"/>
  <c r="T554" i="1"/>
  <c r="R554" i="1"/>
  <c r="L554" i="1"/>
  <c r="T553" i="1"/>
  <c r="R553" i="1"/>
  <c r="L553" i="1"/>
  <c r="T552" i="1"/>
  <c r="R552" i="1"/>
  <c r="L552" i="1"/>
  <c r="T551" i="1"/>
  <c r="R551" i="1"/>
  <c r="L551" i="1"/>
  <c r="T550" i="1"/>
  <c r="R550" i="1"/>
  <c r="L550" i="1"/>
  <c r="T549" i="1"/>
  <c r="R549" i="1"/>
  <c r="L549" i="1"/>
  <c r="T548" i="1"/>
  <c r="R548" i="1"/>
  <c r="L548" i="1"/>
  <c r="T547" i="1"/>
  <c r="R547" i="1"/>
  <c r="L547" i="1"/>
  <c r="T546" i="1"/>
  <c r="R546" i="1"/>
  <c r="L546" i="1"/>
  <c r="T545" i="1"/>
  <c r="R545" i="1"/>
  <c r="L545" i="1"/>
  <c r="R544" i="1"/>
  <c r="L544" i="1"/>
  <c r="R543" i="1"/>
  <c r="L543" i="1"/>
  <c r="R542" i="1"/>
  <c r="L542" i="1"/>
  <c r="R541" i="1"/>
  <c r="L541" i="1"/>
  <c r="T540" i="1"/>
  <c r="R540" i="1"/>
  <c r="L540" i="1"/>
  <c r="T539" i="1"/>
  <c r="R539" i="1"/>
  <c r="L539" i="1"/>
  <c r="T538" i="1"/>
  <c r="R538" i="1"/>
  <c r="L538" i="1"/>
  <c r="T537" i="1"/>
  <c r="R537" i="1"/>
  <c r="L537" i="1"/>
  <c r="T536" i="1"/>
  <c r="R536" i="1"/>
  <c r="L536" i="1"/>
  <c r="T535" i="1"/>
  <c r="R535" i="1"/>
  <c r="L535" i="1"/>
  <c r="T534" i="1"/>
  <c r="R534" i="1"/>
  <c r="L534" i="1"/>
  <c r="T533" i="1"/>
  <c r="R533" i="1"/>
  <c r="L533" i="1"/>
  <c r="R532" i="1"/>
  <c r="L532" i="1"/>
  <c r="G532" i="1"/>
  <c r="T532" i="1" s="1"/>
  <c r="T531" i="1"/>
  <c r="R531" i="1"/>
  <c r="L531" i="1"/>
  <c r="T530" i="1"/>
  <c r="R530" i="1"/>
  <c r="L530" i="1"/>
  <c r="T529" i="1"/>
  <c r="R529" i="1"/>
  <c r="L529" i="1"/>
  <c r="T528" i="1"/>
  <c r="R528" i="1"/>
  <c r="L528" i="1"/>
  <c r="T527" i="1"/>
  <c r="R527" i="1"/>
  <c r="L527" i="1"/>
  <c r="T526" i="1"/>
  <c r="R526" i="1"/>
  <c r="L526" i="1"/>
  <c r="T525" i="1"/>
  <c r="R525" i="1"/>
  <c r="L525" i="1"/>
  <c r="T524" i="1"/>
  <c r="R524" i="1"/>
  <c r="L524" i="1"/>
  <c r="T523" i="1"/>
  <c r="R523" i="1"/>
  <c r="L523" i="1"/>
  <c r="T522" i="1"/>
  <c r="R522" i="1"/>
  <c r="L522" i="1"/>
  <c r="T521" i="1"/>
  <c r="R521" i="1"/>
  <c r="L521" i="1"/>
  <c r="T520" i="1"/>
  <c r="R520" i="1"/>
  <c r="L520" i="1"/>
  <c r="T519" i="1"/>
  <c r="R519" i="1"/>
  <c r="L519" i="1"/>
  <c r="T518" i="1"/>
  <c r="R518" i="1"/>
  <c r="L518" i="1"/>
  <c r="R517" i="1"/>
  <c r="L517" i="1"/>
  <c r="T517" i="1" s="1"/>
  <c r="R516" i="1"/>
  <c r="L516" i="1"/>
  <c r="R515" i="1"/>
  <c r="L515" i="1"/>
  <c r="R514" i="1"/>
  <c r="L514" i="1"/>
  <c r="T513" i="1"/>
  <c r="R513" i="1"/>
  <c r="L513" i="1"/>
  <c r="T512" i="1"/>
  <c r="R512" i="1"/>
  <c r="L512" i="1"/>
  <c r="T511" i="1"/>
  <c r="R511" i="1"/>
  <c r="L511" i="1"/>
  <c r="T510" i="1"/>
  <c r="R510" i="1"/>
  <c r="L510" i="1"/>
  <c r="T509" i="1"/>
  <c r="R509" i="1"/>
  <c r="L509" i="1"/>
  <c r="T508" i="1"/>
  <c r="R508" i="1"/>
  <c r="O508" i="1"/>
  <c r="L508" i="1"/>
  <c r="T507" i="1"/>
  <c r="R507" i="1"/>
  <c r="O507" i="1"/>
  <c r="L507" i="1"/>
  <c r="T506" i="1"/>
  <c r="R506" i="1"/>
  <c r="L506" i="1"/>
  <c r="T505" i="1"/>
  <c r="R505" i="1"/>
  <c r="L505" i="1"/>
  <c r="T504" i="1"/>
  <c r="R504" i="1"/>
  <c r="L504" i="1"/>
  <c r="T503" i="1"/>
  <c r="R503" i="1"/>
  <c r="L503" i="1"/>
  <c r="T502" i="1"/>
  <c r="R502" i="1"/>
  <c r="L502" i="1"/>
  <c r="T501" i="1"/>
  <c r="R501" i="1"/>
  <c r="L501" i="1"/>
  <c r="T500" i="1"/>
  <c r="R500" i="1"/>
  <c r="L500" i="1"/>
  <c r="T499" i="1"/>
  <c r="R499" i="1"/>
  <c r="L499" i="1"/>
  <c r="T498" i="1"/>
  <c r="R498" i="1"/>
  <c r="L498" i="1"/>
  <c r="T497" i="1"/>
  <c r="R497" i="1"/>
  <c r="L497" i="1"/>
  <c r="T496" i="1"/>
  <c r="R496" i="1"/>
  <c r="L496" i="1"/>
  <c r="T495" i="1"/>
  <c r="R495" i="1"/>
  <c r="L495" i="1"/>
  <c r="R494" i="1"/>
  <c r="L494" i="1"/>
  <c r="R493" i="1"/>
  <c r="L493" i="1"/>
  <c r="T492" i="1"/>
  <c r="R492" i="1"/>
  <c r="L492" i="1"/>
  <c r="T491" i="1"/>
  <c r="R491" i="1"/>
  <c r="L491" i="1"/>
  <c r="T490" i="1"/>
  <c r="R490" i="1"/>
  <c r="L490" i="1"/>
  <c r="T489" i="1"/>
  <c r="R489" i="1"/>
  <c r="L489" i="1"/>
  <c r="T488" i="1"/>
  <c r="R488" i="1"/>
  <c r="L488" i="1"/>
  <c r="T487" i="1"/>
  <c r="R487" i="1"/>
  <c r="L487" i="1"/>
  <c r="T486" i="1"/>
  <c r="R486" i="1"/>
  <c r="L486" i="1"/>
  <c r="T485" i="1"/>
  <c r="R485" i="1"/>
  <c r="L485" i="1"/>
  <c r="T484" i="1"/>
  <c r="R484" i="1"/>
  <c r="K484" i="1"/>
  <c r="L484" i="1" s="1"/>
  <c r="T483" i="1"/>
  <c r="R483" i="1"/>
  <c r="L483" i="1"/>
  <c r="T482" i="1"/>
  <c r="R482" i="1"/>
  <c r="L482" i="1"/>
  <c r="T481" i="1"/>
  <c r="R481" i="1"/>
  <c r="L481" i="1"/>
  <c r="T480" i="1"/>
  <c r="R480" i="1"/>
  <c r="L480" i="1"/>
  <c r="T479" i="1"/>
  <c r="R479" i="1"/>
  <c r="L479" i="1"/>
  <c r="T478" i="1"/>
  <c r="R478" i="1"/>
  <c r="L478" i="1"/>
  <c r="T477" i="1"/>
  <c r="R477" i="1"/>
  <c r="L477" i="1"/>
  <c r="T476" i="1"/>
  <c r="R476" i="1"/>
  <c r="L476" i="1"/>
  <c r="T475" i="1"/>
  <c r="R475" i="1"/>
  <c r="L475" i="1"/>
  <c r="T474" i="1"/>
  <c r="R474" i="1"/>
  <c r="L474" i="1"/>
  <c r="T473" i="1"/>
  <c r="R473" i="1"/>
  <c r="L473" i="1"/>
  <c r="T472" i="1"/>
  <c r="R472" i="1"/>
  <c r="L472" i="1"/>
  <c r="T471" i="1"/>
  <c r="R471" i="1"/>
  <c r="L471" i="1"/>
  <c r="T470" i="1"/>
  <c r="R470" i="1"/>
  <c r="L470" i="1"/>
  <c r="T469" i="1"/>
  <c r="R469" i="1"/>
  <c r="L469" i="1"/>
  <c r="T468" i="1"/>
  <c r="R468" i="1"/>
  <c r="K468" i="1"/>
  <c r="L468" i="1" s="1"/>
  <c r="T467" i="1"/>
  <c r="R467" i="1"/>
  <c r="L467" i="1"/>
  <c r="T466" i="1"/>
  <c r="R466" i="1"/>
  <c r="L466" i="1"/>
  <c r="T465" i="1"/>
  <c r="R465" i="1"/>
  <c r="L465" i="1"/>
  <c r="T464" i="1"/>
  <c r="R464" i="1"/>
  <c r="L464" i="1"/>
  <c r="T463" i="1"/>
  <c r="R463" i="1"/>
  <c r="L463" i="1"/>
  <c r="T462" i="1"/>
  <c r="R462" i="1"/>
  <c r="L462" i="1"/>
  <c r="T461" i="1"/>
  <c r="R461" i="1"/>
  <c r="L461" i="1"/>
  <c r="T460" i="1"/>
  <c r="R460" i="1"/>
  <c r="L460" i="1"/>
  <c r="T459" i="1"/>
  <c r="R459" i="1"/>
  <c r="L459" i="1"/>
  <c r="T458" i="1"/>
  <c r="R458" i="1"/>
  <c r="L458" i="1"/>
  <c r="T457" i="1"/>
  <c r="R457" i="1"/>
  <c r="L457" i="1"/>
  <c r="AA456" i="1"/>
  <c r="T456" i="1"/>
  <c r="R456" i="1"/>
  <c r="L456" i="1"/>
  <c r="AA455" i="1"/>
  <c r="T455" i="1"/>
  <c r="R455" i="1"/>
  <c r="L455" i="1"/>
  <c r="T454" i="1"/>
  <c r="R454" i="1"/>
  <c r="L454" i="1"/>
  <c r="R453" i="1"/>
  <c r="L453" i="1"/>
  <c r="R452" i="1"/>
  <c r="O452" i="1"/>
  <c r="L452" i="1"/>
  <c r="R451" i="1"/>
  <c r="K451" i="1"/>
  <c r="L451" i="1" s="1"/>
  <c r="T450" i="1"/>
  <c r="R450" i="1"/>
  <c r="L450" i="1"/>
  <c r="T449" i="1"/>
  <c r="R449" i="1"/>
  <c r="L449" i="1"/>
  <c r="T448" i="1"/>
  <c r="R448" i="1"/>
  <c r="L448" i="1"/>
  <c r="T447" i="1"/>
  <c r="R447" i="1"/>
  <c r="L447" i="1"/>
  <c r="T446" i="1"/>
  <c r="R446" i="1"/>
  <c r="L446" i="1"/>
  <c r="T445" i="1"/>
  <c r="R445" i="1"/>
  <c r="L445" i="1"/>
  <c r="T444" i="1"/>
  <c r="R444" i="1"/>
  <c r="L444" i="1"/>
  <c r="T443" i="1"/>
  <c r="R443" i="1"/>
  <c r="L443" i="1"/>
  <c r="T442" i="1"/>
  <c r="R442" i="1"/>
  <c r="L442" i="1"/>
  <c r="T441" i="1"/>
  <c r="R441" i="1"/>
  <c r="L441" i="1"/>
  <c r="T440" i="1"/>
  <c r="R440" i="1"/>
  <c r="L440" i="1"/>
  <c r="T439" i="1"/>
  <c r="R439" i="1"/>
  <c r="L439" i="1"/>
  <c r="T438" i="1"/>
  <c r="R438" i="1"/>
  <c r="L438" i="1"/>
  <c r="T437" i="1"/>
  <c r="R437" i="1"/>
  <c r="L437" i="1"/>
  <c r="T436" i="1"/>
  <c r="R436" i="1"/>
  <c r="L436" i="1"/>
  <c r="T435" i="1"/>
  <c r="R435" i="1"/>
  <c r="L435" i="1"/>
  <c r="T434" i="1"/>
  <c r="R434" i="1"/>
  <c r="L434" i="1"/>
  <c r="T433" i="1"/>
  <c r="R433" i="1"/>
  <c r="L433" i="1"/>
  <c r="T432" i="1"/>
  <c r="R432" i="1"/>
  <c r="L432" i="1"/>
  <c r="T431" i="1"/>
  <c r="R431" i="1"/>
  <c r="L431" i="1"/>
  <c r="T430" i="1"/>
  <c r="R430" i="1"/>
  <c r="K430" i="1"/>
  <c r="L430" i="1" s="1"/>
  <c r="T429" i="1"/>
  <c r="R429" i="1"/>
  <c r="L429" i="1"/>
  <c r="T428" i="1"/>
  <c r="R428" i="1"/>
  <c r="K428" i="1"/>
  <c r="L428" i="1" s="1"/>
  <c r="T427" i="1"/>
  <c r="R427" i="1"/>
  <c r="L427" i="1"/>
  <c r="T426" i="1"/>
  <c r="R426" i="1"/>
  <c r="L426" i="1"/>
  <c r="T425" i="1"/>
  <c r="R425" i="1"/>
  <c r="L425" i="1"/>
  <c r="T424" i="1"/>
  <c r="R424" i="1"/>
  <c r="K424" i="1"/>
  <c r="L424" i="1" s="1"/>
  <c r="T423" i="1"/>
  <c r="R423" i="1"/>
  <c r="L423" i="1"/>
  <c r="T422" i="1"/>
  <c r="R422" i="1"/>
  <c r="L422" i="1"/>
  <c r="T421" i="1"/>
  <c r="R421" i="1"/>
  <c r="L421" i="1"/>
  <c r="T420" i="1"/>
  <c r="R420" i="1"/>
  <c r="L420" i="1"/>
  <c r="T419" i="1"/>
  <c r="R419" i="1"/>
  <c r="L419" i="1"/>
  <c r="T418" i="1"/>
  <c r="R418" i="1"/>
  <c r="L418" i="1"/>
  <c r="T417" i="1"/>
  <c r="R417" i="1"/>
  <c r="L417" i="1"/>
  <c r="T416" i="1"/>
  <c r="R416" i="1"/>
  <c r="L416" i="1"/>
  <c r="T415" i="1"/>
  <c r="R415" i="1"/>
  <c r="L415" i="1"/>
  <c r="T414" i="1"/>
  <c r="R414" i="1"/>
  <c r="L414" i="1"/>
  <c r="T413" i="1"/>
  <c r="R413" i="1"/>
  <c r="L413" i="1"/>
  <c r="T412" i="1"/>
  <c r="R412" i="1"/>
  <c r="L412" i="1"/>
  <c r="T411" i="1"/>
  <c r="R411" i="1"/>
  <c r="L411" i="1"/>
  <c r="T410" i="1"/>
  <c r="R410" i="1"/>
  <c r="L410" i="1"/>
  <c r="T409" i="1"/>
  <c r="R409" i="1"/>
  <c r="L409" i="1"/>
  <c r="T408" i="1"/>
  <c r="R408" i="1"/>
  <c r="L408" i="1"/>
  <c r="T407" i="1"/>
  <c r="R407" i="1"/>
  <c r="L407" i="1"/>
  <c r="T406" i="1"/>
  <c r="R406" i="1"/>
  <c r="L406" i="1"/>
  <c r="T405" i="1"/>
  <c r="R405" i="1"/>
  <c r="L405" i="1"/>
  <c r="T404" i="1"/>
  <c r="R404" i="1"/>
  <c r="L404" i="1"/>
  <c r="T403" i="1"/>
  <c r="R403" i="1"/>
  <c r="L403" i="1"/>
  <c r="T402" i="1"/>
  <c r="R402" i="1"/>
  <c r="L402" i="1"/>
  <c r="T401" i="1"/>
  <c r="R401" i="1"/>
  <c r="L401" i="1"/>
  <c r="T400" i="1"/>
  <c r="R400" i="1"/>
  <c r="L400" i="1"/>
  <c r="T399" i="1"/>
  <c r="R399" i="1"/>
  <c r="L399" i="1"/>
  <c r="T398" i="1"/>
  <c r="R398" i="1"/>
  <c r="L398" i="1"/>
  <c r="T397" i="1"/>
  <c r="R397" i="1"/>
  <c r="L397" i="1"/>
  <c r="T396" i="1"/>
  <c r="R396" i="1"/>
  <c r="L396" i="1"/>
  <c r="T395" i="1"/>
  <c r="R395" i="1"/>
  <c r="L395" i="1"/>
  <c r="T394" i="1"/>
  <c r="R394" i="1"/>
  <c r="L394" i="1"/>
  <c r="T393" i="1"/>
  <c r="R393" i="1"/>
  <c r="L393" i="1"/>
  <c r="T392" i="1"/>
  <c r="R392" i="1"/>
  <c r="L392" i="1"/>
  <c r="T391" i="1"/>
  <c r="R391" i="1"/>
  <c r="L391" i="1"/>
  <c r="T390" i="1"/>
  <c r="R390" i="1"/>
  <c r="L390" i="1"/>
  <c r="T389" i="1"/>
  <c r="R389" i="1"/>
  <c r="L389" i="1"/>
  <c r="T388" i="1"/>
  <c r="R388" i="1"/>
  <c r="L388" i="1"/>
  <c r="T387" i="1"/>
  <c r="R387" i="1"/>
  <c r="L387" i="1"/>
  <c r="T386" i="1"/>
  <c r="R386" i="1"/>
  <c r="L386" i="1"/>
  <c r="T385" i="1"/>
  <c r="R385" i="1"/>
  <c r="L385" i="1"/>
  <c r="T384" i="1"/>
  <c r="R384" i="1"/>
  <c r="L384" i="1"/>
  <c r="T383" i="1"/>
  <c r="R383" i="1"/>
  <c r="L383" i="1"/>
  <c r="T382" i="1"/>
  <c r="R382" i="1"/>
  <c r="L382" i="1"/>
  <c r="T381" i="1"/>
  <c r="R381" i="1"/>
  <c r="L381" i="1"/>
  <c r="T380" i="1"/>
  <c r="R380" i="1"/>
  <c r="L380" i="1"/>
  <c r="T379" i="1"/>
  <c r="R379" i="1"/>
  <c r="L379" i="1"/>
  <c r="T378" i="1"/>
  <c r="R378" i="1"/>
  <c r="K378" i="1"/>
  <c r="L378" i="1" s="1"/>
  <c r="T377" i="1"/>
  <c r="R377" i="1"/>
  <c r="K377" i="1"/>
  <c r="L377" i="1" s="1"/>
  <c r="T376" i="1"/>
  <c r="R376" i="1"/>
  <c r="K376" i="1"/>
  <c r="L376" i="1" s="1"/>
  <c r="T375" i="1"/>
  <c r="R375" i="1"/>
  <c r="K375" i="1"/>
  <c r="L375" i="1" s="1"/>
  <c r="T374" i="1"/>
  <c r="R374" i="1"/>
  <c r="K374" i="1"/>
  <c r="L374" i="1" s="1"/>
  <c r="T373" i="1"/>
  <c r="R373" i="1"/>
  <c r="K373" i="1"/>
  <c r="L373" i="1" s="1"/>
  <c r="T372" i="1"/>
  <c r="R372" i="1"/>
  <c r="K372" i="1"/>
  <c r="L372" i="1" s="1"/>
  <c r="T371" i="1"/>
  <c r="R371" i="1"/>
  <c r="L371" i="1"/>
  <c r="T370" i="1"/>
  <c r="R370" i="1"/>
  <c r="L370" i="1"/>
  <c r="T369" i="1"/>
  <c r="R369" i="1"/>
  <c r="L369" i="1"/>
  <c r="R368" i="1"/>
  <c r="L368" i="1"/>
  <c r="T367" i="1"/>
  <c r="R367" i="1"/>
  <c r="L367" i="1"/>
  <c r="T366" i="1"/>
  <c r="R366" i="1"/>
  <c r="L366" i="1"/>
  <c r="T365" i="1"/>
  <c r="R365" i="1"/>
  <c r="L365" i="1"/>
  <c r="R364" i="1"/>
  <c r="L364" i="1"/>
  <c r="R363" i="1"/>
  <c r="L363" i="1"/>
  <c r="R362" i="1"/>
  <c r="L362" i="1"/>
  <c r="R361" i="1"/>
  <c r="L361" i="1"/>
  <c r="R360" i="1"/>
  <c r="L360" i="1"/>
  <c r="R359" i="1"/>
  <c r="L359" i="1"/>
  <c r="R358" i="1"/>
  <c r="L358" i="1"/>
  <c r="R357" i="1"/>
  <c r="L357" i="1"/>
  <c r="R356" i="1"/>
  <c r="L356" i="1"/>
  <c r="R355" i="1"/>
  <c r="K355" i="1"/>
  <c r="L355" i="1" s="1"/>
  <c r="T354" i="1"/>
  <c r="R354" i="1"/>
  <c r="L354" i="1"/>
  <c r="T353" i="1"/>
  <c r="R353" i="1"/>
  <c r="L353" i="1"/>
  <c r="T352" i="1"/>
  <c r="R352" i="1"/>
  <c r="L352" i="1"/>
  <c r="T351" i="1"/>
  <c r="R351" i="1"/>
  <c r="L351" i="1"/>
  <c r="T350" i="1"/>
  <c r="R350" i="1"/>
  <c r="L350" i="1"/>
  <c r="T349" i="1"/>
  <c r="R349" i="1"/>
  <c r="L349" i="1"/>
  <c r="T348" i="1"/>
  <c r="R348" i="1"/>
  <c r="L348" i="1"/>
  <c r="T347" i="1"/>
  <c r="R347" i="1"/>
  <c r="L347" i="1"/>
  <c r="T346" i="1"/>
  <c r="R346" i="1"/>
  <c r="L346" i="1"/>
  <c r="T345" i="1"/>
  <c r="R345" i="1"/>
  <c r="L345" i="1"/>
  <c r="T344" i="1"/>
  <c r="R344" i="1"/>
  <c r="L344" i="1"/>
  <c r="T343" i="1"/>
  <c r="R343" i="1"/>
  <c r="L343" i="1"/>
  <c r="R342" i="1"/>
  <c r="O342" i="1"/>
  <c r="L342" i="1"/>
  <c r="T341" i="1"/>
  <c r="R341" i="1"/>
  <c r="K341" i="1"/>
  <c r="L341" i="1" s="1"/>
  <c r="R340" i="1"/>
  <c r="L340" i="1"/>
  <c r="R339" i="1"/>
  <c r="K339" i="1"/>
  <c r="L339" i="1" s="1"/>
  <c r="T338" i="1"/>
  <c r="R338" i="1"/>
  <c r="L338" i="1"/>
  <c r="T337" i="1"/>
  <c r="R337" i="1"/>
  <c r="L337" i="1"/>
  <c r="T336" i="1"/>
  <c r="R336" i="1"/>
  <c r="L336" i="1"/>
  <c r="T335" i="1"/>
  <c r="R335" i="1"/>
  <c r="L335" i="1"/>
  <c r="T334" i="1"/>
  <c r="R334" i="1"/>
  <c r="L334" i="1"/>
  <c r="T333" i="1"/>
  <c r="R333" i="1"/>
  <c r="L333" i="1"/>
  <c r="R332" i="1"/>
  <c r="L332" i="1"/>
  <c r="T331" i="1"/>
  <c r="R331" i="1"/>
  <c r="L331" i="1"/>
  <c r="T330" i="1"/>
  <c r="R330" i="1"/>
  <c r="L330" i="1"/>
  <c r="T329" i="1"/>
  <c r="R329" i="1"/>
  <c r="L329" i="1"/>
  <c r="R328" i="1"/>
  <c r="L328" i="1"/>
  <c r="R327" i="1"/>
  <c r="L327" i="1"/>
  <c r="R326" i="1"/>
  <c r="L326" i="1"/>
  <c r="R325" i="1"/>
  <c r="L325" i="1"/>
  <c r="R324" i="1"/>
  <c r="L324" i="1"/>
  <c r="T323" i="1"/>
  <c r="R323" i="1"/>
  <c r="L323" i="1"/>
  <c r="T322" i="1"/>
  <c r="R322" i="1"/>
  <c r="L322" i="1"/>
  <c r="T321" i="1"/>
  <c r="R321" i="1"/>
  <c r="L321" i="1"/>
  <c r="I321" i="1"/>
  <c r="T320" i="1"/>
  <c r="R320" i="1"/>
  <c r="L320" i="1"/>
  <c r="T319" i="1"/>
  <c r="R319" i="1"/>
  <c r="L319" i="1"/>
  <c r="T318" i="1"/>
  <c r="R318" i="1"/>
  <c r="L318" i="1"/>
  <c r="T317" i="1"/>
  <c r="R317" i="1"/>
  <c r="L317" i="1"/>
  <c r="T316" i="1"/>
  <c r="R316" i="1"/>
  <c r="L316" i="1"/>
  <c r="T315" i="1"/>
  <c r="R315" i="1"/>
  <c r="L315" i="1"/>
  <c r="T314" i="1"/>
  <c r="R314" i="1"/>
  <c r="L314" i="1"/>
  <c r="R313" i="1"/>
  <c r="L313" i="1"/>
  <c r="T312" i="1"/>
  <c r="R312" i="1"/>
  <c r="L312" i="1"/>
  <c r="T311" i="1"/>
  <c r="R311" i="1"/>
  <c r="L311" i="1"/>
  <c r="T310" i="1"/>
  <c r="R310" i="1"/>
  <c r="L310" i="1"/>
  <c r="T309" i="1"/>
  <c r="R309" i="1"/>
  <c r="L309" i="1"/>
  <c r="T308" i="1"/>
  <c r="R308" i="1"/>
  <c r="L308" i="1"/>
  <c r="T307" i="1"/>
  <c r="R307" i="1"/>
  <c r="L307" i="1"/>
  <c r="T306" i="1"/>
  <c r="R306" i="1"/>
  <c r="L306" i="1"/>
  <c r="R305" i="1"/>
  <c r="O305" i="1"/>
  <c r="L305" i="1"/>
  <c r="R304" i="1"/>
  <c r="O304" i="1"/>
  <c r="L304" i="1"/>
  <c r="T303" i="1"/>
  <c r="R303" i="1"/>
  <c r="L303" i="1"/>
  <c r="T302" i="1"/>
  <c r="R302" i="1"/>
  <c r="L302" i="1"/>
  <c r="T301" i="1"/>
  <c r="R301" i="1"/>
  <c r="L301" i="1"/>
  <c r="T300" i="1"/>
  <c r="R300" i="1"/>
  <c r="L300" i="1"/>
  <c r="R299" i="1"/>
  <c r="O299" i="1"/>
  <c r="L299" i="1"/>
  <c r="R298" i="1"/>
  <c r="L298" i="1"/>
  <c r="R297" i="1"/>
  <c r="L297" i="1"/>
  <c r="R296" i="1"/>
  <c r="L296" i="1"/>
  <c r="R295" i="1"/>
  <c r="L295" i="1"/>
  <c r="R294" i="1"/>
  <c r="L294" i="1"/>
  <c r="R293" i="1"/>
  <c r="L293" i="1"/>
  <c r="T292" i="1"/>
  <c r="R292" i="1"/>
  <c r="L292" i="1"/>
  <c r="T291" i="1"/>
  <c r="R291" i="1"/>
  <c r="L291" i="1"/>
  <c r="T290" i="1"/>
  <c r="R290" i="1"/>
  <c r="L290" i="1"/>
  <c r="T289" i="1"/>
  <c r="R289" i="1"/>
  <c r="L289" i="1"/>
  <c r="T288" i="1"/>
  <c r="R288" i="1"/>
  <c r="L288" i="1"/>
  <c r="T287" i="1"/>
  <c r="R287" i="1"/>
  <c r="L287" i="1"/>
  <c r="T286" i="1"/>
  <c r="R286" i="1"/>
  <c r="L286" i="1"/>
  <c r="T285" i="1"/>
  <c r="R285" i="1"/>
  <c r="L285" i="1"/>
  <c r="T284" i="1"/>
  <c r="R284" i="1"/>
  <c r="L284" i="1"/>
  <c r="R283" i="1"/>
  <c r="L283" i="1"/>
  <c r="T282" i="1"/>
  <c r="R282" i="1"/>
  <c r="L282" i="1"/>
  <c r="T281" i="1"/>
  <c r="R281" i="1"/>
  <c r="L281" i="1"/>
  <c r="T280" i="1"/>
  <c r="R280" i="1"/>
  <c r="L280" i="1"/>
  <c r="T279" i="1"/>
  <c r="R279" i="1"/>
  <c r="L279" i="1"/>
  <c r="T278" i="1"/>
  <c r="R278" i="1"/>
  <c r="L278" i="1"/>
  <c r="T277" i="1"/>
  <c r="R277" i="1"/>
  <c r="L277" i="1"/>
  <c r="T276" i="1"/>
  <c r="R276" i="1"/>
  <c r="L276" i="1"/>
  <c r="T275" i="1"/>
  <c r="R275" i="1"/>
  <c r="L275" i="1"/>
  <c r="T274" i="1"/>
  <c r="R274" i="1"/>
  <c r="L274" i="1"/>
  <c r="T273" i="1"/>
  <c r="R273" i="1"/>
  <c r="L273" i="1"/>
  <c r="T272" i="1"/>
  <c r="R272" i="1"/>
  <c r="L272" i="1"/>
  <c r="R271" i="1"/>
  <c r="L271" i="1"/>
  <c r="G271" i="1"/>
  <c r="T271" i="1" s="1"/>
  <c r="T270" i="1"/>
  <c r="R270" i="1"/>
  <c r="K270" i="1"/>
  <c r="L270" i="1" s="1"/>
  <c r="R269" i="1"/>
  <c r="K269" i="1"/>
  <c r="L269" i="1" s="1"/>
  <c r="R268" i="1"/>
  <c r="O268" i="1"/>
  <c r="L268" i="1"/>
  <c r="R267" i="1"/>
  <c r="O267" i="1"/>
  <c r="L267" i="1"/>
  <c r="R266" i="1"/>
  <c r="L266" i="1"/>
  <c r="T265" i="1"/>
  <c r="R265" i="1"/>
  <c r="K265" i="1"/>
  <c r="L265" i="1" s="1"/>
  <c r="T264" i="1"/>
  <c r="R264" i="1"/>
  <c r="K264" i="1"/>
  <c r="L264" i="1" s="1"/>
  <c r="T263" i="1"/>
  <c r="R263" i="1"/>
  <c r="L263" i="1"/>
  <c r="T262" i="1"/>
  <c r="R262" i="1"/>
  <c r="L262" i="1"/>
  <c r="T261" i="1"/>
  <c r="R261" i="1"/>
  <c r="L261" i="1"/>
  <c r="T260" i="1"/>
  <c r="R260" i="1"/>
  <c r="L260" i="1"/>
  <c r="T259" i="1"/>
  <c r="R259" i="1"/>
  <c r="L259" i="1"/>
  <c r="R258" i="1"/>
  <c r="O258" i="1"/>
  <c r="L258" i="1"/>
  <c r="T257" i="1"/>
  <c r="R257" i="1"/>
  <c r="L257" i="1"/>
  <c r="T256" i="1"/>
  <c r="R256" i="1"/>
  <c r="L256" i="1"/>
  <c r="T255" i="1"/>
  <c r="R255" i="1"/>
  <c r="L255" i="1"/>
  <c r="T254" i="1"/>
  <c r="R254" i="1"/>
  <c r="L254" i="1"/>
  <c r="R253" i="1"/>
  <c r="O253" i="1"/>
  <c r="L253" i="1"/>
  <c r="T252" i="1"/>
  <c r="R252" i="1"/>
  <c r="L252" i="1"/>
  <c r="T251" i="1"/>
  <c r="R251" i="1"/>
  <c r="L251" i="1"/>
  <c r="T250" i="1"/>
  <c r="R250" i="1"/>
  <c r="L250" i="1"/>
  <c r="T249" i="1"/>
  <c r="R249" i="1"/>
  <c r="L249" i="1"/>
  <c r="T248" i="1"/>
  <c r="R248" i="1"/>
  <c r="L248" i="1"/>
  <c r="T247" i="1"/>
  <c r="R247" i="1"/>
  <c r="L247" i="1"/>
  <c r="R246" i="1"/>
  <c r="L246" i="1"/>
  <c r="T245" i="1"/>
  <c r="R245" i="1"/>
  <c r="L245" i="1"/>
  <c r="T244" i="1"/>
  <c r="R244" i="1"/>
  <c r="L244" i="1"/>
  <c r="T243" i="1"/>
  <c r="R243" i="1"/>
  <c r="L243" i="1"/>
  <c r="T242" i="1"/>
  <c r="R242" i="1"/>
  <c r="L242" i="1"/>
  <c r="T241" i="1"/>
  <c r="R241" i="1"/>
  <c r="L241" i="1"/>
  <c r="T240" i="1"/>
  <c r="R240" i="1"/>
  <c r="L240" i="1"/>
  <c r="T239" i="1"/>
  <c r="R239" i="1"/>
  <c r="L239" i="1"/>
  <c r="T238" i="1"/>
  <c r="R238" i="1"/>
  <c r="L238" i="1"/>
  <c r="T237" i="1"/>
  <c r="R237" i="1"/>
  <c r="L237" i="1"/>
  <c r="T236" i="1"/>
  <c r="R236" i="1"/>
  <c r="L236" i="1"/>
  <c r="T235" i="1"/>
  <c r="R235" i="1"/>
  <c r="L235" i="1"/>
  <c r="R234" i="1"/>
  <c r="L234" i="1"/>
  <c r="R233" i="1"/>
  <c r="L233" i="1"/>
  <c r="G233" i="1"/>
  <c r="T233" i="1" s="1"/>
  <c r="T232" i="1"/>
  <c r="R232" i="1"/>
  <c r="L232" i="1"/>
  <c r="T231" i="1"/>
  <c r="R231" i="1"/>
  <c r="L231" i="1"/>
  <c r="T230" i="1"/>
  <c r="R230" i="1"/>
  <c r="L230" i="1"/>
  <c r="T229" i="1"/>
  <c r="R229" i="1"/>
  <c r="L229" i="1"/>
  <c r="T228" i="1"/>
  <c r="R228" i="1"/>
  <c r="L228" i="1"/>
  <c r="T227" i="1"/>
  <c r="R227" i="1"/>
  <c r="L227" i="1"/>
  <c r="T226" i="1"/>
  <c r="R226" i="1"/>
  <c r="L226" i="1"/>
  <c r="T225" i="1"/>
  <c r="R225" i="1"/>
  <c r="L225" i="1"/>
  <c r="T224" i="1"/>
  <c r="R224" i="1"/>
  <c r="L224" i="1"/>
  <c r="T223" i="1"/>
  <c r="R223" i="1"/>
  <c r="L223" i="1"/>
  <c r="T222" i="1"/>
  <c r="R222" i="1"/>
  <c r="L222" i="1"/>
  <c r="T221" i="1"/>
  <c r="R221" i="1"/>
  <c r="O221" i="1"/>
  <c r="L221" i="1"/>
  <c r="T220" i="1"/>
  <c r="R220" i="1"/>
  <c r="O220" i="1"/>
  <c r="L220" i="1"/>
  <c r="T219" i="1"/>
  <c r="R219" i="1"/>
  <c r="O219" i="1"/>
  <c r="L219" i="1"/>
  <c r="T218" i="1"/>
  <c r="R218" i="1"/>
  <c r="O218" i="1"/>
  <c r="K218" i="1"/>
  <c r="L218" i="1" s="1"/>
  <c r="T217" i="1"/>
  <c r="R217" i="1"/>
  <c r="O217" i="1"/>
  <c r="K217" i="1"/>
  <c r="L217" i="1" s="1"/>
  <c r="T216" i="1"/>
  <c r="R216" i="1"/>
  <c r="O216" i="1"/>
  <c r="L216" i="1"/>
  <c r="T215" i="1"/>
  <c r="R215" i="1"/>
  <c r="O215" i="1"/>
  <c r="L215" i="1"/>
  <c r="T214" i="1"/>
  <c r="R214" i="1"/>
  <c r="O214" i="1"/>
  <c r="L214" i="1"/>
  <c r="T213" i="1"/>
  <c r="R213" i="1"/>
  <c r="O213" i="1"/>
  <c r="L213" i="1"/>
  <c r="T212" i="1"/>
  <c r="R212" i="1"/>
  <c r="O212" i="1"/>
  <c r="L212" i="1"/>
  <c r="T211" i="1"/>
  <c r="R211" i="1"/>
  <c r="O211" i="1"/>
  <c r="L211" i="1"/>
  <c r="T210" i="1"/>
  <c r="R210" i="1"/>
  <c r="O210" i="1"/>
  <c r="L210" i="1"/>
  <c r="T209" i="1"/>
  <c r="R209" i="1"/>
  <c r="O209" i="1"/>
  <c r="L209" i="1"/>
  <c r="T208" i="1"/>
  <c r="R208" i="1"/>
  <c r="O208" i="1"/>
  <c r="L208" i="1"/>
  <c r="T207" i="1"/>
  <c r="R207" i="1"/>
  <c r="O207" i="1"/>
  <c r="L207" i="1"/>
  <c r="T206" i="1"/>
  <c r="R206" i="1"/>
  <c r="O206" i="1"/>
  <c r="L206" i="1"/>
  <c r="T205" i="1"/>
  <c r="R205" i="1"/>
  <c r="O205" i="1"/>
  <c r="L205" i="1"/>
  <c r="T204" i="1"/>
  <c r="R204" i="1"/>
  <c r="O204" i="1"/>
  <c r="L204" i="1"/>
  <c r="T203" i="1"/>
  <c r="R203" i="1"/>
  <c r="O203" i="1"/>
  <c r="L203" i="1"/>
  <c r="T202" i="1"/>
  <c r="R202" i="1"/>
  <c r="O202" i="1"/>
  <c r="L202" i="1"/>
  <c r="T201" i="1"/>
  <c r="R201" i="1"/>
  <c r="O201" i="1"/>
  <c r="L201" i="1"/>
  <c r="T200" i="1"/>
  <c r="R200" i="1"/>
  <c r="O200" i="1"/>
  <c r="K200" i="1"/>
  <c r="L200" i="1" s="1"/>
  <c r="T199" i="1"/>
  <c r="R199" i="1"/>
  <c r="O199" i="1"/>
  <c r="K199" i="1"/>
  <c r="L199" i="1" s="1"/>
  <c r="T198" i="1"/>
  <c r="R198" i="1"/>
  <c r="O198" i="1"/>
  <c r="L198" i="1"/>
  <c r="T197" i="1"/>
  <c r="R197" i="1"/>
  <c r="O197" i="1"/>
  <c r="L197" i="1"/>
  <c r="T196" i="1"/>
  <c r="R196" i="1"/>
  <c r="O196" i="1"/>
  <c r="L196" i="1"/>
  <c r="T195" i="1"/>
  <c r="R195" i="1"/>
  <c r="O195" i="1"/>
  <c r="L195" i="1"/>
  <c r="R194" i="1"/>
  <c r="O194" i="1"/>
  <c r="K194" i="1"/>
  <c r="L194" i="1" s="1"/>
  <c r="R193" i="1"/>
  <c r="L193" i="1"/>
  <c r="T192" i="1"/>
  <c r="R192" i="1"/>
  <c r="O192" i="1"/>
  <c r="L192" i="1"/>
  <c r="R191" i="1"/>
  <c r="L191" i="1"/>
  <c r="R190" i="1"/>
  <c r="L190" i="1"/>
  <c r="R189" i="1"/>
  <c r="L189" i="1"/>
  <c r="R188" i="1"/>
  <c r="L188" i="1"/>
  <c r="R187" i="1"/>
  <c r="L187" i="1"/>
  <c r="R186" i="1"/>
  <c r="L186" i="1"/>
  <c r="R185" i="1"/>
  <c r="L185" i="1"/>
  <c r="R184" i="1"/>
  <c r="L184" i="1"/>
  <c r="R183" i="1"/>
  <c r="L183" i="1"/>
  <c r="R182" i="1"/>
  <c r="L182" i="1"/>
  <c r="R181" i="1"/>
  <c r="L181" i="1"/>
  <c r="R180" i="1"/>
  <c r="L180" i="1"/>
  <c r="R179" i="1"/>
  <c r="L179" i="1"/>
  <c r="R178" i="1"/>
  <c r="K178" i="1"/>
  <c r="L178" i="1" s="1"/>
  <c r="T177" i="1"/>
  <c r="R177" i="1"/>
  <c r="O177" i="1"/>
  <c r="L177" i="1"/>
  <c r="T176" i="1"/>
  <c r="R176" i="1"/>
  <c r="O176" i="1"/>
  <c r="L176" i="1"/>
  <c r="T175" i="1"/>
  <c r="R175" i="1"/>
  <c r="O175" i="1"/>
  <c r="L175" i="1"/>
  <c r="T174" i="1"/>
  <c r="R174" i="1"/>
  <c r="O174" i="1"/>
  <c r="L174" i="1"/>
  <c r="T173" i="1"/>
  <c r="R173" i="1"/>
  <c r="O173" i="1"/>
  <c r="L173" i="1"/>
  <c r="T172" i="1"/>
  <c r="R172" i="1"/>
  <c r="O172" i="1"/>
  <c r="L172" i="1"/>
  <c r="T171" i="1"/>
  <c r="R171" i="1"/>
  <c r="O171" i="1"/>
  <c r="L171" i="1"/>
  <c r="T170" i="1"/>
  <c r="R170" i="1"/>
  <c r="O170" i="1"/>
  <c r="L170" i="1"/>
  <c r="T169" i="1"/>
  <c r="R169" i="1"/>
  <c r="O169" i="1"/>
  <c r="L169" i="1"/>
  <c r="T168" i="1"/>
  <c r="R168" i="1"/>
  <c r="O168" i="1"/>
  <c r="L168" i="1"/>
  <c r="T167" i="1"/>
  <c r="R167" i="1"/>
  <c r="O167" i="1"/>
  <c r="K167" i="1"/>
  <c r="L167" i="1" s="1"/>
  <c r="T166" i="1"/>
  <c r="R166" i="1"/>
  <c r="O166" i="1"/>
  <c r="K166" i="1"/>
  <c r="L166" i="1" s="1"/>
  <c r="T165" i="1"/>
  <c r="R165" i="1"/>
  <c r="O165" i="1"/>
  <c r="K165" i="1"/>
  <c r="L165" i="1" s="1"/>
  <c r="T164" i="1"/>
  <c r="R164" i="1"/>
  <c r="O164" i="1"/>
  <c r="K164" i="1"/>
  <c r="L164" i="1" s="1"/>
  <c r="T163" i="1"/>
  <c r="R163" i="1"/>
  <c r="O163" i="1"/>
  <c r="K163" i="1"/>
  <c r="L163" i="1" s="1"/>
  <c r="T162" i="1"/>
  <c r="R162" i="1"/>
  <c r="O162" i="1"/>
  <c r="K162" i="1"/>
  <c r="L162" i="1" s="1"/>
  <c r="T161" i="1"/>
  <c r="R161" i="1"/>
  <c r="O161" i="1"/>
  <c r="K161" i="1"/>
  <c r="L161" i="1" s="1"/>
  <c r="T160" i="1"/>
  <c r="R160" i="1"/>
  <c r="O160" i="1"/>
  <c r="L160" i="1"/>
  <c r="T159" i="1"/>
  <c r="R159" i="1"/>
  <c r="O159" i="1"/>
  <c r="K159" i="1"/>
  <c r="L159" i="1" s="1"/>
  <c r="T158" i="1"/>
  <c r="R158" i="1"/>
  <c r="O158" i="1"/>
  <c r="K158" i="1"/>
  <c r="L158" i="1" s="1"/>
  <c r="T157" i="1"/>
  <c r="R157" i="1"/>
  <c r="O157" i="1"/>
  <c r="K157" i="1"/>
  <c r="L157" i="1" s="1"/>
  <c r="T156" i="1"/>
  <c r="R156" i="1"/>
  <c r="O156" i="1"/>
  <c r="K156" i="1"/>
  <c r="L156" i="1" s="1"/>
  <c r="T155" i="1"/>
  <c r="R155" i="1"/>
  <c r="O155" i="1"/>
  <c r="K155" i="1"/>
  <c r="L155" i="1" s="1"/>
  <c r="T154" i="1"/>
  <c r="R154" i="1"/>
  <c r="O154" i="1"/>
  <c r="K154" i="1"/>
  <c r="L154" i="1" s="1"/>
  <c r="T153" i="1"/>
  <c r="R153" i="1"/>
  <c r="O153" i="1"/>
  <c r="K153" i="1"/>
  <c r="L153" i="1" s="1"/>
  <c r="T152" i="1"/>
  <c r="R152" i="1"/>
  <c r="O152" i="1"/>
  <c r="K152" i="1"/>
  <c r="L152" i="1" s="1"/>
  <c r="T151" i="1"/>
  <c r="R151" i="1"/>
  <c r="O151" i="1"/>
  <c r="K151" i="1"/>
  <c r="L151" i="1" s="1"/>
  <c r="T150" i="1"/>
  <c r="R150" i="1"/>
  <c r="O150" i="1"/>
  <c r="L150" i="1"/>
  <c r="T149" i="1"/>
  <c r="R149" i="1"/>
  <c r="O149" i="1"/>
  <c r="K149" i="1"/>
  <c r="L149" i="1" s="1"/>
  <c r="T148" i="1"/>
  <c r="R148" i="1"/>
  <c r="O148" i="1"/>
  <c r="L148" i="1"/>
  <c r="T147" i="1"/>
  <c r="R147" i="1"/>
  <c r="O147" i="1"/>
  <c r="K147" i="1"/>
  <c r="L147" i="1" s="1"/>
  <c r="T146" i="1"/>
  <c r="R146" i="1"/>
  <c r="O146" i="1"/>
  <c r="K146" i="1"/>
  <c r="L146" i="1" s="1"/>
  <c r="T145" i="1"/>
  <c r="R145" i="1"/>
  <c r="O145" i="1"/>
  <c r="K145" i="1"/>
  <c r="L145" i="1" s="1"/>
  <c r="T144" i="1"/>
  <c r="R144" i="1"/>
  <c r="O144" i="1"/>
  <c r="K144" i="1"/>
  <c r="L144" i="1" s="1"/>
  <c r="T143" i="1"/>
  <c r="R143" i="1"/>
  <c r="O143" i="1"/>
  <c r="K143" i="1"/>
  <c r="L143" i="1" s="1"/>
  <c r="T142" i="1"/>
  <c r="R142" i="1"/>
  <c r="O142" i="1"/>
  <c r="K142" i="1"/>
  <c r="L142" i="1" s="1"/>
  <c r="T141" i="1"/>
  <c r="R141" i="1"/>
  <c r="O141" i="1"/>
  <c r="K141" i="1"/>
  <c r="L141" i="1" s="1"/>
  <c r="T140" i="1"/>
  <c r="R140" i="1"/>
  <c r="O140" i="1"/>
  <c r="K140" i="1"/>
  <c r="L140" i="1" s="1"/>
  <c r="T139" i="1"/>
  <c r="R139" i="1"/>
  <c r="O139" i="1"/>
  <c r="K139" i="1"/>
  <c r="L139" i="1" s="1"/>
  <c r="T138" i="1"/>
  <c r="R138" i="1"/>
  <c r="O138" i="1"/>
  <c r="L138" i="1"/>
  <c r="T137" i="1"/>
  <c r="R137" i="1"/>
  <c r="O137" i="1"/>
  <c r="L137" i="1"/>
  <c r="T136" i="1"/>
  <c r="R136" i="1"/>
  <c r="O136" i="1"/>
  <c r="L136" i="1"/>
  <c r="T135" i="1"/>
  <c r="R135" i="1"/>
  <c r="O135" i="1"/>
  <c r="L135" i="1"/>
  <c r="T134" i="1"/>
  <c r="R134" i="1"/>
  <c r="O134" i="1"/>
  <c r="L134" i="1"/>
  <c r="T133" i="1"/>
  <c r="R133" i="1"/>
  <c r="O133" i="1"/>
  <c r="L133" i="1"/>
  <c r="T132" i="1"/>
  <c r="R132" i="1"/>
  <c r="O132" i="1"/>
  <c r="L132" i="1"/>
  <c r="T131" i="1"/>
  <c r="R131" i="1"/>
  <c r="O131" i="1"/>
  <c r="L131" i="1"/>
  <c r="T130" i="1"/>
  <c r="R130" i="1"/>
  <c r="O130" i="1"/>
  <c r="L130" i="1"/>
  <c r="T129" i="1"/>
  <c r="R129" i="1"/>
  <c r="O129" i="1"/>
  <c r="L129" i="1"/>
  <c r="T128" i="1"/>
  <c r="R128" i="1"/>
  <c r="O128" i="1"/>
  <c r="L128" i="1"/>
  <c r="T127" i="1"/>
  <c r="R127" i="1"/>
  <c r="O127" i="1"/>
  <c r="L127" i="1"/>
  <c r="T126" i="1"/>
  <c r="R126" i="1"/>
  <c r="O126" i="1"/>
  <c r="L126" i="1"/>
  <c r="T125" i="1"/>
  <c r="R125" i="1"/>
  <c r="O125" i="1"/>
  <c r="L125" i="1"/>
  <c r="T124" i="1"/>
  <c r="R124" i="1"/>
  <c r="O124" i="1"/>
  <c r="L124" i="1"/>
  <c r="T123" i="1"/>
  <c r="R123" i="1"/>
  <c r="O123" i="1"/>
  <c r="L123" i="1"/>
  <c r="T122" i="1"/>
  <c r="R122" i="1"/>
  <c r="O122" i="1"/>
  <c r="L122" i="1"/>
  <c r="T121" i="1"/>
  <c r="R121" i="1"/>
  <c r="O121" i="1"/>
  <c r="L121" i="1"/>
  <c r="T120" i="1"/>
  <c r="R120" i="1"/>
  <c r="O120" i="1"/>
  <c r="L120" i="1"/>
  <c r="T119" i="1"/>
  <c r="R119" i="1"/>
  <c r="O119" i="1"/>
  <c r="L119" i="1"/>
  <c r="T118" i="1"/>
  <c r="R118" i="1"/>
  <c r="O118" i="1"/>
  <c r="L118" i="1"/>
  <c r="T117" i="1"/>
  <c r="R117" i="1"/>
  <c r="O117" i="1"/>
  <c r="L117" i="1"/>
  <c r="T116" i="1"/>
  <c r="R116" i="1"/>
  <c r="O116" i="1"/>
  <c r="L116" i="1"/>
  <c r="T115" i="1"/>
  <c r="R115" i="1"/>
  <c r="O115" i="1"/>
  <c r="L115" i="1"/>
  <c r="T114" i="1"/>
  <c r="R114" i="1"/>
  <c r="O114" i="1"/>
  <c r="L114" i="1"/>
  <c r="T113" i="1"/>
  <c r="R113" i="1"/>
  <c r="O113" i="1"/>
  <c r="L113" i="1"/>
  <c r="T112" i="1"/>
  <c r="R112" i="1"/>
  <c r="O112" i="1"/>
  <c r="L112" i="1"/>
  <c r="T111" i="1"/>
  <c r="R111" i="1"/>
  <c r="O111" i="1"/>
  <c r="L111" i="1"/>
  <c r="T110" i="1"/>
  <c r="R110" i="1"/>
  <c r="O110" i="1"/>
  <c r="L110" i="1"/>
  <c r="T109" i="1"/>
  <c r="R109" i="1"/>
  <c r="O109" i="1"/>
  <c r="L109" i="1"/>
  <c r="T108" i="1"/>
  <c r="R108" i="1"/>
  <c r="O108" i="1"/>
  <c r="L108" i="1"/>
  <c r="T107" i="1"/>
  <c r="R107" i="1"/>
  <c r="O107" i="1"/>
  <c r="L107" i="1"/>
  <c r="T106" i="1"/>
  <c r="R106" i="1"/>
  <c r="O106" i="1"/>
  <c r="L106" i="1"/>
  <c r="T105" i="1"/>
  <c r="R105" i="1"/>
  <c r="O105" i="1"/>
  <c r="L105" i="1"/>
  <c r="T104" i="1"/>
  <c r="R104" i="1"/>
  <c r="O104" i="1"/>
  <c r="L104" i="1"/>
  <c r="T103" i="1"/>
  <c r="R103" i="1"/>
  <c r="O103" i="1"/>
  <c r="L103" i="1"/>
  <c r="T102" i="1"/>
  <c r="R102" i="1"/>
  <c r="O102" i="1"/>
  <c r="L102" i="1"/>
  <c r="T101" i="1"/>
  <c r="R101" i="1"/>
  <c r="O101" i="1"/>
  <c r="L101" i="1"/>
  <c r="T100" i="1"/>
  <c r="R100" i="1"/>
  <c r="O100" i="1"/>
  <c r="L100" i="1"/>
  <c r="T99" i="1"/>
  <c r="R99" i="1"/>
  <c r="O99" i="1"/>
  <c r="L99" i="1"/>
  <c r="T98" i="1"/>
  <c r="R98" i="1"/>
  <c r="O98" i="1"/>
  <c r="L98" i="1"/>
  <c r="T97" i="1"/>
  <c r="R97" i="1"/>
  <c r="O97" i="1"/>
  <c r="L97" i="1"/>
  <c r="T96" i="1"/>
  <c r="R96" i="1"/>
  <c r="O96" i="1"/>
  <c r="L96" i="1"/>
  <c r="T95" i="1"/>
  <c r="R95" i="1"/>
  <c r="O95" i="1"/>
  <c r="L95" i="1"/>
  <c r="T94" i="1"/>
  <c r="R94" i="1"/>
  <c r="O94" i="1"/>
  <c r="L94" i="1"/>
  <c r="T93" i="1"/>
  <c r="R93" i="1"/>
  <c r="O93" i="1"/>
  <c r="L93" i="1"/>
  <c r="T92" i="1"/>
  <c r="R92" i="1"/>
  <c r="O92" i="1"/>
  <c r="L92" i="1"/>
  <c r="T91" i="1"/>
  <c r="R91" i="1"/>
  <c r="O91" i="1"/>
  <c r="L91" i="1"/>
  <c r="T90" i="1"/>
  <c r="R90" i="1"/>
  <c r="O90" i="1"/>
  <c r="L90" i="1"/>
  <c r="T89" i="1"/>
  <c r="R89" i="1"/>
  <c r="O89" i="1"/>
  <c r="L89" i="1"/>
  <c r="T88" i="1"/>
  <c r="R88" i="1"/>
  <c r="O88" i="1"/>
  <c r="L88" i="1"/>
  <c r="T87" i="1"/>
  <c r="R87" i="1"/>
  <c r="O87" i="1"/>
  <c r="L87" i="1"/>
  <c r="T86" i="1"/>
  <c r="R86" i="1"/>
  <c r="O86" i="1"/>
  <c r="L86" i="1"/>
  <c r="T85" i="1"/>
  <c r="R85" i="1"/>
  <c r="O85" i="1"/>
  <c r="L85" i="1"/>
  <c r="T84" i="1"/>
  <c r="R84" i="1"/>
  <c r="O84" i="1"/>
  <c r="L84" i="1"/>
  <c r="T83" i="1"/>
  <c r="R83" i="1"/>
  <c r="O83" i="1"/>
  <c r="L83" i="1"/>
  <c r="T82" i="1"/>
  <c r="R82" i="1"/>
  <c r="O82" i="1"/>
  <c r="L82" i="1"/>
  <c r="T81" i="1"/>
  <c r="R81" i="1"/>
  <c r="O81" i="1"/>
  <c r="L81" i="1"/>
  <c r="T80" i="1"/>
  <c r="R80" i="1"/>
  <c r="O80" i="1"/>
  <c r="L80" i="1"/>
  <c r="T79" i="1"/>
  <c r="R79" i="1"/>
  <c r="O79" i="1"/>
  <c r="L79" i="1"/>
  <c r="T78" i="1"/>
  <c r="R78" i="1"/>
  <c r="O78" i="1"/>
  <c r="L78" i="1"/>
  <c r="T77" i="1"/>
  <c r="R77" i="1"/>
  <c r="O77" i="1"/>
  <c r="L77" i="1"/>
  <c r="T76" i="1"/>
  <c r="R76" i="1"/>
  <c r="O76" i="1"/>
  <c r="L76" i="1"/>
  <c r="T75" i="1"/>
  <c r="R75" i="1"/>
  <c r="O75" i="1"/>
  <c r="L75" i="1"/>
  <c r="T74" i="1"/>
  <c r="R74" i="1"/>
  <c r="O74" i="1"/>
  <c r="L74" i="1"/>
  <c r="T73" i="1"/>
  <c r="R73" i="1"/>
  <c r="O73" i="1"/>
  <c r="L73" i="1"/>
  <c r="T72" i="1"/>
  <c r="R72" i="1"/>
  <c r="O72" i="1"/>
  <c r="L72" i="1"/>
  <c r="T71" i="1"/>
  <c r="R71" i="1"/>
  <c r="O71" i="1"/>
  <c r="L71" i="1"/>
  <c r="T70" i="1"/>
  <c r="R70" i="1"/>
  <c r="O70" i="1"/>
  <c r="L70" i="1"/>
  <c r="T69" i="1"/>
  <c r="R69" i="1"/>
  <c r="O69" i="1"/>
  <c r="L69" i="1"/>
  <c r="T68" i="1"/>
  <c r="R68" i="1"/>
  <c r="O68" i="1"/>
  <c r="L68" i="1"/>
  <c r="T67" i="1"/>
  <c r="R67" i="1"/>
  <c r="O67" i="1"/>
  <c r="L67" i="1"/>
  <c r="T66" i="1"/>
  <c r="R66" i="1"/>
  <c r="O66" i="1"/>
  <c r="L66" i="1"/>
  <c r="T65" i="1"/>
  <c r="R65" i="1"/>
  <c r="O65" i="1"/>
  <c r="L65" i="1"/>
  <c r="T64" i="1"/>
  <c r="R64" i="1"/>
  <c r="O64" i="1"/>
  <c r="L64" i="1"/>
  <c r="T63" i="1"/>
  <c r="R63" i="1"/>
  <c r="O63" i="1"/>
  <c r="L63" i="1"/>
  <c r="T62" i="1"/>
  <c r="R62" i="1"/>
  <c r="O62" i="1"/>
  <c r="L62" i="1"/>
  <c r="T61" i="1"/>
  <c r="R61" i="1"/>
  <c r="O61" i="1"/>
  <c r="L61" i="1"/>
  <c r="T60" i="1"/>
  <c r="R60" i="1"/>
  <c r="O60" i="1"/>
  <c r="L60" i="1"/>
  <c r="T59" i="1"/>
  <c r="R59" i="1"/>
  <c r="O59" i="1"/>
  <c r="L59" i="1"/>
  <c r="T58" i="1"/>
  <c r="R58" i="1"/>
  <c r="O58" i="1"/>
  <c r="L58" i="1"/>
  <c r="T57" i="1"/>
  <c r="R57" i="1"/>
  <c r="O57" i="1"/>
  <c r="L57" i="1"/>
  <c r="T56" i="1"/>
  <c r="R56" i="1"/>
  <c r="O56" i="1"/>
  <c r="L56" i="1"/>
  <c r="T55" i="1"/>
  <c r="R55" i="1"/>
  <c r="O55" i="1"/>
  <c r="L55" i="1"/>
  <c r="T54" i="1"/>
  <c r="R54" i="1"/>
  <c r="O54" i="1"/>
  <c r="L54" i="1"/>
  <c r="T53" i="1"/>
  <c r="R53" i="1"/>
  <c r="O53" i="1"/>
  <c r="L53" i="1"/>
  <c r="T52" i="1"/>
  <c r="R52" i="1"/>
  <c r="O52" i="1"/>
  <c r="L52" i="1"/>
  <c r="R51" i="1"/>
  <c r="L51" i="1"/>
  <c r="T50" i="1"/>
  <c r="R50" i="1"/>
  <c r="O50" i="1"/>
  <c r="L50" i="1"/>
  <c r="T49" i="1"/>
  <c r="R49" i="1"/>
  <c r="O49" i="1"/>
  <c r="L49" i="1"/>
  <c r="T48" i="1"/>
  <c r="R48" i="1"/>
  <c r="O48" i="1"/>
  <c r="L48" i="1"/>
  <c r="T47" i="1"/>
  <c r="R47" i="1"/>
  <c r="O47" i="1"/>
  <c r="L47" i="1"/>
  <c r="T46" i="1"/>
  <c r="R46" i="1"/>
  <c r="O46" i="1"/>
  <c r="L46" i="1"/>
  <c r="T45" i="1"/>
  <c r="R45" i="1"/>
  <c r="O45" i="1"/>
  <c r="L45" i="1"/>
  <c r="T44" i="1"/>
  <c r="R44" i="1"/>
  <c r="O44" i="1"/>
  <c r="L44" i="1"/>
  <c r="T43" i="1"/>
  <c r="R43" i="1"/>
  <c r="O43" i="1"/>
  <c r="L43" i="1"/>
  <c r="T42" i="1"/>
  <c r="R42" i="1"/>
  <c r="O42" i="1"/>
  <c r="L42" i="1"/>
  <c r="T41" i="1"/>
  <c r="R41" i="1"/>
  <c r="O41" i="1"/>
  <c r="L41" i="1"/>
  <c r="T40" i="1"/>
  <c r="R40" i="1"/>
  <c r="O40" i="1"/>
  <c r="L40" i="1"/>
  <c r="T39" i="1"/>
  <c r="R39" i="1"/>
  <c r="O39" i="1"/>
  <c r="L39" i="1"/>
  <c r="R38" i="1"/>
  <c r="L38" i="1"/>
  <c r="R37" i="1"/>
  <c r="L37" i="1"/>
  <c r="R36" i="1"/>
  <c r="L36" i="1"/>
  <c r="T35" i="1"/>
  <c r="R35" i="1"/>
  <c r="O35" i="1"/>
  <c r="L35" i="1"/>
  <c r="T34" i="1"/>
  <c r="R34" i="1"/>
  <c r="O34" i="1"/>
  <c r="L34" i="1"/>
  <c r="T33" i="1"/>
  <c r="R33" i="1"/>
  <c r="O33" i="1"/>
  <c r="L33" i="1"/>
  <c r="T32" i="1"/>
  <c r="R32" i="1"/>
  <c r="O32" i="1"/>
  <c r="L32" i="1"/>
  <c r="T31" i="1"/>
  <c r="R31" i="1"/>
  <c r="O31" i="1"/>
  <c r="K31" i="1"/>
  <c r="L31" i="1" s="1"/>
  <c r="T30" i="1"/>
  <c r="R30" i="1"/>
  <c r="O30" i="1"/>
  <c r="L30" i="1"/>
  <c r="T29" i="1"/>
  <c r="R29" i="1"/>
  <c r="O29" i="1"/>
  <c r="L29" i="1"/>
  <c r="R28" i="1"/>
  <c r="L28" i="1"/>
  <c r="R27" i="1"/>
  <c r="L27" i="1"/>
  <c r="T26" i="1"/>
  <c r="R26" i="1"/>
  <c r="O26" i="1"/>
  <c r="L26" i="1"/>
  <c r="T25" i="1"/>
  <c r="R25" i="1"/>
  <c r="O25" i="1"/>
  <c r="L25" i="1"/>
  <c r="T24" i="1"/>
  <c r="R24" i="1"/>
  <c r="O24" i="1"/>
  <c r="L24" i="1"/>
  <c r="T23" i="1"/>
  <c r="R23" i="1"/>
  <c r="O23" i="1"/>
  <c r="L23" i="1"/>
  <c r="R22" i="1"/>
  <c r="L22" i="1"/>
  <c r="T21" i="1"/>
  <c r="R21" i="1"/>
  <c r="O21" i="1"/>
  <c r="L21" i="1"/>
  <c r="T20" i="1"/>
  <c r="R20" i="1"/>
  <c r="O20" i="1"/>
  <c r="L20" i="1"/>
  <c r="T19" i="1"/>
  <c r="R19" i="1"/>
  <c r="O19" i="1"/>
  <c r="L19" i="1"/>
  <c r="R18" i="1"/>
  <c r="O18" i="1"/>
  <c r="L18" i="1"/>
  <c r="R17" i="1"/>
  <c r="O17" i="1"/>
  <c r="L17" i="1"/>
  <c r="R16" i="1"/>
  <c r="O16" i="1"/>
  <c r="L16" i="1"/>
  <c r="R14" i="1"/>
  <c r="L14" i="1"/>
  <c r="T13" i="1"/>
  <c r="R13" i="1"/>
  <c r="L13" i="1"/>
  <c r="T12" i="1"/>
  <c r="R11" i="1"/>
  <c r="L11" i="1"/>
  <c r="G11" i="1"/>
  <c r="T11" i="1" s="1"/>
  <c r="R10" i="1"/>
  <c r="O10" i="1"/>
  <c r="L10" i="1"/>
  <c r="T9" i="1"/>
  <c r="R9" i="1"/>
  <c r="O9" i="1"/>
  <c r="L9" i="1"/>
  <c r="T8" i="1"/>
  <c r="R8" i="1"/>
  <c r="O8" i="1"/>
  <c r="L8" i="1"/>
  <c r="T7" i="1"/>
  <c r="R7" i="1"/>
  <c r="L7" i="1"/>
  <c r="R5" i="1"/>
  <c r="O5" i="1"/>
  <c r="L5" i="1"/>
  <c r="T4" i="1"/>
  <c r="R4" i="1"/>
  <c r="O4" i="1"/>
  <c r="L4" i="1"/>
  <c r="T3" i="1"/>
  <c r="R3" i="1"/>
  <c r="O3" i="1"/>
  <c r="L3" i="1"/>
  <c r="T2" i="1"/>
  <c r="R2" i="1"/>
  <c r="O2" i="1"/>
  <c r="L2" i="1"/>
  <c r="L5105" i="1" l="1"/>
  <c r="U5105" i="1"/>
  <c r="L7961" i="1"/>
  <c r="U7961" i="1"/>
  <c r="L5133" i="1"/>
  <c r="U5133" i="1"/>
  <c r="L5104" i="1"/>
  <c r="U5104" i="1"/>
  <c r="X5373" i="1"/>
  <c r="U3962" i="1"/>
  <c r="W3962" i="1" s="1"/>
  <c r="S5083" i="1"/>
  <c r="S5085" i="1" s="1"/>
  <c r="L5084" i="1"/>
  <c r="K6126" i="1"/>
  <c r="L6126" i="1" s="1"/>
  <c r="L6125" i="1"/>
  <c r="L6124" i="1"/>
  <c r="U3963" i="1" l="1"/>
  <c r="V3963" i="1" l="1"/>
  <c r="W3963" i="1" s="1"/>
  <c r="V3964" i="1"/>
  <c r="W3964" i="1" s="1"/>
</calcChain>
</file>

<file path=xl/sharedStrings.xml><?xml version="1.0" encoding="utf-8"?>
<sst xmlns="http://schemas.openxmlformats.org/spreadsheetml/2006/main" count="54025" uniqueCount="17026">
  <si>
    <t>MARCA</t>
  </si>
  <si>
    <t>COD MARCA</t>
  </si>
  <si>
    <t>Columna1</t>
  </si>
  <si>
    <t>TIPO</t>
  </si>
  <si>
    <t>MODELO</t>
  </si>
  <si>
    <t>COLOR</t>
  </si>
  <si>
    <t>DESC. SIMPLE</t>
  </si>
  <si>
    <t>ECO</t>
  </si>
  <si>
    <t>MONEDA</t>
  </si>
  <si>
    <t>(FOB)</t>
  </si>
  <si>
    <t>VENTA</t>
  </si>
  <si>
    <t>GARANTÍA</t>
  </si>
  <si>
    <t>UNIDAD</t>
  </si>
  <si>
    <t>COLOR2</t>
  </si>
  <si>
    <t>NACIONALIZACIÓN</t>
  </si>
  <si>
    <t>MARGEN</t>
  </si>
  <si>
    <t>MARCA2</t>
  </si>
  <si>
    <t>Nueva Referencia</t>
  </si>
  <si>
    <t>INVENTARIO</t>
  </si>
  <si>
    <t>3BUMEN</t>
  </si>
  <si>
    <t>BUM</t>
  </si>
  <si>
    <t>RAC</t>
  </si>
  <si>
    <t>BLANCO</t>
  </si>
  <si>
    <t>GABINETE TIPO RACK DE 9 UNIDADES.</t>
  </si>
  <si>
    <t>R1C_9U</t>
  </si>
  <si>
    <t>GABINETE TIPO RACK DE 9 UNIDADES, CON DIMENSIONES 50X45X60cm (ANCHO, PROFUNDO, ALTO). PUERTA EN CRISTAL. COLOR NEGRO. NO INCLUYE KIT DE VENTILACIÓN ADICIONAL.</t>
  </si>
  <si>
    <t>D</t>
  </si>
  <si>
    <t>UND</t>
  </si>
  <si>
    <t>CAB</t>
  </si>
  <si>
    <t xml:space="preserve">ROLLO DE CABLE UTP DE 305 METROS CATEGORÍA 5E CERTIFICADO. </t>
  </si>
  <si>
    <t>3B_5E</t>
  </si>
  <si>
    <t xml:space="preserve">METRO DE CABLE UTP CATEGORÍA 5E CERTIFICADO. </t>
  </si>
  <si>
    <t>3B_5EM</t>
  </si>
  <si>
    <t>P</t>
  </si>
  <si>
    <t>3M</t>
  </si>
  <si>
    <t>ROLLO DE CABLE CATEGORÍA 5E DE 1000 PIES</t>
  </si>
  <si>
    <t>VOL_5C4V_UGY_305</t>
  </si>
  <si>
    <t>CONECTOR DERIVADOR DE CABLE DELINEA TELEFÓNICA</t>
  </si>
  <si>
    <t>CONTROL4</t>
  </si>
  <si>
    <t>C4_TV120277</t>
  </si>
  <si>
    <t>DIMMER MULTIVOLTAJE PARA CONTROL DE CARGAS 0-10</t>
  </si>
  <si>
    <t>ROLLO DE 5 METROS DE CINTA DE ENMASCARAR</t>
  </si>
  <si>
    <t>C_ENM</t>
  </si>
  <si>
    <t>ROLLO DE 5 METROS DE CINTA DE EN MASCARAR</t>
  </si>
  <si>
    <t>ACCESS</t>
  </si>
  <si>
    <t>PROG_</t>
  </si>
  <si>
    <t>MATRIZ 4X2 4K CONTROLABLE POR RS232</t>
  </si>
  <si>
    <t>4KMX42</t>
  </si>
  <si>
    <t>https://www.amazon.com/-/es/dp/B07Z4PZMLP/ref=sr_1_2?__mk_es_US=%C3%85M%C3%85%C5%BD%C3%95%C3%91&amp;keywords=rs232+2x2+matrix&amp;qid=1582722672&amp;sr=8-2</t>
  </si>
  <si>
    <t>TWOF</t>
  </si>
  <si>
    <t>ROLLO DE CINTA DOBLE FAZ PEQUEÑO</t>
  </si>
  <si>
    <t>ABI</t>
  </si>
  <si>
    <t>ABI24V120</t>
  </si>
  <si>
    <t>DRIVER ATENUABLE PARA CINTAS LED ATENUABLES DE 24V. ACTUA CON DIMMERS DE CORTE DE FASE. POTENCIA DE 120W.</t>
  </si>
  <si>
    <t>ABI12V120</t>
  </si>
  <si>
    <t>DRIVER ATENUABLE PARA CINTAS LED ATENUABLES DE 12V. ACTUA CON DIMMERS DE DIMMER DE CORTE DE FASE. POTENCIA DE 120W.</t>
  </si>
  <si>
    <t xml:space="preserve">LPV-150-12 </t>
  </si>
  <si>
    <t>ABI12V45</t>
  </si>
  <si>
    <t>DRIVER ATENUABLE PARA CINTAS LED ATENUABLES DE 12V. ACTUA CON DIMMERS DE CORTE DE FASE. POTENCIA DE 45W.</t>
  </si>
  <si>
    <t>COLMENA</t>
  </si>
  <si>
    <t>TUBO DE 3/4 EMT.</t>
  </si>
  <si>
    <t>EMT0.75</t>
  </si>
  <si>
    <t>TUBO DE 3/4 EMT DE 3 METROS.</t>
  </si>
  <si>
    <t>ABS</t>
  </si>
  <si>
    <t>TR150</t>
  </si>
  <si>
    <t>ABS15</t>
  </si>
  <si>
    <t xml:space="preserve">CAJA ELECTRICA IP65, DE 15cm x 15Cm x 9Cm. </t>
  </si>
  <si>
    <t>https://www.amazon.com/Sunnyglade-Dustproof-Waterproof-Universal-Electrical/dp/B07Q1X4GQP/ref=sr_1_16?dchild=1&amp;keywords=box%2Bip65&amp;qid=1595262374&amp;sr=8-16&amp;th=1</t>
  </si>
  <si>
    <t>TR600</t>
  </si>
  <si>
    <t>ACCESSPRO</t>
  </si>
  <si>
    <t>TR450</t>
  </si>
  <si>
    <t>XBS_IR33</t>
  </si>
  <si>
    <t>FOTOCELDA INFRA ROJA PARA DETECCION DE OBSTACULOS EN ACCESON VEHICULARES</t>
  </si>
  <si>
    <t>TR350</t>
  </si>
  <si>
    <t>XB_REC2</t>
  </si>
  <si>
    <t>RECEPTOR PARA 100 CONTROLES REMOTO DE VISERA EN CARRO</t>
  </si>
  <si>
    <t>LRS_75_12</t>
  </si>
  <si>
    <t>XB-T18-BC</t>
  </si>
  <si>
    <t>CONTROL REMOTO PARA VISERA DE CARRO</t>
  </si>
  <si>
    <t>ACER</t>
  </si>
  <si>
    <t>FPLPV6011</t>
  </si>
  <si>
    <t>MINI_REBO</t>
  </si>
  <si>
    <t>MINI PC DE COOLING PASIVO, 4RAM, CORE I3.</t>
  </si>
  <si>
    <t>FMLRS3502</t>
  </si>
  <si>
    <t>KA220HQ</t>
  </si>
  <si>
    <t>MONITOR 4K DE 21"</t>
  </si>
  <si>
    <t>FMLRS3504</t>
  </si>
  <si>
    <t>V206HQL</t>
  </si>
  <si>
    <t>MONITOR DE 20" CON ENTRADAS HDMI Y VGA</t>
  </si>
  <si>
    <t>FMLRS3503</t>
  </si>
  <si>
    <t>A315_53_593Q</t>
  </si>
  <si>
    <t>PC PORTATIL CON PROCESADOR INTER Core i5 7200U/H22/8GB/2TB/15,6"/Blue/Win10</t>
  </si>
  <si>
    <t>AGM</t>
  </si>
  <si>
    <t>ILU</t>
  </si>
  <si>
    <t>LED</t>
  </si>
  <si>
    <t>OT20W</t>
  </si>
  <si>
    <t>LD_T80018A11</t>
  </si>
  <si>
    <t>LED DE 18 VATIOS A 3000K (CÁLIDO), FORMATO T8, GARANTÍA DE 3 ANOS.</t>
  </si>
  <si>
    <t>AKG</t>
  </si>
  <si>
    <t>LRS_200_12</t>
  </si>
  <si>
    <t>SR45</t>
  </si>
  <si>
    <t>MICRÓFONO INALÁMBRICO DE MANO, BATERÍA AA DE 8 HORAS DE AUTONOMÍA.</t>
  </si>
  <si>
    <t>HLG_60H_24_AB</t>
  </si>
  <si>
    <t>P5S</t>
  </si>
  <si>
    <t>MICRÓFONO PROFESIONAL CABLEADO</t>
  </si>
  <si>
    <t>HLG_240H_24_AB</t>
  </si>
  <si>
    <t>WMS40_MINI</t>
  </si>
  <si>
    <t>SISTEMA DE MICROFONÍA INALÁMBRICA CON SALIDAS BALANCEADA</t>
  </si>
  <si>
    <t>WMS40</t>
  </si>
  <si>
    <t>SET DE MICROFONO DE MANO CON RECEPTOR</t>
  </si>
  <si>
    <t>METRO</t>
  </si>
  <si>
    <t>PERSEPTION</t>
  </si>
  <si>
    <t>KIT DE DIADEMA INALAMBRICA UHF</t>
  </si>
  <si>
    <t>SR45D</t>
  </si>
  <si>
    <t>MICRÓFONO INALÁMBRICO DE DIADEMA, BATERÍA AA DE 8 HORAS DE AUTONOMÍA.</t>
  </si>
  <si>
    <t>ALARM SUPPLY</t>
  </si>
  <si>
    <t>HLG_100H_24_AB</t>
  </si>
  <si>
    <t>HO03E</t>
  </si>
  <si>
    <t>SENSOR MAGNÉTICO TIPO TABACO</t>
  </si>
  <si>
    <t>ALITOVE</t>
  </si>
  <si>
    <t>HLG_150H_24_AB</t>
  </si>
  <si>
    <t>ALI2410</t>
  </si>
  <si>
    <t>CINTA LED DE 24V, IP65, 4000K. 600Lm.</t>
  </si>
  <si>
    <t>ALTALINK</t>
  </si>
  <si>
    <t>RS_100_24</t>
  </si>
  <si>
    <t>A82016</t>
  </si>
  <si>
    <t>ROLLO DE CABLE UTP CATEGORÍA 6 CERTIFICADO COBRE COBRE.</t>
  </si>
  <si>
    <t>RS_15_24</t>
  </si>
  <si>
    <t>ALT002</t>
  </si>
  <si>
    <t>CABLE UTP CATEGORÍA 6, COBRE COBRE CERTIFICADO</t>
  </si>
  <si>
    <t>ALTINEX</t>
  </si>
  <si>
    <t>RS_25_24</t>
  </si>
  <si>
    <t>TNP141</t>
  </si>
  <si>
    <t>GROMMET DE MESA RETRÁCTIL CON 2 CONECTORES A 110 Y DOS PUERTOS DE DATOS CATEGORÍA 6.</t>
  </si>
  <si>
    <t>RS_50_24</t>
  </si>
  <si>
    <t>TNP128</t>
  </si>
  <si>
    <t xml:space="preserve">GROMMET RETRÁCTIL CON CONEXIÓN: HDMI, VGA, ESTÉREO, JACK CATEGORÍA 6 Y TOMA CORRIENTE. </t>
  </si>
  <si>
    <t>ALUMINA</t>
  </si>
  <si>
    <t>LPV_100</t>
  </si>
  <si>
    <t>PEL_ALU</t>
  </si>
  <si>
    <t>METRO DE PERFIL DE ALUMINIO</t>
  </si>
  <si>
    <t>DS_450</t>
  </si>
  <si>
    <t>RSHA_SONOS_AMP6</t>
  </si>
  <si>
    <t>SOPORTE DE RACK PARA 6 AMPLIFICADORES SONOS AMP</t>
  </si>
  <si>
    <t>AMCREST</t>
  </si>
  <si>
    <t>HDR155</t>
  </si>
  <si>
    <t>IP2M_841E</t>
  </si>
  <si>
    <t>CAMARA IP 1080P CON ALIMENTACIÓN PoE. AUDIO BIDIRECCIONAL.</t>
  </si>
  <si>
    <t>AMP</t>
  </si>
  <si>
    <t>NDR_120_24</t>
  </si>
  <si>
    <t>LP_4C6USBL2</t>
  </si>
  <si>
    <t>PATCH CORE DE 6 METROS DE LARGO</t>
  </si>
  <si>
    <t>AMP1859222</t>
  </si>
  <si>
    <t>CABLE UTP CAT 6A CM 4PR 23 AWG. ROLLO POR 305 METROS</t>
  </si>
  <si>
    <t>AMP1933319</t>
  </si>
  <si>
    <t>PATCH PANEL DE 24 PUERTOS CATEGORÍA 6A.</t>
  </si>
  <si>
    <t>AMP1933308</t>
  </si>
  <si>
    <t>HERRAJE PARA 48 JACKS EN FORMATO DE 19"</t>
  </si>
  <si>
    <t>AMP1711342</t>
  </si>
  <si>
    <t>JACK CATEGORÍA 6A</t>
  </si>
  <si>
    <t>FM24V629</t>
  </si>
  <si>
    <t>AMP1933307</t>
  </si>
  <si>
    <t>HERRAJE PARA 24 JACKS EN FORMATO DE 19"</t>
  </si>
  <si>
    <t>FM24V1431</t>
  </si>
  <si>
    <t>AMP1711816</t>
  </si>
  <si>
    <t>PATCH CORE CATEGORÍA 6A DE 2 METROS</t>
  </si>
  <si>
    <t>FM24V24</t>
  </si>
  <si>
    <t>AMP554720</t>
  </si>
  <si>
    <t>PLUG SOLIDO RJ45 CATEGORÍA 6</t>
  </si>
  <si>
    <t>71_E158_00_00</t>
  </si>
  <si>
    <t>AMP1375014</t>
  </si>
  <si>
    <t>PATCH PANEL DE 24 PUERTOS CATEGORÍA 6 DE 1U.</t>
  </si>
  <si>
    <t>71_E159_00_00</t>
  </si>
  <si>
    <t>AMP1375015</t>
  </si>
  <si>
    <t>PATCH PANEL DE 48 PUERTOS CATEGORÍA 6, DE 2U.</t>
  </si>
  <si>
    <t>MNPS48200</t>
  </si>
  <si>
    <t>AMP1427071</t>
  </si>
  <si>
    <t>ROLLO DE 305 METROS DE CABLE UTP CATEGORÍA 6.</t>
  </si>
  <si>
    <t>EDR_120_24</t>
  </si>
  <si>
    <t>J1375055</t>
  </si>
  <si>
    <t>JACK CATEGORÍA 6 EN COLOR ROJO O AZUL</t>
  </si>
  <si>
    <t>TE60P</t>
  </si>
  <si>
    <t>ROLLO DE CABLE UTP CAT 6 POR 305 METROS</t>
  </si>
  <si>
    <t>AMX</t>
  </si>
  <si>
    <t>BAL</t>
  </si>
  <si>
    <t>DECODIFICADOR PARA ENVÍO DE SEÑALES.</t>
  </si>
  <si>
    <t>DX_TX_WP</t>
  </si>
  <si>
    <t>DECODIFICADOR PARA ENVÍO DE SEÑALES ENVIADAS MEDIANTE CABLE UTP Y PROTOCOLO DX-LINK.</t>
  </si>
  <si>
    <t>KEY</t>
  </si>
  <si>
    <t>TECLADO INTERACTIVO CON CONTROLADOR INCLUIDO.</t>
  </si>
  <si>
    <t>MCP_108_BL</t>
  </si>
  <si>
    <t>TECLADO INTERACTIVO CON CONTROLADOR INCLUIDO, 2 PUERTOS RS-232, 2 PUERTOS SERIALES, DOS PUERTOS INPUT OUTPUT Y UN RELÉ. TECLADO RETRO ILUMINADO EN COLOR NEGRO Y CONTROL DE VOLUMEN.</t>
  </si>
  <si>
    <t>MCP_108_WH</t>
  </si>
  <si>
    <t>TECLADO INTERACTIVO CON CONTROLADOR INCLUIDO, 2 PUERTOS RS-232, 2 PUERTOS SERIALES, DOS PUERTOS INPUT OUTPUT Y UN RELÉ. TECLADO RETRO ILUMINADO EN COLOR BLANCO Y CONTROL DE VOLUMEN.</t>
  </si>
  <si>
    <t>MAS</t>
  </si>
  <si>
    <t>PROCESADOR PARA CONTROL DE EQUIPOS. .</t>
  </si>
  <si>
    <t>NX_1200</t>
  </si>
  <si>
    <t>PROCESADOR PARA CONTROL DE EQUIPOS. PROCESADOR 1600 MIPSM, MEMORIA INTERNA DE 4G, DDRAM DE 512MB, UN PUERTO RS-232, UN PUERTO AX-LINK, 2 PUERTOS INFRA ROJOS, 4 PUERTOS I/O.</t>
  </si>
  <si>
    <t>NX_2200</t>
  </si>
  <si>
    <t>PROCESADOR PARA CONTROL DE EQUIPOS. PROCESADOR 1600 MIPSM, MEMORIA INTERNA DE 8G, DDRAM DE 512MB, 3 PUERTOS RS-232, UN PUERTO AX-LINK, 4 PUERTOS INFRA ROJOS, 4 PUERTOS I/O, 8 PUERTOS DE RELÉ.</t>
  </si>
  <si>
    <t>PROCESADOR PARA CONTROL DE EQUIPOS.</t>
  </si>
  <si>
    <t>NX_3200</t>
  </si>
  <si>
    <t>PROCESADOR PARA CONTROL DE EQUIPOS. PROCESADOR 1600 MIPSM, MEMORIA INTERNA DE 8G, DDRAM DE 512MB, 6 PUERTOS RS-232, UN PUERTO AX-LINK, 8 PUERTOS INFRA ROJOS, 8 PUERTOS I/O, 8 PUERTOS DE RELÉ.</t>
  </si>
  <si>
    <t>NX_4200</t>
  </si>
  <si>
    <t>PROCESADOR PARA CONTROL DE EQUIPOS. PROCESADOR 1600 MIPSM, MEMORIA INTERNA DE 8G, DDRAM DE 1G, 6 PUERTOS RS-232, UN PUERTO AX-LINK, 8 PUERTOS INFRA ROJOS, 8 PUERTOS I/O. 8 PUERTOS DE RELÉ.</t>
  </si>
  <si>
    <t>POW</t>
  </si>
  <si>
    <t>INYECTOR PoE 10/100/1000 (MbPS), ENTRADA UNIVERSAL 120/240V.</t>
  </si>
  <si>
    <t>PS_POE_AF_TC</t>
  </si>
  <si>
    <t>PRO</t>
  </si>
  <si>
    <t>INTERFAZ DE CONTROL TELEFÓNICO</t>
  </si>
  <si>
    <t>NXV_CPI</t>
  </si>
  <si>
    <t>SAV</t>
  </si>
  <si>
    <t xml:space="preserve">10x4 SWITCH DE PRESENTACIÓN MULTI FORMATO CON SALIDAS HDMI. </t>
  </si>
  <si>
    <t>DVX_3150HD_SP</t>
  </si>
  <si>
    <t>10x4 SWITCH DE PRESENTACIÓN MULTI FORMATO CON SALIDAS HDMI. AMPLIFICADOR INTERNO DE 2X25 VATIOS, PROCESADOR NETLINX PARA CONTROL DE EQUIPOS EXTERNO INCLUIDO. PROCESADOR DE AUDIO DSP.</t>
  </si>
  <si>
    <t>DVX_3150HD_T</t>
  </si>
  <si>
    <t>10x4 SWITCH DE PRESENTACIÓN MULTI FORMATO CON SALIDAS HDMI Y 2 ENTRADAS.</t>
  </si>
  <si>
    <t>DVX_3155HD_SP</t>
  </si>
  <si>
    <t>10x4 SWITCH DE PRESENTACIÓN MULTI FORMATO CON SALIDAS HDMI Y 2 ENTRADAS DX-LINK. AMPLIFICADOR DE 2x25W 8OHM, INCLUYE PROCESADOR NETLINX PARA CONTROL DE DISPOSITIVOS EXTERNOS  Y MATRIZ DIGITAL DE AUDIO Y VIDEO MULTIFORMATO CON DX-LINK, INCLUYE PROCESADOR DSP PARA SEÑALES DE AUDIO.</t>
  </si>
  <si>
    <t>DVX_3155HD_T</t>
  </si>
  <si>
    <t>10x4 SWITCH DE PRESENTACIÓN MULTI FORMATO CON SALIDAS HDMI Y 2 ENTRADAS DX-LINK. AMPLIFICADOR DE 75 VATIOS CON LÍNEA DE SALIDA DE 70/100V. INCLUYE PROCESADOR NETLINX PARA CONTROL DE DISPOSITIVOS EXTERNOS  Y MATRIZ DIGITAL DE AUDIO Y VIDEO MULTIFORMATO CON DX-LINK, INCLUYE PROCESADOR DSP PARA SEÑALES DE AUDIO.</t>
  </si>
  <si>
    <t>10x4 SWITCH DE AUDIO Y VIDEO TODO EN UNO, CON AMPLIFICADOR DE 2x25 VATIOS.</t>
  </si>
  <si>
    <t>DVX_3156HD_SP</t>
  </si>
  <si>
    <t>10x4 SWITCH DE AUDIO Y VIDEO TODO EN UNO, CON AMPLIFICADOR DE 2x25 VATIOS A 8OHM, INCLUYE PROCESADOR NETLINX PARA CONTROL DE DISPOSITIVOS EXTERNOS  Y MATRIZ DIGITAL DE AUDIO Y VIDEO MULTIFORMATO CON DX-LINK, INCLUYE PROCESADOR DSP PARA SEÑALES DE AUDIO.</t>
  </si>
  <si>
    <t>10x4 SWITCH DE AUDIO Y VIDEO TODO EN UNO, MULTIFORMATO.</t>
  </si>
  <si>
    <t>DVX_3156HD_T</t>
  </si>
  <si>
    <t>10x4 SWITCH DE AUDIO Y VIDEO TODO EN UNO, MULTIFORMATO, ENTRADAS Y SALIDAS HDMI Y DX-LINK, AMPLIFICADOR DE 75 VATIOS CON LÍNEA DE SALIDA DE 70/100V. INCLUYE PROCESADOR NETLINX PARA CONTROL DE DISPOSITIVOS EXTERNOS  Y MATRIZ DIGITAL DE AUDIO Y VIDEO MULTIFORMATO CON DX-LINK, INCLUYE PROCESADOR DSP PARA SEÑALES DE AUDIO.</t>
  </si>
  <si>
    <t>6x3 SWITCH DE AUDIO Y VIDEO TODO EN UNO, CON ENTRADAS HDMI.</t>
  </si>
  <si>
    <t>DVX_2150HD_SP</t>
  </si>
  <si>
    <t>6x3 SWITCH DE AUDIO Y VIDEO TODO EN UNO, CON ENTRADAS HDMI, AMPLIFICADOR INTERNO DE 2X25 VATIOS, PROCESADOR NETLINX PARA CONTROL DE EQUIPOS EXTERNO INCLUIDO. PROCESADOR DE AUDIO DSP.</t>
  </si>
  <si>
    <t>6x3 SWITCH DE AUDIO Y VIDEO TODO EN UNO, CON ENTRADAS MULTI FORMATO.</t>
  </si>
  <si>
    <t>DVX_2150HD_T</t>
  </si>
  <si>
    <t>6x3 SWITCH DE AUDIO Y VIDEO TODO EN UNO, CON ENTRADAS MULTI FORMATO Y ENTRADAS HDMI, AMPLIFICADOR INTERNO DE 2X25 VATIOS, PROCESADOR NETLINX PARA CONTROL DE EQUIPOS EXTERNO INCLUIDO. PROCESADOR DE AUDIO DSP. INCLUYE PROCESADOR DSP PARA SEÑALES DE AUDIO.</t>
  </si>
  <si>
    <t>6x3 SWITCH DE AUDIO Y VIDEO TODO EN UNO MULTIFORMATO CON ENTRADAS HDMI.</t>
  </si>
  <si>
    <t>DVX_2155HD_SP</t>
  </si>
  <si>
    <t>6x3 SWITCH DE AUDIO Y VIDEO TODO EN UNO MULTIFORMATO CON ENTRADAS HDMI, AMPLIFICADO INTERNO DE 2X25 VATIOS INCLUYE PROCESADOR NETLINX PARA CONTROL DE DISPOSITIVOS EXTERNOS  Y MATRIZ DIGITAL DE AUDIO Y VIDEO MULTIFORMATO CON DX-LINK, INCLUYE PROCESADOR DSP PARA SEÑALES DE AUDIO.</t>
  </si>
  <si>
    <t>6x3 SWITCH DE PRESENTACIÓN TODO EN UNO, CON ENTRADAS Y SALIDAS MULTIFORMATO.</t>
  </si>
  <si>
    <t>DVX_2155HD_T</t>
  </si>
  <si>
    <t>6x3 SWITCH DE PRESENTACIÓN TODO EN UNO, CON ENTRADAS Y SALIDAS MULTIFORMATO, HDMI Y DX-LINK, AMPLIFICADOR DE 75 VATIOS CON LÍNEA DE SALIDA DE 70/100V. INCLUYE PROCESADOR NETLINX PARA CONTROL DE DISPOSITIVOS EXTERNOS  Y MATRIZ DIGITAL DE AUDIO Y VIDEO MULTIFORMATO CON DX-LINK,  INCLUYE PROCESADOR DSP PARA SEÑALES DE AUDIO.</t>
  </si>
  <si>
    <t>SWITCH TODO EN UNO CON 2 SALIDAS DVI MULTIFORMATO, AMPLIFICADOR DE 2X25 VATIOS.</t>
  </si>
  <si>
    <t>DVX_2100HD_SP</t>
  </si>
  <si>
    <t>SWITCH TODO EN UNO CON 2 SALIDAS DVI MULTIFORMATO, AMPLIFICADOR DE 2X25 VATIOS, PROCESADOR NETLINX INCLUIDO, MEZCLADOR DE AUDIO Y ANÁLISIS DSP.</t>
  </si>
  <si>
    <t>SWITCH TODO EN UNO CON 2 SALIDAS DVI MULTIFORMATO.</t>
  </si>
  <si>
    <t>DVX_2100HD_T</t>
  </si>
  <si>
    <t>SWITCH TODO EN UNO CON 2 SALIDAS DVI MULTIFORMATO, CONTROLADOR PARA AMPLIFICADOR DE 2X25 VATIOS, PROCESADOR NETLINX INCLUIDO, MEZCLADOR DE AUDIO Y ANÁLISIS DSP.</t>
  </si>
  <si>
    <t>TARJETA PARA MANEJO DE SEÑALES MULTIFORMATO DE SALIDA.</t>
  </si>
  <si>
    <t>AVS_ENOVADGX32_VI_DXLINK</t>
  </si>
  <si>
    <t>TARJETA PARA MANEJO DE SEÑALES MULTIFORMATO DE SALIDA EN FORMATO DIGITAL DX-LINK MEDIANTE CABLE UTP.</t>
  </si>
  <si>
    <t>TARJETA PARA MANEJO DE SEÑALES MULTI FORMADO.</t>
  </si>
  <si>
    <t>AVS_ENOVADGX32_VO_DXLINK</t>
  </si>
  <si>
    <t>TARJETA PARA MANEJO DE SEÑALES MULTI FORMADO DE ENTRADA EN FORMATO DIGITAL DX-LINK MEDIANTE CABLE UTP.</t>
  </si>
  <si>
    <t>TARJETA DE EXTRACCIÓN O INSERCIÓN DE SEÑALES DE AUDIO PARA TRANSMISIÓN DIGITAL.</t>
  </si>
  <si>
    <t>AVS_ENOVADGX32_AUD_INS_EXT</t>
  </si>
  <si>
    <t>MATRIZ PROCESADORA Y MEZCLADORA DE AUDIO Y VIDEO DIGITAL.</t>
  </si>
  <si>
    <t>AVS_ENOVADGX8_ ENC</t>
  </si>
  <si>
    <t>MATRIZ PROCESADORA Y MEZCLADORA DE AUDIO Y VIDEO DIGITAL CON 8 ENTRADAS Y 8 SALIDAS CAPACIDAD PARA DOS TARJETAS DE INTEGRACIÓN.</t>
  </si>
  <si>
    <t>SOF</t>
  </si>
  <si>
    <t>LICENCIA PARA CONFIGURACIÓN DE TELÉFONO CON SISTEMA OPERATIVO ANDROID.</t>
  </si>
  <si>
    <t>TPC_ANDROID</t>
  </si>
  <si>
    <t>LICENCIA PARA CONFIGURACIÓN DE TELÉFONO CON SISTEMA OPERATIVO ANDROID COMO PANTALLA DE AMX.</t>
  </si>
  <si>
    <t>LICENCIA PARA CONFIGURACIÓN DE TABLET CON SISTEMA OPERATIVO ANDROID.</t>
  </si>
  <si>
    <t>TPC_ANDROID TAB</t>
  </si>
  <si>
    <t>LICENCIA PARA CONFIGURACIÓN DE TABLET CON SISTEMA OPERATIVO ANDROID COMO PANTALLA DE AMX.</t>
  </si>
  <si>
    <t>LICENCIA PARA CONFIGURACIÓN DE IPAD COMO PANTALLA DE AMX.</t>
  </si>
  <si>
    <t>TPC_IPAD</t>
  </si>
  <si>
    <t>LICENCIA PARA CONFIGURACIÓN DE TELÉFONO MÓVIL CON SISTEMA OPERATIVO IOS.</t>
  </si>
  <si>
    <t>TPC_ITOUCH_PHONE</t>
  </si>
  <si>
    <t>LICENCIA PARA CONFIGURACIÓN DE TELÉFONO MÓVIL CON SISTEMA OPERATIVO IOS, MAC, COMO PANTALLA DE AMX.</t>
  </si>
  <si>
    <t>TP</t>
  </si>
  <si>
    <t>20.3" PANTALLA TÁCTIL PANORÁMICA DE LA SERIE G5, PROCESADOR DE 4 NÚCLEOS.</t>
  </si>
  <si>
    <t>MXT_2001_PAN</t>
  </si>
  <si>
    <t>20.3" PANTALLA TÁCTIL PANORÁMICA DE LA SERIE G5, PROCESADOR DE 4 NÚCLEOS, WEB BROWSER, CÁMARA, MICRÓFONO E INTERCOMUNICADOR. RESOLUCIÓN DE 1920X800</t>
  </si>
  <si>
    <t>MXD_2001_PAN_P</t>
  </si>
  <si>
    <t>20.3" PANTALLA TÁCTIL PANORÁMICA DE LA SERIE G5, PROCESADOR DE 4 NÚCLEOS, WEB BROWSER, CÁMARA, MICRÓFONO E INTERCOMUNICADOR. RESOLUCIÓN DE 800X1920.</t>
  </si>
  <si>
    <t>20.3" PANTALLA TÁCTIL PANORÁMICA DE LA SERIE G5.</t>
  </si>
  <si>
    <t>MXD_2001_PAN_L</t>
  </si>
  <si>
    <t>19.4" PANTALLA TÁCTIL PANORÁMICA DE LA SERIE G5.</t>
  </si>
  <si>
    <t>MXT_1901_PAN</t>
  </si>
  <si>
    <t>19.4" PANTALLA TÁCTIL PANORÁMICA DE LA SERIE G5, PROCESADOR DE 4 NÚCLEOS, WEB BROWSER, CÁMARA, MICRÓFONO E INTERCOMUNICADOR. RESOLUCIÓN DE 1920X530</t>
  </si>
  <si>
    <t>MXD_1901_PAN_P</t>
  </si>
  <si>
    <t>19.4" PANTALLA TÁCTIL PANORÁMICA DE LA SERIE G5, PROCESADOR DE 4 NÚCLEOS, WEB BROWSER, CÁMARA, MICRÓFONO E INTERCOMUNICADOR. RESOLUCIÓN DE 800X1920</t>
  </si>
  <si>
    <t>MXD_1901_PAN_L</t>
  </si>
  <si>
    <t>10.1" PANTALLA TÁCTIL PANORÁMICA DE LA SERIE G5.</t>
  </si>
  <si>
    <t>MXT_1001</t>
  </si>
  <si>
    <t>10.1" PANTALLA TÁCTIL PANORÁMICA DE LA SERIE G5, PROCESADOR DE 4 NÚCLEOS, WEB BROWSER, CÁMARA, MICRÓFONO E INTERCOMUNICADOR. RESOLUCIÓN DE 1280X800</t>
  </si>
  <si>
    <t>10.1" PANTALLA TÁCTIL DE MONTAJE EN PARED.</t>
  </si>
  <si>
    <t>MXD_1001_P</t>
  </si>
  <si>
    <t>10.1" PANTALLA TÁCTIL DE MONTAJE EN PARED, PROCESADOR DE CUATRO NÚCLEOS PANTALLA MULTI TOUCH CON INTERCOMUNICADOR, RETRO ILUMINACIÓN LED RESOLUCIÓN 800x1280</t>
  </si>
  <si>
    <t>MXD_1001_L</t>
  </si>
  <si>
    <t>10.1" PANTALLA TÁCTIL DE MONTAJE EN PARED, PROCESADOR DE CUATRO NÚCLEOS, PANTALLA MULTI TOUCH CON INTERCOMUNICADOR,  RETRO ILUMINACIÓN LED, RESOLUCIÓN 1280x800.</t>
  </si>
  <si>
    <t>7" PANTALLA TÁCTIL DE SOBREPONER EN MESA.</t>
  </si>
  <si>
    <t>MXT_701</t>
  </si>
  <si>
    <t>7" PANTALLA TÁCTIL DE SOBREPONER EN MESA, PROCESADOR DE CUATRO NÚCLEOS PANTALLA MULTI TOUCH CON INTERCOMUNICADOR, RETRO ILUMINACIÓN LED RESOLUCIÓN 1024x600.</t>
  </si>
  <si>
    <t>7" PANTALLA DE PARED DE LA SERIE MODERO X.</t>
  </si>
  <si>
    <t>MXD_701_P</t>
  </si>
  <si>
    <t>7" PANTALLA DE PARED DE LA SERIE MODERO X, PROCESADOR DE CUATRO NÚCLEOS PANTALLA MULTI TOUCH CON INTERCOMUNICADOR, RETRO ILUMINACIÓN LED, RESOLUCIÓN DE 600x1024.</t>
  </si>
  <si>
    <t>MXD_701_L</t>
  </si>
  <si>
    <t>7" PANTALLA DE PARED DE LA SERIE MODERO X, PROCESADOR DE CUATRO NÚCLEOS PANTALLA MULTI TOUCH CON INTERCOMUNICADOR, RETRO ILUMINACIÓN LED RESOLUCIÓN DE 1024x600</t>
  </si>
  <si>
    <t>20.3" PANTALLA TÁCTIL DE SOBRE PONER.</t>
  </si>
  <si>
    <t>MXT_2000XL_PAN</t>
  </si>
  <si>
    <t>20.3" PANTALLA TÁCTIL DE SOBRE PONER, INCLUYE INTERCOMUNICADOR, RETRO ILUMINACIÓN LED RESOLUCIÓN DE 1920x800.</t>
  </si>
  <si>
    <t>20.3" PANTALLA TÁCTIL DE PARED DE LA SERIE MODERO X.</t>
  </si>
  <si>
    <t>MXD_2000XL_PAN_P</t>
  </si>
  <si>
    <t>20.3" PANTALLA TÁCTIL DE PARED DE LA SERIE MODERO X, INCLUYE INTERCOMUNICADOR,  RETRO ILUMINACIÓN LED, RESOLUCIÓN DE 800x1920</t>
  </si>
  <si>
    <t>20.3" PANTALLA TÁCTIL DE LA SERIE MODERO X.</t>
  </si>
  <si>
    <t>MXD_2000XL_PAN_L</t>
  </si>
  <si>
    <t>20.3" PANTALLA TÁCTIL DE LA SERIE MODERO X, INCLUYE INTERCOMUNICADOR, RETRO ILUMINACIÓN LED RESOLUCIÓN DE 1920x800.</t>
  </si>
  <si>
    <t>19.4" PANTALLA TÁCTIL DE SOBRE PONER.</t>
  </si>
  <si>
    <t>MXT_1900L_PAN</t>
  </si>
  <si>
    <t>19.4" PANTALLA TÁCTIL DE SOBRE PONER, INCLUYE INTERCOMUNICADOR, RETRO ILUMINACIÓN LED, RESOLUCIÓN DE 1920x530.</t>
  </si>
  <si>
    <t>19.4" PANTALLA TÁCTIL DE PARED DE LA SERIE MODERO X.</t>
  </si>
  <si>
    <t>MXD_1900L_PAN_P</t>
  </si>
  <si>
    <t>19.4" PANTALLA TÁCTIL DE PARED DE LA SERIE MODERO X, INCLUYE INTERCOMUNICADOR,  RETRO ILUMINACIÓN LED RESOLUCIÓN DE 530x1920.</t>
  </si>
  <si>
    <t>19.4" PANTALLA TÁCTIL DE LA SERIE MODERO X.</t>
  </si>
  <si>
    <t>MXD_1900L_PAN_L</t>
  </si>
  <si>
    <t>19.4" PANTALLA TÁCTIL DE LA SERIE MODERO X, INCLUYE INTERCOMUNICADOR, RETRO ILUMINACIÓN LED RESOLUCIÓN DE 1920x530.</t>
  </si>
  <si>
    <t>10.1" PANTALLA TÁCTIL DE SOBRE PONER DE LA SERIE MODERO X.</t>
  </si>
  <si>
    <t>MXT_1000</t>
  </si>
  <si>
    <t>10.1" PANTALLA TÁCTIL DE SOBRE PONER DE LA SERIE MODERO X,  CON INTERCOMUNICADOR RETRO ILUMINACIÓN LED RESOLUCIÓN DE 1280x800.</t>
  </si>
  <si>
    <t>10.1" PANTALLA TÁCTIL DE PARED DE LA SERIE MODERO X.</t>
  </si>
  <si>
    <t>MXD_1000_P</t>
  </si>
  <si>
    <t>10.1" PANTALLA TÁCTIL DE PARED DE LA SERIE MODERO X, CON INTERCOMUNICADOR, RETRO ILUMINACIÓN LED RESOLUCIÓN DE 800x1280.</t>
  </si>
  <si>
    <t>MXD_1000_L</t>
  </si>
  <si>
    <t>10.1" PANTALLA TÁCTIL DE PARED DE LA SERIE MODERO X, CON INTERCOMUNICADOR RETRO ILUMINACIÓN LED, RESOLUCIÓN DE 1280x800</t>
  </si>
  <si>
    <t>7" PANTALLA TÁCTIL DE SOBRE PONER DE LA SERIE MODERO X.</t>
  </si>
  <si>
    <t>MXT_700</t>
  </si>
  <si>
    <t>7" PANTALLA TÁCTIL DE SOBRE PONER DE LA SERIE MODERO X,  CON INTERCOMUNICADOR, RETRO ILUMINACIÓN LED RESOLUCIÓN DE 1024x600.</t>
  </si>
  <si>
    <t>7" PANTALLA TÁCTIL DE PARED DE LA SERIE MODERO X.</t>
  </si>
  <si>
    <t>MXD_700_P</t>
  </si>
  <si>
    <t>7" PANTALLA TÁCTIL DE PARED DE LA SERIE MODERO X CON INTERCOMUNICADOR, RETRO ILUMINACIÓN LED RESOLUCIÓN DE 600x1024.</t>
  </si>
  <si>
    <t>MXD_700_L</t>
  </si>
  <si>
    <t>7" PANTALLA TÁCTIL DE PARED DE LA SERIE MODERO X, CON INTERCOMUNICADOR, RETRO ILUMINACIÓN LED RESOLUCIÓN DE 1024x600.</t>
  </si>
  <si>
    <t>4.3" PANTALLA TÁCTIL DE PARED DE LA SERIE MODERO X.</t>
  </si>
  <si>
    <t>MXD_430_P</t>
  </si>
  <si>
    <t>4.3" PANTALLA TÁCTIL DE PARED DE LA SERIE MODERO X, CON INTERCOMUNICADOR, RETRO ILUMINACIÓN LED RESOLUCIÓN DE 480x800.</t>
  </si>
  <si>
    <t>10.1" PANTALLA TÁCTIL DE PARED DE LA SERIE MODERO S.</t>
  </si>
  <si>
    <t>MST_1001</t>
  </si>
  <si>
    <t>10.1" PANTALLA TÁCTIL DE PARED DE LA SERIE MODERO S, CAPACIDAD PARA STREAMING DE VIDEO PUERTO USB Y BLUETOOTH, RESOLUCIÓN DE 1200x800.</t>
  </si>
  <si>
    <t>10.1" PANTALLA TÁCTIL DE LA SERIE MODERO S.</t>
  </si>
  <si>
    <t>MSD_1001_L</t>
  </si>
  <si>
    <t>10.1" PANTALLA TÁCTIL DE LA SERIE MODERO S, CAPACIDAD PARA STREAMING DE VIDEO PUERTO USB Y BLUETOOTH, RESOLUCIÓN DE 1280x800.</t>
  </si>
  <si>
    <t>7" PANTALLA TÁCTIL DE PARED DE LA SERIE MODERO S.</t>
  </si>
  <si>
    <t>MST_701</t>
  </si>
  <si>
    <t>7" PANTALLA TÁCTIL DE PARED DE LA SERIE MODERO S, CAPACIDAD PARA STREAMING DE VIDEO PUERTO USB Y BLUETOOTH, RESOLUCIÓN DE 1080x600.</t>
  </si>
  <si>
    <t>MSD_701_L</t>
  </si>
  <si>
    <t>4.3" PANTALLA TÁCTIL DE PARED DE LA SERIE MODERO ALIMENTACIÓN PoE.</t>
  </si>
  <si>
    <t>MST_431</t>
  </si>
  <si>
    <t>4.3" PANTALLA TÁCTIL DE PARED DE LA SERIE MODERO ALIMENTACIÓN PoE, BLUETOOTH Y STREAMING DE VIDEO, RESOLUCIÓN DE 480x272.</t>
  </si>
  <si>
    <t>4.3" PANTALLA TÁCTIL DE PARED DE LA SERIE MODERO S.</t>
  </si>
  <si>
    <t>MSD_431_L</t>
  </si>
  <si>
    <t>4.3" PANTALLA TÁCTIL DE PARED DE LA SERIE MODERO S,, CAPACIDAD PARA STREAMING DE VIDEO PUERTO USB Y BLUETOOTH, RESOLUCIÓN DE 480x272.</t>
  </si>
  <si>
    <t>20.3" PANTALLA PANORÁMICA DE LA SERIE X.</t>
  </si>
  <si>
    <t>MXT_2000XL_PAN_NC</t>
  </si>
  <si>
    <t>20.3" PANTALLA PANORÁMICA DE LA SERIE X,  RETRO ILUMINACIÓN LED, RESOLUCIÓN DE 1920x800.</t>
  </si>
  <si>
    <t>20.3" PANTALLA PANORÁMICA PARA PARED DE LA SERIE MODERO X.</t>
  </si>
  <si>
    <t>MXD_2000XL_PAN_P_NC</t>
  </si>
  <si>
    <t>20.3" PANTALLA PANORÁMICA PARA PARED DE LA SERIE MODERO X, RETRO ILUMINACIÓN LED, RESOLUCIÓN DE 1920x800.</t>
  </si>
  <si>
    <t>20.3" PANTALLA TÁCTIL DE LA SERIE X PARA MONTAJE EN PARED.</t>
  </si>
  <si>
    <t>MXD_2000XL_PAN_L_NC</t>
  </si>
  <si>
    <t>20.3" PANTALLA TÁCTIL DE LA SERIE X PARA MONTAJE EN PARED, RETRO ILUMINACIÓN LED, RESOLUCIÓN DE 800x1920.</t>
  </si>
  <si>
    <t>19.4" PANTALLA TÁCTIL DE LA SERIE X PARA SOBRE PONER.</t>
  </si>
  <si>
    <t>MXT_1900L_PAN_NC</t>
  </si>
  <si>
    <t>19.4" PANTALLA TÁCTIL DE LA SERIE X PARA SOBRE PONER, RETRO ILUMINACIÓN LED, RESOLUCIÓN DE 1920x530.</t>
  </si>
  <si>
    <t>19.4" PANTALLA TÁCTIL DE LA SERIE X PARA MONTAJE EN PARED.</t>
  </si>
  <si>
    <t>MXD_1900L_PAN_P_NC</t>
  </si>
  <si>
    <t>19.4" PANTALLA TÁCTIL DE LA SERIE X PARA MONTAJE EN PARED, RETRO ILUMINACIÓN LED, RESOLUCIÓN DE 530x1920.</t>
  </si>
  <si>
    <t>MXD_1900L_PAN_L_NC</t>
  </si>
  <si>
    <t>19.4" PANTALLA TÁCTIL DE LA SERIE X PARA MONTAJE EN PARED, RETRO ILUMINACIÓN LED, RESOLUCIÓN DE 1920x530.</t>
  </si>
  <si>
    <t>10.1" PANTALLA TÁCTIL DE LA SERIE X PARA SOBRE PONER.</t>
  </si>
  <si>
    <t>MXT_1000_NC</t>
  </si>
  <si>
    <t>10.1" PANTALLA TÁCTIL DE LA SERIE X PARA SOBRE PONER, RETRO ILUMINACIÓN LED, RESOLUCIÓN DE 1280x800 .</t>
  </si>
  <si>
    <t>10.1" PANTALLA TÁCTIL DE LA SERIE X PARA MONTAJE EN PARED.</t>
  </si>
  <si>
    <t>MXD_1000_P_NC</t>
  </si>
  <si>
    <t>10.1" PANTALLA TÁCTIL DE LA SERIE X PARA MONTAJE EN PARED, RETRO ILUMINACIÓN LED, RESOLUCIÓN DE 800x1280.</t>
  </si>
  <si>
    <t>MXD_1000_L_NC</t>
  </si>
  <si>
    <t>10.1" PANTALLA TÁCTIL DE PARED DE LA SERIE MODERO X, RETRO ILUMINACIÓN LED, RESOLUCIÓN DE 1280x800.</t>
  </si>
  <si>
    <t>7" PANTALLA TÁCTIL DE LA SERIE X PARA SOBRE PONER.</t>
  </si>
  <si>
    <t>MXT_700_NC</t>
  </si>
  <si>
    <t>7" PANTALLA TÁCTIL DE LA SERIE X PARA SOBRE PONER, RETRO ILUMINACIÓN LED, RESOLUCIÓN DE 1024x600.</t>
  </si>
  <si>
    <t>7" PANTALLA TÁCTIL DE LA SERIE X PARA MONTAJE EN PARED.</t>
  </si>
  <si>
    <t>MXD_700_P_NC</t>
  </si>
  <si>
    <t>7" PANTALLA TÁCTIL DE LA SERIE X PARA MONTAJE EN PARED, RETRO ILUMINACIÓN LED, RESOLUCIÓN DE 600x1024.</t>
  </si>
  <si>
    <t>MXD_700_L_NC</t>
  </si>
  <si>
    <t>7" PANTALLA TÁCTIL DE PARED DE LA SERIE MODERO X, RETRO ILUMINACIÓN LED, RESOLUCIÓN DE 1024x600.</t>
  </si>
  <si>
    <t>PANTALLA TÁCTIL DE 9 PULGADAS CON INTER COMUNICADOR EN COLOR NEGRO.</t>
  </si>
  <si>
    <t>MVP_9000i_GB</t>
  </si>
  <si>
    <t>PANTALLA TÁCTIL DE 9 PULGADAS CON INTER COMUNICADOR EN COLOR BLANCO.</t>
  </si>
  <si>
    <t>MVP_9000i_GW</t>
  </si>
  <si>
    <t xml:space="preserve">PANTALLA TÁCTIL DE 4.3" DE MONTAJE EN PARED EN COLOR NEGRO. </t>
  </si>
  <si>
    <t>NXD_430_BL</t>
  </si>
  <si>
    <t xml:space="preserve">PANTALLA TÁCTIL DE 4.3" DE MONTAJE EN PARED EN COLOR BLANCO. </t>
  </si>
  <si>
    <t>NXD_430_WH</t>
  </si>
  <si>
    <t>2 Danadas, 2 Usadas</t>
  </si>
  <si>
    <t xml:space="preserve">PANTALLA TÁCTIL DE 4.3" DE MONTAJE SOBRE PONER EN COLOR NEGRO. </t>
  </si>
  <si>
    <t>NXD_435_BL</t>
  </si>
  <si>
    <t xml:space="preserve">PANTALLA TÁCTIL DE 4.3" DE MONTAJE SOBRE PONER EN COLOR BLANCO. </t>
  </si>
  <si>
    <t>NXD_435_WH</t>
  </si>
  <si>
    <t>NXD_435P_BL</t>
  </si>
  <si>
    <t xml:space="preserve">PANTALLA TÁCTIL DE 4.3" DE MONTAJE SOBRE PONER EN COLOR NEGRO, CON 5 BOTONES DE ACCESO RÁPIDO.. </t>
  </si>
  <si>
    <t>NXD_435P_WH</t>
  </si>
  <si>
    <t>PANTALLA TÁCTIL DE 4.3" DE MONTAJE SOBRE PONER EN COLOR BLANCO. CON 5 BOTONES DE ACCESO RÁPIDO.</t>
  </si>
  <si>
    <t>PANTALLA TÁCTIL VIRTUAL PARA ACCESO DESDE 3 EQUIPOS EN SIMULTANEA.</t>
  </si>
  <si>
    <t>NXV_300</t>
  </si>
  <si>
    <t>PANTALLA TÁCTIL VIRTUAL PARA ACCESO DESDE 3 EQUIPOS EN SIMULTANEA, DESDE TABLETAS O COMPUTADORES.</t>
  </si>
  <si>
    <t>PROCESADOR DE IMAGEN PARA DOS SALIDAS EN SIMULTANEA</t>
  </si>
  <si>
    <t>TPI_PRO_2_DVI</t>
  </si>
  <si>
    <t>PROCESADOR DE IMAGEN PARA 4 SALIDAS EN SIMULTANEA</t>
  </si>
  <si>
    <t>TPI_PRO_4_DVI</t>
  </si>
  <si>
    <t>MOD</t>
  </si>
  <si>
    <t>MODULO CON 8 PUERTOS DE ENTRADA SALIDA, COMPATIBLE CON SISTEMAS DE CONTROL AMX.</t>
  </si>
  <si>
    <t>EXB_I_O8</t>
  </si>
  <si>
    <t>SIG</t>
  </si>
  <si>
    <t>PROCESADOR DE DIGITAL SIGNAGE CON RESOLUCIÓN DE 720P.</t>
  </si>
  <si>
    <t>IS_SPX_1300K</t>
  </si>
  <si>
    <t xml:space="preserve">PROCESADOR DE DIGITAL SIGNAGE CON RESOLUCIÓN DE 720P. CONTROL SERIAL, INTEGRACIÓN VÍA RS-232 Y LICENCIA DE FUNCIONAMIENTO. </t>
  </si>
  <si>
    <t>PANEL DE 5" CON RESOLUCIÓN 800x480, EN FORMATO 16:9</t>
  </si>
  <si>
    <t>NXD_CV5</t>
  </si>
  <si>
    <t>FUENTE DE ALIMENTACIÓN DE 4.4 AMPERIOS, 13.5 VDC, CONECTOR PHOENIX.</t>
  </si>
  <si>
    <t>PSR4.4</t>
  </si>
  <si>
    <t>CONTROLADORA Y MATRIZ TODO EN UNO PARA EL MANEJO DE HASTA 6 SEÑALES DE ENTRADA.</t>
  </si>
  <si>
    <t>DVX_2255HD_SP</t>
  </si>
  <si>
    <t>CONTROLADORA Y MATRIZ TODO EN UNO PARA EL MANEJO DE HASTA 6 SEÑALES DE ENTRADA Y DOS SALIDAS DE AUDIO Y VIDEO. PUERTOS SERIALES DE CONTROL, CONTACTOS SECOS E INFRA ROJOS.</t>
  </si>
  <si>
    <t>MULTIPLEXOR DE 4 ENTRADAS PARA PRESENTACIÓN SIMULTANEA HD</t>
  </si>
  <si>
    <t>MODULO TIPO GROMMET PARA INTEGRACIÓN DE DISPOSITIVOS.</t>
  </si>
  <si>
    <t>HPX_600BL</t>
  </si>
  <si>
    <t>MODULO TIPO GROMMET PARA INTEGRACIÓN DE DISPOSITIVOS, EN ALUMINIO ANODIZADO NEGRO</t>
  </si>
  <si>
    <t>CABLE VGA RETRÁCTIL PARA INSTALACIÓN EN GROMMET.</t>
  </si>
  <si>
    <t>HPX_AV103_RGB</t>
  </si>
  <si>
    <t>MODULO DE SALIDAS USB DOBLES</t>
  </si>
  <si>
    <t>HPX_N102_USB</t>
  </si>
  <si>
    <t>MODULO DE CONEXIÓN A CORRIENTE</t>
  </si>
  <si>
    <t>HPX_P200_PC_US</t>
  </si>
  <si>
    <t>MODULO PARA DOS CONECTORES RJ45 CAT 6</t>
  </si>
  <si>
    <t>HPX_N102_RJ45</t>
  </si>
  <si>
    <t>MODULO SENCILLO DE TAPA CIEGA</t>
  </si>
  <si>
    <t>HPX_B100</t>
  </si>
  <si>
    <t>MODULO DE CABLE RETRÁCTIL HDMI</t>
  </si>
  <si>
    <t>HPX_AV102_HDMI_R</t>
  </si>
  <si>
    <t>SWITCH MULTIFORMATO CON SALIDA DIGITAL DE 5 ENTRADAS, 3 HDMI Y 2 VGA.</t>
  </si>
  <si>
    <t>SDX_510M_DX</t>
  </si>
  <si>
    <t>TARJETA DE INTEGRACIÓN DE 8 RELEVOS</t>
  </si>
  <si>
    <t>EXB_REL8</t>
  </si>
  <si>
    <t>HPX_1200BL</t>
  </si>
  <si>
    <t>MODULO CON CONECTOR FIJO PARA VGA Y CABLE ESTÉREO</t>
  </si>
  <si>
    <t>HPX_AV102_RGB_A</t>
  </si>
  <si>
    <t>MODULO FIJO PARA CONEXIÓN HDMI</t>
  </si>
  <si>
    <t>HPX_AV101_HDMI</t>
  </si>
  <si>
    <t>KIT PARA SUJECIÓN DE PROCESADOR EN RACK</t>
  </si>
  <si>
    <t>AVB_VSTYLE_RMK</t>
  </si>
  <si>
    <t>HARDWARE PARA CONTROL EN REMOTO MEDIANTE SOFTWARE TPCONTROL.</t>
  </si>
  <si>
    <t>TCP_BYOD_D</t>
  </si>
  <si>
    <t>HARDWARE PARA CONTROL EN REMOTO MEDIANTE SOFTWARE TPCONTROL. CONEXIÓN ILIMITADA DE TABLETAS.</t>
  </si>
  <si>
    <t>ENCLOSURE PARA MATRIZ DE 4 SLOTS DE ENTRADA Y 4 DE SALIDA.</t>
  </si>
  <si>
    <t>DGX800_ENC</t>
  </si>
  <si>
    <t>ENCLOSURE PARA MATRIZ DE 4 SLOTS DE ENTRADA Y 4 DE SALIDA. VER ESPECIFICACIONES TÉCNICAS.</t>
  </si>
  <si>
    <t>SLOT DE ENTRADA PARA 4 UNIDADES DX-LINK</t>
  </si>
  <si>
    <t>DGX_I_DLX</t>
  </si>
  <si>
    <t>SLOT DE SALIDA PARA 4 UNIDADES DX-LINK</t>
  </si>
  <si>
    <t>DGX_O_DLX</t>
  </si>
  <si>
    <t>TARJETA DE ENTRADA O SALIDA DE AUDIO DE 4 CANALES</t>
  </si>
  <si>
    <t>DGX_AIE</t>
  </si>
  <si>
    <t>MATRIZ 4x2 HDMI-DVI CON CONTROLADOR Y AMPLIFICADOR INTEGRADO.</t>
  </si>
  <si>
    <t>DVX_2210HD_SP</t>
  </si>
  <si>
    <t>MATRIZ 4x2 HDMI-DVI CON CONTROLADOR Y AMPLIFICADOR INTEGRADO. 3 PUERTOS RS232, 4 PUERTOS IR Y PUERTO Y/O Y AMPLIFICADOR DE 25W.</t>
  </si>
  <si>
    <t>PANTALLA TÁCTIL DE 7.5", RESOLUCIÓN DE 1280X800, MEMORIA RAM DE 2GB.</t>
  </si>
  <si>
    <t>MD_702_BL</t>
  </si>
  <si>
    <t>GRABADOR HD MULTIFORMATO</t>
  </si>
  <si>
    <t>NMX_ENC_1100</t>
  </si>
  <si>
    <t>MODULO DE SOPORTE PARA 8 TARJETAS CONFIGURABLES DE AUDIO Y VIDEO</t>
  </si>
  <si>
    <t>MODULO DE SOPORTE PARA 16 TARJETAS CONFIGURABLES DE AUDIO Y VIDEO</t>
  </si>
  <si>
    <t>DGX1600_ENC</t>
  </si>
  <si>
    <t>MODULO DE SOPORTE PARA 32 TARJETAS CONFIGURABLES DE AUDIO Y VIDEO</t>
  </si>
  <si>
    <t>DGX3200_ENC</t>
  </si>
  <si>
    <t>MODULO DE SOPORTE PARA 64 TARJETAS CONFIGURABLES DE AUDIO Y VIDEO</t>
  </si>
  <si>
    <t>DGX6400_ENC</t>
  </si>
  <si>
    <t>TARJETA DE ENTRADA PARA MATRIZ CON 4 ENTRADAS HDMI</t>
  </si>
  <si>
    <t>DGX_I_HDMI</t>
  </si>
  <si>
    <t>TARJETA DE SALIDA PARA MATRIZ CON 4 SALIDAS UTP PARA TRANSMISIÓN DIGITAL</t>
  </si>
  <si>
    <t>TARJETA DE INSERCIÓN O EXTRACCIÓN DE 4 SEÑALES DE AUDIO</t>
  </si>
  <si>
    <t>TARJETA DE ENTRADA PARA 4 SEÑALES DIGITALES POR UTP RESOLUCIÓN 4K</t>
  </si>
  <si>
    <t>DGX_I_DXL_4K</t>
  </si>
  <si>
    <t>TARJETA DE SALIDA PARA 4 SEÑALES DIGITALES POR UTP RESOLUCIÓN 4K</t>
  </si>
  <si>
    <t>DGX_O_DXL_4K</t>
  </si>
  <si>
    <t>TARJETA DE SWITCHEO PARA FUENTES DE AUDIO MEDIANTE PROTOCOLO DANTE</t>
  </si>
  <si>
    <t>DGX6400_ASBDAN</t>
  </si>
  <si>
    <t>TRANSMISOR DE SEÑALES DE AUDIO Y VIDEO 4K A TRÁVEZ DE UTP</t>
  </si>
  <si>
    <t>DX_TX_4K60</t>
  </si>
  <si>
    <t>RECEPTOR A TRÁVEZ DE UTO CON SALIDA HDMI Y RESOLUCIÓN 4K</t>
  </si>
  <si>
    <t>DX_RX_4K</t>
  </si>
  <si>
    <t>ENCODER DE LA SERIE SVSI N2300,  4K CON SFP fiber/RJ45 (with PoE).</t>
  </si>
  <si>
    <t>NMX_ENC_N2312</t>
  </si>
  <si>
    <t xml:space="preserve">ENCODER DE LA SERIE SVSI N2300,  4K CON SFP fiber/RJ45 (with PoE), IR, SERIAL, KVM-BAJO IP OPERACIÓN DE KEYBOARD Y MOUSE, HDMI </t>
  </si>
  <si>
    <t>DECODER DE LA SERIE SVSI N2300, 4K CON SFP fiber/RJ45 (with PoE).</t>
  </si>
  <si>
    <t>NMX_ENC_N2322</t>
  </si>
  <si>
    <t xml:space="preserve">DECODER DE LA SERIE SVSI N2300, 4K CON SFP fiber/RJ45 (with PoE), IR, SERIAL, KVM-BAJO IP OPERACIÓN CON MOUSE Y TECLADO, CONEXIÓN HDMI. </t>
  </si>
  <si>
    <t>CONTROLADOR PARA 50 EQUIPOS DESDE 5 USUARIOS VÍA WEB.</t>
  </si>
  <si>
    <t>SC_N8001</t>
  </si>
  <si>
    <t>TRANSDUCTOR DE AUDIO A IP.</t>
  </si>
  <si>
    <t>NMX_ATC_N4321</t>
  </si>
  <si>
    <t>CB_MXSA_07</t>
  </si>
  <si>
    <t>CAJA PARA MONTAJE EN PARED DE PANTALLA TACTIL DE 7"</t>
  </si>
  <si>
    <t>PSR5.4</t>
  </si>
  <si>
    <t>MODULO DE POTENCIA DE 12V, 5.4 AMPERIOS.</t>
  </si>
  <si>
    <t>PS3.0</t>
  </si>
  <si>
    <t>FUENTE DE ALIMENTACION DE 13.5V, 3 AMPERIOS.</t>
  </si>
  <si>
    <t>NI_3100</t>
  </si>
  <si>
    <t>MASTER DE CONTROL CON 3 PUERTOS SERIALES, COMUNICACIÓN ETHERNET, PUERTOS INFRA ROJOS Y DE RELE.</t>
  </si>
  <si>
    <t>HPX_N102_ETH_R</t>
  </si>
  <si>
    <t>MODULO RETRACTIL CON CABLE ETHERNET CAT 6.</t>
  </si>
  <si>
    <t>HPX_AV102_RGB</t>
  </si>
  <si>
    <t>MODULO VGA CON ENTRADA DE AUDIO</t>
  </si>
  <si>
    <t>NI_700</t>
  </si>
  <si>
    <t>MASTER DE CONTROL CON 2 PUERTOS SERIALES, CONTACTO SECO E INFRA ROJO</t>
  </si>
  <si>
    <t>ENV_VST_C</t>
  </si>
  <si>
    <t>TERMOSTATO DE CONTROL</t>
  </si>
  <si>
    <t>NXA_WAP250G</t>
  </si>
  <si>
    <t>ACCESS POINT PARA PANTALLAS MODERO</t>
  </si>
  <si>
    <t>PANTALLA TACTIL AMX DE 7"</t>
  </si>
  <si>
    <t>MODULO PARA TOUCH PANEL VIRTUAL</t>
  </si>
  <si>
    <t>UPX_RGB</t>
  </si>
  <si>
    <t>TRANSMISOR VGA POR UTP</t>
  </si>
  <si>
    <t>MVP_9000I</t>
  </si>
  <si>
    <t>PANTALLA TACTIL INALAMBRICA DE 9"</t>
  </si>
  <si>
    <t>SP_08_AX_US_BL</t>
  </si>
  <si>
    <t>TECLADO METREU DE 8 BOTONES</t>
  </si>
  <si>
    <t>ANIXTER</t>
  </si>
  <si>
    <t>METRO DE CABLE CERTIFICADO PARA ALTAVOCES, LIBRE DE OXIGENO, DE MÁXIMA PUREZA.</t>
  </si>
  <si>
    <t>AL_1602C_2_2N_01</t>
  </si>
  <si>
    <t>ANKER</t>
  </si>
  <si>
    <t>SLIM_SUB_3.0</t>
  </si>
  <si>
    <t>HUM USB 3.0 DE 4 SALIDAS, 36W.</t>
  </si>
  <si>
    <t>ANSON</t>
  </si>
  <si>
    <t>VZ_B4_2R</t>
  </si>
  <si>
    <t>KIT DE RECEPTOR INALAMBRICO CON 21 CONTROLES.</t>
  </si>
  <si>
    <t>ANTHONY GALLO</t>
  </si>
  <si>
    <t>ANT</t>
  </si>
  <si>
    <t>HT</t>
  </si>
  <si>
    <t>HOM</t>
  </si>
  <si>
    <t>SISTEMA DE ALTAVOCES 5.1 DE ALTA FIDELIDAD ULTRA COMPACTO.</t>
  </si>
  <si>
    <t>TR_1MICRO5.1</t>
  </si>
  <si>
    <t>SISTEMA DE ALTAVOCES 5.1 DE ALTA FIDELIDAD ULTRA COMPACTO, POTENCIA DE 100 VATIOS REALES, ALTAVOCES SATÉLITE DE LA SERIE MICRO, SUBWOOFER CON AMPLIFICADOR AV DE 100 VATIOS. COLOR BLANCO, PLATA O NEGRO.</t>
  </si>
  <si>
    <t>TR_1ADIVA5.1</t>
  </si>
  <si>
    <t>SISTEMA DE ALTAVOCES 5.1 DE ALTA FIDELIDAD ULTRA COMPACTO, POTENCIA DE 100 VATIOS REALES, ALTAVOCES SATÉLITE DE LA SERIE ADIVA, SUBWOOFER CON AMPLIFICADOR AV DE 100 VATIOS. COLOR BLANCO, PLATA O NEGRO.</t>
  </si>
  <si>
    <t>SE</t>
  </si>
  <si>
    <t>SE_5.1_MIC</t>
  </si>
  <si>
    <t>SISTEMA DE ALTAVOCES 5.1 DE ALTA FIDELIDAD ULTRA COMPACTO, POTENCIA DE 100 VATIOS REALES, ALTAVOCES SATÉLITE DE LA SERIE MICRO, SUBWOOFER CON AMPLIFICADOR AV DE 100 VATIOS. TERMINACIÓN EN ALUMINIO ANODIZADO</t>
  </si>
  <si>
    <t>SE_5.1_ADIVA</t>
  </si>
  <si>
    <t>SISTEMA DE ALTAVOCES 5.1 DE ALTA FIDELIDAD ULTRA COMPACTO, POTENCIA DE 300 VATIOS REALES, ALTAVOCES SATÉLITE DE LA SERIE ADIVA, SUBWOOFER CON AMPLIFICADOR AV DE 100 VATIOS. TERMINACIÓN EN COLOR ANODIZADO.</t>
  </si>
  <si>
    <t>SPE</t>
  </si>
  <si>
    <t>ALTAVOCES DE ALTA FIDELIDAD LÍNEA REFERENCE 5.</t>
  </si>
  <si>
    <t>5LS</t>
  </si>
  <si>
    <t>ALTAVOCES DE ALTA FIDELIDAD LÍNEA REFERENCE 5, RESPUESTA EN FRECUENCIA 36HZ-20KHZ. 500 VATIOS DE POTENCIA, 7 TWEETERS PATENTADOS TECNOLOGÍA CDT II. 12 SUBWOOFER DINÁMICOS, 8 ALTAVOCES DE FRECUENCIA MEDIA.</t>
  </si>
  <si>
    <t>ALTAVOCES DE ALTA FIDELIDAD LÍNEA REFERENCE 3.5.</t>
  </si>
  <si>
    <t>REFERENCE_3.5</t>
  </si>
  <si>
    <t>ALTAVOCES DE ALTA FIDELIDAD LÍNEA REFERENCE 3.5, RESPUESTA EN FRECUENCIA 34HZ-20KHZ. 500 VATIOS DE POTENCIA, TWEETERS CDT3. SUBWOOFER DE 10 PULGADAS, 4 MANEJADORES EN FIBRA DE CARBONO DE 10 PULGADAS.</t>
  </si>
  <si>
    <t>ALTAVOCES DUALES CON RESPUESTA EN FRECUENCIA DE 45HZ - 20KHZ.</t>
  </si>
  <si>
    <t>STRADA</t>
  </si>
  <si>
    <t>ALTAVOCES DUALES CON RESPUESTA EN FRECUENCIA DE 45HZ - 20KHZ, IMPEDANCIA DE 8 OHM, 150 VATIOS DE POTENCIA RMS, TWEETER CON TECNOLOGÍA PATENTADA CDT 3.</t>
  </si>
  <si>
    <t>ALTAVOZ SATÉLITE DE LA SERIE MICRO, POTENCIA DE HASTA 125 VATIOS.</t>
  </si>
  <si>
    <t>SE_MICRO</t>
  </si>
  <si>
    <t>ALTAVOZ SATÉLITE DE LA SERIE MICRO, POTENCIA DE HASTA 125 VATIOS, IMPEDANCIA DE 4 OHM, DIMENSIONES, ESFERA DE 4 PULGADAS DE DIÁMETRO. COLOR BLANCO O NEGRO.</t>
  </si>
  <si>
    <t>SE_MICRO_SS</t>
  </si>
  <si>
    <t>ALTAVOZ SATÉLITE DE LA SERIE MICRO, POTENCIA DE HASTA 125 VATIOS, IMPEDANCIA DE 4 OHM, DIMENSIONES, ESFERA DE 4 PULGADAS DE DIÁMETRO. TERMINACIÓN EN ALUMINIO ANODIZADO.</t>
  </si>
  <si>
    <t>SUB</t>
  </si>
  <si>
    <t>SUBWOOFER CON AMPLIFICADOR TIPO AB DE 100 VATIOS, FILTRO PASA BAJOS AJUSTABLE.</t>
  </si>
  <si>
    <t>TR_1</t>
  </si>
  <si>
    <t>SUBWOOFER CON AMPLIFICADOR TIPO AB DE 300 VATIOS, FILTRO PASA BAJOS AJUSTABLE.</t>
  </si>
  <si>
    <t>TR_3</t>
  </si>
  <si>
    <t>SUP</t>
  </si>
  <si>
    <t>SOPORTES DE PARED PARA ALTAVOCES STRADA</t>
  </si>
  <si>
    <t>STRADA_MOUNTS</t>
  </si>
  <si>
    <t>SOPORTE DE PISO PARA ALTAVOCES TIPO STRADA</t>
  </si>
  <si>
    <t>STRADA_FL</t>
  </si>
  <si>
    <t>SOPORTES DE TECHO PARA ALTAVOCES DE LA SERIE MICRO</t>
  </si>
  <si>
    <t>MICRO_CEILING</t>
  </si>
  <si>
    <t>SOPORTES DE TECHO PARA ALTAVOCES DE LA SERIE ADIVA</t>
  </si>
  <si>
    <t>ADIVA_CEALING</t>
  </si>
  <si>
    <t>SOPORTE DE PISO PARA ALTAVOCES TIPO ADIVA</t>
  </si>
  <si>
    <t>ADIVA_STAND</t>
  </si>
  <si>
    <t>SOPORTE PARA PARED EN COLOR NEGRO</t>
  </si>
  <si>
    <t>MMB</t>
  </si>
  <si>
    <t>SOPORTE PARA PARED EN COLOR BLANCO</t>
  </si>
  <si>
    <t>MMW</t>
  </si>
  <si>
    <t>SOPORTE PARA ALTAVOZ MICRO DE MESA COLOR NEGRO</t>
  </si>
  <si>
    <t>MTMB</t>
  </si>
  <si>
    <t>SOPORTE PARA ALTAVOZ MICRO DE MESA COLOR BLANCO</t>
  </si>
  <si>
    <t>MTMW</t>
  </si>
  <si>
    <t>http://www.homedepot.com/b/Electrical-Electrical-Boxes-Conduit-Fittings/Carlon/N-5yc1vZbm4mZ2dq</t>
  </si>
  <si>
    <t>http://www.homedepot.com/p/Carlon-2-Gang-25-cu-in-Non-Metallic-Old-Work-Switch-and-Outlet-Box-B225R-UPC/100404169</t>
  </si>
  <si>
    <t>STW</t>
  </si>
  <si>
    <t>SOPORTE DE PISO EN COLOR BLANCO</t>
  </si>
  <si>
    <t>APART</t>
  </si>
  <si>
    <t>SN_237</t>
  </si>
  <si>
    <t>PARLANTE CUADRADO DE 5.25".</t>
  </si>
  <si>
    <t>APC</t>
  </si>
  <si>
    <t>UPS</t>
  </si>
  <si>
    <t>UPS DE 750VA, AUTONOMÍA DE 38 MINUTOS PARA 100 VATIOS.</t>
  </si>
  <si>
    <t>BE750G</t>
  </si>
  <si>
    <t>UPS DE 3000VA PARA MONTAJE EN RACK</t>
  </si>
  <si>
    <t>SMT3000RM2U</t>
  </si>
  <si>
    <t>UPS DE PROTECCIÓN DE 255 VATIOS</t>
  </si>
  <si>
    <t>BE425M</t>
  </si>
  <si>
    <t>ACC</t>
  </si>
  <si>
    <t xml:space="preserve">MULTITOMA DE 6 SALIDAS CON INDICADOR DE CORRIENTE. </t>
  </si>
  <si>
    <t>P62</t>
  </si>
  <si>
    <t>MULTITOMA DE 6 SALIDAS CON INDICADOR DE CORRIENTE. CORRIENTE MÁXIMA DE 15 AMPERIOS.</t>
  </si>
  <si>
    <t>UPS TIPO MULTITOMA DE 350 VA. MARCA: APC.</t>
  </si>
  <si>
    <t>BE350G</t>
  </si>
  <si>
    <t>UPS TIPO MULTITOMA DE 750 VA. MARCA: APC.</t>
  </si>
  <si>
    <t>UPS TIPO MULTITOMA DE 550 VA. MARCA: APC.</t>
  </si>
  <si>
    <t>BE550G</t>
  </si>
  <si>
    <t xml:space="preserve">UPS DE 425VA. </t>
  </si>
  <si>
    <t>APPLE</t>
  </si>
  <si>
    <t>APL</t>
  </si>
  <si>
    <t>ROU</t>
  </si>
  <si>
    <t>REPETIDOR INALÁMBRICO PARA TRANSMISIÓN DE SEÑALES DE AUDIO.</t>
  </si>
  <si>
    <t>AIRPORT_EXPRESS</t>
  </si>
  <si>
    <t>REPETIDOR INALÁMBRICO PARA TRANSMISIÓN DE SEÑALES DE AUDIO, FUNCIONA COMO GATEWAY DE AUDIO AL CONECTARSE A UNA RED LAN.</t>
  </si>
  <si>
    <t xml:space="preserve">IPAD MINI PANTALLA RETINA DE 32 GIGAS. </t>
  </si>
  <si>
    <t>ME277E</t>
  </si>
  <si>
    <t>APPLE TV 4K DE 32G.</t>
  </si>
  <si>
    <t>APPLE_TV_4K_32</t>
  </si>
  <si>
    <t>APTV32G</t>
  </si>
  <si>
    <t>APPLE TV DE 32G, CHIP A8 Y BLUETOOTH 4.0</t>
  </si>
  <si>
    <t>ARLINGTON</t>
  </si>
  <si>
    <t>ARL</t>
  </si>
  <si>
    <t>WAL</t>
  </si>
  <si>
    <t>SALIDA PASA CABLES TIPO BROCHA EN COLOR BLANCO</t>
  </si>
  <si>
    <t>CED135WP</t>
  </si>
  <si>
    <t>SALIDA PASA CABLES DE 1 GANG</t>
  </si>
  <si>
    <t>CE1</t>
  </si>
  <si>
    <t>SALIDA PASA CABLES DE 2 GANG</t>
  </si>
  <si>
    <t>CE2</t>
  </si>
  <si>
    <t>CAJ</t>
  </si>
  <si>
    <t xml:space="preserve">CAJA DE CONECTIVIDAD PARA PISO CON SALIDA ELÉCTRICA Y RJ-45. </t>
  </si>
  <si>
    <t>FLB5552NL_1</t>
  </si>
  <si>
    <t>HUB</t>
  </si>
  <si>
    <t>TOMA CORRIENTE PARA PISO CON TAPA TIPO MONEDA</t>
  </si>
  <si>
    <t>FLBR101BR_1</t>
  </si>
  <si>
    <t>ARPA</t>
  </si>
  <si>
    <t xml:space="preserve">GABINETE TIPO RACK DE PISO, 45 UNIDADES DE RACK. </t>
  </si>
  <si>
    <t>RACK1.5</t>
  </si>
  <si>
    <t>ARYLIC</t>
  </si>
  <si>
    <t>STA326</t>
  </si>
  <si>
    <t>SERVIDOR STREAMING DE AUDIO CON AMLIFICADOR DE 50W</t>
  </si>
  <si>
    <t>ATEN</t>
  </si>
  <si>
    <t>SWITCH 4x1 PARA SEÑALES HDMI, RESOLUCIÓN 4K.</t>
  </si>
  <si>
    <t>VS418B</t>
  </si>
  <si>
    <t>SWITCH 4x1 PARA SEÑALES HDMI, RESOLUCIÓN 4K CON SALIDA MANUAL O AUTOMÁTICA. PUERTO DE CONTROL EXTERNO RS-232</t>
  </si>
  <si>
    <t>SPLITTER DE TRANSMISIÓN POR UTP, PARA 8 SALIDAS</t>
  </si>
  <si>
    <t>PS_209</t>
  </si>
  <si>
    <t>RECEPTOR UTP DE VIDEO POR CATEGORÍA 6</t>
  </si>
  <si>
    <t>PS_616</t>
  </si>
  <si>
    <t>MATRIZ DE 8 ENTRADAS 8 SALIDAS HDMI</t>
  </si>
  <si>
    <t>PS_525</t>
  </si>
  <si>
    <t>UC3022</t>
  </si>
  <si>
    <t>CAPTURADORA DE VIDEO CON 2 ENTRADAS HDMI Y SALIDA USB PARA SOFTWARE Y ENTRADA DE SENAL DE AUDIO ANALOGAS PARA MEZCLA.</t>
  </si>
  <si>
    <t>ATLONA</t>
  </si>
  <si>
    <t>PRE AMPLIFICADOR CON CONTROL RS-232, 20 VATIOS DE SALIDA.</t>
  </si>
  <si>
    <t>AT_PA100_G2</t>
  </si>
  <si>
    <t>PRE AMPLIFICADOR CON CONTROL RS-232, 20 VATIOS DE SALIDA. SALIDA PARA SPEAKER Y ANÁLOGA.</t>
  </si>
  <si>
    <t>TRANSMISOR DE AUDIO Y VIDEO POR HD BASE T, PARA ENTRADA VGA Y HDMI.</t>
  </si>
  <si>
    <t>AT_HDVS_150_TX</t>
  </si>
  <si>
    <t xml:space="preserve">ENCODER CON DOS ENTRADAS HDMI, 4K PARA MATRIZ VIRTUAL POR RED DE DATOS. </t>
  </si>
  <si>
    <t>AT_OMNI_112</t>
  </si>
  <si>
    <t xml:space="preserve">DECODIFICADOR CON SALIDA HDMI, 4K PARA MATRIZ VIRTUAL POR RED DE DATOS. </t>
  </si>
  <si>
    <t>AT_OMNI_121</t>
  </si>
  <si>
    <t>INTERFAZ DE CONTROL PARA EQUIPOS DE AV POR IP</t>
  </si>
  <si>
    <t>AT_VGW_HW3</t>
  </si>
  <si>
    <t>SPLITTER 4K DE DISTRIBUCIÓN HDBaseT CON ENTRADA HDMI Y SALIDAS POR UTP.</t>
  </si>
  <si>
    <t>AT_UHD_CAT_8</t>
  </si>
  <si>
    <t>RECEPTOR 4K HDBaseT CON SALIDA HDMI</t>
  </si>
  <si>
    <t>AT_UHD_EX_70C_RX</t>
  </si>
  <si>
    <t>AT_HDVS_150_RX</t>
  </si>
  <si>
    <t>RECEPTOR HDBASET PARA SENALES DE AV POR UTP.</t>
  </si>
  <si>
    <t>AT_HDVSCAM</t>
  </si>
  <si>
    <t>CAMARA PTZ CON SALIDA HDMI</t>
  </si>
  <si>
    <t>AT_JUNO_451</t>
  </si>
  <si>
    <t>SWITCH HDMI 4X1 RESOLUCION 4K.</t>
  </si>
  <si>
    <t>AUDAC</t>
  </si>
  <si>
    <t>SN_312</t>
  </si>
  <si>
    <t>ALTAVOCES ACTIVOS DE 40W CON ENTRADA AUXILIAR.</t>
  </si>
  <si>
    <t>AUDIOPIPE</t>
  </si>
  <si>
    <t>GEN</t>
  </si>
  <si>
    <t>RGA</t>
  </si>
  <si>
    <t>METRO CABLE LIBRE DE OXIGENO AWG14</t>
  </si>
  <si>
    <t xml:space="preserve"> ISSP141000Cl</t>
  </si>
  <si>
    <t>AUGUST</t>
  </si>
  <si>
    <t>WR320</t>
  </si>
  <si>
    <t>TRANSMISOR DE AUDIO POR WIFI COMPATIBLE CON SPOTIFY PREMIUM. RECIBE SEÑAL VIA BLUETOOTH.</t>
  </si>
  <si>
    <t>AURA</t>
  </si>
  <si>
    <t>SENSOR INFRARROJO 360</t>
  </si>
  <si>
    <t>ASR09</t>
  </si>
  <si>
    <t>SENSOR DE PRESENCIA ULTRA CORTO</t>
  </si>
  <si>
    <t>AUR007</t>
  </si>
  <si>
    <t>SENSOR INALÁMBRICO DE TECHO INFRA ROJO 360 TIPO BALA</t>
  </si>
  <si>
    <t>AUR005</t>
  </si>
  <si>
    <t>p</t>
  </si>
  <si>
    <t>SENSOR INFRA ROJO 360 GRADOS ALCANCE DE 5 METROS</t>
  </si>
  <si>
    <t>ASR009</t>
  </si>
  <si>
    <t>LUMINARIA HERMÉTICA PARA TUBO T8</t>
  </si>
  <si>
    <t>AUR006</t>
  </si>
  <si>
    <t>SENSOR DE PRESENCIA ULTRA PEQUEÑO CON ALTURA DE INSTALACIÓN DE 2.4M.</t>
  </si>
  <si>
    <t>ASR05</t>
  </si>
  <si>
    <t>SENSOR DE PRESENCIA ULTRA PEQUEÑO CON ALTURA DE INSTALACIÓN DE 2.4M, COBERTURA 360° HASTA 6 METROS.</t>
  </si>
  <si>
    <t>AVE</t>
  </si>
  <si>
    <t>TAPA CIEGA BLANCA</t>
  </si>
  <si>
    <t>AVECIE</t>
  </si>
  <si>
    <t>TIMBRE TIPO DING DONG</t>
  </si>
  <si>
    <t>AVE30013</t>
  </si>
  <si>
    <t>AXIS</t>
  </si>
  <si>
    <t>AXI</t>
  </si>
  <si>
    <t>CAM</t>
  </si>
  <si>
    <t>PROTECTOR PARA EXTERIORES CON ANTENA, COMPATIBLE PARA CÁMARAS TIPO 211W.</t>
  </si>
  <si>
    <t>A5500-321</t>
  </si>
  <si>
    <t>AZ</t>
  </si>
  <si>
    <t>ELECTRO IMÁN DE 350 LIBRAS</t>
  </si>
  <si>
    <t>MM_005</t>
  </si>
  <si>
    <t>AZIMON</t>
  </si>
  <si>
    <t>C_108</t>
  </si>
  <si>
    <t>SISTEMA DE FIBRA OPTICA RGB DE 300 HILOS CON CONTROL BLUETOOTH</t>
  </si>
  <si>
    <t>B_10</t>
  </si>
  <si>
    <t>EXTRACTOR ULTRA SILENCIOSO</t>
  </si>
  <si>
    <t>BARCO</t>
  </si>
  <si>
    <t>MATRIZ DE VIDEO HD CON 4 BOTONERAS DE SELECCIÓN, Y FUNCIÓN MULTIPANTALLA.</t>
  </si>
  <si>
    <t>CSC_1</t>
  </si>
  <si>
    <t>MATRIZ DE VIDEO HD CON 2 BOTONERAS DE SELECCIÓN, Y FUNCIÓN MULTIPANTALLA.</t>
  </si>
  <si>
    <t>CSE_200</t>
  </si>
  <si>
    <t>SISTEMA DE PRESENTACIÓN DE MATRIZ INALÁMBRICA PARA UN USUARIO.</t>
  </si>
  <si>
    <t>CS_100</t>
  </si>
  <si>
    <t>BAR</t>
  </si>
  <si>
    <t>PRESENTADOS WIRELESS EN SIMULTANEA CON SALIDA HDMI.</t>
  </si>
  <si>
    <t>BOTONERA DE CONEXIÓN A SISTEMA CLICK SHARE</t>
  </si>
  <si>
    <t>R9861500D01</t>
  </si>
  <si>
    <t>BASE DE CONEXIÓN PARA BOTONERAS CLICK SHARE</t>
  </si>
  <si>
    <t>R9861500T01</t>
  </si>
  <si>
    <t>BARRISOL</t>
  </si>
  <si>
    <t>SECCIÓN DE BARRISOL RECTANGULAR DE 9.65Mx3M. MIRAR ESPECIFICACIÓN TÉCNICA.</t>
  </si>
  <si>
    <t>BAR_3X9.65</t>
  </si>
  <si>
    <t>METRO LINEAL DE SOPORTE PARA BARRISOL</t>
  </si>
  <si>
    <t>SOPORTE_BAR</t>
  </si>
  <si>
    <t>BASALTE</t>
  </si>
  <si>
    <t>EVE_PLUS_0130-03_A</t>
  </si>
  <si>
    <t>ALIMENTACIÓN Y SOPORTE DE PARED CON ALIMENTACION PoE.</t>
  </si>
  <si>
    <t>EVE_PLUS_0131-21_B</t>
  </si>
  <si>
    <t>FACEPLATE PARA BASE DE PARED COLOR ROSÉ.</t>
  </si>
  <si>
    <t>EVE_PLUS_0122-0X_C</t>
  </si>
  <si>
    <t>MARCO DECORATIVO PARA IPAD 7, EN COLOR: BRUSHED ALUMINIUM, BRUSHED BLACK O SATIN WHITE.</t>
  </si>
  <si>
    <t>EVE_PLUS_0150-0X_A</t>
  </si>
  <si>
    <t>SOPORTE DE MESA PARA IPAD.</t>
  </si>
  <si>
    <t>SENTIDO_0200_01</t>
  </si>
  <si>
    <t>TECLADO TOUCH CON COMUNICACIÓN RS-485</t>
  </si>
  <si>
    <t>SENTIDO_0202_19</t>
  </si>
  <si>
    <t>FACEPLATE DE 4 MANDOS EN COLOR ROSÉ.</t>
  </si>
  <si>
    <t>BASEWISH</t>
  </si>
  <si>
    <t>TR509</t>
  </si>
  <si>
    <t>TRANSMISOR DE UN VATIO EN FM PARA SENALES ANALOGAS</t>
  </si>
  <si>
    <t>https://www.amazon.com/dp/B00ECUWKIO/ref=sr_1_12_sspa?__mk_es_US=%C3%85M%C3%85%C5%BD%C3%95%C3%91&amp;dchild=1&amp;keywords=3.5+to+fm&amp;qid=1625093837&amp;sr=8-12-spons&amp;psc=1&amp;smid=A1L6FVPAS5W33&amp;spLa=ZW5jcnlwdGVkUXVhbGlmaWVyPUEyTkZLMDhaUVhQNkJDJmVuY3J5cHRlZElkPUEwMDU2MjE0MTZHTloxUEYwUjYxRyZlbmNyeXB0ZWRBZElkPUEwNjU3NjA2MVBGOVM4VFVBRFc3NSZ3aWRnZXROYW1lPXNwX210ZiZhY3Rpb249Y2xpY2tSZWRpcmVjdCZkb05vdExvZ0NsaWNrPXRydWU=</t>
  </si>
  <si>
    <t>BAT</t>
  </si>
  <si>
    <t>BATERÍA DE 12V, 1 AMPERIO.</t>
  </si>
  <si>
    <t>BAT12V</t>
  </si>
  <si>
    <t>BEELINK</t>
  </si>
  <si>
    <t>MINI PC DE  2M, 2GB, SALIDA HDMI.</t>
  </si>
  <si>
    <t>Z83</t>
  </si>
  <si>
    <t>BEHRINGER</t>
  </si>
  <si>
    <t>MEZCLADOR DE 5 CANALES PARA SEÑALES DE MICRÓFONO Y ESTÉREO DESBALANCEADAS.</t>
  </si>
  <si>
    <t>XENYX502</t>
  </si>
  <si>
    <t>MEZCLADOR DE 3 CANALES PARA SEÑALES DE MICRÓFONO Y ESTÉREO DESBALANCEADAS.</t>
  </si>
  <si>
    <t>XENYX_302USB</t>
  </si>
  <si>
    <t>X2222</t>
  </si>
  <si>
    <t>MIXER DE 8 CANALES XLR, CON ENTRADA Y SALIDA AUXILIAR</t>
  </si>
  <si>
    <t>X1832</t>
  </si>
  <si>
    <t>MIXER DE 6 CANALES XLR, CON ENTRADA Y SALIDA AUXILIAR</t>
  </si>
  <si>
    <t>BELKIN</t>
  </si>
  <si>
    <t>BEL</t>
  </si>
  <si>
    <t>SOU</t>
  </si>
  <si>
    <t>RECEPTOR BLUETOOTH PARA CONEXIÓN DE EQUIPO ESTÉREO.</t>
  </si>
  <si>
    <t>F8Z492TTP</t>
  </si>
  <si>
    <t>BELL</t>
  </si>
  <si>
    <t>JUEGO DE TOMA CORRIENTE CON TAPA PARA INTEMPERIE</t>
  </si>
  <si>
    <t>BELL15</t>
  </si>
  <si>
    <t>BENQ</t>
  </si>
  <si>
    <t>PROYECTOR DE 3.000 LUMENS, RESOLUCIÓN DE 1920X1080 EN FORMATO 16:9.</t>
  </si>
  <si>
    <t>TH671ST</t>
  </si>
  <si>
    <t>PROYECTOR DLP DE 3300 LUMENS, CONTROL RS232.</t>
  </si>
  <si>
    <t>MS524AE</t>
  </si>
  <si>
    <t>PROYECTOR DLP DE 3300 LUMENS, CONTROL RS232, DOS ENTRADAS HDMI Y ENTRADA VGA. RESOLUCIÓN WXGA.</t>
  </si>
  <si>
    <t>PROYECTOR DE 4500 LUMENS, RESOLUCIÓN NATIVA DE 1920X1080.</t>
  </si>
  <si>
    <t>MH750</t>
  </si>
  <si>
    <t xml:space="preserve">PROYECTOR DLP DE 2200 LUMENS FULL DH, LAMPARA DE 3500 HORAS. </t>
  </si>
  <si>
    <t>HT2050A</t>
  </si>
  <si>
    <t>BESTER</t>
  </si>
  <si>
    <t>BALA INYECTADA BLANCA PARA LUMINARIA MR16</t>
  </si>
  <si>
    <t>S133A</t>
  </si>
  <si>
    <t>BEXTER</t>
  </si>
  <si>
    <t>SE01</t>
  </si>
  <si>
    <t>INTERRUPTOR CON SENSOR DE PRESENCIA HASTA 15 AMPERIOS</t>
  </si>
  <si>
    <t>BIAMB</t>
  </si>
  <si>
    <t>BIA</t>
  </si>
  <si>
    <t>AudiaFLEX chasis with CobraNet® Module</t>
  </si>
  <si>
    <t>AUDIAFLEX_COBRA</t>
  </si>
  <si>
    <t>AudiaFLEX 2-channel mic/line input card (Card Kit)</t>
  </si>
  <si>
    <t>B286_900</t>
  </si>
  <si>
    <t>AudiaFLEX 2-channel mic/line output card (Card Kit)</t>
  </si>
  <si>
    <t>B288_900</t>
  </si>
  <si>
    <t>AUDIAVOIP CON TARJETAS.</t>
  </si>
  <si>
    <t>B381_900</t>
  </si>
  <si>
    <t>AudiaVOIP chassis, CobraNet® module not included.
Fixed configuración of I/O cards:
(2) IP-2 cards, (6) AEC-2HD cards,
(2) OP-2e cards, (1) PA-2 card
(1) VoIP-2 card</t>
  </si>
  <si>
    <t>PROCESADOR DIGITAL DE SEÑAL CON 8 CANALES MICRO/LÍNEA.</t>
  </si>
  <si>
    <t>NEXIA_VC</t>
  </si>
  <si>
    <t>PROCESADOR DIGITAL DE SEÑAL CON 8 CANALES MICRO/LÍNEA CON CANCELACIÓN DE ECO (AEC) DE BANDA ANCHA. DOS ENTRADAS DE MICRO ESTÁNDAR, CUATRO SALIDAS DE MICRO/LÍNEA Y UNA INTERFAZ PARA EL CODEC. USO EN APLICACIONES DE VIDEO CONFERENCIA.</t>
  </si>
  <si>
    <t>BIAMP</t>
  </si>
  <si>
    <t>EXT</t>
  </si>
  <si>
    <t>TECLADO DE VOLUMEN SELECTOR PARA SISTEMAS BIAMP</t>
  </si>
  <si>
    <t>VOLUM_SELECT8</t>
  </si>
  <si>
    <t>SISTEMA DE VIDEO CONFERENCIA COMPATIBLE CON CÁMARAS USB.</t>
  </si>
  <si>
    <t>SCR20T</t>
  </si>
  <si>
    <t>SISTEMA DE VIDEO CONFERENCIA COMPATIBLE CON CÁMARAS USB, MICRÓFONO INCLUIDO DE MESA.</t>
  </si>
  <si>
    <t>PROCESADOR DE SEÑAL DIGITAL CON 10 ENTRADAS BALANCEADAS DE LINEA/MIC.</t>
  </si>
  <si>
    <t>NEXIA_CS</t>
  </si>
  <si>
    <t>PROCESADOR DSP DE 32 CANALES</t>
  </si>
  <si>
    <t>TESIRA_SERVER</t>
  </si>
  <si>
    <t>SCR_25</t>
  </si>
  <si>
    <t>SISTEMA DE VIDEO CONFERENCIA COMPATIBLE CON CÁMARAS USB, MICRÓFONO INCLUIDO DE MESA. INCLUYE CONEXIÓN BLUETOOTH.</t>
  </si>
  <si>
    <t>FORTE_AVB_CI</t>
  </si>
  <si>
    <t>PROCESADOR DSP PARA 12 MICROFONOS, 8 CANALES CONFIGURABLES USB. Y PUERTO SERIE.</t>
  </si>
  <si>
    <t>EX_UBT</t>
  </si>
  <si>
    <t>EXTENSOR USB PARA RED TESIRA</t>
  </si>
  <si>
    <t>CONNECT_TC_5</t>
  </si>
  <si>
    <t>PUERTO AVB PARA RED TESIRA POR STREAMING</t>
  </si>
  <si>
    <t>TCM_1</t>
  </si>
  <si>
    <t>MICROFONO OMNIDIRECCIONAL CON CANCELACION ACUSTICA</t>
  </si>
  <si>
    <t>TCM_1EX</t>
  </si>
  <si>
    <t>MODULO DE EXPANSioN PARA MICROFONO DE TECHO</t>
  </si>
  <si>
    <t>BIOLED</t>
  </si>
  <si>
    <t>BIO</t>
  </si>
  <si>
    <t>DRIVER PARA LED DE 350m AMPERIOS CON SALIDA PARA LÁMPARA DUPLICADA.</t>
  </si>
  <si>
    <t>BIO16</t>
  </si>
  <si>
    <t>DRIVER PARA LED DE 350m AMPERIOS CON SALIDA PARA LÁMPARA DUPLICADA, CAPACIDAD HASTA 16 VATIOS.</t>
  </si>
  <si>
    <t>BJB</t>
  </si>
  <si>
    <t>SOPORTE ANTI SOBRA PARA TUBO T8</t>
  </si>
  <si>
    <t>BJB016</t>
  </si>
  <si>
    <t>SOC</t>
  </si>
  <si>
    <t>SOCKET PARA T5 CON ROTOR. MARCA: BJB.</t>
  </si>
  <si>
    <t>BJB013</t>
  </si>
  <si>
    <t>BJB30</t>
  </si>
  <si>
    <t>REGLETA DE 56CM, 3000K LUZ CALIDA, 700mA. 17W.</t>
  </si>
  <si>
    <t>BLUELINE</t>
  </si>
  <si>
    <t>ELECTROIMÁN DE 300 LIBRAS</t>
  </si>
  <si>
    <t>ELOCK300LBS</t>
  </si>
  <si>
    <t>SOPORTE EN U PARA ELECTROIMÁN</t>
  </si>
  <si>
    <t>ELOCKU</t>
  </si>
  <si>
    <t>ELECTROIMÁN DE 600 LIBRAS</t>
  </si>
  <si>
    <t>ELOCK600LBS</t>
  </si>
  <si>
    <t>RECEPTOR UNIVERSAL DE CONTROL</t>
  </si>
  <si>
    <t>ELOCKRECEP</t>
  </si>
  <si>
    <t>CONTROL REMOTO UNIVERSAL</t>
  </si>
  <si>
    <t>ELOCKCON</t>
  </si>
  <si>
    <t>BLULIGHT</t>
  </si>
  <si>
    <t>PANEL LED DE 3W, CÁLIDO.</t>
  </si>
  <si>
    <t>PL3W3000K</t>
  </si>
  <si>
    <t>BLUOS</t>
  </si>
  <si>
    <t>CI580</t>
  </si>
  <si>
    <t>PREAMPLIFICADOR CON STREAMING DE AUDIO INDEPENDIENTE BLUESOUND DE 4 ZONAS</t>
  </si>
  <si>
    <t>BOSCH</t>
  </si>
  <si>
    <t>GBS_1200_2_LI</t>
  </si>
  <si>
    <t>TALADRO PERCUTOR INALAMBRICO</t>
  </si>
  <si>
    <t>BOSE</t>
  </si>
  <si>
    <t>BOS</t>
  </si>
  <si>
    <t>SPK</t>
  </si>
  <si>
    <t>ALTAVOZ DE MONTAJE EMPOTRADO DISEÑADO PARA LA MÚSICA DE FONDO.</t>
  </si>
  <si>
    <t>DS16F</t>
  </si>
  <si>
    <t>ALTAVOZ DE MONTAJE EMPOTRADO DISEÑADO PARA LA MÚSICA DE FONDO Y REPRODUCCIÓN DE VOZ EN AMPLIA GAMA DE APLICACIONES INSTALADAS. POTENCIA 16W, LÍNEA 70V IMPEDANCIA DE 8 OHM.</t>
  </si>
  <si>
    <t xml:space="preserve">FREESPACE_360_P_II </t>
  </si>
  <si>
    <t>PARLANTE EXTERIOR DE MONTAJE INTERNO EN TIERRA</t>
  </si>
  <si>
    <t>BOSH</t>
  </si>
  <si>
    <t>SENSOR PERIMETRAL</t>
  </si>
  <si>
    <t>DS426I</t>
  </si>
  <si>
    <t>SENSOR FOTOELÉCTRICO PERIMETRAL</t>
  </si>
  <si>
    <t>BOSTON ACOUSTICS</t>
  </si>
  <si>
    <t>ALTAVOCES PARA EXTERIORES DE ALTA FIDELIDAD EN COLOR NEGRO.</t>
  </si>
  <si>
    <t>VOYA60B</t>
  </si>
  <si>
    <t>ALTAVOCES PARA EXTERIORES DE ALTA FIDELIDAD EN COLOR NEGRO, MEMBRANA ACÚSTICA DE 6.5". AMPLIFICADOR 20-100W.</t>
  </si>
  <si>
    <t>ALTAVOZ DE SOBRE PONER EN COLOR NEGRO O BLANCO.</t>
  </si>
  <si>
    <t>SOUNDWARE</t>
  </si>
  <si>
    <t>ALTAVOZ DE SOBRE PONER EN COLOR NEGRO O BLANCO. BUFFER DE 4.5" Y TWEETER DE 3/4'.</t>
  </si>
  <si>
    <t>SISTEMA 5.1 ULTRA COMPACTO. CON 5 ALTAVOCES Y SUBWOOFER.</t>
  </si>
  <si>
    <t>SNDWREXS5.1</t>
  </si>
  <si>
    <t>SUBWOOFER ACTIVO DE 100W 10"</t>
  </si>
  <si>
    <t>CSSUB10II</t>
  </si>
  <si>
    <t xml:space="preserve">ALTAVOZ ULTRA COMPACTO DE SOBRE PONER EN COLOR NEGRO O BLANCO. </t>
  </si>
  <si>
    <t>SOUNDWARE_XS</t>
  </si>
  <si>
    <t>ALTAVOZ DE 6.5", SUBWOOFER LAMINADO, IMPEDANCIA DE 8OHM.</t>
  </si>
  <si>
    <t>CS_275</t>
  </si>
  <si>
    <t>ALTAVOZ DE 6.5", SUBWOOFER LAMINADO, IMPEDANCIA DE 8OHM, RESPUESTA EN FRECUENCIA 65-20Khz.</t>
  </si>
  <si>
    <t xml:space="preserve">ALTAVOZ CENTRAL CON SUBWOOFER DE 5.5", </t>
  </si>
  <si>
    <t>CS225CII</t>
  </si>
  <si>
    <t>BARRA DE SONIDO CON SUBWOOFER INALÁMBRICO.</t>
  </si>
  <si>
    <t>TVEE</t>
  </si>
  <si>
    <t>BARRA DE SONIDO CON SUBWOOFER INALÁMBRICO PARA CONEXIÓN DE AUDIO ANÁLOGA O DIGITAL</t>
  </si>
  <si>
    <t>PARLANTE CENTRAL CON DOS PARLANTES DE 5.25".</t>
  </si>
  <si>
    <t>CS225CIIB_0XX00</t>
  </si>
  <si>
    <t>ALTAVOZ CENTRAL CON WOOFERS DE 5.25", MANEJO DE POTENCIA HASTA 100W.</t>
  </si>
  <si>
    <t>A225C</t>
  </si>
  <si>
    <t>BOWER AND WILKINS</t>
  </si>
  <si>
    <t>CCM382</t>
  </si>
  <si>
    <t>ALTAVOCES DE 80W CON MEMBRANA DE 8"</t>
  </si>
  <si>
    <t>CCM663</t>
  </si>
  <si>
    <t>ALTAVOCES DE 130W CON TWEETER DIRECCIONABLE Y MEMBRANA DE 6" EN KEVLAR</t>
  </si>
  <si>
    <t>CCM664</t>
  </si>
  <si>
    <t>ALTAVOCES DE 130W CON TWEETER DIRECCIONABLE Y MEMBRANA DE 6"</t>
  </si>
  <si>
    <t>CCM662</t>
  </si>
  <si>
    <t>ALTAVOCES DE HASTA 150W CON TWEETER DIRECCIONABLE Y MEMBRANA DE 6" EN KEVLAR</t>
  </si>
  <si>
    <t>CCM665</t>
  </si>
  <si>
    <t>ASW610</t>
  </si>
  <si>
    <t>SUBWOOFER ACTIVO DE 200W, MEMBRANA DE 10".</t>
  </si>
  <si>
    <t>ASW608</t>
  </si>
  <si>
    <t>SUBWOOFER ACTIVO DE 200W, MEMBRANA DE 8".</t>
  </si>
  <si>
    <t>CCM684</t>
  </si>
  <si>
    <t>ALTAVOCES DE 130W CON TWEETER DIRECCIONABLE Y MEMBRANA DE 8"</t>
  </si>
  <si>
    <t>B606</t>
  </si>
  <si>
    <t xml:space="preserve">PARLANTES DE 8OHM, PARA AMPLIFICADOR DE HASTA 120W. </t>
  </si>
  <si>
    <t>STAV24</t>
  </si>
  <si>
    <t>STAND PARA ALTAVOCES DE LA SERIE 600</t>
  </si>
  <si>
    <t>BOXNUC</t>
  </si>
  <si>
    <t>PROCESADOR CELERON 1.6GHz, SALIDA HDMI, 8G DE MEMORIA.</t>
  </si>
  <si>
    <t>BOXNUC5</t>
  </si>
  <si>
    <t>BRATECK</t>
  </si>
  <si>
    <t>SOPORTE UNIVERSAL PARA PROYECTOR EN TECHO, DE BRAZO CORTO</t>
  </si>
  <si>
    <t>PRB_4S</t>
  </si>
  <si>
    <t>BRIGHTLINK</t>
  </si>
  <si>
    <t>BRI</t>
  </si>
  <si>
    <t>SPLITTER PARA TRANSMISIÓN DE SEÑALES HDMI A 1080P POR CABLE CATEGORÍA 5/6.</t>
  </si>
  <si>
    <t>SX_EH70</t>
  </si>
  <si>
    <t>SPLITTER PARA TRANSMISIÓN DE SEÑALES HDMI A 1080P POR CABLE CATEGORÍA 5/6, A DISTANCIAS HASTA DE 70 METROS. MANEJO DE SEÑALES 4K Y 2K.</t>
  </si>
  <si>
    <t>BRIOLIGHT</t>
  </si>
  <si>
    <t>BRIO6125</t>
  </si>
  <si>
    <t>BOMBILLO VINTAGE GRAN FORMATO EN 7W</t>
  </si>
  <si>
    <t>BSS</t>
  </si>
  <si>
    <t>PROCESADOR DIGITAL DE AUDIO CON BLU LINK Y DANTE</t>
  </si>
  <si>
    <t>BLU_806_DA</t>
  </si>
  <si>
    <t>BTICINO</t>
  </si>
  <si>
    <t>MODULO CIEGO LIVING LIGHT</t>
  </si>
  <si>
    <t>N4950</t>
  </si>
  <si>
    <t>TOMA CORRIENTE 15A BLANCO LÍNEA LUZICA</t>
  </si>
  <si>
    <t>SPU1228</t>
  </si>
  <si>
    <t>BTC</t>
  </si>
  <si>
    <t>CIT</t>
  </si>
  <si>
    <t>CITÓFONO DE TRANSMISIÓN A DOS HILOS. MARCA: BTICINO.</t>
  </si>
  <si>
    <t>B344242</t>
  </si>
  <si>
    <t>TOMA CORRIENTE BLANCO COMPUESTO.</t>
  </si>
  <si>
    <t>TOMA_LIVING_B</t>
  </si>
  <si>
    <t>TOMA CORRIENTE BLANCO COMPUESTO POR: SOPORTE PARA TRES MÓDULOS LN4703R, MODULO DE TOMA CORRIENTE DOBLE N4188S Y TAPA DECORATIVA LNA4803BI.</t>
  </si>
  <si>
    <t>TOMA_LIVING_B_GFCI</t>
  </si>
  <si>
    <t>TOMA CORRIENTE BLANCO COMPUESTO POR: SOPORTE PARA TRES MÓDULOS LN4703R, MODULO DE TOMA CORRIENTE DOBLE N4188GF Y TAPA DECORATIVA LNA4803BI.</t>
  </si>
  <si>
    <t xml:space="preserve">INTERRUPTOR SENCILLO CON TAPA DECORATIVA LÍNEA LIVING. </t>
  </si>
  <si>
    <t>SW_LIVING_SEN</t>
  </si>
  <si>
    <t>INTERRUPTOR SENCILLO CON TAPA DECORATIVA LÍNEA LIVING. COMPUESTO POR: UN MÓDULO DE INTERRUPTOR L4001/0, DOS MÓDULOS CIEGOS, SOPORTE PARA TRES MÓDULOS LN4703R, UN CUBRE TECLA N4915N Y TAPA DECORATIVA BLANCA: LNA4803BI.</t>
  </si>
  <si>
    <t>SW_LIVING_DOB</t>
  </si>
  <si>
    <t>INTERRUPTOR SENCILLO CON TAPA DECORATIVA LÍNEA LIVING. COMPUESTO POR: DOS MÓDULO DE INTERRUPTOR L4001/0, UN MÓDULO CIEGO, SOPORTE PARA TRES MÓDULOS LN4703R, DOS CUBRE TECLA N4915N Y TAPA DECORATIVA BLANCA: LNA4803BI.</t>
  </si>
  <si>
    <t>INTERRUPTOR SENCILLO CONMUTABLE CON TAPA DECORATIVA LÍNEA LIVING.</t>
  </si>
  <si>
    <t>SW_LIVING_CON_SEN</t>
  </si>
  <si>
    <t>INTERRUPTOR SENCILLO CONMUTABLE CON TAPA DECORATIVA LÍNEA LIVING. COMPUESTO POR: UN MÓDULO DE INTERRUPTOR TRES VÍAS L4003/0, DOS MÓDULOS CIEGOS, SOPORTE PARA TRES MÓDULOS LN4703R, UN CUBRE TECLA N4915N Y TAPA DECORATIVA BLANCA: LNA4803BI.</t>
  </si>
  <si>
    <t xml:space="preserve">INTERRUPTOR DOBLE CONMUTABLE CON TAPA DECORATIVA LÍNEA LIVING. </t>
  </si>
  <si>
    <t>SW_LIVING_CON_DOB</t>
  </si>
  <si>
    <t>INTERRUPTOR DOBLE CONMUTABLE CON TAPA DECORATIVA LÍNEA LIVING. COMPUESTO POR: DOS MÓDULO DE INTERRUPTOR TRES VÍAS L4003/0, UN MÓDULO CIEGO, SOPORTE PARA TRES MÓDULOS LN4703R, DOS CUBRE TECLA N4915N Y TAPA DECORATIVA BLANCA: LNA4803BI.</t>
  </si>
  <si>
    <t>PLACA BLANCA DE TRES MÓDULOS QUADRA NEUTRI</t>
  </si>
  <si>
    <t>LNA4803BI</t>
  </si>
  <si>
    <t>CUBRE TECLA PULSADOR DE 3 MÓDULOS BLANCO. LIVING LIGHT.</t>
  </si>
  <si>
    <t>N4915M3N</t>
  </si>
  <si>
    <t>INTERRUPTOR CONMUTABLE DE 3 VÍAS.</t>
  </si>
  <si>
    <t>L4003</t>
  </si>
  <si>
    <t>CUBRE TECLA PULSADOR DE 2 MÓDULOS BLANCO. LIVING LIGHT.</t>
  </si>
  <si>
    <t>N4915M2N</t>
  </si>
  <si>
    <t>CUBRE TECLA PULSADOR DE 1 MODULO BLANCO. LIVING LIGHT.</t>
  </si>
  <si>
    <t>N4915N</t>
  </si>
  <si>
    <t>INTERRUPTOR SENCILLO.</t>
  </si>
  <si>
    <t>L4001</t>
  </si>
  <si>
    <t>SOPORTE PARA 3 MÓDULOS LIVING LIGHT</t>
  </si>
  <si>
    <t>LN4703R</t>
  </si>
  <si>
    <t>INTERRUPTOR SENCILLO, COLOR GRAFITO O BLANCO.</t>
  </si>
  <si>
    <t>L4003_0</t>
  </si>
  <si>
    <t>CUBRE TECLA DE UNA UNIDAD, COLOR GRAFITO O BLANCO.</t>
  </si>
  <si>
    <t>L4915N</t>
  </si>
  <si>
    <t>CUBRE TECLA DOBLE, COLOR GRAFITO O BLANCO.</t>
  </si>
  <si>
    <t xml:space="preserve">L4915M2N </t>
  </si>
  <si>
    <t>CUBRE TECLA TRIPLE, COLOR GRAFITO O BLANCO.</t>
  </si>
  <si>
    <t>L4915M3N</t>
  </si>
  <si>
    <t>TAPÓN CIEGO DE TECLA SENCILLO, COLOR GRAFITO O BLANCO.</t>
  </si>
  <si>
    <t>L4950</t>
  </si>
  <si>
    <t>TOMA CORRIENTE SENCILLO, COLOR GRAFITO O BLANCO.</t>
  </si>
  <si>
    <t>L4129S</t>
  </si>
  <si>
    <t>TOMA CORRIENTE GFCI, COLOR GRAFITO O BLANCO.</t>
  </si>
  <si>
    <t>L4188GF</t>
  </si>
  <si>
    <t>LNA4804BI</t>
  </si>
  <si>
    <t>PLACA TIPO KRISTAL</t>
  </si>
  <si>
    <t>LNA4804KF</t>
  </si>
  <si>
    <t>PLACA TIPO MADERA</t>
  </si>
  <si>
    <t>LNA4803ACS</t>
  </si>
  <si>
    <t>SOPORTE PARA 3 MÓDULOS</t>
  </si>
  <si>
    <t xml:space="preserve">LN4703 </t>
  </si>
  <si>
    <t>CONSOLA DIGITAL 2 HILOS</t>
  </si>
  <si>
    <t>BT346310</t>
  </si>
  <si>
    <t>FUENTE DE ALIMENTACIÓN</t>
  </si>
  <si>
    <t>BT346021</t>
  </si>
  <si>
    <t>CITÓFONO ECO</t>
  </si>
  <si>
    <t>BT344242</t>
  </si>
  <si>
    <t>CONFIGURADOR DE 1</t>
  </si>
  <si>
    <t>BH3501_1</t>
  </si>
  <si>
    <t>CONFIGURADOR DE 2</t>
  </si>
  <si>
    <t>BH3501_2</t>
  </si>
  <si>
    <t>CONFIGURADOR DE 3</t>
  </si>
  <si>
    <t>BH3501_3</t>
  </si>
  <si>
    <t>CONFIGURADOR DE 4</t>
  </si>
  <si>
    <t>BH3501_4</t>
  </si>
  <si>
    <t>CONFIGURADOR DE 5</t>
  </si>
  <si>
    <t>BH3501_5</t>
  </si>
  <si>
    <t>CONFIGURADOR DE 6</t>
  </si>
  <si>
    <t>BH3501_6</t>
  </si>
  <si>
    <t>CONFIGURADOR DE 9</t>
  </si>
  <si>
    <t>BH3501_9</t>
  </si>
  <si>
    <t>INT DX3 1A 1P 10 KA 230/440V</t>
  </si>
  <si>
    <t>RI407662</t>
  </si>
  <si>
    <t>BORNERA DE 8 CONEXIONES</t>
  </si>
  <si>
    <t>BHFMM8N</t>
  </si>
  <si>
    <t>BHFMM8T</t>
  </si>
  <si>
    <t>MODULO FÓNICO 2 HILOS 2 COLUMNAS</t>
  </si>
  <si>
    <t>BT342350</t>
  </si>
  <si>
    <t>SFERA MARCO 1MOD COLOR ALUMINIO</t>
  </si>
  <si>
    <t>BT331211</t>
  </si>
  <si>
    <t>SFERA - FRONTAL 1 PULSADOR</t>
  </si>
  <si>
    <t>BT332111</t>
  </si>
  <si>
    <t>SFERA SOPOR+CAJA EMPOTRA 1 MOD</t>
  </si>
  <si>
    <t>BT331110</t>
  </si>
  <si>
    <t>TAPA PARA INTEMPERIE</t>
  </si>
  <si>
    <t>BT500</t>
  </si>
  <si>
    <t>C&amp;E</t>
  </si>
  <si>
    <t>FAC</t>
  </si>
  <si>
    <t>FACEPLATE RCA DE UN GANG EN COLOR BLANCO</t>
  </si>
  <si>
    <t>CNE41435</t>
  </si>
  <si>
    <t>C2G</t>
  </si>
  <si>
    <t>CONECTOR DE VIDEO HDMI Y VGA</t>
  </si>
  <si>
    <t>C60144</t>
  </si>
  <si>
    <t>C2</t>
  </si>
  <si>
    <t>CABLE HDMI DE ALTA VELOCIDAD, MEDIDA: 0.5M.</t>
  </si>
  <si>
    <t>C40085</t>
  </si>
  <si>
    <t>CABLE HDMI DE ALTA VELOCIDAD, MEDIDA: 1M.</t>
  </si>
  <si>
    <t>C40086</t>
  </si>
  <si>
    <t>CABLE HDMI DE ALTA VELOCIDAD, MEDIDA: 5M.</t>
  </si>
  <si>
    <t>C40102</t>
  </si>
  <si>
    <t>CABLE HDMI DE ALTA VELOCIDAD, MEDIDA: 25FT</t>
  </si>
  <si>
    <t>C40092</t>
  </si>
  <si>
    <t>CABLE HDMI DE ALTA VELOCIDAD, MEDIDA: 35FT</t>
  </si>
  <si>
    <t>C40093</t>
  </si>
  <si>
    <t>CABLE HDMI DE ALTA VELOCIDAD, MEDIDA: 50FT</t>
  </si>
  <si>
    <t>C40094</t>
  </si>
  <si>
    <t>CABLE HDMI DE ALTA VELOCIDAD, MEDIDA: 75FT</t>
  </si>
  <si>
    <t>C40095</t>
  </si>
  <si>
    <t>CABLE ÓPTICO DIGITAL DE 1 METRO DE LARGO.</t>
  </si>
  <si>
    <t>C40390</t>
  </si>
  <si>
    <t>SPLIT DE CABLE DE PODER</t>
  </si>
  <si>
    <t>C29802</t>
  </si>
  <si>
    <t>FACEPLATE EN ALUMINIO ANODIZADO PARA CAJA DE 10X10.</t>
  </si>
  <si>
    <t>C39703</t>
  </si>
  <si>
    <t>FACEPLATE EN ALUMINIO ANODIZADO PARA CAJA DE 10X10, ENTRADAS VGA, USB, HDMI Y 3.5MM.</t>
  </si>
  <si>
    <t>CABLE MATTERS</t>
  </si>
  <si>
    <t>MATRIZ 4X4, CON RESOLUCIÓN 4K. CONTROL RS232.</t>
  </si>
  <si>
    <t>CM4X4</t>
  </si>
  <si>
    <t>https://www.amazon.com/Cable-Matters-Matrix-Switch-Resolution/dp/B06XTY4NVQ/ref=sr_1_4?ie=UTF8&amp;qid=1541003985&amp;sr=8-4&amp;keywords=4x4+matrix&amp;refinements=p_72%3A2661618011</t>
  </si>
  <si>
    <t>CABLOFIL</t>
  </si>
  <si>
    <t>NE</t>
  </si>
  <si>
    <t>PLACA PARA DERIVACIÓN DE TUBERÍA DE 1/2 Y 3/4.</t>
  </si>
  <si>
    <t>CM585410</t>
  </si>
  <si>
    <t>CLIP DE UNIÓN PARA CURVAS</t>
  </si>
  <si>
    <t>CM558340</t>
  </si>
  <si>
    <t>CLIP PARA UNIÓN RÁPIDA</t>
  </si>
  <si>
    <t>CM558241</t>
  </si>
  <si>
    <t>CM558327</t>
  </si>
  <si>
    <t>SUJETADOR PARA PUESTA A TIERRA</t>
  </si>
  <si>
    <t>CM585327</t>
  </si>
  <si>
    <t>BANDEJA TIPO MAYA 54X200mm. 3 METROS LINEALES</t>
  </si>
  <si>
    <t>CM000091</t>
  </si>
  <si>
    <t>SEPARADOR COT DE 50mm POR 3 METROS.</t>
  </si>
  <si>
    <t>CM923020</t>
  </si>
  <si>
    <t>UNIÓN PARA DIVISIÓN DE CABLOFIL</t>
  </si>
  <si>
    <t>CM923050</t>
  </si>
  <si>
    <t>ACCESORIO CURVADO PARA SALIDA DE CABLE.</t>
  </si>
  <si>
    <t>CM585160</t>
  </si>
  <si>
    <t>GANCHO PARA SUSPENSIÓN DE CABLES, BOLSA POR 100 UNIDADES.</t>
  </si>
  <si>
    <t>CM585080</t>
  </si>
  <si>
    <t>METRO DE CANASTILLA CABLOFIL CON ACCESORIOS, 20cm DE ANCHO Y 5.4cm DE ALTO.</t>
  </si>
  <si>
    <t>CF54/300EZ REJILLA</t>
  </si>
  <si>
    <t>CM000101</t>
  </si>
  <si>
    <t xml:space="preserve">PERFIL DE FIJACIÓN RCSN 3M GS </t>
  </si>
  <si>
    <t>CM013030</t>
  </si>
  <si>
    <t>ARANDELAS CE 25MM EZ</t>
  </si>
  <si>
    <t>CM558011</t>
  </si>
  <si>
    <t>ARANDELAS CE 30MM EZ</t>
  </si>
  <si>
    <t>CM558041</t>
  </si>
  <si>
    <t xml:space="preserve">UNIÓN RÁPIDA EDRN ACABADO EZ </t>
  </si>
  <si>
    <t>TORNILLO DE SUJECIÓN</t>
  </si>
  <si>
    <t>CM801011</t>
  </si>
  <si>
    <t>CAMBRIDGE</t>
  </si>
  <si>
    <t>SOUNDBAR CON 3 CANALES DE ENTRADA, BLUETOOTH, PASSTRUE 4K, SUBWOOFER DE 6.5".</t>
  </si>
  <si>
    <t>TVB2V2</t>
  </si>
  <si>
    <t>SUBWOOFER DE 200W DE 36Hz a 200Hz. MEMBRANA DE 6.5".</t>
  </si>
  <si>
    <t>X201</t>
  </si>
  <si>
    <t xml:space="preserve">SUBWOOFER DE 70W, </t>
  </si>
  <si>
    <t>SX120</t>
  </si>
  <si>
    <t>ALTAVOZ CENTRAL DE SOBREPONER CON DOBLE TWEETER</t>
  </si>
  <si>
    <t>CX_70</t>
  </si>
  <si>
    <t>PARLANTE ULTRA COMPACTO DE 25-200W DE 8OHM</t>
  </si>
  <si>
    <t>MIN12</t>
  </si>
  <si>
    <t>SOPORTE PARA PARLANTES MIN 12 Y MIN 22</t>
  </si>
  <si>
    <t>MIN400M</t>
  </si>
  <si>
    <t>MIN22</t>
  </si>
  <si>
    <t>PARLANTE SATELITAL DOBLE DE 100W</t>
  </si>
  <si>
    <t>CANON</t>
  </si>
  <si>
    <t>HFR800</t>
  </si>
  <si>
    <t>CAMARA HANDY CAM FULL HD</t>
  </si>
  <si>
    <t>CARDORIA</t>
  </si>
  <si>
    <t>CA100</t>
  </si>
  <si>
    <t>CHAPA DE CLAVE CON READER DE TARJETA Y CONECTIVIDAD WIFI.</t>
  </si>
  <si>
    <t>CARLON</t>
  </si>
  <si>
    <t>CAR</t>
  </si>
  <si>
    <t xml:space="preserve">CAJA ELÉCTRICA PLÁSTICA PARA UN DISPOSITIVO. </t>
  </si>
  <si>
    <t>B118A</t>
  </si>
  <si>
    <t xml:space="preserve">CAJA ELÉCTRICA PLÁSTICA PARA UN DISPOSITIVO. ALTURA: 9.52cm, ANCHO: 5.71, PROFUNDIDAD: 7.3cm. </t>
  </si>
  <si>
    <t>CAJA ELÉCTRICA PLÁSTICA PARA MANEJO DE DISPOSITIVOS DOBLES.</t>
  </si>
  <si>
    <t>SN236</t>
  </si>
  <si>
    <t xml:space="preserve">CAJA ELÉCTRICA PLÁSTICA PARA MANEJO DE DISPOSITIVOS DOBLES. ALTURA: 10.16cm, ANCHO: 9.21, PROFUNDIDAD: 7.94cm. </t>
  </si>
  <si>
    <t>CAJA ELÉCTRICA PLÁSTICA PARA MANEJO DE DISPOSITIVOS DE TRES UNIDADES.</t>
  </si>
  <si>
    <t>B355R</t>
  </si>
  <si>
    <t xml:space="preserve">CAJA ELÉCTRICA PLÁSTICA PARA MANEJO DE DISPOSITIVOS DE TRES UNIDADES. ALTURA: 7.09cm, ANCHO: 14.53, PROFUNDIDAD: 9.37cm. </t>
  </si>
  <si>
    <t>CAJA ELÉCTRICA PLÁSTICA PARA MANEJO DE DISPOSITIVOS CUATRO UNIDADES.</t>
  </si>
  <si>
    <t>B468R</t>
  </si>
  <si>
    <t>CAJA ELÉCTRICA PLÁSTICA PARA MANEJO DE DISPOSITIVOS CUATRO UNIDADES.  ALTURA: 7.34cm, ANCHO: 19.23cm, PROFUNDIDAD: 9.04cm.</t>
  </si>
  <si>
    <t>CATA</t>
  </si>
  <si>
    <t>CEMEX</t>
  </si>
  <si>
    <t>BULTO DE MORTERO SECO</t>
  </si>
  <si>
    <t>MORB</t>
  </si>
  <si>
    <t>CENTELSA</t>
  </si>
  <si>
    <t>CEN</t>
  </si>
  <si>
    <t>METRO DE CABLE ELÉCTRICO CENTELSA CALIBRE AWG14</t>
  </si>
  <si>
    <t>CEN2X16</t>
  </si>
  <si>
    <t>METRO DE ALAMBRE CERTIFICADO CALIBRE AWG 14, CENTELSA.</t>
  </si>
  <si>
    <t>C154496</t>
  </si>
  <si>
    <t>METRO DE ALAMBRE AWG14</t>
  </si>
  <si>
    <t>AWG14</t>
  </si>
  <si>
    <t>METRO DE CABLE DESNUDO PARA PUESTA A TIERRA</t>
  </si>
  <si>
    <t>AWG6D</t>
  </si>
  <si>
    <t xml:space="preserve">METRO DE ALAMBRE TRENZADO TIPO INTEMPERIE PARA LÍNEA TELEFÓNICA. </t>
  </si>
  <si>
    <t>AT218I</t>
  </si>
  <si>
    <t>METRO DE CABLE ELÉCTRICO AWG 4 CERTIFICADO</t>
  </si>
  <si>
    <t>AWG4M</t>
  </si>
  <si>
    <t>METRO DE CABLE ELÉCTRICO AWG 6 CERTIFICADO</t>
  </si>
  <si>
    <t>AWG6M</t>
  </si>
  <si>
    <t>METRO DE CABLE ELÉCTRICO AWG 2 CERTIFICADO</t>
  </si>
  <si>
    <t>AWG2M</t>
  </si>
  <si>
    <t>ROLLO DE 100 METROS DE ALAMBRE AWG12</t>
  </si>
  <si>
    <t>AWG12R</t>
  </si>
  <si>
    <t>METRO DE CABLE DESNUDO AWG8</t>
  </si>
  <si>
    <t>AWG8D</t>
  </si>
  <si>
    <t>ROLLO DE 100 METROS DE CABLE DÚPLEX 2X16 AWG</t>
  </si>
  <si>
    <t>DUPLEX2X16_100M</t>
  </si>
  <si>
    <t>METRO DE ALAMBRE TRENZADO AWG 12 DE 3 HILOS</t>
  </si>
  <si>
    <t>AWG12X3</t>
  </si>
  <si>
    <t>METRO DE CABLE AWG 8 DE 7 HILOS</t>
  </si>
  <si>
    <t>AWG8X7</t>
  </si>
  <si>
    <t>METRO DE CABLE ENCAUCHETADO 2X18</t>
  </si>
  <si>
    <t>E2X18</t>
  </si>
  <si>
    <t>METRO DE CABLE DÚPLEX 2X18.</t>
  </si>
  <si>
    <t>DUPLEX2X18_M</t>
  </si>
  <si>
    <t>METRO DE CABLE DÚPLEX 2X14.</t>
  </si>
  <si>
    <t>DUPLEX2X14_M</t>
  </si>
  <si>
    <t>ROLLO DE CABLE DÚPLEX 2X14.</t>
  </si>
  <si>
    <t>DUPLEX2X14_100M</t>
  </si>
  <si>
    <t>METRO DE CABLE DÚPLEX AWG 2X16</t>
  </si>
  <si>
    <t>DUPLEX2X16_M</t>
  </si>
  <si>
    <t>METRO DE CABLE DESNUDO AWG12</t>
  </si>
  <si>
    <t>AWG12D</t>
  </si>
  <si>
    <t>ROLLO DE CABLE DESNUDO AWG12</t>
  </si>
  <si>
    <t>AWG12DR</t>
  </si>
  <si>
    <t>METRO DE CABLE AWG10</t>
  </si>
  <si>
    <t>AWG10</t>
  </si>
  <si>
    <t>METRO DE CABLE AWG 10 DE 7 HILOS.</t>
  </si>
  <si>
    <t>AWG10X7</t>
  </si>
  <si>
    <t>METRO DE CABLE MULTIPAR POR 10 PARES PARA CONEXIÓN TELEFÓNICA.</t>
  </si>
  <si>
    <t>CT_0110</t>
  </si>
  <si>
    <t>METRO DE CABLE MULTIPAR POR 10 PARES PARA CONEXIÓN TELEFÓNICA. CABLE PARA INTEMPERIE.</t>
  </si>
  <si>
    <t>METRO DE CABLE COAXIAL RG6</t>
  </si>
  <si>
    <t>RG6M</t>
  </si>
  <si>
    <t>METRO DE CABLE ENCAUCHETADO AWG 3X12</t>
  </si>
  <si>
    <t>PRO3X12</t>
  </si>
  <si>
    <t>CABLE ELÉCTRICO CON RECUBRIMIENTO EN PVC COBRE COBRE CALIBRE 4 CEROS</t>
  </si>
  <si>
    <t>RHW_4_0</t>
  </si>
  <si>
    <t>CABLE ELÉCTRICO CON RECUBRIMIENTO EN PVC COBRE COBRE CALIBRE UN CERO</t>
  </si>
  <si>
    <t>RHW_1_0</t>
  </si>
  <si>
    <t>CABLE ELÉCTRICO CON RECUBRIMIENTO EN PVC COBRE COBRE CALIBRE AWG 2</t>
  </si>
  <si>
    <t>CBL_AWG2</t>
  </si>
  <si>
    <t>CABLE ELÉCTRICO CON RECUBRIMIENTO EN PVC COBRE COBRE CALIBRE AWG 4</t>
  </si>
  <si>
    <t>CBL_AWG4</t>
  </si>
  <si>
    <t>CABLE ELÉCTRICO CON RECUBRIMIENTO EN PVC COBRE COBRE CALIBRE CALIBRE AWG 6</t>
  </si>
  <si>
    <t>CBL_AWG6</t>
  </si>
  <si>
    <t>CABLE ELÉCTRICO CON RECUBRIMIENTO EN PVC COBRE COBRE CALIBRE AWG 8</t>
  </si>
  <si>
    <t>CBL_AWG8</t>
  </si>
  <si>
    <t>ROLLO DE 100 METROS DE ALAMBRE AWG12 LIBRE DE HALÓGENOS</t>
  </si>
  <si>
    <t>AWG12RA</t>
  </si>
  <si>
    <t>AWG10D</t>
  </si>
  <si>
    <t>METRO DE CABLE DESNUDO AWG10</t>
  </si>
  <si>
    <t>PAS_T10</t>
  </si>
  <si>
    <t>PASADORES DE TIERRA AWG10</t>
  </si>
  <si>
    <t>PAS_T12</t>
  </si>
  <si>
    <t>PASADORES DE TIERRA AWG12</t>
  </si>
  <si>
    <t>CHALLENGER</t>
  </si>
  <si>
    <t>CHA</t>
  </si>
  <si>
    <t>TV</t>
  </si>
  <si>
    <t>MONITOR LED DE 20".</t>
  </si>
  <si>
    <t xml:space="preserve">C20D27HD </t>
  </si>
  <si>
    <t xml:space="preserve">MONITOR LED DE 20", RESOLUCIÓN:1366 X 768, ENTRADAS: 2 HDMI.  1 USB. 1 PC. 1 A/V. </t>
  </si>
  <si>
    <t>CHARMEX</t>
  </si>
  <si>
    <t>PI</t>
  </si>
  <si>
    <t>PIZARRA INTERACTIVA TOUCH DE 89", PERMITE NAVEGACIÓN.</t>
  </si>
  <si>
    <t>PIZARRA89</t>
  </si>
  <si>
    <t>PIZARRA INTERACTIVA TOUCH DE 89", PERMITE NAVEGACIÓN, ANOTACIONES Y MANEJO MULTITOUCH, DIFERENTES ACCESORIOS DE CONTROL.</t>
  </si>
  <si>
    <t>SOP</t>
  </si>
  <si>
    <t>SOPORTE PARA PANTALLA</t>
  </si>
  <si>
    <t>TSU2</t>
  </si>
  <si>
    <t>PANTALLA DE PROYECCIÓN ELÉCTRICA EN FORMATO 4:3.</t>
  </si>
  <si>
    <t>TLPW300EF</t>
  </si>
  <si>
    <t xml:space="preserve">PANTALLA DE PROYECCIÓN ELÉCTRICA EN FORMATO 4:3, MEDIDAS: 300 x 263 cm. ( Visión 292 x 218 cm.) CONTROL REMOTO RF. </t>
  </si>
  <si>
    <t>CABLE HDMI DE 1 METRO</t>
  </si>
  <si>
    <t>TCH601F</t>
  </si>
  <si>
    <t>CABLE HDMI DE 2 METROS</t>
  </si>
  <si>
    <t>TCH602F</t>
  </si>
  <si>
    <t>CABLE HDMI DE 3 METRO</t>
  </si>
  <si>
    <t>TCH603F</t>
  </si>
  <si>
    <t>CABLE HDMI DE 5 METRO</t>
  </si>
  <si>
    <t>TCH605F</t>
  </si>
  <si>
    <t>CABLE HDMI DE 10 METRO</t>
  </si>
  <si>
    <t>TCH6010F</t>
  </si>
  <si>
    <t>CABLE HDMI DE 15 METRO</t>
  </si>
  <si>
    <t>TCH6015F</t>
  </si>
  <si>
    <t>CABLE HDMI DE 20 METRO</t>
  </si>
  <si>
    <t>TCH6020F</t>
  </si>
  <si>
    <t>CHEKA</t>
  </si>
  <si>
    <t>EXTRACTOR ULTRA SILENCIOSO DE 20CM.</t>
  </si>
  <si>
    <t>E4</t>
  </si>
  <si>
    <t>CHIEF</t>
  </si>
  <si>
    <t>CHI</t>
  </si>
  <si>
    <t>ASCENSOR MOTORIZADO PARA PROYECTOR.</t>
  </si>
  <si>
    <t>SL220</t>
  </si>
  <si>
    <t>ASCENSOR MOTORIZADO PARA PROYECTOR DE MEDIDAS: ALTURA: 24.1cm, ANCHO: 41.9cm, PROFUNDIDAD: 47cm. CAPACIDAD DE PROYECTOR HASTA 13.6Kg.</t>
  </si>
  <si>
    <t>SOPORTE PARA VIDEO WALL DE TV ENTRE 37" Y 63".</t>
  </si>
  <si>
    <t>LSMVU</t>
  </si>
  <si>
    <t>CHINT</t>
  </si>
  <si>
    <t xml:space="preserve">CONTACTOR A 12 AMPERIOS Y BOBINA A 110V. </t>
  </si>
  <si>
    <t>CH12</t>
  </si>
  <si>
    <t>CONTACTOR DE 60 AMPERIOS</t>
  </si>
  <si>
    <t>CH60</t>
  </si>
  <si>
    <t>CONTACTOR DE 25 AMPERIOS CON BOBINA DE 110VAC.</t>
  </si>
  <si>
    <t>CH25A110</t>
  </si>
  <si>
    <t>CISCO</t>
  </si>
  <si>
    <t>SWITCH 10/100/1000 DE 16 PUERTOS, 8 PoE</t>
  </si>
  <si>
    <t>SG110_16HP</t>
  </si>
  <si>
    <t>SWITCH POE DE 24 PUERTOS.</t>
  </si>
  <si>
    <t>SG350_28P</t>
  </si>
  <si>
    <t>SWITCH POE DE 24 PUERTOS, 2 x GbE Combo Ports + 2 x SFP Slots 195 W Dedicated PoE Power. 41.66 Mpps TASA DE TRANSFERENCIA.</t>
  </si>
  <si>
    <t>SPK_SHARE_K9</t>
  </si>
  <si>
    <t>CISCO WEBEX SHARE WIRELESS SCREEN-SHARING ADAPTER.</t>
  </si>
  <si>
    <t>CON_SNT_SPKSHARE</t>
  </si>
  <si>
    <t>CONTRATO SMARTNET 8X5XNBD PARA SPK-SHARE-K9 (1 AÑO)</t>
  </si>
  <si>
    <t>PWR18W_ETH_NA</t>
  </si>
  <si>
    <t>18W ETHERNET POWER ADAPTER FOR NORTH AMERICA.</t>
  </si>
  <si>
    <t>SB_REV042</t>
  </si>
  <si>
    <t>INSTALACION DE ROUTER GIGA DE ALTA VELOCIDAD</t>
  </si>
  <si>
    <t>CLED</t>
  </si>
  <si>
    <t>LAMPARA LED RGB CON FUNCIÓN DMX PLANA DE SOBREPONER 35W 12V AC CON ARO ABS ASTRA</t>
  </si>
  <si>
    <t>R56026</t>
  </si>
  <si>
    <t>NICHO Y ARO CON SISTEMA DE FIJACIÓN PARA LUMINARIA PISCINA ASTRALPOOL</t>
  </si>
  <si>
    <t>R00349</t>
  </si>
  <si>
    <t>MODULADOR LUMIPLUS ASTRALPOOL</t>
  </si>
  <si>
    <t>R27818</t>
  </si>
  <si>
    <t>TRANSFORMADOR DE 300W A 12V AC</t>
  </si>
  <si>
    <t>R51605T</t>
  </si>
  <si>
    <t xml:space="preserve">LAMPARA DE INCRUSTAR EN PISO CON CONTROLADOR DMX. </t>
  </si>
  <si>
    <t>DMX3W</t>
  </si>
  <si>
    <t>CABLE DE 1.5 METROS DE LARGO PARA INTERCONEXIÓN, PAQUETE POR 10 UNIDADES.</t>
  </si>
  <si>
    <t>DMX1.5</t>
  </si>
  <si>
    <t>CABLE DE 17.6 METROS DE LARGO PARA INTERCONEXIÓN, PAQUETE POR 10 UNIDADES.</t>
  </si>
  <si>
    <t>DMX7.6</t>
  </si>
  <si>
    <t>CABLE DE 3 METROS DE LARGO PARA INTERCONEXIÓN, PAQUETE POR 10 UNIDADES.</t>
  </si>
  <si>
    <t>DMX3.0</t>
  </si>
  <si>
    <t>CONTROLADOR DMX CON EVENTOS DE MEMORIA</t>
  </si>
  <si>
    <t>DMX300</t>
  </si>
  <si>
    <t>PANEL LED REDONDO DE 18W, TEMPERATURA DE COLOR 4100K.</t>
  </si>
  <si>
    <t>U738062</t>
  </si>
  <si>
    <t>CLEVERTOUCH</t>
  </si>
  <si>
    <t>CLE</t>
  </si>
  <si>
    <t>MTP</t>
  </si>
  <si>
    <t>Monitor CLEVERTOUCH PLUS LED ANDROID 65".</t>
  </si>
  <si>
    <t>TS1541009</t>
  </si>
  <si>
    <t>Monitor CLEVERTOUCH PLUS LED ANDROID 65", trabaje con hasta 6 personas al mismo tiempo sobre los monitores interactivos Clevertouch gracias a la ultima tecnología IR, estas funciones combinadas con un cristal anti brillo reforzado y capacidades para trabajar  24/7 lo convierte en un monitor ideal para el sector educativo.</t>
  </si>
  <si>
    <t>MONITOR CLEVERTOUCH V LED ANDROID 65".</t>
  </si>
  <si>
    <t>TS1541019</t>
  </si>
  <si>
    <t>MONITOR CLEVERTOUCH V LED ANDROID 65" Una de las gamas más amplias de monitores táctiles. Permite múltiples usuarios trabajando al mismo tiempo. Los modelos Clevertouch V, con sistema operativo ANDROID integrado, nos dan la posibilidad de trabajar sin PC. Fabricados con una gran robustez y con especificación 24/7 para los entornos más exigentes (funcionamiento continuado sin interrupción).</t>
  </si>
  <si>
    <t>MONITOR CLEVERTOUCH PLUS LED ANDROID 84" 4K.</t>
  </si>
  <si>
    <t>TS1541005</t>
  </si>
  <si>
    <t>MONITOR CLEVERTOUCH PLUS LED ANDROID 84" 4K Una de las gamas más amplias de monitores táctiles” . Permite múltiples usuarios trabajando al mismo tiempo. Los modelos Clevertouch PLUS, con sistema operativo ANDROID integrado, nos dan la posibilidad de trabajar sin PC. Fabricados con una gran robustez y con especificación 24/7 para los entornos más exigentes (funcionamiento continuado sin interrupción).</t>
  </si>
  <si>
    <t>MONITOR CLEVERTOUCH PLUS LED ANDROID 75".</t>
  </si>
  <si>
    <t>TS1541018</t>
  </si>
  <si>
    <t>MONITOR CLEVERTOUCH PLUS LED ANDROID 75" Una de las gamas más amplias de monitores táctiles. Permite múltiples usuarios trabajando al mismo tiempo. Los modelos Clevertouch PLUS, con sistema operativo ANDROID integrado, nos dan la posibilidad de trabajar sin PC. Fabricados con una gran robustez y con especificación 24/7 para los entornos más exigentes (funcionamiento continuado sin interrupción).</t>
  </si>
  <si>
    <t>TS1541147</t>
  </si>
  <si>
    <t>MONITOR INTERACTIVO, RESOLUCIÓN 4K, DE 86". SISTEMA ANDROID 7.0. GARANTIA DE 3 AÑOS.</t>
  </si>
  <si>
    <t>COBY</t>
  </si>
  <si>
    <t>CINTA LED DE 5 METROS, 6000K. 9.6 VATIOS POR METRO.</t>
  </si>
  <si>
    <t>ILCINTALED021</t>
  </si>
  <si>
    <t>FUENTE DE ALIMENTACIÓN A 12V, 2 AMPERIOS.</t>
  </si>
  <si>
    <t>IL12V2A</t>
  </si>
  <si>
    <t>FUENTE DE ALIMENTACIÓN A 12V, 5 AMPERIOS.</t>
  </si>
  <si>
    <t>IL12V5A</t>
  </si>
  <si>
    <t>CODELCA</t>
  </si>
  <si>
    <t>COL</t>
  </si>
  <si>
    <t>VAR</t>
  </si>
  <si>
    <t>CLAVIJA ENCAUCHETADA CON POLO A TIERRA.</t>
  </si>
  <si>
    <t>CLA15A</t>
  </si>
  <si>
    <t>CLAVIJA ENCAUCHETADA CON POLO A TIERRA. MANEJO HASTA 15 AMPERIOS DE CARGA. MARCA: CODELCA.</t>
  </si>
  <si>
    <t>COD</t>
  </si>
  <si>
    <t>TER</t>
  </si>
  <si>
    <t>TOMACORRIENTE BIFÁSICO 20 AMPERIOS.</t>
  </si>
  <si>
    <t>COD20A</t>
  </si>
  <si>
    <t>TOMA CORRIENTE DE SOBRE PONER</t>
  </si>
  <si>
    <t>TO15AS</t>
  </si>
  <si>
    <t>TOMA TRIFÁSICA 3X50</t>
  </si>
  <si>
    <t>CD_0306</t>
  </si>
  <si>
    <t>TOMA TRIFÁSICA DE 20 AMPERIOS</t>
  </si>
  <si>
    <t>TRI_COD</t>
  </si>
  <si>
    <t>COD1010</t>
  </si>
  <si>
    <t>INTERRUPTOR CON TOMA CORRIENTE</t>
  </si>
  <si>
    <t>CLA15T</t>
  </si>
  <si>
    <t>CLAVIJA DE TAPA TRABADA</t>
  </si>
  <si>
    <t>C3X50</t>
  </si>
  <si>
    <t>TOMA BIFÁSICA DE 3 PATAS</t>
  </si>
  <si>
    <t>TE220</t>
  </si>
  <si>
    <t>TOMA ELÉCTRICA A 220 TRIFILAR</t>
  </si>
  <si>
    <t>METRO DE GUAYA</t>
  </si>
  <si>
    <t>GUA_</t>
  </si>
  <si>
    <t>REGLETA DE SUJECIÓN</t>
  </si>
  <si>
    <t>REG_</t>
  </si>
  <si>
    <t>EL</t>
  </si>
  <si>
    <t>PRENSA ESTOPA DE 1/2"</t>
  </si>
  <si>
    <t>PE12</t>
  </si>
  <si>
    <t>UNIÓN PARA TUBO EMT DE 1/2 PULGADA</t>
  </si>
  <si>
    <t>EMT_U0.5</t>
  </si>
  <si>
    <t>TERMINAL DE 1/2 PULGADA PARA TUBO EMT</t>
  </si>
  <si>
    <t>EMT_T0.5</t>
  </si>
  <si>
    <t>TERMINAL DE 3/4 PULGADA PARA TUBO EMT</t>
  </si>
  <si>
    <t>EMT_T0.75</t>
  </si>
  <si>
    <t>CURVA PARA TUBO EMT DE 1 Y 1/4 DE PULGADA</t>
  </si>
  <si>
    <t>EMT_CUR1.25</t>
  </si>
  <si>
    <t>TAPA CIEGA PARA CAJA 5800</t>
  </si>
  <si>
    <t>TC5800</t>
  </si>
  <si>
    <t>TAPA MIXTA PARA CAJA 5800</t>
  </si>
  <si>
    <t>TMC24</t>
  </si>
  <si>
    <t>CURVA PARA TUBO EMT DE 1 DE PULGADA</t>
  </si>
  <si>
    <t>EMT_CUR1</t>
  </si>
  <si>
    <t>UNIÓN PARA TUBO EMT DE 1 Y 1/4.</t>
  </si>
  <si>
    <t>EMT_U1.25</t>
  </si>
  <si>
    <t>UNIÓN PARA TUBO EMT DE 1</t>
  </si>
  <si>
    <t>EMT_U1</t>
  </si>
  <si>
    <t>TERMINAL DE 1 PULGADA PARA TUBO EMT.</t>
  </si>
  <si>
    <t>EMT_T1</t>
  </si>
  <si>
    <t>TERMINAL DE 1 PULGADA PARA TUBO EMT</t>
  </si>
  <si>
    <t>TUBO DE 1 Y 1/4 EMT.</t>
  </si>
  <si>
    <t>EMT1.25</t>
  </si>
  <si>
    <t>TUBO DE 1 Y 1/4 EMT</t>
  </si>
  <si>
    <t>SUPLEMENTO PARA CAJA 5800.</t>
  </si>
  <si>
    <t>EMT_SUP</t>
  </si>
  <si>
    <t>SUPLEMENTO PARA CAJA 5800</t>
  </si>
  <si>
    <t>TAPA CIEGA PARA CAJA 2400</t>
  </si>
  <si>
    <t>TC2400</t>
  </si>
  <si>
    <t>TAPA CIEGA PARA CAJA OCTAGONAL</t>
  </si>
  <si>
    <t>TCOCT</t>
  </si>
  <si>
    <t>TERMINAL DE 1 Y 1/4 DE PULGADA PARA TUBO EMT</t>
  </si>
  <si>
    <t>EMT_T1.25</t>
  </si>
  <si>
    <t>UNIÓN PARA TUBO EMT DE 3/4.</t>
  </si>
  <si>
    <t>EMT_U0.75</t>
  </si>
  <si>
    <t>GRAPA METÁLICA PARA TUBO 1 Y 1/4</t>
  </si>
  <si>
    <t>EMT_G1.25</t>
  </si>
  <si>
    <t>CAJA METÁLICA 2400</t>
  </si>
  <si>
    <t>EMT_2400</t>
  </si>
  <si>
    <t>CAJA METÁLICA 10X10 DOBLE FONDO</t>
  </si>
  <si>
    <t>EMT_10X10</t>
  </si>
  <si>
    <t>CAJA METÁLICA 5800</t>
  </si>
  <si>
    <t>EMT_5800</t>
  </si>
  <si>
    <t>GRAPA METÁLICA PARA TUBO 1/2</t>
  </si>
  <si>
    <t>EMT_G0.5</t>
  </si>
  <si>
    <t>METRO DE VARILLA ROSCADA 3/8"</t>
  </si>
  <si>
    <t>FORTE_3_8</t>
  </si>
  <si>
    <t>ANCLAJE PARA VARILLA 3/8"</t>
  </si>
  <si>
    <t>ROS_3_8</t>
  </si>
  <si>
    <t>JUEGO DE TUERCA Y ARANDELA 3/8"</t>
  </si>
  <si>
    <t>JUE_3_8</t>
  </si>
  <si>
    <t>TUBO DE 1/2 EMT</t>
  </si>
  <si>
    <t>EMT0.5</t>
  </si>
  <si>
    <t>GRAPA METÁLICA PARA TUBO 3/4</t>
  </si>
  <si>
    <t>EMT_G0.75</t>
  </si>
  <si>
    <t>ABRAZADERA DE MEDIA PULGADA</t>
  </si>
  <si>
    <t>EMT_A0.5</t>
  </si>
  <si>
    <t>ABRAZADERA DE TRES CUARTOS DE PULGADA</t>
  </si>
  <si>
    <t>EMT_A0.75</t>
  </si>
  <si>
    <t>TUBO DE 1" EMT</t>
  </si>
  <si>
    <t>EMT1</t>
  </si>
  <si>
    <t>ANCLAJE DE TECHO PARA TUBO DE 1/2".</t>
  </si>
  <si>
    <t>EMT_AN0.5</t>
  </si>
  <si>
    <t>ANCLAJE DE TECHO PARA TUBO DE 3/4".</t>
  </si>
  <si>
    <t>EMT_AN0.75</t>
  </si>
  <si>
    <t>ANCLAJE DE TECHO PARA TUBO DE 1".</t>
  </si>
  <si>
    <t>EMT_AN1</t>
  </si>
  <si>
    <t>ABRAZADERA DE UNA PULGADA</t>
  </si>
  <si>
    <t>EMT_A1</t>
  </si>
  <si>
    <t>ANCLAJE DE TECHO PARA TUBO DE 1 Y 1/4".</t>
  </si>
  <si>
    <t>EMT_AN1.25</t>
  </si>
  <si>
    <t>TUBO DE 2" EMT</t>
  </si>
  <si>
    <t>EMT2</t>
  </si>
  <si>
    <t>EMT_CUR2</t>
  </si>
  <si>
    <t>UNIÓN PARA TUBO EMT DE 2 PULGADAS</t>
  </si>
  <si>
    <t>EMT_U2</t>
  </si>
  <si>
    <t>TERMINAL DE 2 PULGADAS PARA TUBO EMT</t>
  </si>
  <si>
    <t>EMT_T2</t>
  </si>
  <si>
    <t>GRAPA METÁLICA PARA TUBO 2"</t>
  </si>
  <si>
    <t>EMT_G2</t>
  </si>
  <si>
    <t>TUB</t>
  </si>
  <si>
    <t>TUBOS DE 1/2" EMT</t>
  </si>
  <si>
    <t>EMT_T</t>
  </si>
  <si>
    <t>CURVAS DE 1/2" EMT</t>
  </si>
  <si>
    <t>EMT_C</t>
  </si>
  <si>
    <t>UNIONES DE 1/2" EMT</t>
  </si>
  <si>
    <t>EMT_U</t>
  </si>
  <si>
    <t>TERMINALES DE 1/2" EMT</t>
  </si>
  <si>
    <t>EMT_TER</t>
  </si>
  <si>
    <t>CAJA 5800 RATWELL</t>
  </si>
  <si>
    <t>EMT_R</t>
  </si>
  <si>
    <t xml:space="preserve">CORAZA PLÁSTICA DE 1/2" </t>
  </si>
  <si>
    <t>EMT_CP</t>
  </si>
  <si>
    <t>SOPORTE 3/4" PARA TUBO EN RIEL CHANEL</t>
  </si>
  <si>
    <t>SRC0.75</t>
  </si>
  <si>
    <t>CAJA ELÉCTRICA OCTAGONAL</t>
  </si>
  <si>
    <t>EMT_OCT</t>
  </si>
  <si>
    <t>TUBO GALVANIZADO PARA EXTERIOR DE 1.5", LARGO 6 METROS</t>
  </si>
  <si>
    <t>GAL_1.5</t>
  </si>
  <si>
    <t>TUBO DE 3" EMT, 3 METROS DE LARGO.</t>
  </si>
  <si>
    <t>EMT3</t>
  </si>
  <si>
    <t>EMT_T3</t>
  </si>
  <si>
    <t>TUBO DE 1.5" EMT, 3 METROS DE LARGO.</t>
  </si>
  <si>
    <t>EMT1.5</t>
  </si>
  <si>
    <t>TERMINAL DE 1 Y1/2 PULGADA PARA TUBO EMT</t>
  </si>
  <si>
    <t>EMT_T1.5</t>
  </si>
  <si>
    <t>UNIÓN DE 1 Y1/2 PULGADA PARA TUBO EMT</t>
  </si>
  <si>
    <t>EMT_U1.5</t>
  </si>
  <si>
    <t>CURVA EMT DE 3/4"</t>
  </si>
  <si>
    <t>EMT_CUR0.75</t>
  </si>
  <si>
    <t>CURVA EMT DE 1/2"</t>
  </si>
  <si>
    <t>EMT_CUR0.5</t>
  </si>
  <si>
    <t>EMT_CUR1.5</t>
  </si>
  <si>
    <t>CURVA PARA TUBO EMT DE 1 Y 1/2 DE PULGADA</t>
  </si>
  <si>
    <t>COMMAX</t>
  </si>
  <si>
    <t>CHAPA CON CUATRO TARJETAS RFID, CLAVE DE 4 DÍGITOS, LLAVE Y HUELLA DIGITAL.</t>
  </si>
  <si>
    <t>CON_RT</t>
  </si>
  <si>
    <t>COMMUNITY</t>
  </si>
  <si>
    <t>CP6</t>
  </si>
  <si>
    <t>ALTAVOZ DESCOLGADO DE 6.5" 70V, CON POTENCIA HASTA 30W.</t>
  </si>
  <si>
    <t>CONDU</t>
  </si>
  <si>
    <t>TROQUEL SENCILLO PARA CANALETA 10X10 EN FORMATO UNIVERSAL</t>
  </si>
  <si>
    <t>TRO10_S_U</t>
  </si>
  <si>
    <t>TROQUEL SENCILLO PARA CANALETA 10X10 EN FORMATO SALIDA TOMA ELÉCTRICA</t>
  </si>
  <si>
    <t>TRO10_S_E</t>
  </si>
  <si>
    <t>CANALETA METÁLICA DE 2 METROS X 10CM.</t>
  </si>
  <si>
    <t>CAN10</t>
  </si>
  <si>
    <t>CONDULETA</t>
  </si>
  <si>
    <t>METRO DE TUBO GALVANIZADO DE 3/4 DE PULGADA</t>
  </si>
  <si>
    <t>GAL0.75</t>
  </si>
  <si>
    <t>CONDULETA DE DERIVACIÓN EN T, PARA TUBERÍA 3/4.</t>
  </si>
  <si>
    <t>GAL_T0.75</t>
  </si>
  <si>
    <t>CONDULETA DE UNIÓN, PARA TUBERÍA 3/4.</t>
  </si>
  <si>
    <t>GAL_U0.75</t>
  </si>
  <si>
    <t>CONDULETA EN GIRO DE 90 GRADOS, PARA TUBERÍA 3/4.</t>
  </si>
  <si>
    <t>GAL_L0.75</t>
  </si>
  <si>
    <t>CURVA GALVANIZADA</t>
  </si>
  <si>
    <t>GAL_C0.75</t>
  </si>
  <si>
    <t>GRAPA METÁLICA AJUSTABLE</t>
  </si>
  <si>
    <t>FPAG034</t>
  </si>
  <si>
    <t>C4_E1_1</t>
  </si>
  <si>
    <t>CONTROLADORA POR IP CON DOS PUERTOS SERIALES Y DOS PUERTOS INFRA ROJOS.</t>
  </si>
  <si>
    <t>SR260RSK</t>
  </si>
  <si>
    <t>MANDO A DISTANCIA PROGRAMABLE CON PANTALLA OLED Y ESTACION DE CARGA.</t>
  </si>
  <si>
    <t>C4_EA3_V2_RSK</t>
  </si>
  <si>
    <t>Controlador 4 CON 3 SALIDAS DE AUDIO. CONTROL REMOTO Y BASE DE CARGA</t>
  </si>
  <si>
    <t>C4_EA5_V2</t>
  </si>
  <si>
    <t>CONTROLADORA CON 5 SALIDAS DE AUDIO, UNA POR HDMI, DOS COAXIALES DIGITALES Y DOS ANALOGAS. 8 PUERTOS INFRA ROJOS, 4 SERIALES Y 4 CONTACTOS SECOS.</t>
  </si>
  <si>
    <t>CORNERED</t>
  </si>
  <si>
    <t>ALTAVOZ DE 30 VATIOS RMS, 8 OHM. RESPUESTA EN FRECUENCIA 140-20.000 Hz.</t>
  </si>
  <si>
    <t>CI2</t>
  </si>
  <si>
    <t>ALTAVOZ DE SOBREPONER DE 60 VATIOS, EN COLOR NEGRO O BLANCO. TWITTER DE 4".</t>
  </si>
  <si>
    <t>CI4</t>
  </si>
  <si>
    <t>CORONA</t>
  </si>
  <si>
    <t>BULTO DE YESO</t>
  </si>
  <si>
    <t>YESB</t>
  </si>
  <si>
    <t>CREE</t>
  </si>
  <si>
    <t>CRE</t>
  </si>
  <si>
    <t>TUBO LED ATENUABLE, CON CAPACIDAD DE HASTA 2800 LUMENS CON BALASTO.</t>
  </si>
  <si>
    <t>LEDT8R_48_21L_40K_B1</t>
  </si>
  <si>
    <t>TUBO LED ATENUABLE, CON CAPACIDAD DE HASTA 2800 LUMENS CON BALASTO DE 1.17FB. 4000K, 2100 LUMENS CON 1.0FB. GARANTÍA LIMITADA DE 5 ANOS.</t>
  </si>
  <si>
    <t>REGLETA LED DE 4 VATIOS. 3000K.</t>
  </si>
  <si>
    <t>R4L</t>
  </si>
  <si>
    <t>CRESTRON</t>
  </si>
  <si>
    <t>CP3</t>
  </si>
  <si>
    <t>PROCESADOR CON Enterprise-class control system, SLOT PARA MEMORIA, USB HOST iPhone®, iPad®, and Android® control app support. BACNET NATIVO 3 RS-232/422/485 8 SALIDAS IR/serial, 8 relay, 8  I/O ports.</t>
  </si>
  <si>
    <t>PW_2420RU</t>
  </si>
  <si>
    <t>FUENTE DE PODER 24V, 2.5 AMPERIOS</t>
  </si>
  <si>
    <t>TSW_760_B_S</t>
  </si>
  <si>
    <t>PANTALLA TACTIL DE 7"</t>
  </si>
  <si>
    <t>TSW_760_TTK_B_S</t>
  </si>
  <si>
    <t>SOPORTE PARA PANTALLA DE MESA</t>
  </si>
  <si>
    <t>CROWN</t>
  </si>
  <si>
    <t>AMPLIFICADOR DE DOS CANALES DE LÍNEA 70V CON SALIDA DE 600W</t>
  </si>
  <si>
    <t>GCDI2X600</t>
  </si>
  <si>
    <t>AMPLIFICADOR DE 5 CANALES DESBALANCEADOS A 75W.</t>
  </si>
  <si>
    <t>CT475</t>
  </si>
  <si>
    <t>AMPLIFICADOR DE 4 CANALES DESBALANCEADOS A 75W.</t>
  </si>
  <si>
    <t>AMPLIFICADOR DE 8 CANALES A 150W</t>
  </si>
  <si>
    <t>CT8150</t>
  </si>
  <si>
    <t>GDCI4X300</t>
  </si>
  <si>
    <t>AMPLIFICADOR DE 600W RMS DE 4 CANALES PARA ALTOVACES DE 4, 8 OHM O 70V.</t>
  </si>
  <si>
    <t>CT4150</t>
  </si>
  <si>
    <t>AMPLIFICADOR DE 125W 4 CANALES</t>
  </si>
  <si>
    <t>CRYSTAL</t>
  </si>
  <si>
    <t>ASCENSOR PARA MONTAJE EN MOBILIARIO</t>
  </si>
  <si>
    <t>JG450</t>
  </si>
  <si>
    <t>https://es.aliexpress.com/item/33001741834.html?spm=a2g0o.productlist.0.0.6b0443324HbpFL&amp;algo_pvid=72334a79-574d-4bcb-a4e4-fc9578d0d9a9&amp;algo_expid=72334a79-574d-4bcb-a4e4-fc9578d0d9a9-17&amp;btsid=0ab6d69f15859309592238381e5c82&amp;ws_ab_test=searchweb0_0,searchweb201602_,searchweb201603_</t>
  </si>
  <si>
    <t>CURRENT</t>
  </si>
  <si>
    <t>CUR</t>
  </si>
  <si>
    <t>ALTAVOZ CIRCULAR CON SALIDA DE 100 VATIOS.</t>
  </si>
  <si>
    <t>CS650DT</t>
  </si>
  <si>
    <t>CYBER_POWER</t>
  </si>
  <si>
    <t>CYB</t>
  </si>
  <si>
    <t>MULTITOMA PARA CONEXIÓN A RACK. DE 6 SALIDAS</t>
  </si>
  <si>
    <t>CPS_1215RMS</t>
  </si>
  <si>
    <t>CYE</t>
  </si>
  <si>
    <t>CONECTOR RCA ESTÉREO.</t>
  </si>
  <si>
    <t>MONITOR DE 8" CON ENTRADA HDMI, VIDEO COMPUESTO Y VGA.</t>
  </si>
  <si>
    <t>EYO8</t>
  </si>
  <si>
    <t>CYP</t>
  </si>
  <si>
    <t>MATRIZ HDMI 4X4, RESOLUCIÓN 4K</t>
  </si>
  <si>
    <t>OR_44U_4K22</t>
  </si>
  <si>
    <t>D_LINK</t>
  </si>
  <si>
    <t>ROUTER 3G</t>
  </si>
  <si>
    <t>DWR922</t>
  </si>
  <si>
    <t>DAGA</t>
  </si>
  <si>
    <t>MH_4766</t>
  </si>
  <si>
    <t>MULTITOMA DE 12 TOMAS GRADO HOSPITALARIO</t>
  </si>
  <si>
    <t>DAHUA</t>
  </si>
  <si>
    <t>DAH</t>
  </si>
  <si>
    <t>CÁMARA ANÁLOGA DE 720 LÍNEAS, CON VISIÓN NOCTURNA. CON RESISTENCIA AL AGUA IP66.</t>
  </si>
  <si>
    <t>CA_FW181D_B</t>
  </si>
  <si>
    <t>CÁMARA ANÁLOGA DE 720 LÍNEAS, CON VISIÓN NOCTURNA, TIPO DOMO.</t>
  </si>
  <si>
    <t>CA_DW181M</t>
  </si>
  <si>
    <t>DVR</t>
  </si>
  <si>
    <t>DVR DE 4 CANALES ANALÓGICO.</t>
  </si>
  <si>
    <t>DVR2104</t>
  </si>
  <si>
    <t>DVR DE 8 CANALES ANALÓGICO.</t>
  </si>
  <si>
    <t>DVR5108</t>
  </si>
  <si>
    <t>DVR DE 16 CANALES ANALÓGICO.</t>
  </si>
  <si>
    <t>DVR5116</t>
  </si>
  <si>
    <t>CÁMARA DE 2 MEGA PIXELES INALÁMBRICA PARA EXTERIORES, ALIMENTACIÓN A 12 VOLTIOS.</t>
  </si>
  <si>
    <t>IPC_HFW1200S_W</t>
  </si>
  <si>
    <t>NVR DE 16 CANALES, SALIDAS HDMI Y VGA.</t>
  </si>
  <si>
    <t>NVR4216</t>
  </si>
  <si>
    <t>DVR5216</t>
  </si>
  <si>
    <t>CÁMARA ANÁLOGA IP66 DIA NOCHE CON RESOLUCIÓN DE 800TVI.</t>
  </si>
  <si>
    <t>DH_CA_FW191G</t>
  </si>
  <si>
    <t>DVR-HD DE 4 CANALES CON DISCO DURO DE UN TERA, SALIDA HDMI.</t>
  </si>
  <si>
    <t>DH_HVCR4104C</t>
  </si>
  <si>
    <t>DVR-HD DE 8 CANALES CON DISCO DURO DE UN TERA, SALIDA HDMI.</t>
  </si>
  <si>
    <t>DH_HVCR4108C</t>
  </si>
  <si>
    <t>CÁMARA DE ALTA DEFINICIÓN 720P, PARA INTERIOR-EXTERIOR.</t>
  </si>
  <si>
    <t>DH_HAC_HFW1000RM</t>
  </si>
  <si>
    <t>CÁMARA DE ALTA DEFINICIÓN 720P, PARA INTERIOR-EXTERIOR. HASTA 15 METROS DE ALCANCE.</t>
  </si>
  <si>
    <t>DH_HAC_HFW1100B_B</t>
  </si>
  <si>
    <t>CÁMARA DE ALTA DEFINICIÓN 720P, PARA INTERIOR-EXTERIOR. HASTA 30 METROS DE ALCANCE.</t>
  </si>
  <si>
    <t>DVR HIBRIDO PARA CÁMARAS ANÁLOGAS DE ALTA DEFINICIÓN Y CÁMARAS IP.</t>
  </si>
  <si>
    <t>DH_HCVR5108</t>
  </si>
  <si>
    <t>DVR HIBRIDO PARA CÁMARAS ANÁLOGAS DE ALTA DEFINICIÓN Y CÁMARAS IP. 8 CANALES (2 IP), SALIDA VGA Y HDMI.</t>
  </si>
  <si>
    <t>CÁMARA DE ALTA DEFINICIÓN 1080P, 2 MEGA PIXELES, PARA INTERIOR-EXTERIOR.</t>
  </si>
  <si>
    <t>DH_HAC_HDW1200MN</t>
  </si>
  <si>
    <t>DVR ANALÓGICO DE 4 CANALES Y DISCO DURO DE UN TERA.</t>
  </si>
  <si>
    <t>DH_DVR5104</t>
  </si>
  <si>
    <t>DVR ANALÓGICO DE 16 CANALES Y DISCO DURO DE UN TERA.</t>
  </si>
  <si>
    <t>DH_DVR5116</t>
  </si>
  <si>
    <t>CÁMARA ANÁLOGA PARA EXTERIOR DE 720TVL, PARA EXTERIOR INTERIOR.</t>
  </si>
  <si>
    <t>DH_CA_FW181D_B</t>
  </si>
  <si>
    <t>CA_FW181R</t>
  </si>
  <si>
    <t>CÁMARA DE 720P TIPO DOMO CON ALCANCE DE 15 METROS Y VISIÓN NOCTURNA IR.</t>
  </si>
  <si>
    <t>HDW1000RN</t>
  </si>
  <si>
    <t>CÁMARA DE 720P TIPO DOMO CON ALCANCE DE 15 METROS Y VISIÓN NOCTURNA IR. INCLUYE FUENTE DE ALIMENTACIÓN.</t>
  </si>
  <si>
    <t>CÁMARA DE 720P TIPO DOMO CON ALCANCE DE 20 METROS Y VISIÓN NOCTURNA IR.</t>
  </si>
  <si>
    <t>HDW1100RM</t>
  </si>
  <si>
    <t>CÁMARA DE 720P TIPO DOMO CON ALCANCE DE 20 METROS Y VISIÓN NOCTURNA IR. INCLUYE FUENTE DE ALIMENTACIÓN.</t>
  </si>
  <si>
    <t>DVR HDVCI DE ALTA DEFINICIÓN DE 16 CANALES Y DISCO DE 2 TERAS.</t>
  </si>
  <si>
    <t>HCVR7816S</t>
  </si>
  <si>
    <t>CÁMARA DE ALTA DEFINICIÓN ANALÓGICA 1080P.</t>
  </si>
  <si>
    <t>DH-HAC-HFW12A0SN</t>
  </si>
  <si>
    <t>DVR DE 4 CANALES PARA CÁMARAS HDVCI HASTA DOS MEGA PIXELES.</t>
  </si>
  <si>
    <t>HCVR5104H</t>
  </si>
  <si>
    <t>DVR DE 4 CANALES PARA CÁMARAS HDVCI HASTA DOS MEGA PIXELES. DISCO DURO DE UN TERA INCLUIDO.</t>
  </si>
  <si>
    <t>CÁMARA TIPO DOMO DE DOS MEGA PIXELES.</t>
  </si>
  <si>
    <t>HAC_HDW1200MN0360B_S2</t>
  </si>
  <si>
    <t>ADAPTADOR DE 12 VOLTIOS DC PARA CÁMARA HDVCI</t>
  </si>
  <si>
    <t>A12V</t>
  </si>
  <si>
    <t>DVR DE 16 CANALES ANALÓGICO HASTA 2M PIXELES. MANEJA PROTOCOLO P2P.</t>
  </si>
  <si>
    <t>DVR162M</t>
  </si>
  <si>
    <t>CÁMARA TIPO DOMO DE 2 MEGA PIXELES</t>
  </si>
  <si>
    <t>DOM2M</t>
  </si>
  <si>
    <t>CÁMARA TIPO BALA DE 2 MEGA PIXELES</t>
  </si>
  <si>
    <t>BAL2M</t>
  </si>
  <si>
    <t>DISCO DURO DE 2 TERAS</t>
  </si>
  <si>
    <t>DD2T</t>
  </si>
  <si>
    <t>CABLE PARA CÁMARAS ANÁLOGAS</t>
  </si>
  <si>
    <t>LINK8</t>
  </si>
  <si>
    <t>DRV ANÁLOGO DE 4 CANALES, RESOLUCIÓN DE CÁMARAS 720P.</t>
  </si>
  <si>
    <t>DHI_HCVR4104C_S2</t>
  </si>
  <si>
    <t>DOMO PARA EXTERIOR HDVCI DE 2 MEGA PIXEL Y VISUALIZACIÓN IR.</t>
  </si>
  <si>
    <t>HAC_HFW1200RN</t>
  </si>
  <si>
    <t>ADAPTADOR DE 12 VOLTIOS DC , UN AMPERIO PARA CÁMARA HDVCI</t>
  </si>
  <si>
    <t>A12V1</t>
  </si>
  <si>
    <t>ADAPTADOR DE 12 VOLTIOS DC , DOS AMPERIOS PARA CÁMARA HDVCI</t>
  </si>
  <si>
    <t>A12V2</t>
  </si>
  <si>
    <t>NVR CON COMUNICACIÓN P2P, DISCO DURO DE UN TERA. AUDIO RECORDING</t>
  </si>
  <si>
    <t>NVR52A08_8P_4KS2</t>
  </si>
  <si>
    <t>CÁMARA IP DE 4MP, CON MICRÓFONO INCLUIDO, PARA INTERIOR EXTERIOR.</t>
  </si>
  <si>
    <t>HDW4431C</t>
  </si>
  <si>
    <t>MICRÓFONO PARA CCTV</t>
  </si>
  <si>
    <t>TNTE</t>
  </si>
  <si>
    <t>CÁMARA IP TIPO BALA, CON RESOLUCIÓN DE DOS MEGA PIXELES</t>
  </si>
  <si>
    <t>DH_IPC_HDBW1220EN</t>
  </si>
  <si>
    <t>DHI_NVR5216_4KS2</t>
  </si>
  <si>
    <t>CÁMARA IP DE 4 MP CON CONECTIVIDAD POE. VISIÓN NOCTURNA.</t>
  </si>
  <si>
    <t>IPC_HDBW4431R_AS</t>
  </si>
  <si>
    <t>DVR DE 32 CANALES CON RESOLUCIÓN HASTA 5MP, TECNOLOGÍA HDVCI/CVBS/AHD/TVI.</t>
  </si>
  <si>
    <t>XVR4232AN</t>
  </si>
  <si>
    <t>DVR DE 32 CANALES CON RESOLUCIÓN HASTA 5MP, TECNOLOGÍA HDVCI/CVBS/AHD/TVI. CONECTIVIDAD PARA DISCO DURO SATA.</t>
  </si>
  <si>
    <t>DVR DE 16 CANALES ANALÓGICO CON TRANSMISIÓN P2P</t>
  </si>
  <si>
    <t>XVR4116HS</t>
  </si>
  <si>
    <t>CAMARA CON CMOS PROGRESIVO.</t>
  </si>
  <si>
    <t>IPC_HFW2421R_Z</t>
  </si>
  <si>
    <t>Chip de video 1/3” CMOS Progresivo de 4 Megapixeles. Codificación de doble flujo H.264 + y H.264. 20fps a 4Mpx (2688x1520) y 25 / 30fps a 3Mpx (2304 × 1296).WDR (120dB), Día/Noche (ICR), 3DNR, AWB, AGC, BLC Monitoreo de múltiples redes: Visor web, CMS (DSS / PSS) y DMSS. Ranura para tarjeta Micro SD, hasta 128 GB (Tarjeta No incluida).
Lente varifocal Motorizado de 2.7 ~ 12mm. Ángulo de vista - Horizontal: 100°~35°, Vertical:54°~20° Longitud máxima de IR LEDs hasta 60mts. IP67, PoE.</t>
  </si>
  <si>
    <t>NVR DE 32 CANALES, SISTEMA LINUX, SALIDAS HDMI Y VGA.</t>
  </si>
  <si>
    <t>DHI_NVR5832_4KS2</t>
  </si>
  <si>
    <t>NVR DE 32 CANALES, SISTEMA LINUX, SALIDAS HDMI Y VGA. CAPACIDAD PARA 8 DISCOS DE HASTA 10TB</t>
  </si>
  <si>
    <t>https://articulo.mercadolibre.com.co/MCO-455506067-nvr-lite-dahua-ip-8-sata-4k-32ch-dhi-nvr4832-4ks2-_JM?matt_tool=24497864&amp;matt_word&amp;gclid=CjwKCAiAp5nyBRABEiwApTwjXoraC97sFCuIp25R3CwyvTFbqS132kOWt9VvxEpvG-7ShewhuTpmsxoCBoEQAvD_BwE&amp;quantity=1</t>
  </si>
  <si>
    <t>CAMARA TERMICA</t>
  </si>
  <si>
    <t>DH_TPC_BF5421_T</t>
  </si>
  <si>
    <t>CAMARA IP TIPO BALA TERMICA/VISIBLE LENTE 13MM/8MM ALARMA LUZ BLANCA MEDICION TEMP. 30°C ~ 45°C</t>
  </si>
  <si>
    <t>ACCESORIO PARA MEDICION DE TEMPERATURA.</t>
  </si>
  <si>
    <t>JQ_D70Z</t>
  </si>
  <si>
    <t>BLACKBODY ACCESORIO PARA MEDICION DE TEMPERATURA CON CAMARA DH-TPC-BF5421.</t>
  </si>
  <si>
    <t>FUENTE DE ALIMENTACION</t>
  </si>
  <si>
    <t>PFM320</t>
  </si>
  <si>
    <t>TRIPODE PARA INSTALAR CAMARA TERMICA</t>
  </si>
  <si>
    <t>VCT_999</t>
  </si>
  <si>
    <t>ACCESORIO PARA TRIPODE</t>
  </si>
  <si>
    <t>RAW021</t>
  </si>
  <si>
    <t>ACCESORIO DE FIJACION PARA CAMARA EN TRIPODE</t>
  </si>
  <si>
    <t>NVR DE 16 CANALES</t>
  </si>
  <si>
    <t>NVR5216_16P_I</t>
  </si>
  <si>
    <t>NVR 16CH SERIE AI PROTECCION PERIMETRAL 16CH RECONOCIMIENTO FACIAL 4CH</t>
  </si>
  <si>
    <t>LICENCIA DE SOFTWARE</t>
  </si>
  <si>
    <t>DHI_DSSExpress</t>
  </si>
  <si>
    <t>LICENCIA DE FUNCIONAMIENTO PARA MONITOREO EN PC</t>
  </si>
  <si>
    <t>MONITOR HD DE 22" CON PARLANTE.</t>
  </si>
  <si>
    <t>DHI_DHL22_F600_S</t>
  </si>
  <si>
    <t>MONITOR 22" RETROILUMINACION LED 1080P ÁNGULO DE VISIÓN 178°(H)/178°(V) HDMI/VGA PARLANTE 2WX2</t>
  </si>
  <si>
    <t>IPC_T1B40N_0280B</t>
  </si>
  <si>
    <t>CAMARA IP TIPO DOMO DE 4MP</t>
  </si>
  <si>
    <t>NVR1B08HCE</t>
  </si>
  <si>
    <t>NVR EZ-IP DAHUA 8CH H.265+ 1CH@6MP O 4CH@2MP 40MBPS ENTRADA 1 SATA HASTA 4TB HDMI/VGA MAX 1920X1080</t>
  </si>
  <si>
    <t>DH_IPC_HFW1230S1N_0280B_S4</t>
  </si>
  <si>
    <t>CAMARA IP65 POE DE 2MP</t>
  </si>
  <si>
    <t>DH_IPC_HDPW1230R1N_0280B_S4</t>
  </si>
  <si>
    <t>CAMARA IP TIPO DOMO DE 2MP PoE</t>
  </si>
  <si>
    <t>XVR_4CH_2CH</t>
  </si>
  <si>
    <t>DVR ANALOGICO DE 4 CANALES</t>
  </si>
  <si>
    <t>DH_HAC_T1A21N_0280B</t>
  </si>
  <si>
    <t>CAMARA 1080P TIPO DOMO PLASTICO LENTE 2,8MM FOV 103° DWDR IR 20M</t>
  </si>
  <si>
    <t>A704</t>
  </si>
  <si>
    <t>DH_XVR1B16</t>
  </si>
  <si>
    <t>DVR DE 16 CANALES CON COMUNICACIÓN P2P</t>
  </si>
  <si>
    <t>DH_HAC_B4A21N_VF</t>
  </si>
  <si>
    <t>CAMARA CMOS DE EXTERIOR 1080P</t>
  </si>
  <si>
    <t>DHI_NVR4216</t>
  </si>
  <si>
    <t>NVR PoE DE 16 PUERTOS</t>
  </si>
  <si>
    <t>DH_IPC_HDW2230T_AS_S2</t>
  </si>
  <si>
    <t>CAMARA IP DE 2MP CON MICROFONO. IP67.</t>
  </si>
  <si>
    <t>IPC_HFWI200S_W</t>
  </si>
  <si>
    <t>DH_HAC_HFW1400TL</t>
  </si>
  <si>
    <t>CAMARA TIPO BALA IP67 DE 4 MEGA PIXELES DE RESOLUCION.</t>
  </si>
  <si>
    <t>DH_IPC_HDW3441TMN_AS_0280B</t>
  </si>
  <si>
    <t>CAMARA IP DE 4MP CON MICROFONO</t>
  </si>
  <si>
    <t>DHI_NVR2108_W_4KS2</t>
  </si>
  <si>
    <t>NVR WIFI DE 8 CANALES 1080P</t>
  </si>
  <si>
    <t>DH_IPC_HFW1235SN_W_0280B_S2</t>
  </si>
  <si>
    <t>CAMARA WIFI DE 2MP, ALIMENTACION A 12VDC.</t>
  </si>
  <si>
    <t>DHI_DSS7016D</t>
  </si>
  <si>
    <t>SERVIDOR TODO EN UNO 2000CH HASTA 12MP AB E/S 700/700 MBPS SOPORTA 15HDD HASTA 4TB 2 SALIDAS HDMI 3U</t>
  </si>
  <si>
    <t>DH_IPC_HFW1431S1N_0280B_S4</t>
  </si>
  <si>
    <t>CAMARA IP DE 4MP, ANGULO DE VISION DE 101°. ALIMENTACION PoE.</t>
  </si>
  <si>
    <t>DHI_DSS4004_S2</t>
  </si>
  <si>
    <t>SERVIDOR TODO EN UNO 256CH HASTA 12MP AB E/S 700/700 MBPS SOPORTA 15HDD HASTA 4TB 2 SALIDAS HDMI 3U</t>
  </si>
  <si>
    <t>DHI_DSS4004_PRO</t>
  </si>
  <si>
    <t>DHI_NVR608_64_4KS2</t>
  </si>
  <si>
    <t>NVR 64CH H.265 DECODIFICACION 4CH@4K O 16CH@2MP AB ENTRADA 384MBPS 8 SATA 2 HDMI</t>
  </si>
  <si>
    <t>DH_IPC_HFW1431T1N_ZS_S4</t>
  </si>
  <si>
    <t>CAMARA IP DE 4MP CON LENTE MOTOR. APERTURA DE 98° IP67.</t>
  </si>
  <si>
    <t>DH_IPC_HFW2431TN_ZS_S2</t>
  </si>
  <si>
    <t>CAMARA IP TIPO BALA METALICA 4MP@20FPS LENTE MOTOR. 2,7-13,5MM IP67 WDR 120DB H.265+ IR 60M 2IVS POE</t>
  </si>
  <si>
    <t>DH_IPC_HFW2230SN_S_0280B_S2</t>
  </si>
  <si>
    <t>CAMARA TIPO BALA DE 2MP. 104° DE ANGULO DE VISION.</t>
  </si>
  <si>
    <t>DHI_VTO6221E_P</t>
  </si>
  <si>
    <t>INTERCOMUNICADOR IP METALICO PANTALLA STN 3" TECLADO CAM. 2MP FOV 140° 12VDC IP55 IK08 SIN SOPORTE.</t>
  </si>
  <si>
    <t>DHI_VTO1210C_X</t>
  </si>
  <si>
    <t>INTERCOMUNICADOR IP METALICO PANTALLA STN 3" TECLADO CAM. 1,3MP FOV 75° 12VDC IP54 IK07 SIN SOPORTE</t>
  </si>
  <si>
    <t>VTOB103</t>
  </si>
  <si>
    <t>SOPORTE DE EMPOTRAR PARA INTERCOMUNICADOR DHI_VTO1210C_X</t>
  </si>
  <si>
    <t>DHI_VTK_VTO2000A_2_VTH1550CHW_2_F</t>
  </si>
  <si>
    <t>KIT VIDEO PORTERO DAHUA 2-HILOS CON PANTALLA TACTIL DE 7" PARA EMPOTRAR</t>
  </si>
  <si>
    <t>DHI_VTH2421FB_P</t>
  </si>
  <si>
    <t>INTERCOMUNICADOR INTERNO CON PANTALLA TACTIL CAPACITIVA 7" TCP/IP ALAR E/S 6/1 12VDC COLOR NEGRO SIP</t>
  </si>
  <si>
    <t>DHI_NVR2116HS_4KS2</t>
  </si>
  <si>
    <t>NVR DE 16 CANALES, 4MP.</t>
  </si>
  <si>
    <t>DHI_NVR4216_16P_4KS2_L</t>
  </si>
  <si>
    <t>NVR PoE, 4MP, DE 16 CANALES.</t>
  </si>
  <si>
    <t>DHI_DHL22_F600</t>
  </si>
  <si>
    <t>MONITOR 20,7" RETROILUMINACION LED 1080P ÁNGULO DE VISIÓN 170°(H)/160°(V) HDMI/VGA PARLANTE 1,5WX2</t>
  </si>
  <si>
    <t>DH_SD49425XBN_HNR</t>
  </si>
  <si>
    <t>DOMO PTZ IP AI 4MP ZOOM 25X WDR 120DB H265+ IP66 IR 100M 12VDC/3A PoE+ INCL. SOPORTE SIN FUENTE</t>
  </si>
  <si>
    <t>DH_IPC_HDW1431T1N_0280B_S4</t>
  </si>
  <si>
    <t>CAMARA IP DE 4MP, ANGULO DE APERTURA DE 101°. IP67.</t>
  </si>
  <si>
    <t>DHI_NVR4208_4KS2_L</t>
  </si>
  <si>
    <t>NVR DE 8 CANALES</t>
  </si>
  <si>
    <t>DAIKU</t>
  </si>
  <si>
    <t>DA80</t>
  </si>
  <si>
    <t>SOPORTE DE TECHO PARA TV DE HASTA 75" CON BRAZO RETRACTIL</t>
  </si>
  <si>
    <t>DAIRU</t>
  </si>
  <si>
    <t>D80T</t>
  </si>
  <si>
    <t>SOPORTE DE TECHO PARA TV</t>
  </si>
  <si>
    <t>DA-LITE</t>
  </si>
  <si>
    <t>DAL</t>
  </si>
  <si>
    <t>SCR</t>
  </si>
  <si>
    <t>TELÓN ELÉCTRICO LÍNEA COSMOPOLITAN ELECTROL, CON CONTROL REMOTO.</t>
  </si>
  <si>
    <t>D83444</t>
  </si>
  <si>
    <t>TELÓN ELÉCTRICO LÍNEA COSMOPOLITAN ELECTROL, CON CONTROL REMOTO. EN FORMATO 16:9, 92" EN DIAGONAL. ALTURA: 114.3CM ANCHO: 203.2CM. COLOR BLANCO MATE</t>
  </si>
  <si>
    <t>D79012</t>
  </si>
  <si>
    <t>TELÓN ELÉCTRICO LÍNEA COSMOPOLITAN ELECTROL, CON CONTROL REMOTO. EN FORMATO 16:9, 106" EN DIAGONAL. ALTURA: 132.08CM ANCHO: 233.68CM. COLOR BLANCO MATE.</t>
  </si>
  <si>
    <t>D94270</t>
  </si>
  <si>
    <t>TELÓN ELÉCTRICO LÍNEA COSMOPOLITAN ELECTROL, CON CONTROL REMOTO. EN FORMATO 16:9, 110" EN DIAGONAL. ALTURA: 137.16 ANCHO: 243.84. COLOR BLANCO MATE</t>
  </si>
  <si>
    <t>D79013</t>
  </si>
  <si>
    <t>TELÓN ELÉCTRICO LÍNEA COSMOPOLITAN ELECTROL, CON CONTROL REMOTO. EN FORMATO 16:9, 119" EN DIAGONAL. ALTURA: 147.32CM ANCHO: 264.16CM. COLOR BLANCO MATE</t>
  </si>
  <si>
    <t>D79014</t>
  </si>
  <si>
    <t>TELÓN ELÉCTRICO LÍNEA COSMOPOLITAN ELECTROL, CON CONTROL REMOTO. EN FORMATO 16:9, 133" EN DIAGONAL. ALTURA: 165.1CM ANCHO: 294.64CM. COLOR BLANCO MATE</t>
  </si>
  <si>
    <t>D79015</t>
  </si>
  <si>
    <t>TELÓN ELÉCTRICO LÍNEA COSMOPOLITAN ELECTROL, CON CONTROL REMOTO. EN FORMATO 16:9, 159" EN DIAGONAL. ALTURA: 198.12CM ANCHO: 353.06CM. COLOR BLANCO MATE.</t>
  </si>
  <si>
    <t>D96390</t>
  </si>
  <si>
    <t>TELÓN ELÉCTRICO LÍNEA COSMOPOLITAN ELECTROL, CON CONTROL REMOTO. EN FORMATO 16:9, 188" EN DIAGONAL. ALTURA: 233.68CM ANCHO: 416.56CM. COLOR BLANCO MATE</t>
  </si>
  <si>
    <t>D96391</t>
  </si>
  <si>
    <t>TELÓN ELÉCTRICO LÍNEA COSMOPOLITAN ELECTROL, CON CONTROL REMOTO. EN FORMATO 16:9, 216" EN DIAGONAL. ALTURA: 269.24CM ANCHO: 277.52. COLOR BLANCO MATE</t>
  </si>
  <si>
    <t>TELÓN ELÉCTRICO LÍNEA COSMOPOLITAN ELECTROL DE 92".</t>
  </si>
  <si>
    <t>D83444L</t>
  </si>
  <si>
    <t>TELÓN ELÉCTRICO LÍNEA COSMOPOLITAN ELECTROL, CON INTERFAZ DE INTEGRACIÓN MEDIANTE CONTACTO SECO, CON CONTROL REMOTO. EN FORMATO 16:9, 92" EN DIAGONAL. ALTURA: 114.3CM ANCHO: 203.2CM. COLOR BLANCO MATE</t>
  </si>
  <si>
    <t>TELÓN ELÉCTRICO LÍNEA COSMOPOLITAN ELECTROL, 16:9, 106".</t>
  </si>
  <si>
    <t>D79012L</t>
  </si>
  <si>
    <t>TELÓN ELÉCTRICO LÍNEA COSMOPOLITAN ELECTROL, CON INTERFAZ DE INTEGRACIÓN MEDIANTE CONTACTO SECO, CON CONTROL REMOTO. EN FORMATO 16:9, 106" EN DIAGONAL. ALTURA: 132.08CM ANCHO: 233.68CM. COLOR BLANCO MATE.</t>
  </si>
  <si>
    <t>TELÓN ELÉCTRICO LÍNEA COSMOPOLITAN ELECTROL16:9, 110".</t>
  </si>
  <si>
    <t>D94270L</t>
  </si>
  <si>
    <t>TELÓN ELÉCTRICO LÍNEA COSMOPOLITAN ELECTROL, CON INTERFAZ DE INTEGRACIÓN MEDIANTE CONTACTO SECO, CON CONTROL REMOTO. EN FORMATO 16:9, 110" EN DIAGONAL. ALTURA: 137.16 ANCHO: 243.84. COLOR BLANCO MATE</t>
  </si>
  <si>
    <t>TELÓN ELÉCTRICO LÍNEA COSMOPOLITAN ELECTROL.</t>
  </si>
  <si>
    <t>D79013L</t>
  </si>
  <si>
    <t>TELÓN ELÉCTRICO LÍNEA COSMOPOLITAN ELECTROL, CON INTERFAZ DE INTEGRACIÓN MEDIANTE CONTACTO SECO, CON CONTROL REMOTO. EN FORMATO 16:9, 119" EN DIAGONAL. ALTURA: 147.32CM ANCHO: 264.16CM. COLOR BLANCO MATE</t>
  </si>
  <si>
    <t>TELÓN ELÉCTRICO LÍNEA COSMOPOLITAN ELECTROL, 16:9, 133".</t>
  </si>
  <si>
    <t>D79014L</t>
  </si>
  <si>
    <t>TELÓN ELÉCTRICO LÍNEA COSMOPOLITAN ELECTROL, CON INTERFAZ DE INTEGRACIÓN MEDIANTE CONTACTO SECO, CON CONTROL REMOTO. EN FORMATO 16:9, 133" EN DIAGONAL. ALTURA: 165.1CM ANCHO: 294.64CM. COLOR BLANCO MATE</t>
  </si>
  <si>
    <t>TELÓN ELÉCTRICO LÍNEA COSMOPOLITAN ELECTROL, 16:9, 159".</t>
  </si>
  <si>
    <t>D79015L</t>
  </si>
  <si>
    <t>TELÓN ELÉCTRICO LÍNEA COSMOPOLITAN ELECTROL, CON INTERFAZ DE INTEGRACIÓN MEDIANTE CONTACTO SECO, CON CONTROL REMOTO. EN FORMATO 16:9, 159" EN DIAGONAL. ALTURA: 198.12CM ANCHO: 353.06CM. COLOR BLANCO MATE.</t>
  </si>
  <si>
    <t>TELÓN ELÉCTRICO LÍNEA COSMOPOLITAN ELECTROL, 16:9, 188".</t>
  </si>
  <si>
    <t>D96390L</t>
  </si>
  <si>
    <t>TELÓN ELÉCTRICO LÍNEA COSMOPOLITAN ELECTROL, CON INTERFAZ DE INTEGRACIÓN MEDIANTE CONTACTO SECO, CON CONTROL REMOTO. EN FORMATO 16:9, 188" EN DIAGONAL. ALTURA: 233.68CM ANCHO: 416.56CM. COLOR BLANCO MATE</t>
  </si>
  <si>
    <t>TELÓN ELÉCTRICO LÍNEA COSMOPOLITAN ELECTROL, 16:9, 216".</t>
  </si>
  <si>
    <t>D96391L</t>
  </si>
  <si>
    <t>TELÓN ELÉCTRICO LÍNEA COSMOPOLITAN ELECTROL, CON INTERFAZ DE INTEGRACIÓN MEDIANTE CONTACTO SECO, CON CONTROL REMOTO. EN FORMATO 16:9, 216" EN DIAGONAL. ALTURA: 269.24CM ANCHO: 277.52. COLOR BLANCO MATE</t>
  </si>
  <si>
    <t>TELÓN ELÉCTRICO TENSIONADO DE LA LÍNEA COSMOPOLITAN ELECTROL,  16:9, 220".</t>
  </si>
  <si>
    <t>D97976</t>
  </si>
  <si>
    <t>TELÓN ELÉCTRICO TENSIONADO DE LA LÍNEA COSMOPOLITAN ELECTROL, CON INTERFAZ DE INTEGRACIÓN MEDIANTE CONTACTO SECO, CON CONTROL REMOTO. EN FORMATO 16:9, 220" EN DIAGONAL. ALTURA: 3.02m ANCHO: 4.26m. COLOR BLANCO MATE</t>
  </si>
  <si>
    <t>TELÓN MANUAL DE 92" DIAGONAL. ALTO: 114CM, ANCHO: 203CM. COLOR BLANCO MATE.</t>
  </si>
  <si>
    <t>D85414</t>
  </si>
  <si>
    <t>TELÓN ELÉCTRICO LÍNEA CINEMA ELECTROL, 16:9, 106".</t>
  </si>
  <si>
    <t>D89758D</t>
  </si>
  <si>
    <t>TELÓN ELÉCTRICO LÍNEA CINEMA ELECTROL, CON CONTROL REMOTO. EN FORMATO 16:9, 106" EN DIAGONAL. ALTURA: 132CM ANCHO: 234CM. COLOR BLANCO MATE</t>
  </si>
  <si>
    <t>TELÓN MANUAL DE 119" DIAGONAL. ALTO: 147CM, ANCHO: 254CM. COLOR BLANCO MATE.</t>
  </si>
  <si>
    <t>D79041</t>
  </si>
  <si>
    <t>TELÓN MOTORIZADO CON CONTROL DE PARED, FORMATO 16:10. 164".</t>
  </si>
  <si>
    <t>D34468</t>
  </si>
  <si>
    <t>TELÓN MOTORIZADO CON CONTROL DE PARED, FORMATO 16:10. 164 DIAGONAL, ALTURA: 87", ANCHO 139".</t>
  </si>
  <si>
    <t>TELÓN MOTORIZADO TENSIONADO CON CONTROL DE PARED, FORMATO 16:9. 133"DIAGONAL.</t>
  </si>
  <si>
    <t>D88538LS</t>
  </si>
  <si>
    <t>TELÓN MOTORIZADO DE 164" EN FORMATO 16:9</t>
  </si>
  <si>
    <t>DATALINK</t>
  </si>
  <si>
    <t>MODEM ROUTER 3G</t>
  </si>
  <si>
    <t>DAYKO</t>
  </si>
  <si>
    <t>DAY</t>
  </si>
  <si>
    <t>TIMBRE INALÁMBRICO DE SOBRE PONER</t>
  </si>
  <si>
    <t>QH727</t>
  </si>
  <si>
    <t>DAYTON</t>
  </si>
  <si>
    <t>CAJA CON CONECTOR XLR PARA PISO.</t>
  </si>
  <si>
    <t>FB5XG</t>
  </si>
  <si>
    <t>DBX</t>
  </si>
  <si>
    <t>DBX640M</t>
  </si>
  <si>
    <t>PROCESADOR DE AUDIO PARA 4 ZONAS DE SALIDA, 4 ENTRADAS DESBALANCEADAS Y 2 ENTRADAS ANALOGAS.</t>
  </si>
  <si>
    <t>ZC_8</t>
  </si>
  <si>
    <t>TECLADO PARA SELECCIÓN DE FUENTE Y CONTROL DE VOLUMEN</t>
  </si>
  <si>
    <t>DEALMUX</t>
  </si>
  <si>
    <t>SENSOR DE LÍQUIDOS VERTICAL CON INTERRUPTOR</t>
  </si>
  <si>
    <t>A14121000</t>
  </si>
  <si>
    <t>https://www.amazon.com/DealMux-a14121000ux0092-Stainless-Breaking-Horizontal/dp/B071KKJ693/ref=sr_1_17?s=industrial&amp;ie=UTF8&amp;qid=1525769712&amp;sr=1-17&amp;keywords=stainless+steel+tank+water+level+sensor+float+switch#feature-bullets-btf</t>
  </si>
  <si>
    <t>DELL</t>
  </si>
  <si>
    <t>SERVIDOR EN TORRE CON PROCESADOR XEON DE 3.3GHz, 1 TERA DE DISCO DURO.</t>
  </si>
  <si>
    <t>EDGET30</t>
  </si>
  <si>
    <t>DELTA</t>
  </si>
  <si>
    <t>DEL</t>
  </si>
  <si>
    <t>LUMINARIA RECESADA DE SOPORTE CUADRADO</t>
  </si>
  <si>
    <t>REO_S_3033</t>
  </si>
  <si>
    <t>FUENTE DE PODER PARA LUMINARIA REO</t>
  </si>
  <si>
    <t>PS_REO</t>
  </si>
  <si>
    <t>LUMINARIA RECESADA OVALADA DESPLAZADA EN COLOR BLANCO</t>
  </si>
  <si>
    <t>DIRO_130_ASYM</t>
  </si>
  <si>
    <t>TRANSFORMADOR MAGNÉTICO OSRAM A 12V.</t>
  </si>
  <si>
    <t>TTRO</t>
  </si>
  <si>
    <t>LUMINARIA DE INCRUSTAR EN FORMATO AR111</t>
  </si>
  <si>
    <t>RODI_111_S1</t>
  </si>
  <si>
    <t>LUMINARIA DE GIRO PARA LUMINARIA GU10</t>
  </si>
  <si>
    <t>MINI_REO_OK</t>
  </si>
  <si>
    <t>LUMINARIA DE SOBREPONER CON CUERPO EN ALUMINIO.</t>
  </si>
  <si>
    <t>TIGA_LED_G</t>
  </si>
  <si>
    <t>LUMINARIA PARA EXTERIOR CON CUERPO EN ALUMINIO</t>
  </si>
  <si>
    <t>LOOK_OUT</t>
  </si>
  <si>
    <t>FUENTE DE PODER PARA LUMINARIA LOOK</t>
  </si>
  <si>
    <t>PS_LOOK</t>
  </si>
  <si>
    <t>LUMINARIA CON CUERPO EN ALUMINIO</t>
  </si>
  <si>
    <t>YUPI_X_LED</t>
  </si>
  <si>
    <t>FUENTE DE PODER PARA LUMINARIA YUPI</t>
  </si>
  <si>
    <t>PS_YUPI</t>
  </si>
  <si>
    <t>LUMINARIA DE EXTERIOR CON CUERPO EN ALUMINIO</t>
  </si>
  <si>
    <t>OBLIX_710</t>
  </si>
  <si>
    <t>AULA</t>
  </si>
  <si>
    <t>LUMINARIA DE INCRUSTAR SIN BORDE EN FORMATO GU10</t>
  </si>
  <si>
    <t>MINIGRID_IN_TRIMPLESS</t>
  </si>
  <si>
    <t>LUMINARIA DECORATIVA DESCOLGADA</t>
  </si>
  <si>
    <t>SUPER_OH_XS_C</t>
  </si>
  <si>
    <t>DENON</t>
  </si>
  <si>
    <t>PROCESADOR DE AUDIO Y VIDEO DE 70W CON CONECTIVIDAD BLUETOOTH.</t>
  </si>
  <si>
    <t xml:space="preserve">AVR_S530BT </t>
  </si>
  <si>
    <t>PROCESADOR DE AUDIO Y VIDEO DE 70W CON CONECTIVIDAD BLUETOOTH Y 5 ENTRADAS HDMI. MANEJO DE SEÑALES 4K.</t>
  </si>
  <si>
    <t>DEN</t>
  </si>
  <si>
    <t>SOB</t>
  </si>
  <si>
    <t>BARRA DE SONIDO CON SUBWOOFER INALÁMBRICO, POTENCIA DE 10 VATIO.</t>
  </si>
  <si>
    <t>DHT_S514</t>
  </si>
  <si>
    <t>BARRA DE SONIDO CON SUBWOOFER INALÁMBRICO, POTENCIA DE 10 VATIOS EN BARRA Y 50 VATIOS EN SUBWOOFER. ENTRADAS HDMI, ANÁLOGA Y ÓPTICA.</t>
  </si>
  <si>
    <t>BARRA DE SONIDO CON SUBWOOFER INALÁMBRICO, COMPATIBLE CON SISTEMA HEOS</t>
  </si>
  <si>
    <t>HEOS_HOME_CINEMA</t>
  </si>
  <si>
    <t>SOS</t>
  </si>
  <si>
    <t>AMPLIFICADOR INALÁMBRICO, EN GRAN FORMATO, CON ENTRADA USB.</t>
  </si>
  <si>
    <t>HEOS_7</t>
  </si>
  <si>
    <t>AMPLIFICADOR INALÁMBRICO, EN GRAN FORMATO, CON ENTRADA USB. COLOR NEGRO. MARCA: DENON.</t>
  </si>
  <si>
    <t>HEOS_7WT</t>
  </si>
  <si>
    <t>AMPLIFICADOR INALÁMBRICO, EN GRAN FORMATO, CON ENTRADA USB. COLOR BLANCO. MARCA: DENON.</t>
  </si>
  <si>
    <t>AMPLIFICADOR INALÁMBRICO, EN GRAN FORMATO MEDIANO, CON ENTRADA USB.</t>
  </si>
  <si>
    <t>HEOS_5</t>
  </si>
  <si>
    <t>AMPLIFICADOR INALÁMBRICO, EN GRAN FORMATO MEDIANO, CON ENTRADA USB. COLOR NEGRO. MARCA: DENON.</t>
  </si>
  <si>
    <t>HEOS_5WT</t>
  </si>
  <si>
    <t>AMPLIFICADOR INALÁMBRICO, EN GRAN FORMATO MEDIANO, CON ENTRADA USB. COLOR BLANCO. MARCA: DENON.</t>
  </si>
  <si>
    <t>AMPLIFICADOR INALÁMBRICO, EN FORMATO PEQUEÑO, CON ENTRADA USB.</t>
  </si>
  <si>
    <t>HEOS_3</t>
  </si>
  <si>
    <t>AMPLIFICADOR INALÁMBRICO, EN FORMATO PEQUEÑO, CON ENTRADA USB. COLOR NEGRO. MARCA: DENON.</t>
  </si>
  <si>
    <t>HEOS_3WT</t>
  </si>
  <si>
    <t>AMPLIFICADOR INALÁMBRICO, EN FORMATO PEQUEÑO, CON ENTRADA USB. COLOR BLANCO. MARCA: DENON.</t>
  </si>
  <si>
    <t>AMPLIFICADOR INALÁMBRICO, EN FORMATO COMPACTO, CON ENTRADA USB.</t>
  </si>
  <si>
    <t>HEOS1</t>
  </si>
  <si>
    <t>AMPLIFICADOR INALÁMBRICO, EN FORMATO COMPACTO, CON ENTRADA USB. COLOR NEGRO. MARCA: DENON.</t>
  </si>
  <si>
    <t>HEOS1WT</t>
  </si>
  <si>
    <t>AMPLIFICADOR INALÁMBRICO, EN FORMATO COMPACTO, CON ENTRADA USB. COLOR BLANCO. MARCA: DENON.</t>
  </si>
  <si>
    <t>BATERÍA PARA RESPALDO DE SISTEMA HEOS 1, DURACIÓN ESTIMADA DE 6 HORAS.</t>
  </si>
  <si>
    <t>HEOS1_GOPACK_BK</t>
  </si>
  <si>
    <t>BATERÍA PARA RESPALDO DE SISTEMA HEOS 1, DURACIÓN ESTIMADA DE 6 HORAS. COLOR NEGRO.</t>
  </si>
  <si>
    <t>HEOS1_GOPACK_WT</t>
  </si>
  <si>
    <t>BATERÍA PARA RESPALDO DE SISTEMA HEOS 1, DURACIÓN ESTIMADA DE 6 HORAS. COLOR BLANCO.</t>
  </si>
  <si>
    <t>AMPLIFICADOR DE 4 ZONAS CON 60 VATIOS POR CANAL, COMPATIBLE CON SISTEMAS HEOS.</t>
  </si>
  <si>
    <t>HEOS_DRIVE</t>
  </si>
  <si>
    <t>AMPLIFICADOR DE ZONA, CON SALIDA DE 100 VATIOS, COMPATIBLE CON SISTEMA HEOS.</t>
  </si>
  <si>
    <t>HEOS_AMP</t>
  </si>
  <si>
    <t>LINK DE CONEXIÓN PARA INTERCONEXIÓN DE EQUIPOS DEL SISTEMA HEOS DE DENON.</t>
  </si>
  <si>
    <t>HEOS_LINK</t>
  </si>
  <si>
    <t>LINK DE CONEXIÓN PARA EXTENSIÓN E INTERCONEXIÓN DE EQUIPOS HEOS DE DENON.</t>
  </si>
  <si>
    <t>HEOS_EXTEND</t>
  </si>
  <si>
    <t>LINK DE CONEXIÓN PARA EXTENSIÓN E INTERCONEXIÓN DE EQUIPOS DEL SISTEMA HEOS DE DENON.</t>
  </si>
  <si>
    <t>PROCESADOR DE AUDIO Y VIDEO CON BLUETOOTH.</t>
  </si>
  <si>
    <t>AVR_S510BT</t>
  </si>
  <si>
    <t>PROCESADOR DE AUDIO Y VIDEO DE 2 ZONAS, O 7.2 CHANNEL, MANEJO 4K.</t>
  </si>
  <si>
    <t>AVR_S720W</t>
  </si>
  <si>
    <t>PROCESADOR DE AUDIO Y VIDEO DE 2 ZONAS, O 7.2 CHANNEL, MANEJO 4K CON COMUNICACIÓN WI-FI Y BLUETOOTH. FORMATOS: Dolby Atmos, DTS:X, HDCP2.2, HDR, Audyssey MultEQ, 6/1 HDMI In/Out.</t>
  </si>
  <si>
    <t>PROCESADOR DE AUDIO Y VIDEO, SALIDA DE 70W, BLUETOOTH, 4K.</t>
  </si>
  <si>
    <t xml:space="preserve">PROCESADOR DE AUDIO Y VIDEO, SALIDA DE 70W, BLUETOOTH, 4K PASS THROUGH Y SPOTIFY. </t>
  </si>
  <si>
    <t>PROCESADOR DE AUDIO Y VIDEO DE DOS ZONAS, DOLBY ATMOS Y CONECTIVIDAD WIFI.</t>
  </si>
  <si>
    <t>PROCESADOR DE AUDIO Y VIDEO DE DOS ZONAS, DOLBY ATMOS Y CONECTIVIDAD WIFI. 75 VATIOS POR CANAL.</t>
  </si>
  <si>
    <t>PROCESADOR DE AUDIO Y VIDEO, CONECTIVIDAD RS-232.</t>
  </si>
  <si>
    <t>AVR_X2300W</t>
  </si>
  <si>
    <t>PROCESADOR DE AUDIO Y VIDEO, CONECTIVIDAD RS-232, CONECTIVIDAD INALÁMBRICA Y SALIDAS DE 95W. SALIDAS PARA 7.2.</t>
  </si>
  <si>
    <t>AMPLIFICADOR PORTÁTIL CON TRANSMISOR BLUETOOTH DE ALTA FIDELIDAD</t>
  </si>
  <si>
    <t>DSB_100</t>
  </si>
  <si>
    <t>PROCESADOR DE AUDIO Y VIDEO DE 70W PARA 5 ALTAVOCES HDMI 2.0, SEÑALES 4K.</t>
  </si>
  <si>
    <t>AVR_S530BT</t>
  </si>
  <si>
    <t>PROCESADOR DE AUDIO Y VIDEO DE 70W, 5 CANALES, BLUETOOTH. VIDEO 4K.</t>
  </si>
  <si>
    <t>AVR_S540BT</t>
  </si>
  <si>
    <t xml:space="preserve">AMPLIFICADOR HEOS DE 4 CANALES CON STREAMING </t>
  </si>
  <si>
    <t>SUPERLINK</t>
  </si>
  <si>
    <t>SUBWOOFER INALÁMBRICO COMPATIBLE CON AMPLIFICADORES HEOS</t>
  </si>
  <si>
    <t>HEOSSUB</t>
  </si>
  <si>
    <t>AVR_S650H</t>
  </si>
  <si>
    <t>PROCESADOR DE AUDIO Y VIDEO DE 5.2 CANALES, 4K, 140W POR CANAL, Bluetooth®. STREAMING DE MUSICA HEOS.</t>
  </si>
  <si>
    <t>RCD_N10</t>
  </si>
  <si>
    <t>AMPLIFICADOR DE 65Wx2 CANALES, STREAMING DE AUDIO, REPRODCTOR DE CD, RADIO AM/FM</t>
  </si>
  <si>
    <t>HEOS_AVR</t>
  </si>
  <si>
    <t>PROCESADOR DE AUDIO Y VIDEO 4K, CON MODULO HEOS.</t>
  </si>
  <si>
    <t>DSW_1H</t>
  </si>
  <si>
    <t>Rebranded HEOS Subwoofer: Dual 5-1/4" Long Excursion Woofers, Dual Class D Amplifiers (185w total), HEOS wireless multi-room technology, Horizontal or Vertical Placement, Direct Wireless Connection w/ DHT-S716H,  Optimized (automatic or user assigned) crossover frequency (via app)</t>
  </si>
  <si>
    <t>U6391028100S</t>
  </si>
  <si>
    <t>TARJETA DE VIDEO PARA PROCESADOR DE AUDIO Y VIDEO DENON X2000</t>
  </si>
  <si>
    <t>AVR_X1600H</t>
  </si>
  <si>
    <t>PROCESADOR DE AUDIO Y VIDEO DE 7 CANALES, CON SALIDA 4K Y POTENCIA DE 80W REALES POR CANAL.</t>
  </si>
  <si>
    <t>AVR_X2700H</t>
  </si>
  <si>
    <t>PROCESADOR DE AUDIO Y VIDEO CON CAPACIDAD 8K. POTENCIA DE 95W POR CANAL.</t>
  </si>
  <si>
    <t>AVR_S960H</t>
  </si>
  <si>
    <t>PROCESADOR DE AUDIO Y VIDEO 7.2 DE DOS ZONAS. RESOLUCION 8K.</t>
  </si>
  <si>
    <t>DEVIO</t>
  </si>
  <si>
    <t>DTM_1</t>
  </si>
  <si>
    <t>MICROFONO DEVIO OMNIDIRECCIONAL CON TRANSMISION DIGITAL.</t>
  </si>
  <si>
    <t>DEXON</t>
  </si>
  <si>
    <t>CANALETA 60X40MM BLANCA DEXON  X 2 MTS CON DIVISIÓN</t>
  </si>
  <si>
    <t>DXN10221</t>
  </si>
  <si>
    <t>ANGULO EXTERNO P/CANALETA  60X40 DEXON BLANCO</t>
  </si>
  <si>
    <t>DXN11101</t>
  </si>
  <si>
    <t>ANGULO INTERNO P/CANALETA  60X40 DEXON BLANCO</t>
  </si>
  <si>
    <t>DXN11102</t>
  </si>
  <si>
    <t>ANGULO PLANO P/CANALETA  60X40 DEXON BLANCO</t>
  </si>
  <si>
    <t>DXN11103</t>
  </si>
  <si>
    <t>TAPA FINAL PARA CANALETA 60X40 DEXON BLANCA</t>
  </si>
  <si>
    <t>DXN11105</t>
  </si>
  <si>
    <t>ORGANIZADOR 80X80</t>
  </si>
  <si>
    <t>RH80X80</t>
  </si>
  <si>
    <t>CANALETA GRIS DE PISO DE 60X13, CON ADHESIVO. TRAMO DE 2 METROS.</t>
  </si>
  <si>
    <t>C03_60_60_13CA</t>
  </si>
  <si>
    <t>ESQUINERO CURVA EXTERNA 100X45 BLANCO</t>
  </si>
  <si>
    <t>EE100</t>
  </si>
  <si>
    <t>ESQUINERO CURVA INTERNA 100X45 BLANCO</t>
  </si>
  <si>
    <t>EI100</t>
  </si>
  <si>
    <t>ESQUINERO CURVA PLANO 100X45 BLANCO</t>
  </si>
  <si>
    <t>EP100</t>
  </si>
  <si>
    <t xml:space="preserve">TAPA FINAL PARA CANALETA </t>
  </si>
  <si>
    <t>TF100</t>
  </si>
  <si>
    <t>METRO DE CINTA DOBLE FAZ DE MEDIA PULGADA</t>
  </si>
  <si>
    <t>CD0.5</t>
  </si>
  <si>
    <t>TERMINAL PARA CORAZA DE 3/4</t>
  </si>
  <si>
    <t>TER_CO_0.75</t>
  </si>
  <si>
    <t>ESP12</t>
  </si>
  <si>
    <t>METRO DE ESPIRAL 1/2"</t>
  </si>
  <si>
    <t>DEXSON</t>
  </si>
  <si>
    <t>BASE ADHESIVA, CAJA POR 100 UNIDADES PARA SUJECIÓN DE AMARRES.</t>
  </si>
  <si>
    <t>DABASADHSESI</t>
  </si>
  <si>
    <t>BOLSA DE AMARRES POR 100 UNIDADES DE 10 CM, COLOR BLANCO.</t>
  </si>
  <si>
    <t>AMATIDEX</t>
  </si>
  <si>
    <t>ORGANIZADOR VERTICAL 100X100 DE 2.04M</t>
  </si>
  <si>
    <t>V204S</t>
  </si>
  <si>
    <t>CANALETA DE 60X40, 2 METROS LINEALES CON DIVISIÓN.</t>
  </si>
  <si>
    <t>ANGULO EXTERNO PARA CANALETA 60X40.</t>
  </si>
  <si>
    <t>ANGULO PLANO PARA CANALETA 60X40.</t>
  </si>
  <si>
    <t>TAPA FINAL PARA CANALETA 60X40.</t>
  </si>
  <si>
    <t>ANGULO INTERNO DE CANALETA 60X40</t>
  </si>
  <si>
    <t>CAJA PLÁSTICA PARA INSTALACIÓN EN CANALETA</t>
  </si>
  <si>
    <t>NOVA6040</t>
  </si>
  <si>
    <t>DIGITAL</t>
  </si>
  <si>
    <t>CABLE DIGITAL RCA DE 5.5 METROS</t>
  </si>
  <si>
    <t>RCA2X5.5_D</t>
  </si>
  <si>
    <t>CABLE RCA DE 10 METROS</t>
  </si>
  <si>
    <t>RCA2X10</t>
  </si>
  <si>
    <t>CABLE ESTÉREO DE 10 METROS BLINDADO</t>
  </si>
  <si>
    <t>ESTEREOX10</t>
  </si>
  <si>
    <t>CABLE ESTÉREO DIGITAL 3.5 MM X 10 METROS.</t>
  </si>
  <si>
    <t>S3.5X10M</t>
  </si>
  <si>
    <t>CABLE ESTÉREO DIGITAL DE ALTA PUREZA RCA, LARGO 1.8 METROS.</t>
  </si>
  <si>
    <t>RCA2X1.8_D</t>
  </si>
  <si>
    <t>CABLE ESTÉREO DIGITAL DE 10 METROS</t>
  </si>
  <si>
    <t>ESTEREOX10_D</t>
  </si>
  <si>
    <t>CABLE ESTÉREO DIGITAL DE ALTA PUREZA 3.5mm, LARGO 3.6 METROS.</t>
  </si>
  <si>
    <t>AUDIOX3.6_D</t>
  </si>
  <si>
    <t>CABLE ESTÉREO DIGITAL DE ALTA PUREZA 3.5mm, LARGO 0.6 METROS.</t>
  </si>
  <si>
    <t>AUDIOX0.6_D</t>
  </si>
  <si>
    <t>CODO ANGULAR HDMI</t>
  </si>
  <si>
    <t>CODOHDMI</t>
  </si>
  <si>
    <t>CABLE CONVERSOR DE 3.5mm A 1/4 PARA AUDIO, 1.8 METROS DE LARGO</t>
  </si>
  <si>
    <t>CA3.5A1.4X1.8</t>
  </si>
  <si>
    <t>CABLE DE AUDIO 3.5 DIGITAL DE ALTA PUREZA</t>
  </si>
  <si>
    <t>AUDIO3.5_10D</t>
  </si>
  <si>
    <t>OPT3</t>
  </si>
  <si>
    <t>CABLE OPTICO DIGITAL DE 3 METROS</t>
  </si>
  <si>
    <t>DIGOO</t>
  </si>
  <si>
    <t>SISTEMA DE ALARMA INALÁMBRICA CON SENSOR DE PRESENCIA.</t>
  </si>
  <si>
    <t>DIGOO2G</t>
  </si>
  <si>
    <t>SISTEMA DE ALARMA INALÁMBRICA CON SENSOR DE PRESENCIA, DE APERTURA Y REPORTE WIFI DE ESTADOS EN APP. INCLUYE 3 SENSORES PIR, 3 MAGNÉTICOS, Y DOS CONTROLES REMOTO.</t>
  </si>
  <si>
    <t>CÁMARA INALÁMBRICA CON MEMORIA SD, 720 P. PARA INTEMPERIE IP66</t>
  </si>
  <si>
    <t>DG_W02F</t>
  </si>
  <si>
    <t>SENSOR DE MOVIMIENTO ANTI MASCOTA CON 110 GRADOS DE DETECCIÓN.</t>
  </si>
  <si>
    <t>DIGOOPIR</t>
  </si>
  <si>
    <t>SENSOR DE MOVIMIENTO ANTI MASCOTA CON 110 GRADOS DE DETECCIÓN, PARA MONTAJE EN PARED. PILAS AAA.</t>
  </si>
  <si>
    <t>SIRENA DE ALARMA DE 110 Db</t>
  </si>
  <si>
    <t>DG_HOSA</t>
  </si>
  <si>
    <t>DISNEY</t>
  </si>
  <si>
    <t>CONTROL PARENTAL DE INTERNET DESDE APP</t>
  </si>
  <si>
    <t>CIRCLE</t>
  </si>
  <si>
    <t>DSC</t>
  </si>
  <si>
    <t>ACS</t>
  </si>
  <si>
    <t>SIRENA TIPO CORNETA DE 30 VATIOS</t>
  </si>
  <si>
    <t>SD30W</t>
  </si>
  <si>
    <t>MODULO DE COMUNICACIÓN 3G, PARA INTEGRACIÓN CON SISTEMA ALARM.COM.</t>
  </si>
  <si>
    <t>3G8055ITF</t>
  </si>
  <si>
    <t>MODULO DE COMUNICACIÓN 3G, PARA INTEGRACIÓN CON SISTEMA ALARM.COM REQUIERE PAGO DE MENSUALIDAD.</t>
  </si>
  <si>
    <t>SIRENA INTERIOR INALÁMBRICA DE DOS VÍAS, VOLUMEN DE SALIDA DE 85db.</t>
  </si>
  <si>
    <t>WT4901</t>
  </si>
  <si>
    <t>TECLADO TOUCH DE 7 PULGADAS CON: SD CARD PARA DESPLIEGUE DE FOTOS.</t>
  </si>
  <si>
    <t>PTK5507W</t>
  </si>
  <si>
    <t>TECLADO TOUCH DE 7 PULGADAS CON: 
SD CARD PARA DESPLIEGUE DE FOTOS
LENGUAJE INGLES</t>
  </si>
  <si>
    <t>KIT</t>
  </si>
  <si>
    <t>KIT DE ALARMA CON DSC 1832,CON TECLADO, TRANSFORMADOR Y BATERÍA.</t>
  </si>
  <si>
    <t>KIT32_51CP01NT</t>
  </si>
  <si>
    <t>KIT DE ALARMA CON DSC 1832, EL GABINETE INCLUYE: 
1 - DSC PK5500 (TECLADO PROGRAMABLE ALFA NUMÉRICO)
1 - 16.5 / 40VS (TRANSFORMADOR DE ALIMENTACIÓN)
1 - 12V, 7 AMPERIOS (BATERÍA DE RESPALDO)</t>
  </si>
  <si>
    <t>KIT DE ALARMA DSC, INCLUYE PANEL CONTROL, UN SENSOR INALÁMBRICO DE MOVIMIENTO.</t>
  </si>
  <si>
    <t>KIT455_SPA</t>
  </si>
  <si>
    <t>KIT DE ALARMA DSC, INCLUYE PANEL DE CONTROL, UN SENSOR INALÁMBRICO DE MOVIMIENTO, UN SENSOR MAGNÉTICO Y UN CONTROL TIPO LLAVERO.</t>
  </si>
  <si>
    <t>MODULO PARA INTEGRACIÓN DE SENSORES INALÁMBRICOS.</t>
  </si>
  <si>
    <t>RF5132_433</t>
  </si>
  <si>
    <t>SEN</t>
  </si>
  <si>
    <t>SENSOR ALÁMBRICO INMUNE A MASCOTAS HASTA DE 25Kg, ALCANCE DE 15 METROS RADIALES.</t>
  </si>
  <si>
    <t>LC_100_PI</t>
  </si>
  <si>
    <t>SENSOR INALÁMBRICO MAGNÉTICO TIPO TABACO, PARA INSTALACIÓN DISCRETA EN TECHO.</t>
  </si>
  <si>
    <t>EV_DW4917</t>
  </si>
  <si>
    <t>SENSOR MAGNÉTICO INALÁMBRICO ULTRA DELGADO PARA PUERTAS Y VENTANAS.</t>
  </si>
  <si>
    <t>EV_DW4975</t>
  </si>
  <si>
    <t>SENSOR MAGNÉTICO INALÁMBRICO PARA PUERTAS Y VENTANAS.</t>
  </si>
  <si>
    <t>WS4945</t>
  </si>
  <si>
    <t>SENSOR INALÁMBRICO DE HUMO O FUEGO, ACTIVACIÓN A TEMPERATURAS SUPERIORES A 57.</t>
  </si>
  <si>
    <t>WS4916</t>
  </si>
  <si>
    <t>SENSOR INALÁMBRICO DE HUMO O FUEGO, ACTIVACIÓN A TEMPERATURAS SUPERIORES A 57 GRADOS CELSIUS.</t>
  </si>
  <si>
    <t xml:space="preserve">SENSOR INALÁMBRICO DE MONÓXIDO DE CARBONO. </t>
  </si>
  <si>
    <t>WS4913</t>
  </si>
  <si>
    <t>SOPORTE DE TECHO PARA SENSOR DE PRESENCIA DSC</t>
  </si>
  <si>
    <t>DSC_CEALING</t>
  </si>
  <si>
    <t>SOPORTE DE PARED PARA SENSOR DE PRESENCIA DSC</t>
  </si>
  <si>
    <t>DSC_WALL</t>
  </si>
  <si>
    <t>SENSOR ANTI MASCOTA (27 KG), INFRA ROJO.</t>
  </si>
  <si>
    <t>WS4904P</t>
  </si>
  <si>
    <t>TARJETA DE INTEGRACIÓN IP PARA ALARMA DSC.</t>
  </si>
  <si>
    <t>TL150</t>
  </si>
  <si>
    <t>DURACEL</t>
  </si>
  <si>
    <t>DUR</t>
  </si>
  <si>
    <t>PILAS DOBLE A.</t>
  </si>
  <si>
    <t>AA</t>
  </si>
  <si>
    <t>DYMO</t>
  </si>
  <si>
    <t>MARCACIÓN CON CINTA PVC</t>
  </si>
  <si>
    <t>MARK</t>
  </si>
  <si>
    <t>EATON</t>
  </si>
  <si>
    <t>LAM</t>
  </si>
  <si>
    <t>LUMINARIA LED DE INCRUSTAR DE 71 VATIOS, ALTA EFICIENCIA.</t>
  </si>
  <si>
    <t>SKYRIDGE_71</t>
  </si>
  <si>
    <t>LUMINARIA LED DE INCRUSTAR DE 71 VATIOS, ALTA EFICIENCIA, DISPONIBLE EN 3000K, 3500K, 4000K Y 5000K. DRIVER DE ATENUACIÓN 0-10V. GARANTÍA DE 4 AÑOS.</t>
  </si>
  <si>
    <t>ECOLED</t>
  </si>
  <si>
    <t>LUMINARIA TIPO LOOP, CON LED OSRAM Y CHASIS NACIONAL.</t>
  </si>
  <si>
    <t>LOOP3D</t>
  </si>
  <si>
    <t>LUMINARIA TIPO LOOP, CON LED OSRAM Y CHASIS NACIONAL. 2200 LUMENS, CONTROL ON/OFF MULTIVOLTAJE.</t>
  </si>
  <si>
    <t>ECOLITE</t>
  </si>
  <si>
    <t>BALA RECESADA EN POLICARBONATO INYECTADO. PARA USO INTERIOR.</t>
  </si>
  <si>
    <t>DLGU10A</t>
  </si>
  <si>
    <t xml:space="preserve">BALA RECESADA EN POLICARBONATO INYECTADO. PARA USO INTERIOR, FORMATO GU10, BOMBILLA RECOMENDADA DE HASTA 7W. </t>
  </si>
  <si>
    <t>KITDGL3000K</t>
  </si>
  <si>
    <t>BALA RECESADA EN POLICARBONATO INYECTADO. PARA USO INTERIOR, FORMATO GU10, BOMBILLA GU10 DIMERIZABLE P27669-19 DE 7W, 490Lm. 3000K. INCLUYE SOCKET GU10.</t>
  </si>
  <si>
    <t>KITDGL4000K</t>
  </si>
  <si>
    <t>BALA RECESADA EN POLICARBONATO INYECTADO. PARA USO INTERIOR, FORMATO GU10, BOMBILLA GU10 DIMERIZABLE  DE 7W, 490Lm. 4000K. INCLUYE SOCKET GU10.</t>
  </si>
  <si>
    <t>PANEL DE SOBREPONER MULTIVOLTAJE 4000K, 12W. 25.000 HORAS DE VIDA ESPERADA.</t>
  </si>
  <si>
    <t>ECO168SPV12</t>
  </si>
  <si>
    <t>PANEL DE SOBREPONER MULTIVOLTAJE 4000K, 12W. 25.000 HORAS DE VIDA ESPERADA. 900 Lm.</t>
  </si>
  <si>
    <t>PANEL DE SOBREPONER MULTIVOLTAJE 6500K, 18W. 30.000 HORAS DE VIDA ESPERADA.</t>
  </si>
  <si>
    <t>ECO225SPV18</t>
  </si>
  <si>
    <t>PANEL DE SOBREPONER MULTIVOLTAJE 6500K, 18W. 30.000 HORAS DE VIDA ESPERADA. 1440 Lm.</t>
  </si>
  <si>
    <t>AP2X3WA</t>
  </si>
  <si>
    <t>APLIQUE MULTIVOLTAJE DE 6W, 3000K, 540LM.</t>
  </si>
  <si>
    <t>DLGU10B</t>
  </si>
  <si>
    <t>BALA INYECTADA EN PVC DIRECCIONABLE PARA BOMBILLA GU10 MR16</t>
  </si>
  <si>
    <t>ECOPL18W</t>
  </si>
  <si>
    <t>LUMINARIA ED SUMERGIBLE RGB DE 18W</t>
  </si>
  <si>
    <t>DLGU10C</t>
  </si>
  <si>
    <t>LUMINARIA DE SOBREPONER PARA BOMBILLA GU10</t>
  </si>
  <si>
    <t>ECOLITE-OSRAM</t>
  </si>
  <si>
    <t>M_K1000LM</t>
  </si>
  <si>
    <t>KIT DE ILUMINACION CON PASTILLA OSRAM Y CASE ECOLITE. HOMOLOGACION LAMAPRA MOON 12W, DRIVER 0-10, 1000LM. 3000K.</t>
  </si>
  <si>
    <t>M_K1100LM</t>
  </si>
  <si>
    <t>KIT DE ILUMINACION CON PASTILLA OSRAM Y CASE ECOLITE. HOMOLOGACION LAMAPRA MOON 14W, DRIVER 0-10, 1100LM. 3000K.</t>
  </si>
  <si>
    <t>M_K1400LM</t>
  </si>
  <si>
    <t>KIT DE ILUMINACION CON PASTILLA OSRAM Y CASE ECOLITE. HOMOLOGACION LAMAPRA MOON 17W, DRIVER 0-10, 1400LM. 3000K.</t>
  </si>
  <si>
    <t>ECOLUZ</t>
  </si>
  <si>
    <t>LUMINARIA CIRCULAR LED CON FLUJO LUMÍNICO DE 3000 LUMENS.</t>
  </si>
  <si>
    <t>ECO23</t>
  </si>
  <si>
    <t>LUMINARIA CIRCULAR LED CON FLUJO LUMÍNICO DE HASTA 3000 LUMENS, TEMPERATURA DE COLOR 3000k , CRI &gt; 90, ATENUACIÓN 0-10. POTENCIA MAX. 35W. MARCA: ECOLUZ, DRIVER OSRAM. MARCO BLANCO, ÓPTICA ALUMINIZADA.</t>
  </si>
  <si>
    <t>LUMINARIA DE DESCOLGAR, PARA TUBO T5. TERMINADO EN ALUMINIO Y DIFUSOR.</t>
  </si>
  <si>
    <t>ECO08</t>
  </si>
  <si>
    <t>LUMINARIA DE DESCOLGAR, PARA TUBO T5. TERMINADO EN ALUMINIO Y DIFUSOR EN POLICARBONATO.</t>
  </si>
  <si>
    <t>LUMINARIA DE DESCOLGAR PARA LUMINARIA TIPO LED ATENUABLE.</t>
  </si>
  <si>
    <t>ECO09</t>
  </si>
  <si>
    <t>LUMINARIA DE 4400 LUMENS LED ATENUABLE O-10. DE SOBREPONER O DESCOLGAR.</t>
  </si>
  <si>
    <t>ECO_08_010</t>
  </si>
  <si>
    <t>REFLECTOR DE 18W, CON APERTURA DE 36 GRADOS. DIMERIZABLE. CHIP LUMILED.</t>
  </si>
  <si>
    <t>ECO_SPOT_1836</t>
  </si>
  <si>
    <t>REFLECTOR DE 18W, CON APERTURA DE 36 GRADOS. DIMERIZABLE. CHIP LUMILED CON GARANTÍA DE 3 ANOS.</t>
  </si>
  <si>
    <t>REFLECTOR DE 18W, CON APERTURA DE 10 GRADOS. DIMERIZABLE. CHIP LUMILED.</t>
  </si>
  <si>
    <t>ECO_SPORT_1810</t>
  </si>
  <si>
    <t>REFLECTOR DE 18W, CON APERTURA DE 10 GRADOS. DIMERIZABLE. CHIP LUMILED CON GARANTÍA DE 3 ANOS.</t>
  </si>
  <si>
    <t>LUMINARIA LINEAL LED DE 4100K, 1.12M DE LARGO. PARA CONFIGURACIÓN EN TÁNDEM.</t>
  </si>
  <si>
    <t>ECO21X1</t>
  </si>
  <si>
    <t>LUMINARIA LINEAL LED DE 4100K, 1.12M DE LARGO. PARA CONFIGURACIÓN EN TÁNDEM. 4400 LUMENS ATENUABLE O-10. DE SOBREPONER O DESCOLGAR.</t>
  </si>
  <si>
    <t>LUMINARIA LINEAL LED DE 4100K, 2.24M DE LARGO PARA CONFIGURACIÓN EN TÁNDEM.</t>
  </si>
  <si>
    <t>ECO21X2</t>
  </si>
  <si>
    <t>LUMINARIA LINEAL LED DE 4100K, 2.24M DE LARGO PARA CONFIGURACIÓN EN TÁNDEM. 4400 LUMENS ATENUABLE O-10. DE SOBREPONER O DESCOLGAR.</t>
  </si>
  <si>
    <t>LUMINARIA LINEAL LED DE 4100K, 3.36M DE LARGO PARA CONFIGURACIÓN EN TÁNDEM.</t>
  </si>
  <si>
    <t>ECO21X3</t>
  </si>
  <si>
    <t>LUMINARIA LINEAL LED DE 4100K, 3.36M DE LARGO PARA CONFIGURACIÓN EN TÁNDEM. 4400 LUMENS ATENUABLE O-10. DE SOBREPONER O DESCOLGAR.</t>
  </si>
  <si>
    <t>LUMINARIA LINEAL LED DE 4100K, 4.48M DE LARGO. PARA CONFIGURACIÓN EN TANDEM.</t>
  </si>
  <si>
    <t>ECO21X4</t>
  </si>
  <si>
    <t>LUMINARIA LINEAL LED DE 4100K, 4.48M DE LARGO. PARA CONFIGURACIÓN EN TANDEM.4400 LUMENS ATENUABLE O-10. DE SOBREPONER O DESCOLGAR.</t>
  </si>
  <si>
    <t>LUMINARIA LED DE 28-33W, CON APERTURAS DE 10, 25 O 70 GRADOS.</t>
  </si>
  <si>
    <t>ECO28</t>
  </si>
  <si>
    <t>LUMINARIA LED DE 28-33W, CON APERTURAS DE 10, 25 O 70 GRADOS. CHASIS DE ALUMINIO Y ARO DE ACERO</t>
  </si>
  <si>
    <t>SOPORTE E27 PARA LUMINARIA Y BASE DE TECHO</t>
  </si>
  <si>
    <t>SVINTAGE</t>
  </si>
  <si>
    <t>LUMINARIA CHIP ON BOARD DE ALTA EFICIENCIA, INCLUYE DRIVER PROGRAMADO POR CORRIENTE. SALIDA DE 3000 LUMENS.</t>
  </si>
  <si>
    <t>ECOPEN</t>
  </si>
  <si>
    <t>LUMINARIA CHIP ON BOARD DE ALTA EFICIENCIA, INCLUYE DRIVER PROGRAMADO POR CORRIENTE. SALIDA DE 3000 LUMENS, NO ATENUABLE, 15 GRADOS DE APERTURA. TEMPERATURA DE COLOR 3000K</t>
  </si>
  <si>
    <t>LUMINARIA EN ALUMINIO PARA BOMBILLA GU 10 CUADRADA</t>
  </si>
  <si>
    <t>ECOCUBE</t>
  </si>
  <si>
    <t>LUMINARIA LINEAL LED DE 4100K, 1.7M DE LARGO. PARA CONFIGURACIÓN EN TÁNDEM.</t>
  </si>
  <si>
    <t>ECO21X17</t>
  </si>
  <si>
    <t>LUMINARIA LINEAL LED DE 4100K, 1.7M DE LARGO. PARA CONFIGURACIÓN EN TÁNDEM. 4400 LUMENS ATENUABLE O-10. DE SOBREPONER O DESCOLGAR.</t>
  </si>
  <si>
    <t>LUMINARIA LINEAL LED DE 4100K, 2.82M DE LARGO PARA CONFIGURACIÓN EN TÁNDEM.</t>
  </si>
  <si>
    <t>ECO21X28</t>
  </si>
  <si>
    <t>LUMINARIA LINEAL LED DE 4100K, 2.82M DE LARGO PARA CONFIGURACIÓN EN TÁNDEM. 4400 LUMENS ATENUABLE O-10. DE SOBREPONER O DESCOLGAR.</t>
  </si>
  <si>
    <t>LUMINARIA LINEAL LED DE 4100K, 1.3M DE LARGO PARA CONFIGURACIÓN EN TÁNDEM.</t>
  </si>
  <si>
    <t>ECO21X13</t>
  </si>
  <si>
    <t>LUMINARIA LINEAL LED DE 4100K, 1.3M DE LARGO PARA CONFIGURACIÓN EN TÁNDEM. 4400 LUMENS ATENUABLE O-10. DE SOBREPONER O DESCOLGAR.</t>
  </si>
  <si>
    <t>LUMINARIA LINEAL LED DE 4100K, 5.6M DE LARGO. PARA CONFIGURACIÓN EN TÁNDEM.</t>
  </si>
  <si>
    <t>ECO21X5</t>
  </si>
  <si>
    <t>LUMINARIA LINEAL LED DE 4100K, 5.6M DE LARGO. PARA CONFIGURACIÓN EN TÁNDEM. 4400 LUMENS ATENUABLE O-10. DE SOBREPONER O DESCOLGAR.</t>
  </si>
  <si>
    <t>REPOTENCIACIÓN DE LUMINARIA CON DRIVER OSRAM A 40 VATIOS.</t>
  </si>
  <si>
    <t>REP_KD</t>
  </si>
  <si>
    <t>REPOTENCIACIÓN DE LUMINARIA CON DRIVER OSRAM A 40 VATIOS, ÓPTICA Y CHIP PARA 4000 LUMENS</t>
  </si>
  <si>
    <t>ECO21X1_DAL</t>
  </si>
  <si>
    <t>LUMINARIA LINEAL LED DE 4100K, 1.12M DE LARGO. PARA CONFIGURACIÓN EN TÁNDEM. 4400 LUMENS ATENUABLE O-10/ECOSYSTEM. DE SOBREPONER O DESCOLGAR.</t>
  </si>
  <si>
    <t>LUMINARIA A MEDIDA DE DOS PIEZAS CONSTITUIDA POR ECO21 1.29 Y ECO 21 2.79</t>
  </si>
  <si>
    <t>ECO21_TELE2301</t>
  </si>
  <si>
    <t>ECO25X2.24</t>
  </si>
  <si>
    <t xml:space="preserve">LUMINARIA LINEAL DE SOPREPONER DE 2.24M, 3000LM x METRO. </t>
  </si>
  <si>
    <t>ECO25X1.68</t>
  </si>
  <si>
    <t xml:space="preserve">LUMINARIA LINEAL DE SOPREPONER DE 1.68M, 3000LM x METRO. </t>
  </si>
  <si>
    <t>ECO25X1.12</t>
  </si>
  <si>
    <t xml:space="preserve">LUMINARIA LINEAL DE SOPREPONER DE 1.12M, 3000LM x METRO. </t>
  </si>
  <si>
    <t>ECO25X3.92</t>
  </si>
  <si>
    <t xml:space="preserve">LUMINARIA LINEAL DE INCRUSTAR DE 3.92M, 3000LM x METRO. </t>
  </si>
  <si>
    <t>ECO_R_60</t>
  </si>
  <si>
    <t>LUMINARIA A MEDIDA 3000K, 10x12W</t>
  </si>
  <si>
    <t>ECO_R_90</t>
  </si>
  <si>
    <t>LUMINARIA A MEDIDA 3000K, 22x12W</t>
  </si>
  <si>
    <t>ECO21X4.48</t>
  </si>
  <si>
    <t>LUMINARIA 8X25W, 3000K DE 4.48M DE LARGO.</t>
  </si>
  <si>
    <t>ECO21X5.6</t>
  </si>
  <si>
    <t>LUMINARIA 10X25W, 3000K DE 5.6M DE LARGO.</t>
  </si>
  <si>
    <t>ECO21X6.72</t>
  </si>
  <si>
    <t>LUMINARIA 10X25W, 3000K DE 6.72M DE LARGO.</t>
  </si>
  <si>
    <t>ECO23X2.52</t>
  </si>
  <si>
    <t>LUMINARIA 4X25W, 3000K DE 2.52M DE LARGO.</t>
  </si>
  <si>
    <t>ECO23X2.8</t>
  </si>
  <si>
    <t>ECO23X3.92</t>
  </si>
  <si>
    <t>LUMINARIA 4X25W, 3000K DE 3.92M DE LARGO.</t>
  </si>
  <si>
    <t>ECO_1270L</t>
  </si>
  <si>
    <t>LED CARDAN DE ALTA EFICIENCIA, 3000K. 2700 LUMENS. 20W. CRI&gt;90.</t>
  </si>
  <si>
    <t>ECO_43</t>
  </si>
  <si>
    <t>LUMINARIA DESCOLGADA DE 20W, FLUJO LUMINICO DE 3600Lm. PINTURA ELECTROESTATICA EN DUPPONT.</t>
  </si>
  <si>
    <t>ECO_R120</t>
  </si>
  <si>
    <t>LUMINARIA GRAN LUNA DE 120CM DE DIAMETRO, FUENTE DE LUZ 3000K, CRI&gt;80, DRIVER OSRAM, FLUJO LUMINICO DE 3000 LUMENS.</t>
  </si>
  <si>
    <t>EGLO</t>
  </si>
  <si>
    <t>APLIQUE RIGA EGLO PARA BOMBILLA GU10</t>
  </si>
  <si>
    <t>RIGA2</t>
  </si>
  <si>
    <t>ELECTRIC</t>
  </si>
  <si>
    <t>CAJA ELÉCTRICA DE PASO HERMÉTICA</t>
  </si>
  <si>
    <t>RDEXP</t>
  </si>
  <si>
    <t>ELECTRIC LINE</t>
  </si>
  <si>
    <t>SOPORTE FIJO PATA TV LED</t>
  </si>
  <si>
    <t>STV70</t>
  </si>
  <si>
    <t>ELECTRICDUT</t>
  </si>
  <si>
    <t>MULTITOMA DE ESCONDER CON 4 CONECTORES 110VAC Y DOS CONECTORES USB.</t>
  </si>
  <si>
    <t>PULL4X2</t>
  </si>
  <si>
    <t>https://www.amazon.com/Desktop-Pull-Up-PowerTap-Grommet-Protector/dp/B00O19WMUC/ref=sr_1_14?s=electronics&amp;ie=UTF8&amp;qid=1522215274&amp;sr=1-14&amp;keywords=grommet</t>
  </si>
  <si>
    <t>ELECTRO_VOICE</t>
  </si>
  <si>
    <t>ELE</t>
  </si>
  <si>
    <t>CPS4.10 AMPLIFICADOR DE CUATRO CANALES.</t>
  </si>
  <si>
    <t>CPS4_10</t>
  </si>
  <si>
    <t>CPS4.10 4-Channel Power Amplifier, 4 x 1000W into 2, or 4 Ohms, or 70V/100V Direct Drive, 2U, ready for RCM-810 IRIS-Net Remote Control Module, In/Outputs Phoenix Type, 120V</t>
  </si>
  <si>
    <t>CPS8.5 AMPLIFICADOR DE 8 CANALES.</t>
  </si>
  <si>
    <t>CPS8_5</t>
  </si>
  <si>
    <t>CPS8.5 8-Channel Power Amplifier, 8 x 500W into 2, or 4 Ohms, or 70V/100V Direct Drive, 2U, ready for RCM-810 IRIS-Net Remote Control Module, In/Outputs Phoenix Type, 120V</t>
  </si>
  <si>
    <t>MIC</t>
  </si>
  <si>
    <t>MICROFONO CUELLO DE GANZO.</t>
  </si>
  <si>
    <t>PC_DESKTOP_18</t>
  </si>
  <si>
    <t>Freestanding gooseneck multi-pattern condenser mic. Mic on/off switch, mic status LED. 18-inch gooseneck</t>
  </si>
  <si>
    <t xml:space="preserve">MEZCLADOR DE 6 CANALES XLR Y 2 ENTRADAS AUXILIARES, SALIDA PRE AMPLIFICADA. </t>
  </si>
  <si>
    <t>MA_606</t>
  </si>
  <si>
    <t>PC_DESKTOP_5</t>
  </si>
  <si>
    <t>Freestanding gooseneck multi-pattern condenser mic. Mic on/off switch, mic status LED. 5-inch gooseneck</t>
  </si>
  <si>
    <t>PARLANTE DE 8".</t>
  </si>
  <si>
    <t>EVID_C8.2</t>
  </si>
  <si>
    <t>8" Coaxial speaker with horn loaded Ti coated tweeter - complete with back can enclosure, tile rails, and mounting ring - for 70v/100v or 8-ohm operation. Taps at 30, 15, 7.5, 3.75, and 1.88 watts</t>
  </si>
  <si>
    <t>SISTEMA DE MICROFONÍA INALÁMBRICO DE MANO CON RECEPTOR. MARCA: ELECTRO VOICE.</t>
  </si>
  <si>
    <t>R300_HD-A</t>
  </si>
  <si>
    <t>N/DYM® dynamic cardioid vocal microphone</t>
  </si>
  <si>
    <t>D267A</t>
  </si>
  <si>
    <t>N/DYM® dynamic supercardioid instrument microphone</t>
  </si>
  <si>
    <t>D478</t>
  </si>
  <si>
    <t>amp</t>
  </si>
  <si>
    <t xml:space="preserve">Q66-II Power Amplifier, 2x 600W @ 4 Ohms, 2U, 120V </t>
  </si>
  <si>
    <t>Q66_II</t>
  </si>
  <si>
    <t>ELECTROEXPERTS</t>
  </si>
  <si>
    <t>METRO DE CABLE PARA DETECCIÓN DE ALARMA DE INCENDIO 2X16, ROLLO POR 1000 PIES.</t>
  </si>
  <si>
    <t>EE162</t>
  </si>
  <si>
    <t>METRO DE CABLE PARA DETECCIÓN DE ALARMA DE INCENDIO 2X16.</t>
  </si>
  <si>
    <t>ELF</t>
  </si>
  <si>
    <t>EL_SL_009</t>
  </si>
  <si>
    <t>CINTA LED RGB CON APP BLUETOOTH. LASGO DE 32 PIES.</t>
  </si>
  <si>
    <t>https://www.amazon.com/-/es/Elfeland-32-8-sincronizaci%C3%B3n-controlador-aplicaci%C3%B3n/dp/B07PDBLRVF/ref=sr_1_19?__mk_es_US=%C3%85M%C3%85%C5%BD%C3%95%C3%91&amp;dchild=1&amp;keywords=strip+led+rgb+ip65&amp;qid=1623974041&amp;refinements=p_n_feature_thirty-three_browse-bin%3A19366679011%2Cp_72%3A1248909011&amp;refresh=1&amp;rnid=1248907011&amp;s=lamps-light&amp;sr=1-19</t>
  </si>
  <si>
    <t>ELGATO</t>
  </si>
  <si>
    <t>HD60S</t>
  </si>
  <si>
    <t>UNIDAD EXTERNA DE CAPTURA DE VIDEO EN 1080P</t>
  </si>
  <si>
    <t>ELICENT</t>
  </si>
  <si>
    <t>EXTRACTOR DE 4" LÍNEA ELEGANCE</t>
  </si>
  <si>
    <t>E99EE4EL</t>
  </si>
  <si>
    <t>EXTRACTOR DE 4" LÍNEA STYLE PRO</t>
  </si>
  <si>
    <t>E99EE4ES</t>
  </si>
  <si>
    <t>EXTRACTOR DE 4" MINI STYLE</t>
  </si>
  <si>
    <t>E99EE4M</t>
  </si>
  <si>
    <t>ELITE</t>
  </si>
  <si>
    <t>TELÓN ELÉCTRICO TENSIONADO FORMATO 16:9 DE 125"</t>
  </si>
  <si>
    <t>ELECTRIC125HT</t>
  </si>
  <si>
    <t>PANTALLA DE PROYECCIÓN FIXED FRAME DE 135" EN FORMATO 16:9</t>
  </si>
  <si>
    <t>SB135WH2</t>
  </si>
  <si>
    <t>ELITE SCREEN</t>
  </si>
  <si>
    <t>ELI</t>
  </si>
  <si>
    <t>PAN</t>
  </si>
  <si>
    <t>PANTALLA DE PROYECCIÓN DE 120" FIJA.</t>
  </si>
  <si>
    <t>SB120WH2</t>
  </si>
  <si>
    <t>ELLITE</t>
  </si>
  <si>
    <t>PANTALLA FIJA EN FORMATO 16:9 DE 150".</t>
  </si>
  <si>
    <t>STR_169150</t>
  </si>
  <si>
    <t>ENERGY LINE</t>
  </si>
  <si>
    <t>TOMA ELÉCTRICA NEGRA</t>
  </si>
  <si>
    <t>ETEN</t>
  </si>
  <si>
    <t>ENERLINE</t>
  </si>
  <si>
    <t>LPSICOLCE012BLB</t>
  </si>
  <si>
    <t>CABLE UTP CAT 5e PARA INTERIOR 30% COBRE, 70% ALUMINIO.</t>
  </si>
  <si>
    <t>ENERLITE</t>
  </si>
  <si>
    <t>LUMINARIA DE 3 VATIOS ULTRA DELGADA DE EMPOTRAR. 3W, 3000K.</t>
  </si>
  <si>
    <t>L3335</t>
  </si>
  <si>
    <t>EPIC</t>
  </si>
  <si>
    <t>EPI</t>
  </si>
  <si>
    <t>PANTALLA CON TARJETA DE PROXIMIDAD Y CLAVE DE APERTURA.</t>
  </si>
  <si>
    <t>TOUCH_HOOK</t>
  </si>
  <si>
    <t>PANTALLA CON TARJETA DE PROXIMIDAD Y CLAVE DE APERTURA. FUNCIONAMIENTO MEDIANTE BATERÍA. MARCA: EPIC.</t>
  </si>
  <si>
    <t>EPSON</t>
  </si>
  <si>
    <t>PROYECTOR DE 4400 LUMENS, RESOLUCIÓN WXGA (1920X1200), CONTRASTE 10.000:1.</t>
  </si>
  <si>
    <t>1980WU</t>
  </si>
  <si>
    <t>PROYECTOR DELGADO DE 3200 LUMENS. WXGA, ENTRADA HDMI Y CONECTIVIDAD WIRELESS</t>
  </si>
  <si>
    <t>1795F</t>
  </si>
  <si>
    <t>CINEMA1060</t>
  </si>
  <si>
    <t xml:space="preserve">PROYECTOR FULL HD DE 3100 LUMENS, </t>
  </si>
  <si>
    <t>V11H861020</t>
  </si>
  <si>
    <t>PROYECTOR DE 4000 LUMENS CON RESOLUCION HD (1280x800), CONECTIVIDAD HDMI.</t>
  </si>
  <si>
    <t>V11H907020</t>
  </si>
  <si>
    <t>PROYECTOR LASER DE 4500 LUMENS CON RESOLUCION UXGA FULL HD (1920x1200), CONECTIVIDAD HDMI.</t>
  </si>
  <si>
    <t>V11H878520</t>
  </si>
  <si>
    <t>PROYECTOR LASER DE TIRO ULTRACORTO, RESOLUCION WXGA, 4000 LUMENS.</t>
  </si>
  <si>
    <t>B11B243201</t>
  </si>
  <si>
    <t>ESCÁNER  EPSON DS-320 PORTÁTIL /DÚPLEX 25 PPM/ADF CON CAPACIDAD DE 20 HOJAS/ RANURA ESPECIAL PARA TARJETAS/CICLO DE 500 PAGINAS DIARIAS,</t>
  </si>
  <si>
    <t>B11B242201</t>
  </si>
  <si>
    <t>ESCANER  EPSON WORKFORCE ES-300W CON WIFI PORTÁTIL /DUPLEX 25 PPM/ADF CON CAPACIDAD DE 20 HOJAS/ RANURA ESPECIAL PARA TARJETAS/CICLO DE 500 PAGINAS DIARIAS,</t>
  </si>
  <si>
    <t>B11B207232</t>
  </si>
  <si>
    <t>ESCÁNER EPSON FOTOGRÁFICO V370 CAMA PLANA/ CON UNIDAD DE TRANSPARENCIAS (6 NEGATIVOS/4 DIAPOSITIVAS35MM)</t>
  </si>
  <si>
    <t>B11B253201</t>
  </si>
  <si>
    <t>ESCÁNER EPSON PORTÁTIL INALÁMBRICO WORKFORCE ES-60W</t>
  </si>
  <si>
    <t>B11B236201</t>
  </si>
  <si>
    <t>ESCÁNER EPSON WORKFORCE DS-530 VERTICAL /TAMAÑOS DE DOCUMENTO: (A4) MÁX.21.6X609.6 CM MÍN.5X5 CM COLOR NEGRO/VELOCIDAD: 300DPI 35 PPM/70IPM (DÚPLEX) /ADF HASTA 50 PAGINAS/ CICLO DIARIO 4,000 PAGINAS</t>
  </si>
  <si>
    <t>B11B205221</t>
  </si>
  <si>
    <t>ESCANER EPSON WORKFORCE DS-6500  CAMA PLANA/ /TAMAÑOS DE DOCUMENTO: (A4)/ CICLO DIARIO:  3000 HOJAS /CAPACIDAD DELALIMENTADOR (ADF): 100 HOJAS (DUPLEX)"</t>
  </si>
  <si>
    <t>B11B227201</t>
  </si>
  <si>
    <t>ESCANER EPSON WORKFORCE DS-780N VERTICAL CON MODULO DE RED INCLUIDO CON PANTALLA TACTIL/45 PPM / (DÚPLEX)/ADF  100 PÁGINAS/ CICLO DE TRABAJO: HASTA 5.000 PÁGINAS/DÍA / USB 3.0 DE ALTA VELOCIDAD/ETHERNET(1000 BASE-T 100-BASE TX/10-BASE T</t>
  </si>
  <si>
    <t>B11B250201</t>
  </si>
  <si>
    <t>ESCÁNER EPSON WORKFORCE DS-870 VERTICAL/PANTALLA LCD/VELOCIDAD: 300DPI 65 PPM/130 IPM (DÚPLEX) /ADF HASTA 80 PAGINAS/CICLO DIARIO HASTA 7,000 PAGINAS/USB3</t>
  </si>
  <si>
    <t>B11B251201</t>
  </si>
  <si>
    <t>ESCÁNER EPSON WORKFORCE DS-970 VERTICAL/PANTALLA LCD/VELOCIDAD: 300DPI 85 PPM/130 IPM (DÚPLEX) /ADF HASTA 80 PAGINAS/CICLO DIARIO HASTA 9,000 PAGINAS/USB3</t>
  </si>
  <si>
    <t>V11H743021</t>
  </si>
  <si>
    <t>VIDEO PROYECTOR EPSON INTERACTIVO DE ULTRACORTA DISTANCIA BRIGHTLINK 675WI+/ TECNOLOGÍA: 3LCD/(3.200 LUMENS EN BLANCO Y COLOR - RESOLUCIÓN WXGA (1280 X 800(HD))</t>
  </si>
  <si>
    <t>V11H740021</t>
  </si>
  <si>
    <t>VIDEO PROYECTOR EPSON INTERACTIVO DE ULTRACORTA DISTANCIA BRIGHTLINK 695WI+ (INTERACTIVO/TECNOLOGÍA TOUCH) / TECNOLOGÍA: 3LCD/RESOLUCIÓN: WXGA 1280X800(HD)/ 3,500 LÚMENES EN BLANCO Y COLOR.</t>
  </si>
  <si>
    <t>V11H855020</t>
  </si>
  <si>
    <t>VIDEO PROYECTOR EPSON POWER LITE X39/TECNOLOGÍA: 3LCD/(3.500 LUMENS EN BLANCO Y COLOR - RESOLUCIÓN XGA 1024 X 768) TIENE RJ45</t>
  </si>
  <si>
    <t>VIDEO PROYECTOR EPSON POWERLITE 109W/TECNOLOGÍA: 3LCD/(4.000 LUMENS EN BLANCO Y COLOR - RESOLUCIÓN WXGA(1280 X 800(HD) TIENE RJ45</t>
  </si>
  <si>
    <t>V11H795020</t>
  </si>
  <si>
    <t>VIDEO PROYECTOR EPSON POWERLITE 1780W/TECNOLOGÍA:3LCD/ (3.000 LUMENS EN BLANCO Y COLOR - RESOLUCIÓN WXGA(1280 X 800(HD))</t>
  </si>
  <si>
    <t>V11H796020</t>
  </si>
  <si>
    <t>VIDEO PROYECTOR EPSON POWERLITE 1795F ULTRA- PORTABLE /TECNOLOGÍA: 3LCD/(3.200 LUMENS EN BLANCO Y COLOR - RESOLUCIÓN WUXGA 1920 X 1200(FULL HD)) VIENE CON EL MODULO INALÁMBRICO</t>
  </si>
  <si>
    <t>V11H874020</t>
  </si>
  <si>
    <t>VIDEO PROYECTOR EPSON POWERLITE 2042/TECNOLOGÍA: 3LCD/(4.400 LUMENS EN BLANCO Y COLOR - RESOLUCIÓN XGA 1024 X 768)</t>
  </si>
  <si>
    <t>V11H875020</t>
  </si>
  <si>
    <t>VIDEO PROYECTOR EPSON POWERLITE 2142W//TECNOLOGÍA: 3LCD/ (4.200 LUMENS EN BLANCO Y COLOR - RESOLUCIÓN WXGA) 1280 X 800 HDMI</t>
  </si>
  <si>
    <t>V11H881020</t>
  </si>
  <si>
    <t>VIDEO PROYECTOR EPSON POWERLITE 2247U/TECNOLOGÍA:3LCD/(4.200 LUMENS EN BLANCO Y COLOR - RESOLUCIÓN WUXGA 1920 X 1200(FULL HD))</t>
  </si>
  <si>
    <t>V11H871020</t>
  </si>
  <si>
    <t>VIDEO PROYECTOR EPSON POWERLITE 2250U/RESOLUCIÓN: WUXGA 1920X1200 FULL HD 1080P/ 5.000 LÚMENES EN BLANCO Y COLOR</t>
  </si>
  <si>
    <t>VIDEO PROYECTOR EPSON POWERLITE 700U(LASER )ULTRACORTA DISTANCIA/ TECNOLOGÍA: 3LCD/(4.000 LUMENS EN BLANCO Y COLOR - RESOLUCIÓN WUXGA 1920 X 1200(FULL HD))</t>
  </si>
  <si>
    <t>VIDEO PROYECTOR EPSON POWERLITE L400U(LASER)/TECNOLOGÍA: 3LCD/(4.500 LUMENS EN BLANCO Y COLOR - RESOLUCIÓN WUXGA 1920 X 1200(FULL HD))</t>
  </si>
  <si>
    <t>V11H908020</t>
  </si>
  <si>
    <t>VIDEO PROYECTOR EPSON POWERLITE L500W (LASER)/TECNOLOGÍA: 3LCD /5.000 LUMENS EN BLANCO Y COLOR - RESOLUCIÓN WXGA 1280 X 800(HD)</t>
  </si>
  <si>
    <t>V11H903020</t>
  </si>
  <si>
    <t>VIDEO PROYECTOR EPSON POWERLITE L510U(LASER)/TECNOLOGÍA: 3LCD/5.000 LUMENS EN BLANCO Y COLOR - RESOLUCIÓN WUXGA 1920 X 1200(FULL HD))</t>
  </si>
  <si>
    <t>V11H905020</t>
  </si>
  <si>
    <t>VIDEO PROYECTOR EPSON POWERLITE L610 (LASER)/TECNOLOGÍA: 3LCD /6.000 LUMENS EN BLANCO Y COLOR - RESOLUCIÓN  XGA 1024 X 768</t>
  </si>
  <si>
    <t>V11H904020</t>
  </si>
  <si>
    <t>VIDEO PROYECTOR EPSON POWERLITE POWERLITE L610W (LASER)/TECNOLOGÍA: 3LCD /(6.000 LUMENS EN BLANCO Y COLOR - RESOLUCIÓN WXGA 1280 X 800(HD)</t>
  </si>
  <si>
    <t>V11H901120</t>
  </si>
  <si>
    <t>VIDEO PROYECTOR EPSON POWERLITE POWERLITE L615U (LASER)/TECNOLOGÍA: 3LCD /(6.000 LUMENS EN BLANCO Y COLOR - RESOLUCIÓN WUXGA) 1920 X 1200(FULL HD))</t>
  </si>
  <si>
    <t>V11H854020</t>
  </si>
  <si>
    <t>VIDEO PROYECTOR EPSON POWERLITE S39+/TECNOLOGÍA: 3LCD/(3.300 LÚMENES EN BLANCO Y COLOR - RESOLUCIÓN SVGA 800 X 600)</t>
  </si>
  <si>
    <t>V11H856020</t>
  </si>
  <si>
    <t>VIDEO PROYECTOR EPSON POWERLITE W39/TECNOLOGÍA: 3LCD (3.500 LUMENS EN BLANCO Y COLOR - RESOLUCIÓN WXGA 1280 X 800 (HD)).</t>
  </si>
  <si>
    <t>V11H843021</t>
  </si>
  <si>
    <t>VIDEO PROYECTOR EPSON POWERLITE X41+/TECNOLOGÍA: 3LCD/(3.600 LUMENS EN BLANCO Y COLOR - RESOLUCIÓN XGA 1024 X 768) VIENE CON EL MODULO INALÁMBRICO (INCLUYE MALETA)</t>
  </si>
  <si>
    <t>V11H854020_Z</t>
  </si>
  <si>
    <t>VIDEO PROYECTOR EPSON POWER LITE S39+/TECNOLOGÍA: 3LCD/(3.300 LUMENS EN BLANCO Y COLOR - RESOLUCIÓN SVGA 800 X 600)</t>
  </si>
  <si>
    <t>POWERLITE_PRO_5030UB</t>
  </si>
  <si>
    <t>PROYECTOR PARA CINEMA 1080P. 24000 LUMENS.</t>
  </si>
  <si>
    <t>ESYNIC</t>
  </si>
  <si>
    <t>TRANSMISOR HDMI POR UTP</t>
  </si>
  <si>
    <t>ESYNIC4K</t>
  </si>
  <si>
    <t>ETION</t>
  </si>
  <si>
    <t>12BF010K</t>
  </si>
  <si>
    <t>UPS DE 10KVA ON LINE BIFASICA</t>
  </si>
  <si>
    <t>EUFI</t>
  </si>
  <si>
    <t>T8410</t>
  </si>
  <si>
    <t>CAMARA DE MESA TIPO PTZ CON RASTERO DE MOVIMIENTO Y AUDIO VIDIRECCIONAL. RESOLUCION DE 2MP.</t>
  </si>
  <si>
    <t>https://www.amazon.com/-/es/eufy-interiores-compatibilidad-seguimiento-movimiento/dp/B0856W45VL/ref=sr_1_4?__mk_es_US=%C3%85M%C3%85%C5%BD%C3%95%C3%91&amp;dchild=1&amp;keywords=ptz+camera+track&amp;qid=1607602283&amp;refinements=p_72%3A1248879011%2Cp_n_feature_ten_browse-bin%3A21289011011&amp;rnid=21288994011&amp;s=photo&amp;sr=1-4</t>
  </si>
  <si>
    <t>EXCELLINE</t>
  </si>
  <si>
    <t>GSMTV12</t>
  </si>
  <si>
    <t>PROTECTOR SUPRESOR DE PICOS PARA ELECTRODOMESTICO POR 12 AMPERIOS</t>
  </si>
  <si>
    <t>https://www.amazon.com/-/es/Protector-sobretensiones-refrigerador-electrodom%C3%A9sticos-protecci%C3%B3n/dp/B0BHQM6HRD/ref=sr_1_26?__mk_es_US=%C3%85M%C3%85%C5%BD%C3%95%C3%91&amp;crid=8JKXIVQ7TVUD&amp;dib=eyJ2IjoiMSJ9.WLwl2RWaw8u_2wvf3_kYPt8KkSR6yy0m-fIoqcmsLv5pVkcjvnjQq_Ui6x57GdTqQX2vnkJnv3TY8Dotv91Q0XCdGr_vXwjkQNqTNpcVHic8X5GuZwXV4s6ZiuIpcacwyAP_NW-QPULmDrmadi-mCdeI8WqlaEapQ_uhacNs_k9yv6OCVKDKpsKkyKRE9ls2xRNR91KrW6vdNUo7_919QLkWnqr2cVQnS6OQfJX-Ym-GFdpavc-bVcgf-Y4UuFel0-MweBA5kb4476Z36fZqipsusij7Y8HO5ygiBD-3CaM.aak8HQ-5WmR_TZ6QNmqGCviEDwT_O3p3C2L66SvXifI&amp;dib_tag=se&amp;keywords=supresor+picos+nevera&amp;qid=1715800707&amp;refinements=p_72%3A1248879011&amp;rnid=1248877011&amp;s=electronics&amp;sprefix=supresor+picos+neve%2Caps%2C244&amp;sr=1-26</t>
  </si>
  <si>
    <t>https://articulo.mercadolibre.com.co/MCO-2340262036-protector-voltaje-picos-exceline-lavadoras-electrodomesticos-_JM#position=2&amp;search_layout=stack&amp;type=item&amp;tracking_id=13c47741-b6b8-420b-a209-34aaba5b4013</t>
  </si>
  <si>
    <t>EYCOS</t>
  </si>
  <si>
    <t>RACK ABIERTO DE 1.8 METROS DE ALTURA.</t>
  </si>
  <si>
    <t>RSV204S</t>
  </si>
  <si>
    <t>FAVI</t>
  </si>
  <si>
    <t>TELÓN MOTORIZADO DE 100" EN FORMATO 16:9.</t>
  </si>
  <si>
    <t>FAVI100169</t>
  </si>
  <si>
    <t>FEDERAL</t>
  </si>
  <si>
    <t>220_200_03</t>
  </si>
  <si>
    <t>LUZ TIPO STROBO</t>
  </si>
  <si>
    <t>FIBER SAVVY</t>
  </si>
  <si>
    <t>PATCH PANEL DE 12 PUERTOS PARA CONEXIÓN DE FIBRA ÓPTICA MULTIMODAL.</t>
  </si>
  <si>
    <t>FB36_1495_1</t>
  </si>
  <si>
    <t>PATCH CORE EN FIBRA MULTIMODO DE 40M DE LONGITUD</t>
  </si>
  <si>
    <t>FB4_1804_LC</t>
  </si>
  <si>
    <t>FIERO</t>
  </si>
  <si>
    <t>POLEA DE 2 PULGADAS PARA SOPORTE EN TECHO.</t>
  </si>
  <si>
    <t>POL_2</t>
  </si>
  <si>
    <t>https://articulo.mercadolibre.com.co/MCO-471712487-garruchas-o-poleas-para-noria-diametro-2-pulg-fiero-_JM?quantity=1</t>
  </si>
  <si>
    <t>FIX</t>
  </si>
  <si>
    <t>SOPORTE FIJO PARA TV ENTRE 42" Y 70"</t>
  </si>
  <si>
    <t>TSLE42</t>
  </si>
  <si>
    <t>FLEXILIGHT</t>
  </si>
  <si>
    <t>NEON90</t>
  </si>
  <si>
    <t>LED NEON PARA INTEMPERIE</t>
  </si>
  <si>
    <t>CON_NEON</t>
  </si>
  <si>
    <t>CONECTOR PARA REGLETA NEON</t>
  </si>
  <si>
    <t>FLEXON</t>
  </si>
  <si>
    <t>SOPORTE DE PARED PARA EQUIPO PLAY 1</t>
  </si>
  <si>
    <t>FLXP1WB1011</t>
  </si>
  <si>
    <t>FLOS</t>
  </si>
  <si>
    <t>UT SPOT TRACK 57 LED ARRAY
21,5W 1900lm CRI90 3000K
WHITE 40D</t>
  </si>
  <si>
    <t>F09.4488.30.90</t>
  </si>
  <si>
    <t>UT SPOT TRACK 57 LED ARRAY
21,5W 1900lm CRI90 3000K
WHITE 12D</t>
  </si>
  <si>
    <t>F09.4486.30.90</t>
  </si>
  <si>
    <t>3-PHASE TRACK WHITE
Surface Track 1m</t>
  </si>
  <si>
    <t>F60.3101.11</t>
  </si>
  <si>
    <t>3-PHASE TRACK WHITE
Surface Track 2m</t>
  </si>
  <si>
    <t>F60.3102.11</t>
  </si>
  <si>
    <t>STRAIGHT CONNECT WHITE for
3-phase Track</t>
  </si>
  <si>
    <t>F60.3044.11</t>
  </si>
  <si>
    <t>LIVE END RIGHT WHITE for 3-
phase Track</t>
  </si>
  <si>
    <t>F60.3038.11</t>
  </si>
  <si>
    <t>BLIND END WHITE for 3-
phase Track</t>
  </si>
  <si>
    <t>F60.3016.11</t>
  </si>
  <si>
    <t>LEAD BENDING KEY</t>
  </si>
  <si>
    <t>F60.3054</t>
  </si>
  <si>
    <t>BRACKET FOR FIXING TRACKS TO
WALL OR CEILING</t>
  </si>
  <si>
    <t>F60.3093.29</t>
  </si>
  <si>
    <t>FORLIGHT</t>
  </si>
  <si>
    <t>DE_0268_BLA</t>
  </si>
  <si>
    <t>LUMINARIA DE LECTURA DE ESTRUCTURA FIJA, 3.4W, 15.000 HORAS, 3.000K. GARANTIA DE 5 AÑOS.</t>
  </si>
  <si>
    <t>PX_1400</t>
  </si>
  <si>
    <t>LUMINARIA TIPO HASTA PARA BOMBILLA GU10</t>
  </si>
  <si>
    <t>FORZA</t>
  </si>
  <si>
    <t>SUPRESOR DE PICOS Y REGULADOR DE VOLTAJE A 1200VA</t>
  </si>
  <si>
    <t>FORZA1200VA</t>
  </si>
  <si>
    <t>REGULADOR DE VOLTAJE DE 1500W</t>
  </si>
  <si>
    <t>FVR_3001</t>
  </si>
  <si>
    <t>FOSMON</t>
  </si>
  <si>
    <t>F3X1</t>
  </si>
  <si>
    <t>SWITCH DE HDMI 3 ENTRADAS UNA SALIDA CON SELECTOR MANUAL Y AUTO SWITCHEO</t>
  </si>
  <si>
    <t>https://www.amazon.com/Fosmon-Automatic-Switching-Mountable-Switcher/dp/B07DKDXV8Y</t>
  </si>
  <si>
    <t>FUNLUX</t>
  </si>
  <si>
    <t>FUN</t>
  </si>
  <si>
    <t>NVR</t>
  </si>
  <si>
    <t>NRV CON DOS TERAS DE CAPACIDAD PARA EL MANEJO DE 16 CÁMARAS IP.</t>
  </si>
  <si>
    <t>KS_S616TUG_WS_2TB</t>
  </si>
  <si>
    <t xml:space="preserve">NRV CON DOS TERAS DE CAPACIDAD PARA EL MANEJO DE 16 CÁMARAS IP, RESOLUCIÓN DE 720P. 8 CÁMARAS INALÁMBRICAS Y CÁMARAS CABLEADAS PoE. </t>
  </si>
  <si>
    <t>FURRION</t>
  </si>
  <si>
    <t>FDUF55CBR</t>
  </si>
  <si>
    <t>TV PARA INTEMPERIE LED DE 55" CON RESOLUCION 4K</t>
  </si>
  <si>
    <t>GALICA</t>
  </si>
  <si>
    <t>TOMA COAXIAL</t>
  </si>
  <si>
    <t>ITOMCOAXIA_01</t>
  </si>
  <si>
    <t>TOMA DOBLE</t>
  </si>
  <si>
    <t>ITOMCTE</t>
  </si>
  <si>
    <t>GE</t>
  </si>
  <si>
    <t>BOMBILLA LED DE 100 VATIOS COLOR NEUTRO</t>
  </si>
  <si>
    <t>E2710W</t>
  </si>
  <si>
    <t>GEADES</t>
  </si>
  <si>
    <t>GROMMET PASACABLES DE 2 PULGADAS EN COLOR NEGRO.</t>
  </si>
  <si>
    <t>GRO2P</t>
  </si>
  <si>
    <t>https://www.amazon.com/dp/B0746PRY4V/ref=sspa_dk_detail_4?psc=1&amp;pd_rd_i=B0746PRY4V&amp;pd_rd_wg=kX3rw&amp;pd_rd_r=KJ5CMVKFK4GQE1BRC0HJ&amp;pd_rd_w=YU2pP</t>
  </si>
  <si>
    <t>GEFEN</t>
  </si>
  <si>
    <t>TRANSMISOR CON RESOLUCIÓN 4K HDMI POR CABLE UTP.</t>
  </si>
  <si>
    <t>GTB_UHD2IRS</t>
  </si>
  <si>
    <t>PRJ</t>
  </si>
  <si>
    <t>4K ULTRA HD 1:2 SPLITTER PARA HDMI</t>
  </si>
  <si>
    <t>GTB_HD4K2K_142C_BLK</t>
  </si>
  <si>
    <t>MATRIZ 4X2 HDMI 4K DE 4 PUERTOS DE ENTRADA Y 2 DE SALIDA.</t>
  </si>
  <si>
    <t>GTB_HD4K2K_442_BLK</t>
  </si>
  <si>
    <t>MATRIZ 4X2 HDMI 4K DE 4 PUERTOS DE ENTRADA Y 2 DE SALIDA. CONTROL DE PUERTO SERIE.</t>
  </si>
  <si>
    <t>FACE PARTE DE TRANSMISIÓN HDbT CON ENTRADAS HDMI, VGA Y ESTÉREO</t>
  </si>
  <si>
    <t>EXT_UHDV_WP_HBTLS_TX</t>
  </si>
  <si>
    <t>RECEPTOR HDbT CON SALIDAS ANÁLOGAS Y DIGITALES DE AUDIO.</t>
  </si>
  <si>
    <t>EXT_UHDA_HBTL_RX</t>
  </si>
  <si>
    <t>RECEPTOR HDbT CON SALIDAS ANÁLOGAS Y DIGITALES DE AUDIO, SALIDA DE VIDEO POR HDMI.</t>
  </si>
  <si>
    <t>MATRIZ 4X4 HDMI 4K CON HDR.</t>
  </si>
  <si>
    <t>EXT_UHD600A_44</t>
  </si>
  <si>
    <t>EXT_4K300A_MF_41_HBTLS</t>
  </si>
  <si>
    <t>SWITCHER ESCALADOR 4 K EN DIFERENTES FORMATOS</t>
  </si>
  <si>
    <t>GTB_HD4K2K_441_BLK</t>
  </si>
  <si>
    <t>SELECTOR DE VIDEO DE 4 ENTRADAS POR UNA SALIDA HDMI 4K CON CONTROL RS232</t>
  </si>
  <si>
    <t>EXT_4K600A_MF_51_HBTLS</t>
  </si>
  <si>
    <t>SWITCH DE VIDEO 4K  CON AUTO SWITCH, MULTIFORMATO CON ENTRADAS HDMI, VGA Y DP. SALIDA HDBaseT Y HDMI.</t>
  </si>
  <si>
    <t>SELECTOR HDMI 4K DE 4 ENTRADAS CON CONTROL IR/RS232 Y TCP/IP</t>
  </si>
  <si>
    <t>GTB_UHD_HBT</t>
  </si>
  <si>
    <t>EXTENDER DE 150/100 METROS 4K/1080P POR UTP</t>
  </si>
  <si>
    <t>TRANSMISOR DE VIDEO HDBaseT 4K</t>
  </si>
  <si>
    <t>BANDEJA PARA RACK</t>
  </si>
  <si>
    <t>BRACK</t>
  </si>
  <si>
    <t>HDMI</t>
  </si>
  <si>
    <t>CABLE HDMI CON FERRITA, LONGITUD DE 15 METROS, MANEJO DE ALTA VELOCIDAD.</t>
  </si>
  <si>
    <t>GEN_HDMI_4K_15</t>
  </si>
  <si>
    <t>CABLE HDMI CON FERRITA, LONGITUD DE 15 METROS, MANEJO DE ALTA VELOCIDAD, SEÑALES 4K</t>
  </si>
  <si>
    <t>CABLE VGA DE 15 METROS</t>
  </si>
  <si>
    <t>VGA15</t>
  </si>
  <si>
    <t>CABLE RCA X 2 A MINI JACK DE 1.5M</t>
  </si>
  <si>
    <t>CA15</t>
  </si>
  <si>
    <t>MEMORIA USB DE 8G</t>
  </si>
  <si>
    <t>K101</t>
  </si>
  <si>
    <t>EXTENSIÓN DE 5 METROS DE 3 POLOS</t>
  </si>
  <si>
    <t>EXT5</t>
  </si>
  <si>
    <t>REFLECTOR RGB CON CONTROL REMOTO, POTENCIA 100W, 7000 LUMENS.</t>
  </si>
  <si>
    <t>LG741</t>
  </si>
  <si>
    <t>REFLECTOR RGB CON CONTROL REMOTO, POTENCIA 100W, 7000 LUMENS, VIDA ÚTIL DE 30.000 HORAS.</t>
  </si>
  <si>
    <t>METRO DE ALAMBRE 2X18 PARA TRANSMISIÓN DE BUS DE DATOS.</t>
  </si>
  <si>
    <t>BUS218</t>
  </si>
  <si>
    <t>GENERAL</t>
  </si>
  <si>
    <t>GEN7042</t>
  </si>
  <si>
    <t>PLANTA BIFASICA DE GENERACION A 110V POR FASE, GARANTIA DE 5 AÑOS.</t>
  </si>
  <si>
    <t>K</t>
  </si>
  <si>
    <t>VARILLA 5/8X 2.40 COOPER GROUND</t>
  </si>
  <si>
    <t>VAR_5_8</t>
  </si>
  <si>
    <t>ALQUILER DE DIA DE SECCIÓN DE ANDAMIO CERTIFICADO</t>
  </si>
  <si>
    <t>ALQ_AND_C</t>
  </si>
  <si>
    <t>NA</t>
  </si>
  <si>
    <t>MES</t>
  </si>
  <si>
    <t>ALQUILER DE ESCALERA TELESCÓPICA</t>
  </si>
  <si>
    <t>ALQ_TELE</t>
  </si>
  <si>
    <t>CONVERTIDOR ACTIVO DE VGA A S-VIDEO Y COMPUESTO.</t>
  </si>
  <si>
    <t>VGA_SVIDEO</t>
  </si>
  <si>
    <t>PATCH CORE DE 1 METRO CATEGORÍA 6.</t>
  </si>
  <si>
    <t>PC1M</t>
  </si>
  <si>
    <t>PATCHCORE DE 50CM CATEGORÍA 5</t>
  </si>
  <si>
    <t>PC05M</t>
  </si>
  <si>
    <t>MULTITOMA PARA RACK</t>
  </si>
  <si>
    <t>MULR</t>
  </si>
  <si>
    <t>EXTRACTOR DE OLORES HERMÉTICO CON REJILLA PLÁSTICA</t>
  </si>
  <si>
    <t>EO45</t>
  </si>
  <si>
    <t>DUCTO TIPO SERPENTINA EN ALUMINIO DE 4 PULGADAS</t>
  </si>
  <si>
    <t>ALU4</t>
  </si>
  <si>
    <t>TERMINAL ESTAÑADA AWG8</t>
  </si>
  <si>
    <t>TER8</t>
  </si>
  <si>
    <t>CONECTOR ROSCADO AMARILLO</t>
  </si>
  <si>
    <t>CON3X20</t>
  </si>
  <si>
    <t>TABLERO DE 18 CIRCUITOS SIN ESPACIO</t>
  </si>
  <si>
    <t>TE18SE</t>
  </si>
  <si>
    <t>TERMINAL ESTAÑADA AWG2</t>
  </si>
  <si>
    <t>TER2</t>
  </si>
  <si>
    <t>TERMINAL ESTAÑADA AWG6</t>
  </si>
  <si>
    <t>TER6</t>
  </si>
  <si>
    <t>TERMINAL ESTAÑADA AWG4</t>
  </si>
  <si>
    <t>TER4</t>
  </si>
  <si>
    <t>TERMINAL DE UNIÓN</t>
  </si>
  <si>
    <t>TER2U</t>
  </si>
  <si>
    <t>METRO DE AMARRE TIPO VELCRO</t>
  </si>
  <si>
    <t>VELCRO</t>
  </si>
  <si>
    <t>CABLE ÓPTICO DE 1.8 METROS</t>
  </si>
  <si>
    <t>CO1.8</t>
  </si>
  <si>
    <t>CABLE HDMI DE 15 METROS</t>
  </si>
  <si>
    <t>HDMI15</t>
  </si>
  <si>
    <t>SOCKET GU 10 EN PORCELANA</t>
  </si>
  <si>
    <t>SGU10</t>
  </si>
  <si>
    <t>SOCKET PARA BOMBILLA 2 PINES</t>
  </si>
  <si>
    <t>C2PIN</t>
  </si>
  <si>
    <t>CAJA DE PASO DE 20Cm X 20Cm X 10Cm.</t>
  </si>
  <si>
    <t>C20X20X10</t>
  </si>
  <si>
    <t>CABLE HDMI DE 1.8 METROS</t>
  </si>
  <si>
    <t>HDMI1.8</t>
  </si>
  <si>
    <t>VENTILADOR 110V.5 PULGADAS</t>
  </si>
  <si>
    <t>VEN5</t>
  </si>
  <si>
    <t>BARRAJE EN COBRE DE 16 PINES</t>
  </si>
  <si>
    <t>BTCOBRE</t>
  </si>
  <si>
    <t>RELÉ 10 AMPERIOS 120 VAC</t>
  </si>
  <si>
    <t>REL120</t>
  </si>
  <si>
    <t>VENTILADOR 120VAC</t>
  </si>
  <si>
    <t>E4P110</t>
  </si>
  <si>
    <t>CONTADOR MONOFÁSICO DE CONSUMO ELÉCTRICO.</t>
  </si>
  <si>
    <t>CONMONO</t>
  </si>
  <si>
    <t>TRANSFORMADOR TIPO FUENTE 24VAC</t>
  </si>
  <si>
    <t>T24AC</t>
  </si>
  <si>
    <t>BASE PARA RELEVO 11 PINES</t>
  </si>
  <si>
    <t>BREL</t>
  </si>
  <si>
    <t>CERTIFICACIÓN DE PUNTO DE RED, EQUIPO FLUKE.</t>
  </si>
  <si>
    <t>RED_CER</t>
  </si>
  <si>
    <t>TRAMO DE RIEL OMEGA DE 2 METROS</t>
  </si>
  <si>
    <t>ROC1</t>
  </si>
  <si>
    <t>REGLETA DE CONEXIÓN POR 10 UNIDADES</t>
  </si>
  <si>
    <t>RP3</t>
  </si>
  <si>
    <t>UNIÓN HDMI</t>
  </si>
  <si>
    <t>UHDMI</t>
  </si>
  <si>
    <t>ADAPTADOR DE VOLTAJE 15VDC, 1 AMPERIO.</t>
  </si>
  <si>
    <t>A15A</t>
  </si>
  <si>
    <t>ACCESORIO DE SUJECIÓN DE PUESTA A TIERRA</t>
  </si>
  <si>
    <t>BR8E</t>
  </si>
  <si>
    <t>CANALETA DELGADA DE 2.5 PULGADAS, 2 METROS DE LARGA.</t>
  </si>
  <si>
    <t>CR2525</t>
  </si>
  <si>
    <t>DOBLA TUBO DE 3/4</t>
  </si>
  <si>
    <t>DT34</t>
  </si>
  <si>
    <t>BOTÓN NO TOUCH PARA CONTROL DE ACCESO/SALIDA.</t>
  </si>
  <si>
    <t>MR_806C</t>
  </si>
  <si>
    <t>MULTITOMA DE 6 SALIDAS, 15 AMPERIOS</t>
  </si>
  <si>
    <t>MT615</t>
  </si>
  <si>
    <t>PULSADOR TIPO TIMBRE BLANCO</t>
  </si>
  <si>
    <t>PTIM</t>
  </si>
  <si>
    <t>TOMA TELEFÓNICA RJ11</t>
  </si>
  <si>
    <t>TRJ11</t>
  </si>
  <si>
    <t>PLACA DOBLE</t>
  </si>
  <si>
    <t>PLA2</t>
  </si>
  <si>
    <t>CABLE RCA DE 5 METROS</t>
  </si>
  <si>
    <t>RCA2X5</t>
  </si>
  <si>
    <t>ADAPTADOR 15 VDC 2 AMPERIOS</t>
  </si>
  <si>
    <t>A152A</t>
  </si>
  <si>
    <t>CAJA DE PASO DE 30Cm X 20Cm X 10Cm.</t>
  </si>
  <si>
    <t>C30X20X10</t>
  </si>
  <si>
    <t>RELEVO 16 AMPERIOS 8 PINES</t>
  </si>
  <si>
    <t>REV008</t>
  </si>
  <si>
    <t>CON3X12</t>
  </si>
  <si>
    <t>BARRERA DE ENTRADA DE DOS LÍNEAS, CON ABATIBLE EN CRISTAL</t>
  </si>
  <si>
    <t>PA2D</t>
  </si>
  <si>
    <t>ROLLO DE 305 METROS DE CABLE AWG 14 LIBRE DE OXIGENO PARA PARLANTE.</t>
  </si>
  <si>
    <t>GEN2X14A</t>
  </si>
  <si>
    <t>FUENTE DE ALIMENTACIÓN 12V 30 AMPERIOS.</t>
  </si>
  <si>
    <t>F1230A</t>
  </si>
  <si>
    <t>SENSOR DE PRESENCIA CON ALCANCE DE 6 METROS.</t>
  </si>
  <si>
    <t>SP360</t>
  </si>
  <si>
    <t>TIMER PROGRAMABLE 1 AMPERIO</t>
  </si>
  <si>
    <t>TT110</t>
  </si>
  <si>
    <t>PILA 5V</t>
  </si>
  <si>
    <t>P1220</t>
  </si>
  <si>
    <t>CABLE VGA DE 10 METROS</t>
  </si>
  <si>
    <t>VGA10</t>
  </si>
  <si>
    <t>FACE PLATE PARA 3 MÓDULOS</t>
  </si>
  <si>
    <t>MOD_FACE</t>
  </si>
  <si>
    <t>MODULO HDMI</t>
  </si>
  <si>
    <t>MOD_HDMI</t>
  </si>
  <si>
    <t>MODULO VGA</t>
  </si>
  <si>
    <t>MOD_VGA</t>
  </si>
  <si>
    <t>MODULO DE AUDIO</t>
  </si>
  <si>
    <t>MOD_AUDIO</t>
  </si>
  <si>
    <t>CONECTOR ROSCADO GRIS</t>
  </si>
  <si>
    <t>TERMINAL ESTAÑADA AWG1/0</t>
  </si>
  <si>
    <t>TER0</t>
  </si>
  <si>
    <t>BATERÍA 12 VOLTIOS</t>
  </si>
  <si>
    <t>BA12V</t>
  </si>
  <si>
    <t>SIRENA TIPO CORNETA DE 50 VATIOS.</t>
  </si>
  <si>
    <t>SD50W</t>
  </si>
  <si>
    <t>CAJA PLÁSTICA HERMÉTICA</t>
  </si>
  <si>
    <t>CP10X10X55</t>
  </si>
  <si>
    <t>CONECTOR DE PRESIÓN PARA 6 CABLES AWG 12</t>
  </si>
  <si>
    <t>WAGO12X6</t>
  </si>
  <si>
    <t>CONEXIÓN DE PRESIÓN PARA 4 CABLES AWG12</t>
  </si>
  <si>
    <t>WAGO12X4</t>
  </si>
  <si>
    <t>TERMINAL AMARILLA DE PONCHADO A PRESIÓN</t>
  </si>
  <si>
    <t>TERA</t>
  </si>
  <si>
    <t>BOLSA DE 100 AMARRES PLÁSTICOS DE 15CM</t>
  </si>
  <si>
    <t>AMATIDEX15</t>
  </si>
  <si>
    <t>PATCH CORE EN FIBRA ÓPTICA DE 1 METRO</t>
  </si>
  <si>
    <t>PCFOLCLC1M</t>
  </si>
  <si>
    <t>CAJA PLÁSTICA PARA CANALETA</t>
  </si>
  <si>
    <t>M5800P</t>
  </si>
  <si>
    <t>CABLE HDMI DE 5.5 METROS PARA SEÑALES EN RESOLUCIÓN 4K</t>
  </si>
  <si>
    <t>HDMI5.5_M</t>
  </si>
  <si>
    <t>CABLE HDMI DE 3.6 METROS PARA SEÑALES EN RESOLUCIÓN 4K</t>
  </si>
  <si>
    <t>HDMI3.6_M</t>
  </si>
  <si>
    <t>CABLE HDMI DE 7.5 METROS PARA SEÑALES EN RESOLUCIÓN 4K</t>
  </si>
  <si>
    <t>HDMI_7.5M</t>
  </si>
  <si>
    <t>TERMINAL DE SALIDA PARA CABLES AWG12</t>
  </si>
  <si>
    <t>TERAWG12</t>
  </si>
  <si>
    <t>ELEVADOR DE VOLTAJE DE 110/V A 220V, MANEJO DE CARGAS HASTA 2 AMPERIOS.</t>
  </si>
  <si>
    <t>EV110220</t>
  </si>
  <si>
    <t>CABLE DE PODER DE UN METRO DE LONGITUD</t>
  </si>
  <si>
    <t>CPOD</t>
  </si>
  <si>
    <t>COFRE PARA MONTAJE DE ELEMENTOS ELECTRICOS, MEDIDAS: 140cm ALTO, 120cm , 25cm.</t>
  </si>
  <si>
    <t>COFRE140X120X25</t>
  </si>
  <si>
    <t>COFRE PARA MONTAJE DE ELEMENTOS ELECTRICOS, MEDIDAS: 80cm ALTO, 80cm , 25cm.</t>
  </si>
  <si>
    <t>COFRE80X80X25</t>
  </si>
  <si>
    <t>TOMA CON INTERRUPTOR EN COLOR BLANCO</t>
  </si>
  <si>
    <t>TINT</t>
  </si>
  <si>
    <t>METRO DE CORAZA AMERICANA DE 3/4 DE PULGADA</t>
  </si>
  <si>
    <t>CORA_M</t>
  </si>
  <si>
    <t>CAJA ELÉCTRICA PARA 6 BREAKERS</t>
  </si>
  <si>
    <t>CE6C</t>
  </si>
  <si>
    <t>FUENTE 12V 60 AMPERIOS</t>
  </si>
  <si>
    <t>F12V60A</t>
  </si>
  <si>
    <t>BALUM COMPLETO PARA AUDIO Y VIDEO</t>
  </si>
  <si>
    <t>COMBALUM</t>
  </si>
  <si>
    <t>FUENTE 12V 30 AMPERIOS</t>
  </si>
  <si>
    <t>F12V30A</t>
  </si>
  <si>
    <t>CABLE RCA X 1.8M</t>
  </si>
  <si>
    <t>RCAX1.8</t>
  </si>
  <si>
    <t>CABLE ÓPTICO DE AUDIO DE 1.8M</t>
  </si>
  <si>
    <t>OPT1.8</t>
  </si>
  <si>
    <t>CABLE VGA DE 2 METROS</t>
  </si>
  <si>
    <t>VGA2</t>
  </si>
  <si>
    <t>CABLE COAXIAL DE 1 METRO</t>
  </si>
  <si>
    <t>COAX1</t>
  </si>
  <si>
    <t>CABLE DVI DE 1 METRO</t>
  </si>
  <si>
    <t>DVI1</t>
  </si>
  <si>
    <t>CABLE VGA DE 3.6 METROS</t>
  </si>
  <si>
    <t>VGA3.6</t>
  </si>
  <si>
    <t>CABLE DE SUPER VIDEO DE 1 METRO</t>
  </si>
  <si>
    <t>SV1</t>
  </si>
  <si>
    <t>CABLE RCA A 3.5MM DE 3.5M</t>
  </si>
  <si>
    <t>RCA3.5X3.5</t>
  </si>
  <si>
    <t>BORNA CALIBRE 8 PARA INSTALACIÓN EN RIEL</t>
  </si>
  <si>
    <t>BR8</t>
  </si>
  <si>
    <t>BORNA CALIBRE 10 PARA INSTALACIÓN EN RIEL</t>
  </si>
  <si>
    <t>BR10</t>
  </si>
  <si>
    <t>CABLE MULTIFILAR AWG4 EN COBRE</t>
  </si>
  <si>
    <t>MAWG4</t>
  </si>
  <si>
    <t>SALIDA TIPO CORDÓN</t>
  </si>
  <si>
    <t>SCORDON</t>
  </si>
  <si>
    <t>SOPORTE PARA MONITOR DE PARED DE 28"</t>
  </si>
  <si>
    <t>STV28</t>
  </si>
  <si>
    <t>GABINETE DE PARED DE 7 UNIDADES</t>
  </si>
  <si>
    <t>G8719NG</t>
  </si>
  <si>
    <t>SPLITTER HDMI 2X1</t>
  </si>
  <si>
    <t>HDMI2X1</t>
  </si>
  <si>
    <t>USB EXTENDER DE 30 PIES</t>
  </si>
  <si>
    <t>USBEXT</t>
  </si>
  <si>
    <t>SELECTOR HDMI DE 3 CANALES</t>
  </si>
  <si>
    <t>SELECTHDMI</t>
  </si>
  <si>
    <t>CABLE USB DE 1 METRO</t>
  </si>
  <si>
    <t>USBC1</t>
  </si>
  <si>
    <t>FACEPLATE USB</t>
  </si>
  <si>
    <t>USBPLATE</t>
  </si>
  <si>
    <t>MODULO USB</t>
  </si>
  <si>
    <t>MOD_USB</t>
  </si>
  <si>
    <t>TRANSFERENCIA TRIFÁSICA DE 63 AMPERIOS</t>
  </si>
  <si>
    <t>TTRI63</t>
  </si>
  <si>
    <t>BREAKER UNIPOLAR DE 63 AMPERIOS</t>
  </si>
  <si>
    <t>EZ9F56163</t>
  </si>
  <si>
    <t>TOMA DE SOBRE PONER 15 AMPERIOS</t>
  </si>
  <si>
    <t>TSP15A</t>
  </si>
  <si>
    <t>BREAKER ENCHUFABLE DE 3X50A</t>
  </si>
  <si>
    <t>PAC50</t>
  </si>
  <si>
    <t>SOPORTE EN HIERRO, LAMINA DE 5mm. 2KG.</t>
  </si>
  <si>
    <t>SOP2KG</t>
  </si>
  <si>
    <t>SOPORTE MOTORIZADO TIPO LIBRO CON MARCO PARA TV DE HASTA 50"</t>
  </si>
  <si>
    <t>FLP_210</t>
  </si>
  <si>
    <t>CONVERSOR DE DB9 A RJ45 MACHO</t>
  </si>
  <si>
    <t>DB9_RJ45_M</t>
  </si>
  <si>
    <t>RELEVO DE 5 PINES 12 VOLTIOS</t>
  </si>
  <si>
    <t>REL5P12V</t>
  </si>
  <si>
    <t>CABLE USB MACHO MACHO DE 1 METRO</t>
  </si>
  <si>
    <t>USB_1</t>
  </si>
  <si>
    <t>TRÍPODE PARA SUJECIÓN DE TUBERÍA</t>
  </si>
  <si>
    <t>TRIPODE_TUBO</t>
  </si>
  <si>
    <t>TRANSFORMADOR TOROIDAL DE 300W</t>
  </si>
  <si>
    <t>TOR12V300W</t>
  </si>
  <si>
    <t>CAJA DE POLIPROPILENO PARA EXTERIORES</t>
  </si>
  <si>
    <t>CAJA_POLI14X18X10</t>
  </si>
  <si>
    <t>CONVERSOR HDMI A VGA</t>
  </si>
  <si>
    <t>HDMI_TO_VGA</t>
  </si>
  <si>
    <t>TERMINAL EN FIBRA ÓPTICA</t>
  </si>
  <si>
    <t>F6C9_4LJV_A00</t>
  </si>
  <si>
    <t>PATCH CORE CATEGORÍA 5 DE 3 METROS</t>
  </si>
  <si>
    <t>PCCAT5_3M</t>
  </si>
  <si>
    <t>PATCH CORE CATEGORÍA 5 DE 5 METROS</t>
  </si>
  <si>
    <t>PCCAT5_5M</t>
  </si>
  <si>
    <t>FACE PLATE PARA 4 JACKS</t>
  </si>
  <si>
    <t>LANFACEX4</t>
  </si>
  <si>
    <t>CAJA CON LLAVE DE GUARDA, TAMAÑO 4.5"X5"</t>
  </si>
  <si>
    <t>PG3_PS</t>
  </si>
  <si>
    <t>TAPA PARA CONEXIONES HDMI, USB Y ESTÉREO</t>
  </si>
  <si>
    <t>TUSB_HDMI_ESTEREO</t>
  </si>
  <si>
    <t>CABLE RCA A MINI JACK DE 0.9 METROS</t>
  </si>
  <si>
    <t>RCA2X1_0.9</t>
  </si>
  <si>
    <t>MULTITOMA DE PARED DE 6 SALIDAS</t>
  </si>
  <si>
    <t>AEROSOL NEGRO MATE</t>
  </si>
  <si>
    <t>AEROBLACK</t>
  </si>
  <si>
    <t>ABRAZADERA PARA CABLE ENCAUCHETADO</t>
  </si>
  <si>
    <t>ABCBL</t>
  </si>
  <si>
    <t>BASE PARA FOTOCELDA</t>
  </si>
  <si>
    <t>BFC</t>
  </si>
  <si>
    <t>CANALETA PLÁSTICA 20X12 DE 2 METROS DE LARGO</t>
  </si>
  <si>
    <t>CAN20X12</t>
  </si>
  <si>
    <t>METRO DE CORAZA AMERICANA DE 1/2 DE PULGADA</t>
  </si>
  <si>
    <t>CORA0.5_M</t>
  </si>
  <si>
    <t>UNIÓN PARA CORAZA AMERICANA DE MEDIA PULGADA</t>
  </si>
  <si>
    <t>CORA0.5_U</t>
  </si>
  <si>
    <t>RECEPTOR DE MEMORIA USB PARA REPRODUCCIÓN DE ARCHIVOS DE AUDIO.</t>
  </si>
  <si>
    <t>MP3PLAY</t>
  </si>
  <si>
    <t>RECEPTOR DE MEMORIA USB PARA REPRODUCCIÓN DE ARCHIVOS DE AUDIO, INCLUYE CONTROL REMOTO</t>
  </si>
  <si>
    <t>EXTENDER DE AUDIO POR UTP.</t>
  </si>
  <si>
    <t>M103597</t>
  </si>
  <si>
    <t>SOPORTE PARA MONITOR HASTA DE 32", CON DOS GRADOS DE LIBERTAD.</t>
  </si>
  <si>
    <t>SLEDB</t>
  </si>
  <si>
    <t>PLUG DE AUDIO PARA SUPERFICIE PLANA DE 1/4</t>
  </si>
  <si>
    <t>PLUG14</t>
  </si>
  <si>
    <t>CABLE DE UN METRO CONVERTIDOR DE 3.5mm a PLUG DE 1/4 MACHO A MACHO.</t>
  </si>
  <si>
    <t>CBL3514</t>
  </si>
  <si>
    <t>FILTRO DE FERRITA PARA SEÑALES DESBALANCEADAS</t>
  </si>
  <si>
    <t>FILRCA</t>
  </si>
  <si>
    <t>CABLE CON SEÑAL ÓPTICA DE 3 METROS</t>
  </si>
  <si>
    <t>CBLOPT3</t>
  </si>
  <si>
    <t>CONECTOR TIPO XLR DE 3 PATAS</t>
  </si>
  <si>
    <t>PMH2</t>
  </si>
  <si>
    <t>TAPA ACRÍLICA TRANSPARENTE DE 30X30</t>
  </si>
  <si>
    <t>ACRILICO30X30</t>
  </si>
  <si>
    <t>UNIÓN PARA CABLE HDMI</t>
  </si>
  <si>
    <t>UNIÓN PARA CABLE VGA</t>
  </si>
  <si>
    <t>UVGA</t>
  </si>
  <si>
    <t>UNIÓN PARA AUDIO 3.5mm</t>
  </si>
  <si>
    <t>UAUDIO</t>
  </si>
  <si>
    <t>CARGADOR USB DE 3.5 AMPERIOS DE 3 SALIDAS PARA TABLETS Y TELÉFONOS.</t>
  </si>
  <si>
    <t>POWER_USB_3.5</t>
  </si>
  <si>
    <t>CARGADOR USB DE 3.5 AMPERIOS DE 3 SALIDAS PARA TABLETS Y TELÉFONOS, CARGA RÁPIDA.</t>
  </si>
  <si>
    <t>EXTENSIÓN PARA INSTALACIÓN EN POSTE CON ACCESORIOS</t>
  </si>
  <si>
    <t>MONTAJE DE POSTE CON ABRAZADERA</t>
  </si>
  <si>
    <t>MON</t>
  </si>
  <si>
    <t>SOPORTE DOBLE DE BRAZO PARA TV DE HASTA 70".</t>
  </si>
  <si>
    <t>B770</t>
  </si>
  <si>
    <t>SPLITTER DE UNA ENTRADA DOS SALIDAS HDMI PROTOCOLO 1.4</t>
  </si>
  <si>
    <t>SPLITTER2.1</t>
  </si>
  <si>
    <t>METRO DE VERTEBRA ORGANIZADORA DE CABLE</t>
  </si>
  <si>
    <t>CPCV20</t>
  </si>
  <si>
    <t>MASCARA PARA LENTEJA DE CONTROL INFRA ROJO</t>
  </si>
  <si>
    <t>STICKIR</t>
  </si>
  <si>
    <t>CONVERSOR DE VGA A COMPONENTES</t>
  </si>
  <si>
    <t>HD15CPNTMM3</t>
  </si>
  <si>
    <t>CAJÓN A MEDIDA PARA  CONTENER DECODIFICADORES, CABLEADO OTROS.</t>
  </si>
  <si>
    <t>TVBOX</t>
  </si>
  <si>
    <t>CAJÓN A MEDIDA PARA  CONTENER DECODIFICADORES, CABLEADO OTROS. INSTALACIÓN EN DRYWALL. CAJÓN EN MDF REMATADO EN YESO Y PINTURA BLANCA</t>
  </si>
  <si>
    <t>CANALETA PLÁSTICA 10X12 DE 2 METROS DE LARGO</t>
  </si>
  <si>
    <t>CAN10X12</t>
  </si>
  <si>
    <t>CANALETA PLÁSTICA 20X40 DE 2 METROS DE LARGO</t>
  </si>
  <si>
    <t>CAN20X40</t>
  </si>
  <si>
    <t xml:space="preserve">CAJA ELÉCTRICA DE PASO DE 40x40cm </t>
  </si>
  <si>
    <t>C40X40</t>
  </si>
  <si>
    <t>MEDIDOR ELECTRÓNICO DE CORRIENTE PARA 3 FASES CON PUERTO RD485. MONTAJE EN RIEL.</t>
  </si>
  <si>
    <t>ME_3D2Y</t>
  </si>
  <si>
    <t>EXTENDER DE RED DE PARED</t>
  </si>
  <si>
    <t>A200</t>
  </si>
  <si>
    <t>AMPLIFICADOR DE 100 W, LECTOR DE USB. AJUSTE DE AUDIO Y BALANCE.</t>
  </si>
  <si>
    <t>AK_4500B</t>
  </si>
  <si>
    <t>AMPLIFICADOR DE 100 W, LECTOR DE USB. AJUSTE DE AUDIO Y BALANCE. 6 CANALES DE AUDIO.</t>
  </si>
  <si>
    <t>SOPORTE PARA VIDEO WALL DE 2X2, CON SISTEMA DE RUEDAS PARA MOVIMIENTO.</t>
  </si>
  <si>
    <t>SVW2X2M</t>
  </si>
  <si>
    <t>SOPORTE PARA VIDEO WALL DE 2X2, CON SISTEMA DE RUEDAS PARA MOVIMIENTO. CAPACIDAD HASTA 100Kg.</t>
  </si>
  <si>
    <t>MONITOR DE 46" RESOLUCIÓN 1920X1080 (16:9) USO 24/7 GARANTÍA  3 AÑOS.</t>
  </si>
  <si>
    <t>UH46F_5</t>
  </si>
  <si>
    <t xml:space="preserve">CABLE ESTÉREO DE 15cm </t>
  </si>
  <si>
    <t>STEREO_3.5_15</t>
  </si>
  <si>
    <t>INTERRUPTOR TIPO CODO</t>
  </si>
  <si>
    <t>INT_COD</t>
  </si>
  <si>
    <t>CONVERSOR DE SALIDA ÓPTICA A RCA ESTÉREO ANÁLOGA.</t>
  </si>
  <si>
    <t>OPT_RCA</t>
  </si>
  <si>
    <t>PANTALLA TOUCH CAPACITIVA DE 10", CON SISTEMA OPERACIONAL ANDROID 6.0.</t>
  </si>
  <si>
    <t>AND10</t>
  </si>
  <si>
    <t>https://www.amazon.com/Android-Industrial-Conference-Digital-Signage/dp/B07GD3G18B/ref=sr_1_1?ie=UTF8&amp;qid=1541503362&amp;sr=8-1&amp;keywords=android+panel+conference</t>
  </si>
  <si>
    <t>CABLE ÓPTICO DE 5.5M</t>
  </si>
  <si>
    <t>OPT5.5</t>
  </si>
  <si>
    <t>CONVERSOR PASIVO DE VGA A RJ45</t>
  </si>
  <si>
    <t>VALUMVGA</t>
  </si>
  <si>
    <t>TAPA DE INSPECCIÓN PARA DRYWALL EN FORMATO 60X60</t>
  </si>
  <si>
    <t>TI60X60</t>
  </si>
  <si>
    <t>CONVERSOR DE VGA A RJ45</t>
  </si>
  <si>
    <t>BALUMVGA</t>
  </si>
  <si>
    <t>EV110220W300</t>
  </si>
  <si>
    <t>ELEVADOR DE VOLTAJE DE 110/V A 220V, MANEJO DE CARGAS HASTA 300W.</t>
  </si>
  <si>
    <t>EV110220W200</t>
  </si>
  <si>
    <t>ELEVADOR DE VOLTAJE DE 110/V A 220V, MANEJO DE CARGAS HASTA 200W</t>
  </si>
  <si>
    <t>BLUETOOTH PARA CONEXIÓN A BASE CLÁSICA DE IPHONE/IPOD</t>
  </si>
  <si>
    <t>BTIPHONE</t>
  </si>
  <si>
    <t>BATERÍA PARA ALARMA DE 12V, 9 AMPERIOS</t>
  </si>
  <si>
    <t>BAT12V9A</t>
  </si>
  <si>
    <t>BARRAJE EN COBRE PARA 200 AMPERIOS</t>
  </si>
  <si>
    <t>TE_BAR200</t>
  </si>
  <si>
    <t>FRENTE MUERTO PARA TABLERO</t>
  </si>
  <si>
    <t>TE_FRON120_8</t>
  </si>
  <si>
    <t>KIT DE ACCESORIOS, PEINAZOS, CONECTORES, BORNERAS, TORNILLERÍA, OTROS.</t>
  </si>
  <si>
    <t>TE_KIT_TAB</t>
  </si>
  <si>
    <t>KIT DE ACCESORIOS, PEINAZOS, CONECTORES, BORNERAS, TORNILLERÍA, CANALETAS, OTROS.</t>
  </si>
  <si>
    <t>BYPASS DE 4 PUNTOS PARA UPS</t>
  </si>
  <si>
    <t>TE_BYPASS</t>
  </si>
  <si>
    <t>ARMADO DE TABLERO</t>
  </si>
  <si>
    <t>TE_ARM</t>
  </si>
  <si>
    <t>TUBO DE 1/2", DE 3 METROS EN PVC CERTIFICADO.</t>
  </si>
  <si>
    <t>PVC_0.5</t>
  </si>
  <si>
    <t>TERMINAL DE 1/2" EN PVC</t>
  </si>
  <si>
    <t>PVC_T0.5</t>
  </si>
  <si>
    <t>UNIÓN DE 1/2" EN PVC</t>
  </si>
  <si>
    <t>PVC_U0.5</t>
  </si>
  <si>
    <t>TUBO DE 3/4", DE 3 METROS EN PVC CERTIFICADO.</t>
  </si>
  <si>
    <t>PVC_0.75</t>
  </si>
  <si>
    <t>TERMINAL DE 3/4" EN PVC</t>
  </si>
  <si>
    <t>PVC_T0.75</t>
  </si>
  <si>
    <t>UNIÓN DE 3/4" EN PVC</t>
  </si>
  <si>
    <t>PVC_U0.75</t>
  </si>
  <si>
    <t>TRAMO DE 3 METROS DE Riel CHANEL</t>
  </si>
  <si>
    <t>RC42T</t>
  </si>
  <si>
    <t>ANCLAJE PARA VARILLA ROSCADA 3/8"</t>
  </si>
  <si>
    <t>RL38</t>
  </si>
  <si>
    <t>ANCLAJE PARA VARILLA ROSCADA 5/16"</t>
  </si>
  <si>
    <t>RL516</t>
  </si>
  <si>
    <t>METRO DE CORAZA PLÁSTICA DE 1/2".</t>
  </si>
  <si>
    <t>COR0.5</t>
  </si>
  <si>
    <t>METRO DE CORAZA PLÁSTICA DE 3/4".</t>
  </si>
  <si>
    <t>COR0.75</t>
  </si>
  <si>
    <t>CURVA PARA TUBO PVC DE 1 Y 1/4 DE PULGADA</t>
  </si>
  <si>
    <t>PVC_CUR1.25</t>
  </si>
  <si>
    <t>TUBO DE 1 Y 1/4", DE 3 METROS EN PVC CERTIFICADO.</t>
  </si>
  <si>
    <t>PVC_1.25</t>
  </si>
  <si>
    <t>CAJA PLÁSTICA 5800</t>
  </si>
  <si>
    <t>PVC_5800</t>
  </si>
  <si>
    <t>TERMINAL DE 1" EN PVC</t>
  </si>
  <si>
    <t>PVC_T1</t>
  </si>
  <si>
    <t>TERMINAL PARA TUBO PVC DE PULGADA Y CUARTO</t>
  </si>
  <si>
    <t>PVC_T1.25</t>
  </si>
  <si>
    <t>TUBO DE 1", DE 3 METROS EN PVC CERTIFICADO.</t>
  </si>
  <si>
    <t>PVC_1</t>
  </si>
  <si>
    <t>TERMINAL DE 1.5 PULGADAS PARA TUBO EMT</t>
  </si>
  <si>
    <t>PVC_T1.5</t>
  </si>
  <si>
    <t>PVC_T2</t>
  </si>
  <si>
    <t>TUBO DE 1 Y 1/2", DE 3 METROS EN PVC CERTIFICADO.</t>
  </si>
  <si>
    <t>PVC_1.5</t>
  </si>
  <si>
    <t>TUBO DE 2", DE 3 METROS EN PVC CERTIFICADO.</t>
  </si>
  <si>
    <t>PVC_2</t>
  </si>
  <si>
    <t>CURVA PARA TUBO PVC DE 1/2 DE PULGADA</t>
  </si>
  <si>
    <t>PVC_CUR0.5</t>
  </si>
  <si>
    <t>LONA DE ARENA DE PENA</t>
  </si>
  <si>
    <t>LARENA</t>
  </si>
  <si>
    <t xml:space="preserve">TORNILLO 3/8 </t>
  </si>
  <si>
    <t>TOR_3.8</t>
  </si>
  <si>
    <t>BOLSA TORNILLO AUTOPERFORANTE X10</t>
  </si>
  <si>
    <t>TOR_AUTOX10</t>
  </si>
  <si>
    <t>BOLSA</t>
  </si>
  <si>
    <t>POSTE PARA EXTENSIÓN DE POSICIONAMIENTO DE EQUIPOS.</t>
  </si>
  <si>
    <t>TPTO</t>
  </si>
  <si>
    <t>MONTAJE DE EQUIPOS EN POSTE</t>
  </si>
  <si>
    <t>MONT</t>
  </si>
  <si>
    <t>CONFIGURACIÓN, PUESTA A PUNTO Y CONFIGURACIÓN DE LOS SISTEMAS</t>
  </si>
  <si>
    <t>K_CAP_HIK</t>
  </si>
  <si>
    <t>METRO DE RIEL PARA CINTA LED</t>
  </si>
  <si>
    <t>LEDRIEL</t>
  </si>
  <si>
    <t>BALA MÓVIL PARA LUMINARIA MR16 EN COLOR BLANCO.</t>
  </si>
  <si>
    <t>J04</t>
  </si>
  <si>
    <t>CINTA LED RGB CON FUENTE DE 5 METROS</t>
  </si>
  <si>
    <t>LEDX5RGB</t>
  </si>
  <si>
    <t>PERFIL BLANCO PARA LED DE SOBREPONER</t>
  </si>
  <si>
    <t>CLE006B</t>
  </si>
  <si>
    <t>METRO DE CINTA LED CÁLIDA DE 6 VATIOS</t>
  </si>
  <si>
    <t>L51738</t>
  </si>
  <si>
    <t>FUENTE PARA CINTA LED DE 35 VATIOS</t>
  </si>
  <si>
    <t>F32035</t>
  </si>
  <si>
    <t>DRIVER PARA LED ATENUABLE DE 0-10 VOLTIOS.</t>
  </si>
  <si>
    <t>D75010</t>
  </si>
  <si>
    <t>CINTA LED DE 3 METROS RGB CON CONTROL REMOTO Y FUENTE</t>
  </si>
  <si>
    <t>CLED3MRGB</t>
  </si>
  <si>
    <t>SOPORTE EN RIEL PARA BOMBILLA E27</t>
  </si>
  <si>
    <t>SP27</t>
  </si>
  <si>
    <t>BOMBILLO PAR 30 DE 3000K LED</t>
  </si>
  <si>
    <t>PAR30_3000K</t>
  </si>
  <si>
    <t>RIEL DE UN METRO EN COLOR BLANCO</t>
  </si>
  <si>
    <t>RIEL1</t>
  </si>
  <si>
    <t>RIEL DE DOS METROS EN COLOR BLANCO</t>
  </si>
  <si>
    <t>RIEL2</t>
  </si>
  <si>
    <t>UNIÓN LINEAL PARA LED</t>
  </si>
  <si>
    <t>RIELU</t>
  </si>
  <si>
    <t>MARCO PARA PANEL LED DE 30X120</t>
  </si>
  <si>
    <t>M30X120</t>
  </si>
  <si>
    <t>TRANSFORMADOR ELECTRÓNICO DE 60 VATIOS</t>
  </si>
  <si>
    <t>TE120X60</t>
  </si>
  <si>
    <t>KIT DE GUAYA AUTO AJUSTABLE PARA PANEL LED</t>
  </si>
  <si>
    <t>KIT_LED</t>
  </si>
  <si>
    <t>BALA INYECTADA EN COLOR NEGRO PARA LUMINARIA MR16</t>
  </si>
  <si>
    <t>DL344NALN</t>
  </si>
  <si>
    <t>LUMINARIA RECESADA NEGRA PARA BALA GU10 MR16.</t>
  </si>
  <si>
    <t>DL343NALN</t>
  </si>
  <si>
    <t>CINTA LED RGB DE 3 METROS CON CONTROL REMOTO Y FUENTE.</t>
  </si>
  <si>
    <t>LEDX5R6B</t>
  </si>
  <si>
    <t>TUBO EN LED DE 10 VATIOS, COLOR CÁLIDO</t>
  </si>
  <si>
    <t>TLED10W</t>
  </si>
  <si>
    <t>CINTA LED EN TRAMO DE 1.5 METROS EN COLOR CÁLIDO.</t>
  </si>
  <si>
    <t>CLED1.5</t>
  </si>
  <si>
    <t>CINTA LED EN TRAMO DE 1.5 METROS EN COLOR CÁLIDO, INCLUYE FUENTE DE ALIMENTACIÓN.</t>
  </si>
  <si>
    <t>ROSETA PLÁSTICA PARA BOMBILLA E27</t>
  </si>
  <si>
    <t>RE27</t>
  </si>
  <si>
    <t>TUBO EN LED DE 18 VATIOS, COLOR CÁLIDO</t>
  </si>
  <si>
    <t>TLED18W</t>
  </si>
  <si>
    <t>BALA CUADRADA PARA LUMINARIA MR16 MÓVIL.</t>
  </si>
  <si>
    <t>BCGU10M</t>
  </si>
  <si>
    <t>ROLLO DE 100 METROS DE MANGUERA LED EN COLOR AMARILLO</t>
  </si>
  <si>
    <t>MAN_LED_A</t>
  </si>
  <si>
    <t>BOMBILLA INCANDESCENTE VINTAGE DE 60 VATIOS</t>
  </si>
  <si>
    <t>VINT60</t>
  </si>
  <si>
    <t>MÓDULO LED CUADRADO TIPO NODO</t>
  </si>
  <si>
    <t>MLED</t>
  </si>
  <si>
    <t>FUENTE LED IP65 12V 8.5 AMPERIOS</t>
  </si>
  <si>
    <t>F12V8.5AIP65</t>
  </si>
  <si>
    <t>TUBO FLUORESCENTE DE 17W, T8 LUZ BLANCA.</t>
  </si>
  <si>
    <t>T817W</t>
  </si>
  <si>
    <t>BOMBILLA G9 DE 5 VATIOS EN COLOR CÁLIDO</t>
  </si>
  <si>
    <t>G95W</t>
  </si>
  <si>
    <t>BOMBILLA HALÓGENA DE 20W A 110V, 2700K.</t>
  </si>
  <si>
    <t>G420W</t>
  </si>
  <si>
    <t>BALA HERMÉTICA INYECTADA PARA ZONA HÚMEDA</t>
  </si>
  <si>
    <t>PLQATROM</t>
  </si>
  <si>
    <t>LUMINARIA TIPO TABACO</t>
  </si>
  <si>
    <t>L7697</t>
  </si>
  <si>
    <t>LUMINARIA SUSPENDIDA EN ALUMINIO, DE LARGO 4.4 METROS.</t>
  </si>
  <si>
    <t>KLED4K</t>
  </si>
  <si>
    <t>LUMINARIA SUSPENDIDA EN ALUMINIO, DE LARGO 4.4 METROS, CUERPO SUSPENDIDO CON DOS CINTAS LED.</t>
  </si>
  <si>
    <t>LUMINARIA SUSPENDIDA EN ALUMINIO, DE LARGO 3.3 METROS.</t>
  </si>
  <si>
    <t>KLED3K</t>
  </si>
  <si>
    <t>LUMINARIA SUSPENDIDA EN ALUMINIO, DE LARGO 3.3 METROS, CUERPO SUSPENDIDO CON DOS CINTAS LED.</t>
  </si>
  <si>
    <t>LUMINARIA SUSPENDIDA EN ALUMINIO, DE LARGO 2.2 METROS.</t>
  </si>
  <si>
    <t>KLED2K</t>
  </si>
  <si>
    <t>LUMINARIA SUSPENDIDA EN ALUMINIO, DE LARGO 2.2 METROS, CUERPO SUSPENDIDO CON DOS CINTAS LED.</t>
  </si>
  <si>
    <t>LUMINARIA SUSPENDIDA EN ALUMINIO, DE LARGO 1.1 METROS.</t>
  </si>
  <si>
    <t>KLED1K</t>
  </si>
  <si>
    <t>LUMINARIA SUSPENDIDA EN ALUMINIO, DE LARGO 1.1 METROS, CUERPO SUSPENDIDO CON DOS CINTAS LED.</t>
  </si>
  <si>
    <t>BOMBILLA LED NEUTRA CON ROSCA E27 A 5W.</t>
  </si>
  <si>
    <t>E27LED5W</t>
  </si>
  <si>
    <t>BALA HALÓGENA INYECTADA RECESADA CUADRADA.</t>
  </si>
  <si>
    <t>DL343NALCUAD</t>
  </si>
  <si>
    <t>METRO LINEAL DE NODOS LED 8 VATIOS. ALIMENTACIÓN 12V.</t>
  </si>
  <si>
    <t>NOD8W</t>
  </si>
  <si>
    <t>UPGRADE A DRIVER DIMERIZABLE 010</t>
  </si>
  <si>
    <t>UPGRADE_010</t>
  </si>
  <si>
    <t>SOPORTE PARA TUBO T8</t>
  </si>
  <si>
    <t>SOPT8</t>
  </si>
  <si>
    <t>LUMINARIA LINEAL DE SOBRE PONER DE 3 METROS. 4000K.</t>
  </si>
  <si>
    <t>GEN3M</t>
  </si>
  <si>
    <t>AMPOLLETA EN FORMATO LED BIPIN DE 5W, CÁLIDO.</t>
  </si>
  <si>
    <t>AMP9G</t>
  </si>
  <si>
    <t>SOCKET BIPIN PARA FORMATO G9</t>
  </si>
  <si>
    <t>SOC9G</t>
  </si>
  <si>
    <t>METRO DE PERFIL EN U COLOR BLANCO CON DIFUSOR PARA CINTA LED.</t>
  </si>
  <si>
    <t>URIELGEN</t>
  </si>
  <si>
    <t>CAJA METÁLICA 30X30 PARA INSTALACIÓN ELÉCTRICA. MEDIDAS: 30X3012CM</t>
  </si>
  <si>
    <t>C3030</t>
  </si>
  <si>
    <t>CONTACTOR A 16 AMPERIOS Y BOBINA A 110V. MARCA: CHINT.</t>
  </si>
  <si>
    <t>CH16</t>
  </si>
  <si>
    <t>ROLLO DE 305 METROS DE CABLE DESOXIGENADO TRANSPARENTE AWG2X16 PARA ALTAVOZ.</t>
  </si>
  <si>
    <t>GEN2X16A</t>
  </si>
  <si>
    <t>ROLLO DE 100 METROS DE CABLE DESOXIGENADO TRANSPARENTE AWG2X18 PARA ALTAVOZ.</t>
  </si>
  <si>
    <t>GEN2X18AX100</t>
  </si>
  <si>
    <t>GEN2X14AX100</t>
  </si>
  <si>
    <t>ROLLO DE 100 METROS DE CABLE DESOXIGENADO TRANSPARENTE AWG2X14 PARA ALTAVOZ.</t>
  </si>
  <si>
    <t>GEN2X16AX100</t>
  </si>
  <si>
    <t>ROLLO DE 100 METROS DE CABLE DESOXIGENADO TRANSPARENTE AWG2X16 PARA ALTAVOZ.</t>
  </si>
  <si>
    <t>METRO DE CABLE ENCAUCHETADO 2X16. MARCA PROCABLE.</t>
  </si>
  <si>
    <t>PRO2X16</t>
  </si>
  <si>
    <t>ROLLO DE CABLE DÚPLEX 2X12.</t>
  </si>
  <si>
    <t>DUPLEX2X12_100M</t>
  </si>
  <si>
    <t>DUPLEX2X12_M</t>
  </si>
  <si>
    <t>METRO DE CABLE DÚPLEX AWG 2X12</t>
  </si>
  <si>
    <t>METRO DE CABLE DESOXIGENADO TRANSPARENTE AWG2X16 PARA ALTAVOZ.</t>
  </si>
  <si>
    <t>GEN2X16M</t>
  </si>
  <si>
    <t>DRIVER PARA CARGAS HASTA 50W DE 480MA ATENUABLE 0/1-10. MULTIVOLTAJE.</t>
  </si>
  <si>
    <t>DLED50W010</t>
  </si>
  <si>
    <t>DRIVER DE 3W PARA PASTILLA LED.</t>
  </si>
  <si>
    <t>DL3W</t>
  </si>
  <si>
    <t>TERMINAL AMERICANA PARA CABLE COAXIAL RG6</t>
  </si>
  <si>
    <t>T_COAX</t>
  </si>
  <si>
    <t>SPOR PARA BOMBILLA PAR 30 EN COLOR NEGRO</t>
  </si>
  <si>
    <t>SPPAR30</t>
  </si>
  <si>
    <t>FIBRA ÓPTICA MULTI O MONO MODO DE 150 METROS</t>
  </si>
  <si>
    <t>FMOD150</t>
  </si>
  <si>
    <t>EL_150GF</t>
  </si>
  <si>
    <t>SOPORTE PARA ELECTRO IMÁN DE 150 LIBRAS</t>
  </si>
  <si>
    <t>ZL_150</t>
  </si>
  <si>
    <t>SOPORTE ELECTROIMÁN DE 350 LIBRAS DE PUERTA DE VIDRIO</t>
  </si>
  <si>
    <t>U_150</t>
  </si>
  <si>
    <t>BOTÓN NO TOUCH CON CONTROL INALÁMBRICO</t>
  </si>
  <si>
    <t>VZ_K2_RF</t>
  </si>
  <si>
    <t>FUENTE DE ALIMENTACIÓN PARA ELECTROIMÁN</t>
  </si>
  <si>
    <t>VZ_12V_2A</t>
  </si>
  <si>
    <t>PLATINA DE SOPORTE EN L</t>
  </si>
  <si>
    <t>L_PLATINA</t>
  </si>
  <si>
    <t>ANTI REMANENTE PARA ELECTRO IMÁN</t>
  </si>
  <si>
    <t>ANTI_REMANENTE</t>
  </si>
  <si>
    <t>POTENCIÓMETRO DE 100K</t>
  </si>
  <si>
    <t>POT100K</t>
  </si>
  <si>
    <t>FUENTE PARA REGLETA LED DE 4W, 4 PASILLAS.</t>
  </si>
  <si>
    <t>PSF12</t>
  </si>
  <si>
    <t>REGLETA LED DE 4 PASILLAS 1CM DE ANCHO</t>
  </si>
  <si>
    <t>REG4</t>
  </si>
  <si>
    <t>BORNERA DE CONEXIÓN DE BAJO VOLTAJE</t>
  </si>
  <si>
    <t>BOR_DC</t>
  </si>
  <si>
    <t>CONECTOR DE 30 PINES GENÉRICO</t>
  </si>
  <si>
    <t>KIT_MAC_30PIN</t>
  </si>
  <si>
    <t>TRANSFORMADOR DE 25KVA PARA INSTALACIÓN INTEMPERIE,  240-120V.</t>
  </si>
  <si>
    <t>TRANS25KVA</t>
  </si>
  <si>
    <t>ACCESORIOS DE FIJACIÓN PARA TRANSFORMADOR</t>
  </si>
  <si>
    <t>FIC_TRANS</t>
  </si>
  <si>
    <t>PROTECCIONES DE MEDIA TENSIÓN PARA PARA RAYOS</t>
  </si>
  <si>
    <t>PROC_MED</t>
  </si>
  <si>
    <t>KIT DE PROTECTORES DE CAÑUELA</t>
  </si>
  <si>
    <t>PROC_CAN</t>
  </si>
  <si>
    <t>MEDIDOR DE ENERGÍA DE 2X120V A 15 AMPERIOS.</t>
  </si>
  <si>
    <t>MED_15AMP</t>
  </si>
  <si>
    <t>CAJA MEDIDOS DE ENERGÍA</t>
  </si>
  <si>
    <t>BOX_MED</t>
  </si>
  <si>
    <t>CAJA SUBTERRÁNEA PARA ACOMETIDAS ELÉCTRICAS</t>
  </si>
  <si>
    <t>BOX_SUB</t>
  </si>
  <si>
    <t>VARILLA DE PUESTA A TIERRA DE 2.44M</t>
  </si>
  <si>
    <t>TIE_COB58</t>
  </si>
  <si>
    <t>SOLDADURA EXOTÉRMICA PARA VARILLA</t>
  </si>
  <si>
    <t>TIE_SOL</t>
  </si>
  <si>
    <t>REGISTRO SUBTERRÁNEO PARA MANTENIMIENTO DE ACOMETIDA A TIERRA</t>
  </si>
  <si>
    <t>TIE_REG</t>
  </si>
  <si>
    <t>POSTE METÁLICO DE 510Kg, POSTADO E HINCADO, NORMA ENEL CODENSA.</t>
  </si>
  <si>
    <t>P292_R295</t>
  </si>
  <si>
    <t>POSTE METÁLICO DE 1050Kg, POSTADO E HINCADO, NORMA ENEL CODENSA.</t>
  </si>
  <si>
    <t>CTU500</t>
  </si>
  <si>
    <t>POSTE METÁLICO REFERENCIA LAR123 PARA DERIVACIÓN NORMAL.</t>
  </si>
  <si>
    <t>LAR213</t>
  </si>
  <si>
    <t>VESTIDA DE POSTE EXISTENTE, ACCESORIOS PARA FIJACIÓN Y DERIVACIÓN DE LÍNEA.</t>
  </si>
  <si>
    <t>VES_POS</t>
  </si>
  <si>
    <t>VESTIDA DE POSTE EXISTENTE, ACCESORIOS PARA FIJACIÓN Y DERIVACIÓN DE LÍNEA INSTALADO.</t>
  </si>
  <si>
    <t>METRO DE CABLE ECOLÓGICO 2X2/0 TENDIDO</t>
  </si>
  <si>
    <t>ECO2_0</t>
  </si>
  <si>
    <t>VARILLA 5/8 CON TUBERÍA GALVANIZADA EN 1/2"</t>
  </si>
  <si>
    <t>GND5_8</t>
  </si>
  <si>
    <t>CAJA DE DERIVACIÓN DE 60X60 EN MOCHETA PARA MEDIDOR DE CORRIENTE.</t>
  </si>
  <si>
    <t>C60X60</t>
  </si>
  <si>
    <t>CAJA DE DERIVACIÓN DE 60X60 EN MOCHETA PARA MEDIDOR DE CORRIENTE, GALVANIZADO CON BREAKER SEMI INDUSTRIAL DE 80 AMPERIOS.</t>
  </si>
  <si>
    <t>VARILLA DE PUESTA A TIERRA DE 2.44M EN CALIBRE 8</t>
  </si>
  <si>
    <t>GND5_8_8</t>
  </si>
  <si>
    <t>CANALIZACIÓN EN DOS DUCTOS DE PVC DE 2" PARA ACOMETIDAS Y SALIDAS DE BAJA.</t>
  </si>
  <si>
    <t>CAN_ENEL</t>
  </si>
  <si>
    <t>CANALIZACIÓN EN DOS DUCTOS DE PVC DE 2" PARA ACOMETIDAS Y SALIDAS DE BAJA TENSIÓN</t>
  </si>
  <si>
    <t>ACOMETIDA PARCIAL CON CUATRO CABLES #2 MAS CABLE NUMERO 8 EN TIERRA.</t>
  </si>
  <si>
    <t>AWG5X4_0_8</t>
  </si>
  <si>
    <t>TEMPLETE DE SUJECIÓN INSTALADO EN POSTE</t>
  </si>
  <si>
    <t>TEMPLE</t>
  </si>
  <si>
    <t>PUESTA A TIERRA PARA ATERRIZAJE EN CABLE #8, TUBERÍA EMT Y CAJA 30x30.</t>
  </si>
  <si>
    <t>GND_TIPE_A</t>
  </si>
  <si>
    <t>PUESTA A TIERRA PARA ATERRIZAJE EN CABLE #8, TUBERÍA EMT Y CAJA 30x30. (TIERRA TABLERO O PLANTA)</t>
  </si>
  <si>
    <t>PUESTA A TIERRA PARA ATERRIZAJE DE TRANSFORMADOR EN CABLE #2, TUBERÍA 1/2".</t>
  </si>
  <si>
    <t>GND_TIPE_B</t>
  </si>
  <si>
    <t>PUESTA A TIERRA PARA ATERRIZAJE DE TRANSFORMADOR EN CABLE #2, TUBERÍA GALVANIZADA 1/2". (TIERRA TRANSFORMADOR)</t>
  </si>
  <si>
    <t>PUESTA A TIERRA PARA ATERRIZAJE DE MEDIDOR EN CABLE #8, VARILLA DE COBRE 5/8.</t>
  </si>
  <si>
    <t>GND_TIPE_C</t>
  </si>
  <si>
    <t>PUESTA A TIERRA PARA ATERRIZAJE DE MEDIDOR EN CABLE #8, VARILLA DE COBRE 5/8, TUBERÍA PVC Y CAJA DE INSPECCIÓN DE 30x30. (TIERRA MEDIDOR)</t>
  </si>
  <si>
    <t>CANALIZACIÓN EN DOS DUCTOS DE PVC DE 1.5" PARA ACOMETIDAS Y SALIDAS DE BAJA.</t>
  </si>
  <si>
    <t>CANALIZACIÓN EN DOS DUCTOS DE PVC DE 1.5" PARA ACOMETIDAS Y SALIDAS DE BAJA TENSIÓN ENTRE CONTADOR Y TABLERO ELÉCTRICO. (CANAL MEDIDOR - TABLERO)</t>
  </si>
  <si>
    <t>ACOMETIDA PARCIAL CON CUATRO CABLES #2 MAS CABLE NUMERO 4 PARA TIERRA.</t>
  </si>
  <si>
    <t>AWG5X2_0_2_4T</t>
  </si>
  <si>
    <t>ACOMETIDA PARCIAL CON CUATRO CABLES #2 MAS CABLE NUMERO 4 PARA TIERRA. (MEDIDOR - TABLERO=</t>
  </si>
  <si>
    <t>AWG5X2_0_2</t>
  </si>
  <si>
    <t>ACOMETIDA PARCIAL CON CUATRO CABLES #2 MAS CABLE NUMERO 4 PARA TIERRA. (PARCIAL TRANSFORMADOR - MEDIDOR)</t>
  </si>
  <si>
    <t>INTERRUPTOR PEQUEÑO DE SOLDAR NEGRO PARA 2 AMPERIOS</t>
  </si>
  <si>
    <t>SWMIN</t>
  </si>
  <si>
    <t>REPARACIÓN DE FUENTE</t>
  </si>
  <si>
    <t>K_REPAIR_FTE</t>
  </si>
  <si>
    <t>GROMMET COMPACTO EN COLOR NEGRO CON PUERTO HDMI, VGA, USB Y TOMA CORRIENTE</t>
  </si>
  <si>
    <t>MI_1024</t>
  </si>
  <si>
    <t>PROTECTOR DE PICOS DE 10 AMPERIOS</t>
  </si>
  <si>
    <t>PP10A</t>
  </si>
  <si>
    <t>INTERRUPTOR AUTOMÁTICO PARA PUERTA</t>
  </si>
  <si>
    <t>INT_CON</t>
  </si>
  <si>
    <t>SOCKET PARA ILUMINACION BIPIN</t>
  </si>
  <si>
    <t>S2PIN</t>
  </si>
  <si>
    <t>DIMMER DE ROTACIÓN</t>
  </si>
  <si>
    <t>D_603PG_DK</t>
  </si>
  <si>
    <t>CONECTOR BIPIN PARA CINTA LED</t>
  </si>
  <si>
    <t>C2PH01</t>
  </si>
  <si>
    <t>TERMINAL ESTAÑADA AWG12</t>
  </si>
  <si>
    <t>TER12</t>
  </si>
  <si>
    <t>TERMINAL ESTAÑADA AWG10</t>
  </si>
  <si>
    <t>TER10</t>
  </si>
  <si>
    <t>METRO DE CABLE APANTALLADO DE INSTRUMENTACIÓN 2X16</t>
  </si>
  <si>
    <t>C_INS2X16M</t>
  </si>
  <si>
    <t>50 METROS DE CINTA DE PRECAUCIÓN PARA MARCACIÓN DE ÁREAS</t>
  </si>
  <si>
    <t>CIN_DAN</t>
  </si>
  <si>
    <t>CHAZO MARIPOSA DE 1/4</t>
  </si>
  <si>
    <t>C_MAR</t>
  </si>
  <si>
    <t>SOPORTE CROMADO DOBLE PARA TV DE HASTA 55"</t>
  </si>
  <si>
    <t>GEN19</t>
  </si>
  <si>
    <t>METRO DE CORAZA AMERICANA DE 1 y 1/4 DE PULGADA</t>
  </si>
  <si>
    <t>CORA1.25_M</t>
  </si>
  <si>
    <t>TERMINAR DE 1 y 1/4" PARA CORAZA AMERICANA</t>
  </si>
  <si>
    <t>CORA_T1.25</t>
  </si>
  <si>
    <t>CORA0.75_M</t>
  </si>
  <si>
    <t>TERMINAR DE 3/4" PARA CORAZA AMERICANA</t>
  </si>
  <si>
    <t>CORA_T0.75</t>
  </si>
  <si>
    <t>LAMINILLA PINTADA EN VINILO PARA TAPA DE TECHO EN MDF O MADERA</t>
  </si>
  <si>
    <t>TAP_50</t>
  </si>
  <si>
    <t>COSTO ESTIMADO PARA DINTEL EN DRYWALL, INCLUYE MATERIALES.</t>
  </si>
  <si>
    <t>K_DINTEL_TEL</t>
  </si>
  <si>
    <t>COSTO ESTIMADO PARA DINTEL EN DRYWALL, INCLUYE MATERIALES, DILATACIÓN Y ESTRUCTURA DE REFUERZO. ESCALERAS, CARTÓN, OTROS.</t>
  </si>
  <si>
    <t>BORNERA PARA RIEL DIM PACA CABLE CALIBRE #4</t>
  </si>
  <si>
    <t>BOR4</t>
  </si>
  <si>
    <t>BORNERA PARA RIEL DIM PARA CABLE CALIBRE #4</t>
  </si>
  <si>
    <t>BORNERA PARA RIEL DIM PACA CABLE CALIBRE #6</t>
  </si>
  <si>
    <t>BOR6</t>
  </si>
  <si>
    <t>BORNERA PARA RIEL DIM PARA CABLE CALIBRE #6</t>
  </si>
  <si>
    <t>BORNERA PARA RIEL DIM PACA CABLE CALIBRE #8</t>
  </si>
  <si>
    <t>BOR8</t>
  </si>
  <si>
    <t>BORNERA PARA RIEL DIM PARA CABLE CALIBRE #8</t>
  </si>
  <si>
    <t>BORNERA PARA RIEL DIM PACA CABLE CALIBRE #10</t>
  </si>
  <si>
    <t>BOR10</t>
  </si>
  <si>
    <t>BORNERA PARA RIEL DIM PARA CABLE CALIBRE #10</t>
  </si>
  <si>
    <t>BORNERA PARA RIEL DIM PACA CABLE CALIBRE #12</t>
  </si>
  <si>
    <t>BOR12</t>
  </si>
  <si>
    <t>BORNERA PARA RIEL DIM PARA CABLE CALIBRE #12</t>
  </si>
  <si>
    <t>https://electrificadoracapital.com/producto/bornera-torn-cortocirc-57a-750v-10mm2-gris</t>
  </si>
  <si>
    <t>INTERRUPTOR DE PASO TIPO MULETILLA</t>
  </si>
  <si>
    <t>INT_MUL</t>
  </si>
  <si>
    <t>SOPORTE PARA DOS TV DE HASTA 55" CON BRAZO A MEDIDA ANODIZADO.</t>
  </si>
  <si>
    <t>SOPORTE A MEDIDA CON CORTE LASER EN ALUMINIO</t>
  </si>
  <si>
    <t>SOP_MED</t>
  </si>
  <si>
    <t>LICENCIA INSTALADA PARA SISTEMA DE CONTROL DE ACCESO</t>
  </si>
  <si>
    <t>LICENCE_CA</t>
  </si>
  <si>
    <t>ROLLO DE ETIQUETAS PARA 500 INGRESOS</t>
  </si>
  <si>
    <t>ETI500</t>
  </si>
  <si>
    <t>CINTA TIPO CERA, PARA 2000 ETIQUETAS</t>
  </si>
  <si>
    <t>CER2000</t>
  </si>
  <si>
    <t>LUMINARIA LED DE 80W PARA POSTE, 4000K, PANEL SOLAR DE 25 AÑOS DE VIDA ÚTIL.</t>
  </si>
  <si>
    <t>T6B</t>
  </si>
  <si>
    <t>LUMINARIA LED DE 80W PARA POSTE, 4000K, PANEL SOLAR DE 25 AÑOS DE VIDA ÚTIL, TIEMPO DE CARGA DE 6 HORAS, AUTONOMÍA 12 HORAS, 8.000-10.400 LM. GARANTÍA 1 AÑO.</t>
  </si>
  <si>
    <t>LUMINARIA LED DE 100W PARA POSTE, 4000K, PANEL SOLAR DE 25 AÑOS DE VIDA ÚTIL.</t>
  </si>
  <si>
    <t>T7A</t>
  </si>
  <si>
    <t>LUMINARIA LED DE 100W PARA POSTE, 4000K, PANEL SOLAR DE 25 AÑOS DE VIDA ÚTIL, TIEMPO DE CARGA DE 6 HORAS, AUTONOMÍA 12 HORAS, 10.000-13.400 LM. GARANTÍA 1 AÑO.</t>
  </si>
  <si>
    <t>LUMINARIA LED DE 1200W PARA POSTE, 4000K, PANEL SOLAR DE 25 AÑOS DE VIDA ÚTIL.</t>
  </si>
  <si>
    <t>T7B</t>
  </si>
  <si>
    <t>LUMINARIA LED DE 1200W PARA POSTE, 4000K, PANEL SOLAR DE 25 AÑOS DE VIDA ÚTIL, TIEMPO DE CARGA DE 6 HORAS, AUTONOMÍA 12 HORAS, 12000 - 15.600 LM. GARANTÍA 1 AÑO.</t>
  </si>
  <si>
    <t>SOPORTE CILÍNDRICO EN MDF PINTADO DE COLOR BLANCO</t>
  </si>
  <si>
    <t>S_MDF</t>
  </si>
  <si>
    <t>SOPORTE CILÍNDRICO METÁLICO CON BRAZO EXTENSIVO Y APLIQUE EN COLOR BLANCO.</t>
  </si>
  <si>
    <t>S_ALM</t>
  </si>
  <si>
    <t>EXTENSIÓN ELÉCTRICA DE 2M</t>
  </si>
  <si>
    <t>EXT110X2</t>
  </si>
  <si>
    <t>MULTITOMA DE PARED DE 6 SALIDAS CON POLO A TIERRA</t>
  </si>
  <si>
    <t>MUL_PAR</t>
  </si>
  <si>
    <t>DRIVER LED PARA PASTILLA DE 50W</t>
  </si>
  <si>
    <t>DL50W05</t>
  </si>
  <si>
    <t>PASTILLA LED DE 50W COLOR CÁLIDO</t>
  </si>
  <si>
    <t>L50WC10</t>
  </si>
  <si>
    <t>PONCHADORA DE TERMINALES</t>
  </si>
  <si>
    <t>TERAISLADA2210</t>
  </si>
  <si>
    <t>TENAZA DE SUJECIÓN</t>
  </si>
  <si>
    <t>T66101</t>
  </si>
  <si>
    <t>PRENSA RÁPIDA DE GATILLO</t>
  </si>
  <si>
    <t>TY199</t>
  </si>
  <si>
    <t>METRO DE CORAZA AMERICANA DE 1"</t>
  </si>
  <si>
    <t>COR1_M</t>
  </si>
  <si>
    <t>METRO DE CORAZA PLÁSTICA DE 1".</t>
  </si>
  <si>
    <t>COR1</t>
  </si>
  <si>
    <t>ESCALERA DE 6 PASOS TIPO TIJERA</t>
  </si>
  <si>
    <t>ESC6P</t>
  </si>
  <si>
    <t>CORA1_M</t>
  </si>
  <si>
    <t>LED_90B</t>
  </si>
  <si>
    <t>SOPORTE FIJO DE PARED PARA MONITOR DE HASTA 90". GARANTIA DE 3 AÑOS.</t>
  </si>
  <si>
    <t>K_ALM_BCP</t>
  </si>
  <si>
    <t>CILINDRO PARA PARLANTE EN METAL TERMINADO EN BLANCO.
ESTRUCTURA PARA INSTALAR CON BRAZO HUECO Y PLAFON</t>
  </si>
  <si>
    <t>PS_6014</t>
  </si>
  <si>
    <t>EXTENDOR VGA HASTA 60 METROS</t>
  </si>
  <si>
    <t>AP300</t>
  </si>
  <si>
    <t>APLIQUE SATINADO IP44 PARA BOMBILLA E27</t>
  </si>
  <si>
    <t>CUSTOM_BOX</t>
  </si>
  <si>
    <t>CAJA MDF DE TAMANO PERSONALIZADO PARA TV</t>
  </si>
  <si>
    <t>PER_BL</t>
  </si>
  <si>
    <t>PERFIL DE EMPOTRAR CON ACABADO SATINADO PARA CINTA LED 50/50</t>
  </si>
  <si>
    <t>BRACK_REL</t>
  </si>
  <si>
    <t xml:space="preserve">BANDEJA RETRACTIL GENERICA PARA RACK TIPO SERVIDOR </t>
  </si>
  <si>
    <t>FUS5A</t>
  </si>
  <si>
    <t>FUSIBLE CERAMICO DE 5 AMPERIOS</t>
  </si>
  <si>
    <t>GENW1080P</t>
  </si>
  <si>
    <t>CAMARA WEB GENERICA 1080P</t>
  </si>
  <si>
    <t>KLG3215</t>
  </si>
  <si>
    <t>CAJA ELECTRICA PARA EXTERIORES IP65, 33x22x15Cm.</t>
  </si>
  <si>
    <t>5e</t>
  </si>
  <si>
    <t>N520_300M</t>
  </si>
  <si>
    <t>PATCH CORE EN FIBRA OPTICA MONOPUNTO POR 300 METROS PARA EXTERIOR</t>
  </si>
  <si>
    <t>MDRVX1</t>
  </si>
  <si>
    <t>RELE CON BORNERA, BOBINA 5VDC, CORRIENTE 5 AMMPERIOS</t>
  </si>
  <si>
    <t>TI_132</t>
  </si>
  <si>
    <t>TELON ELECTRICO FORMATO 16:9, DE 106". 2.33mx1.35m. Control Remoto RF</t>
  </si>
  <si>
    <t>https://articulo.mercadolibre.com.co/MCO-454226366-telon-electrico-formato-169-de-234-x-131-mtr-tl-132-_JM?quantity=1#position=1&amp;type=item&amp;tracking_id=7d5f3c12-bc14-4015-9c2a-dee5e6707054</t>
  </si>
  <si>
    <t>EXT_IR</t>
  </si>
  <si>
    <t>ENTENSOR DE IR</t>
  </si>
  <si>
    <t>RIEL_DIN</t>
  </si>
  <si>
    <t>RIEL DIN DE UN METRO</t>
  </si>
  <si>
    <t>C50X60X15</t>
  </si>
  <si>
    <t>CAJA DE PASO DE 60Cm X 50Cm X 15Cm.</t>
  </si>
  <si>
    <t>F48V3A</t>
  </si>
  <si>
    <t>FUENTE DE VOLTAJE DE 48VDC 3 AMPERIOS</t>
  </si>
  <si>
    <t>ACOR4</t>
  </si>
  <si>
    <t>DUCTO TIP ACORDEON DE 4 PULGADAS</t>
  </si>
  <si>
    <t>ABRA</t>
  </si>
  <si>
    <t>ABRAZADERA METALICA</t>
  </si>
  <si>
    <t>CMET</t>
  </si>
  <si>
    <t>CINTA METALIZADA PARA DUCTOS</t>
  </si>
  <si>
    <t>PLUG_DC</t>
  </si>
  <si>
    <t>PLUG MACHO/HEMBRA PARA CONEXIÓN DE FUENTES DE VOLTAJE</t>
  </si>
  <si>
    <t>CAR2_GU10</t>
  </si>
  <si>
    <t>CARDAN DIRECCIONABLE PARA DOS BOMBILLAS GU10</t>
  </si>
  <si>
    <t>R1054</t>
  </si>
  <si>
    <t>REFLECTOR DE 30W EN COLOR BLANCO, IP65, 2550 LUMENS.</t>
  </si>
  <si>
    <t>SP15W4000</t>
  </si>
  <si>
    <t>SPOT PARA RIEL DE 15W, 4000K.</t>
  </si>
  <si>
    <t>NIV_ROS</t>
  </si>
  <si>
    <t>NIVELADOR ROSCADO</t>
  </si>
  <si>
    <t>BST_C8002B</t>
  </si>
  <si>
    <t>CARGADOR DE 4 BATERIAS AAA</t>
  </si>
  <si>
    <t>RPM2700</t>
  </si>
  <si>
    <t>VENTILADOR A 110V PARA RACK</t>
  </si>
  <si>
    <t>https://articulo.mercadolibre.com.co/MCO-452492464-ventilador-para-rack-gabinetes-_JM?quantity=1#position=15&amp;type=item&amp;tracking_id=606f926e-a55f-420b-b17a-78c549c312cd</t>
  </si>
  <si>
    <t>CBL_TEXT_BL</t>
  </si>
  <si>
    <t>CABLE TEXTIL 2X16 EN COLOR NEGRO.</t>
  </si>
  <si>
    <t>DRIVE48</t>
  </si>
  <si>
    <t>DRIVER DE HASTA 48W PARA PANEL LED</t>
  </si>
  <si>
    <t>BARSIL</t>
  </si>
  <si>
    <t>BARRA DE SILICONA CALIENTE</t>
  </si>
  <si>
    <t>GEN_SN_243</t>
  </si>
  <si>
    <t>MICROFONO OMNIDIRECCIONAL PARA CONFERENCIAS</t>
  </si>
  <si>
    <t>C40X40X15</t>
  </si>
  <si>
    <t>CAJA ELECTRICA DE 40X40X15</t>
  </si>
  <si>
    <t>CON_RGB</t>
  </si>
  <si>
    <t>CONTROLADORA DE CINTA LED RGB POR WIFI O CONTROL REMOTO</t>
  </si>
  <si>
    <t>TSLE80</t>
  </si>
  <si>
    <t>SOPORTE DE PARED PARA TV DE HASTA 85"</t>
  </si>
  <si>
    <t>MC60493M</t>
  </si>
  <si>
    <t>CABLE DE PODER DE 3 METROS</t>
  </si>
  <si>
    <t>B_CAM</t>
  </si>
  <si>
    <t>BASE PARA INSTALACION DE CAMARA TIPO DOMO</t>
  </si>
  <si>
    <t>METRO DE CORAZA AMERICANA DE 1 Y 1/2 DE PULGADA</t>
  </si>
  <si>
    <t>CORA_M1.5</t>
  </si>
  <si>
    <t>TERMINAL PARA CORAZA DE 1.5 DE PULGADA</t>
  </si>
  <si>
    <t>TER_CO_1.5</t>
  </si>
  <si>
    <t>PL1X1.2</t>
  </si>
  <si>
    <t>METRO DE PERFIL LED DE ALUMINIO CON DIFUSOR DE SOBREPONER. ANCHO DE 10.5mm Y ALTO 12mm</t>
  </si>
  <si>
    <t>CON_EU</t>
  </si>
  <si>
    <t>CONVERSOR DE CONECTOR AMERICANO A EUROPEO</t>
  </si>
  <si>
    <t>TRANS70V</t>
  </si>
  <si>
    <t>TRANSFORMADOR DE LINEA A 70V</t>
  </si>
  <si>
    <t>BT5.0</t>
  </si>
  <si>
    <t>TRANSMISOR BLUETOOTH</t>
  </si>
  <si>
    <t>https://articulo.mercadolibre.com.co/MCO-588916919-transmisor-receptor-bluetooth-50-con-auxiliar-2-en-1-ob-_JM#position=9&amp;type=item&amp;tracking_id=e9e6328e-f338-45e4-bb2d-a41320c05b82</t>
  </si>
  <si>
    <t>SOP_IRX</t>
  </si>
  <si>
    <t>SOPORTE PARA PARLANTE IRX DE PARED</t>
  </si>
  <si>
    <t>TRANS_FINA</t>
  </si>
  <si>
    <t>COSTOS DE TRANSACCION FINANCIERA</t>
  </si>
  <si>
    <t>PS_926</t>
  </si>
  <si>
    <t>CAMARA DE VIDEO PTZ CON VIDEO POR USB. PUERTO DE CONTROL SERIAL, ANGULO DE AAPERTURA DE 178°. SALIDA 1920 Y 1080P. ZOOM DIGITAL DE 10X</t>
  </si>
  <si>
    <t>SN_901</t>
  </si>
  <si>
    <t>TRANSMISOR EXTENDER DE AUDIO POR UTP</t>
  </si>
  <si>
    <t>PS_922</t>
  </si>
  <si>
    <t>CAMARA ePTZ CON RESOLUCION 4K. 130° DE VISTA HORIZONTAL. MANEJA USB 3.0 Y SALIDA ADICIONAL DE VIDEO HDMI.</t>
  </si>
  <si>
    <t>PS3</t>
  </si>
  <si>
    <t>PLATO SENCILLO DE 3 PULGADAS CON PORTALAMPARA</t>
  </si>
  <si>
    <t>CAN15</t>
  </si>
  <si>
    <t>CANDADO PEQUEÑO</t>
  </si>
  <si>
    <t>RES20W</t>
  </si>
  <si>
    <t>RESISTENCIA DE 20W</t>
  </si>
  <si>
    <t>DD3000</t>
  </si>
  <si>
    <t>CINTA LED DE ALTA DENSIDAD Y FLUJO LUMINICO EN COLOR CALIDO, ROLLO POR 5 METROS.</t>
  </si>
  <si>
    <t>DD6000</t>
  </si>
  <si>
    <t>CINTA LED DE ALTA DENSIDAD Y FLUJO LUMINICO EN COLOR BLANCO 6000K, ROLLO POR 5 METROS.</t>
  </si>
  <si>
    <t>SOFT_PORT</t>
  </si>
  <si>
    <t>LICENCIA DE SOFTWARE PARA PUNTO POST, CONFIGURACION Y CAPACITACION EN SITIO DURANTE 2 HORAS</t>
  </si>
  <si>
    <t>C52959</t>
  </si>
  <si>
    <t>PERFIL MICROPLINE TRIMLESS DE 4mm. CON CINTA LED Y PERFIL INCLUIDO</t>
  </si>
  <si>
    <t>K_PROG_INBIO</t>
  </si>
  <si>
    <t>PROGRAMACION CON MIGRACION DE BASE DE DATOS, AJUSTES Y PARAMETRIZACIÓN DE CONTROLADORA INBIO 260</t>
  </si>
  <si>
    <t>CUSTOM_PC</t>
  </si>
  <si>
    <t>QUIPO DE ESCRITORIO DESK MINI /PROCESADOR INTEL CORE I5 9400 6/6 CORE 4.1GHZ / CHIPSET H370 / MEMORIA 16GB 2400MHZ GSKILL RIPJAWS / SSD 256GB LEXAR / DESK MINI 310W
H370 WIFI / NT-DESKMINI310W / COMBO LOGITECH MK200 / MONITOR SAMSUNG 22" SLIM LS22F350FHLXZP PLANO (1920 X 1080) 5MS 60HZ / LICENCIA ANTIVIRUS 3 USUARIOS KASPERSKY</t>
  </si>
  <si>
    <t>CAS_FM</t>
  </si>
  <si>
    <t>AURICULARES CON RECEPTOR FM</t>
  </si>
  <si>
    <t>https://www.amazon.com/dp/B083GJVSTP/ref=sspa_dk_detail_2?psc=1&amp;pd_rd_i=B083GJVSTP&amp;pd_rd_w=iAcV0&amp;pf_rd_p=80360d1c-2d74-4d2e-9034-f92fb5248b33&amp;pd_rd_wg=lmxTJ&amp;pf_rd_r=G6E07380QCDW0HXV8T5Q&amp;pd_rd_r=d73aadaa-8fb8-4d2b-9e34-842a69cdb5bb&amp;spLa=ZW5jcnlwdGVkUXVhbGlmaWVyPUFENVFJTTdLVklFUzcmZW5jcnlwdGVkSWQ9QTAxMTYxOTQzSzdCTEpZUDdQUEFXJmVuY3J5cHRlZEFkSWQ9QTA0ODI1NDMzT0pFU1NIVjVIVkJNJndpZGdldE5hbWU9c3BfZGV0YWlsJmFjdGlvbj1jbGlja1JlZGlyZWN0JmRvTm90TG9nQ2xpY2s9dHJ1ZQ==</t>
  </si>
  <si>
    <t>CUSTOM_CAR</t>
  </si>
  <si>
    <t>CARRO A MEDIDA CON LLANTAS EN AIRE, DISENO Y FABRICACIÓN</t>
  </si>
  <si>
    <t>PS_921</t>
  </si>
  <si>
    <t>CAMARA DE CAPTURA 1920x1080P, SALIDA HDMI. ZOOM 10X Y CONTROL EXTERIOR POR SERIAL. GENERAL: PS_921</t>
  </si>
  <si>
    <t>KIT_LED3</t>
  </si>
  <si>
    <t>LED_CU</t>
  </si>
  <si>
    <t>CUBIERTA PARA PERFIL DE CINTA LED</t>
  </si>
  <si>
    <t>LED_T</t>
  </si>
  <si>
    <t>TAPA FIN DE RIEL</t>
  </si>
  <si>
    <t>PTA_D</t>
  </si>
  <si>
    <t>SOPORTE EN ALUMINIO PARA DRIVER</t>
  </si>
  <si>
    <t>DIMLED</t>
  </si>
  <si>
    <t>ATENUADOR PARA FUENTE DE CORRIENTE CONTINUA HASTA 30 AMPERIOS</t>
  </si>
  <si>
    <t>USB_U</t>
  </si>
  <si>
    <t>UNIÓN USB</t>
  </si>
  <si>
    <t>CBL_RGB</t>
  </si>
  <si>
    <t>CABLE RGB DE 4 HILOS</t>
  </si>
  <si>
    <t>FO_OM3</t>
  </si>
  <si>
    <t>METRO DE FIBRA ÓPTICA 6 HILOS</t>
  </si>
  <si>
    <t>BOC_OB</t>
  </si>
  <si>
    <t>CAJAS PARA INTERCONEXIÓN DE FIBRA MULTIPUNTO..</t>
  </si>
  <si>
    <t>PIGTELAR</t>
  </si>
  <si>
    <t>CONECTOR DE FINALIZACIÓN PARA FIBRA</t>
  </si>
  <si>
    <t>K_CON_FO</t>
  </si>
  <si>
    <t>CONEXIONADO DE EQUIPOS Y ENSAMBLE DE FIBRA</t>
  </si>
  <si>
    <t>GEN_CAM_IND</t>
  </si>
  <si>
    <t>CAMARA CON PINTURA ELECTROSTATICA PARA BOMBILLA E27</t>
  </si>
  <si>
    <t>SIGNCOMPLEX</t>
  </si>
  <si>
    <t>LEDRIEL_PRO</t>
  </si>
  <si>
    <t>RIEL DE SOBREPONER DE TEMINACION FINA Y ALTA DIFUSION POR METRO</t>
  </si>
  <si>
    <t>NEO2X18</t>
  </si>
  <si>
    <t>METRO DE CABLE NEOPREN AWG 2X18</t>
  </si>
  <si>
    <t>F18V3A</t>
  </si>
  <si>
    <t>FUENTE DE SWITCHEO DE 18V, 3 AMPERIOS.</t>
  </si>
  <si>
    <t>K_TE_12_INT</t>
  </si>
  <si>
    <t xml:space="preserve">SUMINISTRO E INSTALACIÓN TABLERO 12 CTOS CON ESPACIO PARA TOTALIZADOR INCLUYE: BARRAJES DE COBRE 3 FASES NEUTRO TIERRA, 12 BRAKERS 1X15 O 20A, TOTALIZADOR 3X50 A, CABLEADO INTERNO, EMPALMES Y PUESTA EN SERVICIO </t>
  </si>
  <si>
    <t>K_REV_ELE</t>
  </si>
  <si>
    <t>REVISIÓN GENERAL CIRCUITOS Y CORRECCIONES BÁSICAS PARA PREVENIR CORTOS CIRCUITOS ( NO INCLUYE CABLEADO DE NUEVOS CIRCUITOS O CAMBIO DE CABLEADO DE CIRCUITOS)</t>
  </si>
  <si>
    <t>EXT_GUI</t>
  </si>
  <si>
    <t>EXTENSION TIPO GUIRNALDA POR 6 METROS</t>
  </si>
  <si>
    <t>EXT_VINTA</t>
  </si>
  <si>
    <t>BOMBILLA VINTAGE PARA EXTENSION DE GUIRNALDA</t>
  </si>
  <si>
    <t>K3000S</t>
  </si>
  <si>
    <t>CINTA LED SILICONADA 50/50, 3000K.</t>
  </si>
  <si>
    <t>CONECTOR ROSCADO ROJO</t>
  </si>
  <si>
    <t>CON3X18</t>
  </si>
  <si>
    <t>CONECTOR ROSCADO AZUL</t>
  </si>
  <si>
    <t>CON3X22</t>
  </si>
  <si>
    <t>CABLE 3.5MM DE 1.8M</t>
  </si>
  <si>
    <t>ESTE1.8</t>
  </si>
  <si>
    <t>GINO</t>
  </si>
  <si>
    <t>SIL</t>
  </si>
  <si>
    <t>SILLA RECLINABLE CON MECANISMO IMPORTADO TIPO GUAYA.</t>
  </si>
  <si>
    <t>ST_TS</t>
  </si>
  <si>
    <t xml:space="preserve">SILLA RECLINABLE CON MECANISMO IMPORTADO TIPO GUAYA. TAPIZADO EN MATERIAL SINTÉTICO DE ALTA DURACIÓN. </t>
  </si>
  <si>
    <t xml:space="preserve">SILLA RECLINABLE CON MECANISMO IMPORTADO TIPO GUAYA. TAPIZADO CUERO NATURAL. </t>
  </si>
  <si>
    <t>ST_TC</t>
  </si>
  <si>
    <t>GLOBAL CACHE</t>
  </si>
  <si>
    <t>IP2IR</t>
  </si>
  <si>
    <t>INTERFAZ DE CONTROL DE TCP A IR</t>
  </si>
  <si>
    <t>GOLDEN</t>
  </si>
  <si>
    <t>BAM01</t>
  </si>
  <si>
    <t>MESA MULTIFUNCIONAL EN BAMBU</t>
  </si>
  <si>
    <t>GRANDSTREAM</t>
  </si>
  <si>
    <t>TELÉFONO IP COMPATIBLE CON ASTERISK</t>
  </si>
  <si>
    <t>GXP1610</t>
  </si>
  <si>
    <t>GXP1630</t>
  </si>
  <si>
    <t>GROK</t>
  </si>
  <si>
    <t>COCKTAIL</t>
  </si>
  <si>
    <t xml:space="preserve">LUMINARIA DE 35W INALAMBRICA, CON CARGA USB. </t>
  </si>
  <si>
    <t>https://ayorailuminacion.com/tienda/fabricantes/leds-c4-grok/lampara-sobremesa-portatil-grok-cocktail-led-negro/</t>
  </si>
  <si>
    <t>GTRADE</t>
  </si>
  <si>
    <t>GROMMET EN ALUMINIO ANODIZADO CON DOS 4 SALIDAS DE CORRIENTE.</t>
  </si>
  <si>
    <t>GG01</t>
  </si>
  <si>
    <t>GROMMET EN ALUMINIO ANODIZADO CON 4 SALIDAS DE CORRIENTE, 2 PUERTOS DE RED Y 3 TAPAS CIEGAS.</t>
  </si>
  <si>
    <t>GG02</t>
  </si>
  <si>
    <t>GROMMET EN ALUMINIO ANODIZADO CON DOS 4 SALIDAS DE CORRIENTE, 2 PUERTOS DE RED Y 3 TAPAS CIEGAS.</t>
  </si>
  <si>
    <t>GVS</t>
  </si>
  <si>
    <t>NVR DE 16 CANALES, CAPACIDAD HASTA 4 TERAS DE DISCO DURO.</t>
  </si>
  <si>
    <t>GVIP7116SN</t>
  </si>
  <si>
    <t>NVR DE 16 CANALES CON SALIDA HDMI DE ALTA DEFINICIÓN Y CAPACIDAD HASTA 4 TERAS DE DISCO DURO.</t>
  </si>
  <si>
    <t>GVBH200</t>
  </si>
  <si>
    <t>BARRERA FOTOELECTRICA DE HASTA 200 METROS DE ALCANCE</t>
  </si>
  <si>
    <t>HALUX</t>
  </si>
  <si>
    <t>HAL110PAS</t>
  </si>
  <si>
    <t>TOMA ELECTRICA CON PASA CABLES</t>
  </si>
  <si>
    <t>HECA</t>
  </si>
  <si>
    <t>TRANSFORMADOR ELECTRÓNICO 12V, 260mA.</t>
  </si>
  <si>
    <t>TE12V</t>
  </si>
  <si>
    <t>ST204</t>
  </si>
  <si>
    <t>TRANSFORMADOR ELECTRÓNICO 12V, 260mA. MARCA: HECA</t>
  </si>
  <si>
    <t>HELLO</t>
  </si>
  <si>
    <t>CÁMARA DE VIDEO TODO EN UNO COMPATIBLE CON SKYPE, SALIDA 4K.</t>
  </si>
  <si>
    <t>HELLO4K</t>
  </si>
  <si>
    <t>CÁMARA DE VIDEO TODO EN UNO COMPATIBLE CON SKYPE, SALIDA 4K Y CONECTIVIDAD WIRELESS</t>
  </si>
  <si>
    <t>HID</t>
  </si>
  <si>
    <t>H6005BKB00</t>
  </si>
  <si>
    <t>LECTOR DE PROXIMIDAD PARA CONTROL DE ACCESO, DISTANCIA DE LECTURA DE HASTA 10CM. PROTECCION IP65. LECTURA DE TARJETAS TIPO HID.</t>
  </si>
  <si>
    <t>HIKVISION</t>
  </si>
  <si>
    <t>MONITOR DE 43 PULGADAS TOUCH SCREEN DE 10 PUNTOS.</t>
  </si>
  <si>
    <t>DS_D6043TL</t>
  </si>
  <si>
    <t>MONITOR DE 49 PULGADAS TOUCH SCREEN DE 10 PUNTOS.</t>
  </si>
  <si>
    <t>DS_D6049TL</t>
  </si>
  <si>
    <t>CÁMARA IP, PARA INTERIOR EXTERIOR IP67, RESOLUCIÓN DE 1920 × 1080.</t>
  </si>
  <si>
    <t>DS2CD1021I</t>
  </si>
  <si>
    <t>DISCO DURO DE 2 TERAS TIPO SATA</t>
  </si>
  <si>
    <t>D2T</t>
  </si>
  <si>
    <t>CÁMARA IP 1080P</t>
  </si>
  <si>
    <t>DS2CD1321I28</t>
  </si>
  <si>
    <t>CÁMARA CON DSP, RECONOCIMIENTO DE MATRICULA Y LECTOR DE VELOCIDAD.</t>
  </si>
  <si>
    <t>DS_2CD4026FWD</t>
  </si>
  <si>
    <t>CÁMARA CON DSP, RECONOCIMIENTO DE MATRICULA Y LECTOR DE VELOCIDAD. MIRAR FICHA TÉCNICA.</t>
  </si>
  <si>
    <t>LECTOR DE VELOCIDAD DE PRECISIÓN, CON RANGO ENTER 2 Y 400km / h</t>
  </si>
  <si>
    <t>CSR_IN</t>
  </si>
  <si>
    <t>SOPORTE PARA CÁMARA</t>
  </si>
  <si>
    <t>DS_1275ZJ</t>
  </si>
  <si>
    <t>BRAZO ECUALIZABLE PARA CÁMARA</t>
  </si>
  <si>
    <t>DS_1293ZJ</t>
  </si>
  <si>
    <t>NVR PARA CÁMARA IP. CON CAPACIDAD DE 4 DISCOS SATA. SALIDA HDMI 4K.</t>
  </si>
  <si>
    <t>DS_7716NI_I4</t>
  </si>
  <si>
    <t>ESTACIÓN CENTRAL DE SOFTWARE</t>
  </si>
  <si>
    <t>HIKCENTRAL_VSS</t>
  </si>
  <si>
    <t>LICENCIA DE SOFTWARE DE GESTIÓN DE SISTEMA DE MONITOREO Y CÁMARAS</t>
  </si>
  <si>
    <t>HIKCENTRAL_ANPR</t>
  </si>
  <si>
    <t>ARRANQUE DEL SISTEMA CON SOFTWARE CERTIFICADO.</t>
  </si>
  <si>
    <t>HIKCENTRAL_SERVICE</t>
  </si>
  <si>
    <t>HIK</t>
  </si>
  <si>
    <t>CÁMARA DE EXTERIORES DE 700 TVL, CON FUENTE DE ALIMENTACIÓN. HIKVISIÓN.</t>
  </si>
  <si>
    <t>DS_2CE15A2P</t>
  </si>
  <si>
    <t>CÁMARA DEMO DE LENTE FIJO DE 1.3 MEGA PIXELES, INCLUYE FUENTE DE ALIMENTACIÓN.</t>
  </si>
  <si>
    <t>DS_2CE55A2P</t>
  </si>
  <si>
    <t>VIDEO BALUM  PARA TRANSMISIÓN DE VIDEO POR CATEGORÍA 5/6.</t>
  </si>
  <si>
    <t>VB_1</t>
  </si>
  <si>
    <t>DVR DE 4 CANALES DIVISIÓN</t>
  </si>
  <si>
    <t>DVR4CH</t>
  </si>
  <si>
    <t>DISCO DURO SATA DE UN TERA</t>
  </si>
  <si>
    <t>DD1T</t>
  </si>
  <si>
    <t xml:space="preserve">CÁMARA (2.8-32mm) para reconocimiento de placas. Full HD1080P. IP67.
</t>
  </si>
  <si>
    <t>DS_2CE16C8_TIW3Z</t>
  </si>
  <si>
    <t xml:space="preserve"> LICENCIA PARA CÁMARA. </t>
  </si>
  <si>
    <t xml:space="preserve"> IVMS_5200</t>
  </si>
  <si>
    <t xml:space="preserve"> LICENCIA PARA CÁMARA. Reconocimiento de  matrículas: Captura y almacenamiento del número de matrícula; Búsquedas en tiempo real y gestión de listas.
</t>
  </si>
  <si>
    <t>DVR ANÁLOGO DE 4 CANALES RESOLUCIÓN 720-1080P.</t>
  </si>
  <si>
    <t>DS_7104HGHI_F1</t>
  </si>
  <si>
    <t>CÁMARA ANÁLOGA 1080P TIPO DOMO</t>
  </si>
  <si>
    <t>DS_2CE56D0T_IRPF</t>
  </si>
  <si>
    <t>DS_7216HQHI_K1</t>
  </si>
  <si>
    <t>ROLLO DE CABLE COBRE COBRE CATEGORÍA 5E POR 305 METROS</t>
  </si>
  <si>
    <t>HIK5E</t>
  </si>
  <si>
    <t>DVR ANÁLOGO DE RESOLUCIÓN 1080P CON SALIDA HDMI</t>
  </si>
  <si>
    <t>DS_7108HGIF1N</t>
  </si>
  <si>
    <t>DVR ANÁLOGO DE RESOLUCIÓN 1080P CON SALIDA HDMI Y 8 CANALES</t>
  </si>
  <si>
    <t>DS_7732NI_I4</t>
  </si>
  <si>
    <t>NVR 4K DE 32 CANALES</t>
  </si>
  <si>
    <t>DS7216HWISL</t>
  </si>
  <si>
    <t>DVR ANALOGO DE 16 CANALES</t>
  </si>
  <si>
    <t>HOLOVISION</t>
  </si>
  <si>
    <t>D_100_RING</t>
  </si>
  <si>
    <t>FACEPLATE DE EXTERIOR CON SISTEMA DE VIDEO PORTERO RING ELITE.</t>
  </si>
  <si>
    <t>HONEYWELL</t>
  </si>
  <si>
    <t>HON</t>
  </si>
  <si>
    <t>PANEL PARA 16 SENSORES EN ZONA 1 Y ZONA 2 PARA DETECTORES DE HUMO.</t>
  </si>
  <si>
    <t>BF32_FB</t>
  </si>
  <si>
    <t>PANEL CON CAPACIDAD DE HASTA 16 SENSORES EN ZONA 1 Y ZONA 2 PARA DETECTORES DE HUMO, EL PANEL CUENTA CON CAPACIDAD DE INTEGRACIÓN DE ALARMA. EN LA MISMA SOLUCIÓN.</t>
  </si>
  <si>
    <t>UNIDAD DE ACTIVACIÓN MANUAL DE SISTEMA DE CONTROL DE INCENDIO.</t>
  </si>
  <si>
    <t>H5140MPS</t>
  </si>
  <si>
    <t>CORNETA DE INDICACIÓN CON LUZ ESTROBO.</t>
  </si>
  <si>
    <t>P2R</t>
  </si>
  <si>
    <t>TECLADO PARA PANEL DE INCENDIO</t>
  </si>
  <si>
    <t>6160CR-2</t>
  </si>
  <si>
    <t>PISTOLA DE LECTURA 2D CON BASE</t>
  </si>
  <si>
    <t>H1471G</t>
  </si>
  <si>
    <t>HP</t>
  </si>
  <si>
    <t>SWITCH GIGA ETHERNET DE 16 PUERTOS.</t>
  </si>
  <si>
    <t>JH016A</t>
  </si>
  <si>
    <t>SERVIDOR DE TORRE CON PROCESADOR Intel® Xeon.</t>
  </si>
  <si>
    <t>ML110</t>
  </si>
  <si>
    <t>SERVIDOR DE TORRE CON PROCESADOR Intel® Xeon™ E5-2603v4 6-CORE, 8GB (1 x 8GB) DDR4 2400MHz RDIMM, DISCO DURO DE 2 TERAS</t>
  </si>
  <si>
    <t>PC HP PAVILION CON DISCO DURO DE 2TB. MONITOR DE 22"</t>
  </si>
  <si>
    <t>HP590_P002</t>
  </si>
  <si>
    <t>https://www.ktronix.com/computador-escritorio-hp-590-p002bla-intel-core-i5-disco-duro-1-tb-21-5-pulgadas-negro-plata</t>
  </si>
  <si>
    <t>HP600G1</t>
  </si>
  <si>
    <t>MINI PC CON PROCESADOR CORE I3, 500GB, 8GB RAM. WIFI.</t>
  </si>
  <si>
    <t>HP_240_G7</t>
  </si>
  <si>
    <t>PORTATIL HP 240 G7, CORE i5-1035G1 4 NUCLEOS, 1.0 GHz HASTA 3.6 GHz, 6 MB SMARTCACHE, Windows 10 Pro de 64 bits Ethernet (10/100/1000 Mbps) WLAN</t>
  </si>
  <si>
    <t>200_G6</t>
  </si>
  <si>
    <t>Todo en Uno Intel® Core™ i3-10110U 10ma generación 2 núcleos, 4 hilos, 2.1 GHz hasta 4.6 GHz con frecuencia Turbo, Memoria RAM 4 GB DDR4 2666 (1x4GB) Soporta hasta 32GB en (2) slots SODIMM Almacenamiento Disco duro HDD de 1TB 7200RPM SATA Teclado HP USB, en Español, Mouse HP USB óptico, Cámara Web Webcam de 5MP Pull-up con arreglo de doble micrófono digital integrado, AudioHD con códec Realtek ALC3247, con altavoces estéreo integrados Conectividad LAN: Realtek® RTL8111HSH-CG Gigabit Ethernet (10/100/1000Mbps) WLAN: Realtek® RTL8822CE Wi-Fi 5® 802.11ac (2x2) Bluetooth® 5.0 en Combo Interface Ethernet RJ-45, HDMI 1.4 USB Garantía 1 Año, 1/1/1 (Partes/Mano de obra/En sitio) Windows 10 Pro</t>
  </si>
  <si>
    <t>JET_PRO_135W</t>
  </si>
  <si>
    <t>MULTIFUNCIONAL LASER BLANCO/NEGRO, CONEXIÓN USB Y WIRELESS.</t>
  </si>
  <si>
    <t>M428FDW</t>
  </si>
  <si>
    <t>Multifuncional
B/N40 ppm DUPLEX EN TODAS LAS FUNCIONES , WIRELESS 305
Hojas Red - Impresora - Copiadora - Fax - Escaner - Duplex- - ADF
50 ppm CICLO MAXIMO DE TRABAJO HASTA 80.000 PAGINAS</t>
  </si>
  <si>
    <t>TWT07AA</t>
  </si>
  <si>
    <t>PC TODO EN UNO, PROCESADOR INTEL CORE I7, 8 GIGA DE RAM, DISCO DURO DE 1 TERA. MONITOR DE 22".</t>
  </si>
  <si>
    <t>HP (ARUBA)</t>
  </si>
  <si>
    <t>SWITCH DE 24 PUERTOS RJ-45 10/100/1000 CON DETECCIÓN AUTOMÁTICA.</t>
  </si>
  <si>
    <t>J9776A</t>
  </si>
  <si>
    <t>SWITCH DE 24 PUERTOS RJ-45 10/100/1000 CON DETECCIÓN AUTOMÁTICA, 4 PUERTOS SFP GIGABIT ETHERNET PROCESADOR ARM9E A 800 MHz, FLASH DE 128 MB.</t>
  </si>
  <si>
    <t>HRT</t>
  </si>
  <si>
    <t>HHONE+</t>
  </si>
  <si>
    <t>EQUIPO DE PRESENTACION INALAMBRICA CON SALIDA HDMI, FUNCIONALIDADES DESDE WEBBROWSER, INTEGRACION DE EQUIPOS POR USB.</t>
  </si>
  <si>
    <t>HUBBELL</t>
  </si>
  <si>
    <t>NSJ6W</t>
  </si>
  <si>
    <t>JACK DE DATOS CATEGORIA 6</t>
  </si>
  <si>
    <t>NS613W</t>
  </si>
  <si>
    <t xml:space="preserve">PLATE, DECORATOR KEYSTONE FACEPLATE DE 3 RECEPTACULOS. </t>
  </si>
  <si>
    <t>NS780W</t>
  </si>
  <si>
    <t>FACEPLATE CON SALIDA COAXIAL</t>
  </si>
  <si>
    <t>RR430FW</t>
  </si>
  <si>
    <t>TOMACORRIENTE RECPT, SB, 30A 125/250V, 3P4W, FLSH</t>
  </si>
  <si>
    <t>RRD15W</t>
  </si>
  <si>
    <t>TOMACORRIENTE RESI DUP RCPT, 15A 125V, DEC FACE</t>
  </si>
  <si>
    <t>NSF70W</t>
  </si>
  <si>
    <t>SALIDA COAXIAL EN JACK SNAP-FIT, F-CONN,NICKEL,NETSELECT,WH</t>
  </si>
  <si>
    <t>DR15WHITR</t>
  </si>
  <si>
    <t>TOMACORRIENTE CON SUPRESOR DE PICOS PARA TV. TAMP RES, DECO FACE, 15A 125V.</t>
  </si>
  <si>
    <t>NPS26W</t>
  </si>
  <si>
    <t>FACEPLATE DE 1 GANG EN COLOR BLANCO MATE</t>
  </si>
  <si>
    <t>NP26W</t>
  </si>
  <si>
    <t>WALLPLATE DE TORNILLO EN COLOR BLANCO MATE</t>
  </si>
  <si>
    <t>NP724W</t>
  </si>
  <si>
    <t>WALLPLATE DE TORNILLO EN COLOR BLANCO MATE CON PERFORACION CIRCULAR</t>
  </si>
  <si>
    <t>RW51020</t>
  </si>
  <si>
    <t>TAPA DE PROTECCION PARA TOMA CORRIENTES EXTERIORES</t>
  </si>
  <si>
    <t>GFTWRST20W</t>
  </si>
  <si>
    <t>TOMACORRIENTE GFCI 20A COMM SELF TEST TRWR GFR</t>
  </si>
  <si>
    <t>DR15NLWH</t>
  </si>
  <si>
    <t>TOMACORRIENTE GFCI 20A CON LUZ GUIA NOCTURNA COMM SELF TEST TRWR GFR</t>
  </si>
  <si>
    <t>USB15A5W</t>
  </si>
  <si>
    <t>TOMACORRIENTE CON CONEXIÓN DIRECTA USBRECPT, SB, 30A 125/250V, 3P4W, FLSH</t>
  </si>
  <si>
    <t>RCT200ALU</t>
  </si>
  <si>
    <t>TOMA CORRIENTE GROOMETS RETRACTIL PARA COCINA</t>
  </si>
  <si>
    <t>WSBUSB2X2BLK</t>
  </si>
  <si>
    <t>TOMA CORRIENTE CON CARGADOR USB PARA SUPERFICIE PLANA</t>
  </si>
  <si>
    <t>RR1512W</t>
  </si>
  <si>
    <t>PLACA RECESADA PASACABLE CON TOMA</t>
  </si>
  <si>
    <t>RR1500</t>
  </si>
  <si>
    <t>CAJA PLASTICA RECESADA DE 2 GANG</t>
  </si>
  <si>
    <t>HUDDLY</t>
  </si>
  <si>
    <t>HUDDLY_GO</t>
  </si>
  <si>
    <t>CAMARA WEB 720P CON ENFOQUE AUTOMATICO</t>
  </si>
  <si>
    <t>HUDDLY_IQ</t>
  </si>
  <si>
    <t>CAMARA DE ALTA RESOUCION CON ENFOQUE AUTOMATICO TIPO PTZ ELECTRONICO.</t>
  </si>
  <si>
    <t>HUDSON</t>
  </si>
  <si>
    <t>HUD</t>
  </si>
  <si>
    <t>BOM</t>
  </si>
  <si>
    <t>BOMBILLA INCANDESCENTE VINTAGE, 230 LUMENS, ATENUABLE, 60 VATIOS.</t>
  </si>
  <si>
    <t>T48138</t>
  </si>
  <si>
    <t>HYCOMM</t>
  </si>
  <si>
    <t>HY</t>
  </si>
  <si>
    <t>CITOFONO DE COMUNICACIÓN A DOS HILOS</t>
  </si>
  <si>
    <t>IDEA</t>
  </si>
  <si>
    <t>ALQUILER DE VIDEO PLAYER 1080, CON SOFTWARE DE GESTIÓN.</t>
  </si>
  <si>
    <t>ALQ_MBR_1100</t>
  </si>
  <si>
    <t>ALQUILER DE VIDEO PLAYER 1080, CON SOFTWARE DE GESTIÓN. COSTO POR UN MES, CONTRATO MÍNIMO A 6 MESES.</t>
  </si>
  <si>
    <t>REPRODUCTOR DE DIGITAL SIGNAGE 1080P CON SOFTWARE DE GESTIÓN POR HORARIOS</t>
  </si>
  <si>
    <t>MBR_1100</t>
  </si>
  <si>
    <t>LICENCIA ESTÁNDAR PARA MANEJO POR HORARIO DE CONTENIDOS DESDE PC DE GESTIÓN</t>
  </si>
  <si>
    <t>LINCE_MBR_STD</t>
  </si>
  <si>
    <t>KIT DE GUAYA PARA PANEL LED</t>
  </si>
  <si>
    <t>U732081</t>
  </si>
  <si>
    <t>PANEL LED REDONDO DE SOBREPONER, 4000K, 12 VATIOS.</t>
  </si>
  <si>
    <t>U738072</t>
  </si>
  <si>
    <t>PANEL LED REDONDO DE INCRUSTAR, 4000K, 12 VATIOS.</t>
  </si>
  <si>
    <t>U738042</t>
  </si>
  <si>
    <t>PANEL DE EMPOTRAR, 4000K REDONDO. 18 VATIOS.</t>
  </si>
  <si>
    <t>U738052</t>
  </si>
  <si>
    <t>PANEL LED DE SOBREPONER 12W, 4000K.</t>
  </si>
  <si>
    <t>I738072</t>
  </si>
  <si>
    <t>BOMBILLO E28 DE 6 VATIOS LED BLANCO</t>
  </si>
  <si>
    <t>LEDE276.5K</t>
  </si>
  <si>
    <t>PANEL RECESADO DE INCRUSTAR, 13W, COLOR CÁLIDO 3.000K.</t>
  </si>
  <si>
    <t>U13W3000</t>
  </si>
  <si>
    <t>IFAN</t>
  </si>
  <si>
    <t>EST_TAB_M20</t>
  </si>
  <si>
    <t>ESTUCHE EN CUERO PARA TABLET LENOVO</t>
  </si>
  <si>
    <t>IG</t>
  </si>
  <si>
    <t>PANTALLA ELÉCTRICA EN FORMATO CUADRANGULAR 180CM X 180CM.</t>
  </si>
  <si>
    <t>E_180</t>
  </si>
  <si>
    <t>PANTALLA ELÉCTRICA EN FORMATO CUADRANGULAR 200CM X 200CM.</t>
  </si>
  <si>
    <t>E_200</t>
  </si>
  <si>
    <t>PANTALLA ELÉCTRICA EN FORMATO CUADRANGULAR 244CM X 244CM.</t>
  </si>
  <si>
    <t xml:space="preserve">E_244 </t>
  </si>
  <si>
    <t>PANTALLA ELÉCTRICA EN FORMATO CUADRANGULAR 305CM X 305CM.</t>
  </si>
  <si>
    <t xml:space="preserve">E_305 </t>
  </si>
  <si>
    <t>PANTALLA ELÉCTRICA EN FORMATO CUADRANGULAR 366CM X 366CM.</t>
  </si>
  <si>
    <t>E_366</t>
  </si>
  <si>
    <t>PANTALLA ELÉCTRICA EN FORMATO 4:3, CON MEDIDAS DE 234CM X 177CM.</t>
  </si>
  <si>
    <t xml:space="preserve">E_234 </t>
  </si>
  <si>
    <t>PANTALLA ELÉCTRICA EN FORMATO 4:3, CON MEDIDAS DE 274 cm X 208 cm.</t>
  </si>
  <si>
    <t xml:space="preserve">E_274 </t>
  </si>
  <si>
    <t>PANTALLA ELÉCTRICA EN FORMATO 4:3, CON MEDIDAS DE 356 cm X 259 cm</t>
  </si>
  <si>
    <t>E_356</t>
  </si>
  <si>
    <t>PANTALLA ELÉCTRICA EN FORMATO 4:3, CON MEDIDAS DE 406 cm X 308 cm.</t>
  </si>
  <si>
    <t>E_406</t>
  </si>
  <si>
    <t>PANTALLA ELÉCTRICA EN FORMATO 4:3, CON MEDIDAS DE 508 cm X 384 cm.</t>
  </si>
  <si>
    <t>E_508</t>
  </si>
  <si>
    <t>PANTALLA ELÉCTRICA EN FORMATO 4:3, CON MEDIDAS DE 610 cm X 460 cm.</t>
  </si>
  <si>
    <t>E_610</t>
  </si>
  <si>
    <t>PANTALLA ELÉCTRICA EN FORMATO 4:3, CON MEDIDAS DE 800 cm X 600 cm.</t>
  </si>
  <si>
    <t>E_800</t>
  </si>
  <si>
    <t>ASCENSOR GENÉRICO PARA VIDEO BEAM TIPO TIJERA 30cm x 30cm DESCIENDE 120cm</t>
  </si>
  <si>
    <t>LT_300</t>
  </si>
  <si>
    <t>ASCENSOR GENÉRICO PARA VIDEO BEAN TIPO TIJERA 40cm x 40cm DESCIENDE 120cm</t>
  </si>
  <si>
    <t>LT_400</t>
  </si>
  <si>
    <t>ASCENSOR GENÉRICO PARA VIDEO BEAN TIPO TIJERA 50cm x 50cm DESCIENDE 120cm</t>
  </si>
  <si>
    <t>LT_500</t>
  </si>
  <si>
    <t>ASCENSOR GENÉRICO PARA VIDEO BEAM TIPO RIEL 40cm x 41cm x 30 DESCIENDE 50cm</t>
  </si>
  <si>
    <t>L300</t>
  </si>
  <si>
    <t>IKEA</t>
  </si>
  <si>
    <t>LÁMPARA SATINADA DE PARED TIPO TABACO DOBLE IKEA.</t>
  </si>
  <si>
    <t>L4792_41</t>
  </si>
  <si>
    <t>ILUMAX</t>
  </si>
  <si>
    <t>BOMBILLO TIPO VELA INCANDESCENTE DE 20W CON ROSCA E12</t>
  </si>
  <si>
    <t>BVIE12</t>
  </si>
  <si>
    <t>BOMBILLO TIPO VELA LED DE 6W CON ROSCA E14</t>
  </si>
  <si>
    <t>BVLE14</t>
  </si>
  <si>
    <t>PX1</t>
  </si>
  <si>
    <t>LED 6W, 480 LUMENS DIMERIZABLE, 4000K.</t>
  </si>
  <si>
    <t>ILU6W4KD</t>
  </si>
  <si>
    <t>BOMBILLA DE 6W, 480 LUMENS. 4000K.</t>
  </si>
  <si>
    <t>I6WDIM4000</t>
  </si>
  <si>
    <t>BOMBILLA LED GU10 DE 6W DIMERIZABLE 4000K</t>
  </si>
  <si>
    <t>I6W4000</t>
  </si>
  <si>
    <t>BOMBILLA LED GU10 DE 6W 4000K</t>
  </si>
  <si>
    <t>ILUMINARTE</t>
  </si>
  <si>
    <t>LT_003</t>
  </si>
  <si>
    <t>LUMINARIA EN CONCRETO BLANCO PARA LUMINARIA GU10</t>
  </si>
  <si>
    <t>OBL_WH</t>
  </si>
  <si>
    <t>LAMPARA DECORATIVA OBOIDE EN CONVRETO</t>
  </si>
  <si>
    <t>IMBAPRICE</t>
  </si>
  <si>
    <t>IMB</t>
  </si>
  <si>
    <t>CABLE RCA DE AUDIO X 2 CON LONGITUD DE 50 PIES.</t>
  </si>
  <si>
    <t>RCA2X50</t>
  </si>
  <si>
    <t>IMOU</t>
  </si>
  <si>
    <t>ARA10_SW_IMOU</t>
  </si>
  <si>
    <t>SIRENA ESTROBOSTOPICA INALAMBRICA INTENSIDAD HASTA 85DB@1M TRANSMISION HASTA 250M</t>
  </si>
  <si>
    <t>INFINITE</t>
  </si>
  <si>
    <t>CTR7A</t>
  </si>
  <si>
    <t>PLUG RJ45 CAT7</t>
  </si>
  <si>
    <t>CAR510LI</t>
  </si>
  <si>
    <t>CABLE UTP DE EXTERIOR COBRE-COBRE CAT 5E.</t>
  </si>
  <si>
    <t>INFINITY</t>
  </si>
  <si>
    <t>TUBO T5 28W</t>
  </si>
  <si>
    <t>IL28</t>
  </si>
  <si>
    <t>PARLANTES PARA AMBIENTE SALINO Y RESISTENTES AL AGUA DE 6.5", POTENCIA DE 200W</t>
  </si>
  <si>
    <t>INF652M</t>
  </si>
  <si>
    <t>https://www.amazon.com/Infinity-Marine-2-Way-Weatherproof-Speakers/dp/B00PACGAJI/ref=sr_1_11?keywords=Weatherproof+Marine+speaker&amp;qid=1568904844&amp;rnid=2941120011&amp;s=electronics&amp;sr=1-11</t>
  </si>
  <si>
    <t>INFOCUS</t>
  </si>
  <si>
    <t>PROYECTOR FULL HD 1080P, 3200 LUMENS.</t>
  </si>
  <si>
    <t>IN119HDX</t>
  </si>
  <si>
    <t>Full HD 1080p, 1920 x 1080 resolution, 3200 lumens, 15,000:1 contrast, sRGB, 10.000 Hr. Lamp Life, Black Chasis.</t>
  </si>
  <si>
    <t>PROYECTOR DE RESOLUCIÓN 1920X108, CONTRASTE 15.0000:1, 3.200 LUMENS</t>
  </si>
  <si>
    <t>PY_103</t>
  </si>
  <si>
    <t>PROYECTOR DE RESOLUCIÓN 1920X1080, CONTRASTE 28.0000:1, 3.600 LUMENS</t>
  </si>
  <si>
    <t>IN119HDXA</t>
  </si>
  <si>
    <t>INTERLOGYX</t>
  </si>
  <si>
    <t>KIT DE ALARMA CON PANTALLA TÁCTIL, UN SENSOR DE PRESENCIA INALÁMBRICO.</t>
  </si>
  <si>
    <t>AVO_1037_3_310</t>
  </si>
  <si>
    <t>KIT DE ALARMA CON PANTALLA TÁCTIL, UN SENSOR DE PRESENCIA INALÁMBRICO, FUENTE DE ALIMENTACIÓN Y 3 SENSORES MAGNÉTICOS INALÁMBRICOS.</t>
  </si>
  <si>
    <t>SENSOR DE PRESENCIA INALÁMBRICO ANTI MASCOTA.</t>
  </si>
  <si>
    <t>NX_481</t>
  </si>
  <si>
    <t>DETECTOR DE HUMO INALÁMBRICO PARA FUNCIONAMIENTO STAND ALONE.</t>
  </si>
  <si>
    <t>TX_6010_01_1</t>
  </si>
  <si>
    <t>DETECTOR DE HUMO INALÁMBRICO PARA FUNCIONAMIENTO STAND ALONE. PERMITE INTEGRACIÓN MEDIANTE PANEL INTERLOGIX ZW-6400</t>
  </si>
  <si>
    <t>CÁMARA IP 1080P PARA EXTERIORES.</t>
  </si>
  <si>
    <t>IN_RS_350</t>
  </si>
  <si>
    <t xml:space="preserve">CÁMARA IP 1080P COMPATIBLE CON ALARMA INTERLOGYX. </t>
  </si>
  <si>
    <t>RS_3250</t>
  </si>
  <si>
    <t>CÁMARA IP 1080P COMPATIBLE CON ALARMA INTERLOGYX. MEMORIA SD NO INCLUIDA. SEGUIMIENTO EN TIEMPO REAL.</t>
  </si>
  <si>
    <t>SENSOR INALÁMBRICO DE PRESENCIA ANTI MASCOTAS</t>
  </si>
  <si>
    <t>IN_60_870_95R</t>
  </si>
  <si>
    <t>IPORT</t>
  </si>
  <si>
    <t>SOPORTE AUTO CARGADOR PARA MESA DE UNIDAD IPAD MINI.</t>
  </si>
  <si>
    <t>LAUNCHPORT</t>
  </si>
  <si>
    <t>IRVINE</t>
  </si>
  <si>
    <t>CAJA ELÉCTRICA DE INCRUSTAR PARA PISO DE MADERA DE 2 GANG</t>
  </si>
  <si>
    <t>C2GINF</t>
  </si>
  <si>
    <t>https://www.amazon.com/Compact-floor-Two-gang-Electrical-Cover/dp/B00844JV7M/ref=sr_1_4?ie=UTF8&amp;qid=1524737794&amp;sr=8-4&amp;keywords=floor+box</t>
  </si>
  <si>
    <t>IT</t>
  </si>
  <si>
    <t>I_020701_3007</t>
  </si>
  <si>
    <t xml:space="preserve">LUMINARIA IP20 DE 42W, 3500 LUMENS, </t>
  </si>
  <si>
    <t>J_TECH</t>
  </si>
  <si>
    <t>TRANSMISOR INALÁMBRICO HDMI WIRELESS POR SALIDA HDMI.</t>
  </si>
  <si>
    <t>JTECH_WDEX_50M</t>
  </si>
  <si>
    <t>TRANSMISOR INALÁMBRICO HDMI WIRELESS POR SALIDA HDMI. RESOLUCIÓN 1080P ALIMENTACIÓN POR USB.</t>
  </si>
  <si>
    <t>JABRA</t>
  </si>
  <si>
    <t>SPEAK410</t>
  </si>
  <si>
    <t>MICROFONO OMNIDIRECCIONAL PARA CONEXIÓN POR USB</t>
  </si>
  <si>
    <t>JBL</t>
  </si>
  <si>
    <t xml:space="preserve">ALTAVOZ DE 70V, CON TRANSFORMADOR DE 7.5, 15 y 30W. </t>
  </si>
  <si>
    <t>CONTROL_16_CT</t>
  </si>
  <si>
    <t>CONTROL_12_CT</t>
  </si>
  <si>
    <t>AMPLIFICADOR DE 120W PARA 2 CANALES EN 4 U 8 OHM</t>
  </si>
  <si>
    <t>CSA2120</t>
  </si>
  <si>
    <t>MEZCLADOR SELECTOR DE DOS CANALES</t>
  </si>
  <si>
    <t>CSM_21</t>
  </si>
  <si>
    <t>ALTAVOZ DE 70V U 8 OHM, POTENCIA DE 60W.</t>
  </si>
  <si>
    <t>CSS_1S</t>
  </si>
  <si>
    <t>MICRÓFONO SELECTOR DE CUELLO CON BOTÓN DE PERIFONEO</t>
  </si>
  <si>
    <t>CSPM_1</t>
  </si>
  <si>
    <t>PARLANTE DE 8" A 6W EN LÍNEA DE 70V</t>
  </si>
  <si>
    <t>JBL3183</t>
  </si>
  <si>
    <t>ALTAVOCES DE INTEMPERIE TIPO MARINO, MEMBRANA DE 6.5W, IMPEDANCIA DE 4 OHM.</t>
  </si>
  <si>
    <t>MS6510</t>
  </si>
  <si>
    <t>VMA160</t>
  </si>
  <si>
    <t>MEZCLADOR Y AMPLIFICADOR DE 60W, CON LECTOR DE USB Y BLUETOOTH. MANEJA 5 ENTRADAS DE AUDIO.</t>
  </si>
  <si>
    <t>CSA240Z</t>
  </si>
  <si>
    <t>AMPLIFICADOR DE DOS CANALES 2X40W, CON SALIDAS A 4,8OHM O 70V.</t>
  </si>
  <si>
    <t>CSA280Z</t>
  </si>
  <si>
    <t>AMPLIFICADOR DE DOS CANALES 2X80W, CON SALIDAS A 4,8OHM O 70V.</t>
  </si>
  <si>
    <t>VMA260</t>
  </si>
  <si>
    <t>MEZCLADOR Y AMPLIFICADOR DE DOS CANALES DE 60W, CON LECTOR DE USB Y BLUETOOTH. MANEJA 5 ENTRADAS DE AUDIO.</t>
  </si>
  <si>
    <t>CONTROL_23_1</t>
  </si>
  <si>
    <t>PARLANTE DE SOBREPONER PARA EXTERIOR CON LINEA DE 70V: 15W, 7.5W, 3.7W, 1.8W</t>
  </si>
  <si>
    <t>VMA1240</t>
  </si>
  <si>
    <t>AMPLIFICADOR DE 4 CANALES CON 240W DE POTENCIA. 5 ENTRADAS DE AUDIO, MEMORIA PARA REPRODUCCION MP3.</t>
  </si>
  <si>
    <t>CSR_3SV</t>
  </si>
  <si>
    <t>TECLADO CONTROLADOR DE  ZONA Y VOLUMEN CON SELECTOR DE 3 FUENTES</t>
  </si>
  <si>
    <t>IRX108BT</t>
  </si>
  <si>
    <t>PARLANTE CON RECEPTOR BLUETOOTH, MEMBRANA DE 8"</t>
  </si>
  <si>
    <t>CONTROL_28_1</t>
  </si>
  <si>
    <t>ALTAVOZ DE HASTA 120W CON MEMBRANA DE 8" PARA EXTERIOR</t>
  </si>
  <si>
    <t>NCSMA280</t>
  </si>
  <si>
    <t>CONTROLADOR AMPLIFICADO DE AUDIO DE 4 CANALES CON 2 SALIDAS A 80W.</t>
  </si>
  <si>
    <t>CONTROL_CRV</t>
  </si>
  <si>
    <t>ALTAVOCSE DE EXTERIOR DE HASTA 150W. CON RANGO DE FRECUENCIA DE 60-80Khz.</t>
  </si>
  <si>
    <t>JD</t>
  </si>
  <si>
    <t>SOPORTE UNIVERSAL FIJO PARA VIDEO BEAM</t>
  </si>
  <si>
    <t>JS_SPP_01</t>
  </si>
  <si>
    <t>JFL</t>
  </si>
  <si>
    <t>RRC_200</t>
  </si>
  <si>
    <t>RECEPTOR INALAMBRICO DE CONTROLES REMOTO.</t>
  </si>
  <si>
    <t>TX4R</t>
  </si>
  <si>
    <t>CONTROL REMOTO TRANSMISOR</t>
  </si>
  <si>
    <t>JIDETECH</t>
  </si>
  <si>
    <t>SPLITTER VGA DE DOS SALIDAS</t>
  </si>
  <si>
    <t>SPT2</t>
  </si>
  <si>
    <t>JTECH</t>
  </si>
  <si>
    <t>MATRIZ 8x8 HDBASE T, HDMI, SIN COMPRESIÓN DE VIDEO.</t>
  </si>
  <si>
    <t>JTD_ID_435</t>
  </si>
  <si>
    <t>https://www.amazon.com/J-Tech-Digital-HDBaseT-Receivers-Supports/dp/B07HCTNT8Z/ref=sr_1_3?keywords=hdbt+8x8&amp;qid=1571833736&amp;sr=8-3</t>
  </si>
  <si>
    <t>JVC</t>
  </si>
  <si>
    <t>PROYECTOR DE LA SERIE REFERENCE D-ILA. JVC. CONTRASTE 60.000:1. 4K READY.</t>
  </si>
  <si>
    <t>DLA_RS49U</t>
  </si>
  <si>
    <t>PROYECTOR DE LA SERIE REFERENCE D-ILA. JVC. CONTRASTE 60.000:1. 4K READY. SMART PHONE CONTROL.</t>
  </si>
  <si>
    <t>PROYECTOR DILA DE 3000 LUMENS 4K</t>
  </si>
  <si>
    <t>LX_NZ3B</t>
  </si>
  <si>
    <t xml:space="preserve">PROYECTOR 3000 LUMENS, 4K DLP, HDR10. </t>
  </si>
  <si>
    <t>LX_NZ3W</t>
  </si>
  <si>
    <t>PROYEXTOR 4K, DLP, 3000LUMENS.</t>
  </si>
  <si>
    <t>K_IMPLE</t>
  </si>
  <si>
    <t>EQUIPO TECNICO, ACCESORIOS DE CONEXIÓN Y ELEMENTOS NECESARIOS
PARA IMPLEMENTAR EL SISTEMA EN SITIO, CABLEADO, BORNERAS Y TODO
ELEMENTO REQUERIDO PARA LA PUESTA A PUNTO.</t>
  </si>
  <si>
    <t>KALLEY</t>
  </si>
  <si>
    <t>KAL</t>
  </si>
  <si>
    <t>MONITOR LED DE 20", RESOLUCIÓN:1366 X 768, ENTRADAS: 2 HDMI.</t>
  </si>
  <si>
    <t>K_LED20HDT2</t>
  </si>
  <si>
    <t>KASSANI</t>
  </si>
  <si>
    <t>MUSK</t>
  </si>
  <si>
    <t>ASIENTO CON ESPALDAR MALLA NEGRA, TAPIZADO PAÑO NEGRO</t>
  </si>
  <si>
    <t>JOBS</t>
  </si>
  <si>
    <t>KEF</t>
  </si>
  <si>
    <t>ALTAVOZ CUADRADO CON DRIVER DE 160mm, MANEJO DE POTENCIA 10 - 100W.</t>
  </si>
  <si>
    <t>CI160CL</t>
  </si>
  <si>
    <t>ALTAVOZ CUADRADO CON DRIVER DE 160mm, MANEJO DE POTENCIA 10 - 100W, BORDE ULTRA DELGADO, MEDIDA DE CORTE: 19.4cm X 19.4cm. SENSIBILIDAD DE 87dB, RESPUESTA EN FRECUENCIA 52-20kHz, IMPEDANCIA 8 OHM.</t>
  </si>
  <si>
    <t>ALTAVOZ CUADRADO CON DRIVER DE 130mm, MANEJO DE POTENCIA 10 - 100W.</t>
  </si>
  <si>
    <t>CI130QS</t>
  </si>
  <si>
    <t>ALTAVOZ CUADRADO CON DRIVER DE 130mm, MANEJO DE POTENCIA 10 - 100W, BORDE ULTRA DELGADO, MEDIDA DE CORTE: 15.8cm. SENSIBILIDAD DE 87dB, RESPUESTA EN FRECUENCIA 45-34kHz, IMPEDANCIA 8 OHM.</t>
  </si>
  <si>
    <t>CI_3_80QT</t>
  </si>
  <si>
    <t>ALTAVOZ CUADRADO CON DRIVER DE 130mm, MANEJO DE POTENCIA 10 - 100W, BORDE ULTRA DELGADO, MEDIDA DE CORTE: 35.4cm X 11.2cm, SENSIBILIDAD DE 87dB, RESPUESTA EN FRECUENCIA 87-27kHz, IMPEDANCIA 8 OHM.</t>
  </si>
  <si>
    <t>ALTAVOCES HIGH END QUALITY DE LA SERIE Q DE KEF.</t>
  </si>
  <si>
    <t>Q100</t>
  </si>
  <si>
    <t>Q500</t>
  </si>
  <si>
    <t>SUBWOOFER HIGH END QUALITY DE LA SERIE Q DE KEF.</t>
  </si>
  <si>
    <t>Q400</t>
  </si>
  <si>
    <t>SUBWOOFER CON DRIVER DE 8 PULGADAS, FRECUENCIA 38-150Hz, 14.5 LITROS.</t>
  </si>
  <si>
    <t>KUBE_1</t>
  </si>
  <si>
    <t>SUBWOOFER CON DRIVER DE 8 PULGADAS, FRECUENCIA 38-150Hz, 14.5 LITROS, AMPLIFICADOR INTERNO DE 200 VATIOS.</t>
  </si>
  <si>
    <t>UNIDAD DE POTENCIA PARA ALTAVOZ MOTORIZADO.</t>
  </si>
  <si>
    <t>K_GEN</t>
  </si>
  <si>
    <t>ALTAVOZ SATÉLITE DE SOBREPONER EN COLOR BLANCO.</t>
  </si>
  <si>
    <t>E301W</t>
  </si>
  <si>
    <t>ALTAVOZ SATÉLITE DE SOBREPONER EN COLOR BLANCO. REQUIERE AMPLIFICADOR DE 10-100W. MARCA: KEF.</t>
  </si>
  <si>
    <t>ALTAVOZ SATÉLITE DE SOBREPONER EN COLOR NEGRO.</t>
  </si>
  <si>
    <t>E301B</t>
  </si>
  <si>
    <t>ALTAVOZ SATÉLITE DE SOBREPONER EN COLOR NEGRO. REQUIERE AMPLIFICADOR DE 10-100W. MARCA: KEF.</t>
  </si>
  <si>
    <t>ALTAVOZ A 70V CON TAP CENTRAL A 8, 15, 30 Y 60 VATIOS.</t>
  </si>
  <si>
    <t>CI160ST</t>
  </si>
  <si>
    <t>ALTAVOZ A 70V CON TAP CENTRAL A 8, 15, 30 Y 60 VATIOS. RESPUESTA EN FRECUENCIA 60-130Hz, SENSIBILIDAD DE 85dB. MARCA: KEF.</t>
  </si>
  <si>
    <t>ALTAVOZ CON RESPUESTA EN FRECUENCIA ENTRE 125 Y 20Khz.</t>
  </si>
  <si>
    <t>CI50R</t>
  </si>
  <si>
    <t>ALTAVOZ CON RESPUESTA EN FRECUENCIA ENTRE 125 Y 20Khz, DRIVER DE 5CM. COLORES BLANCO O PLATA.</t>
  </si>
  <si>
    <t>ALTAVOZ CUADRADOS DE 8 OHM, POTENCIA HASTA 100 VATIOS.</t>
  </si>
  <si>
    <t>CI160SS</t>
  </si>
  <si>
    <t>ALTAVOZ CUADRADOS DE 8 OHM, POTENCIA HASTA 100 VATIOS, MANEJO EN FRECUENCIA ENTRE 52-20kHz. 22cm DE PERFIL Y CORTE DE 19.4cm.</t>
  </si>
  <si>
    <t>BARRA DE SONIDO PARA AMPLIFICADOR EXTERNO.</t>
  </si>
  <si>
    <t>HTF7003</t>
  </si>
  <si>
    <t>ALTAVOZ CIRCULAR CON DRIVER DE 130mm, MANEJO DE POTENCIA 10 - 100W.</t>
  </si>
  <si>
    <t>CI130QR</t>
  </si>
  <si>
    <t>ALTAVOZ CIRCULAR CON DRIVER DE 130mm, MANEJO DE POTENCIA 10 - 100W, BORDE ULTRA DELGADO, MEDIDA DE CORTE: 15.8cm. SENSIBILIDAD DE 87dB, RESPUESTA EN FRECUENCIA 45-34kHz, IMPEDANCIA 8 OHM.</t>
  </si>
  <si>
    <t>CI160SR</t>
  </si>
  <si>
    <t>SUBWOOFER CON AMPLIFICADOR INTERNO DE 250 VATIOS. COLOR BLANCO.</t>
  </si>
  <si>
    <t>E_2</t>
  </si>
  <si>
    <t>ALTAVOZ REDONDO CON DRIVER DE 160mm, MANEJO DE POTENCIA 10 - 100W.</t>
  </si>
  <si>
    <t>CI160CR</t>
  </si>
  <si>
    <t>ALTAVOZ REDONDO CON DRIVER DE 160mm, MANEJO DE POTENCIA 10 - 100W, BORDE ULTRA DELGADO, MEDIDA DE CORTE: 7.71".</t>
  </si>
  <si>
    <t>CI160CRDS</t>
  </si>
  <si>
    <t>SUBWOOFER COMPACTO DE PARED CON CUATRO MEMBRANAS ACÚSTICAS.</t>
  </si>
  <si>
    <t>CI4100QLB</t>
  </si>
  <si>
    <t>ALTAVOZ COMPACTO DE PARED CON CUATRO MEMBRANAS ACÚSTICAS.</t>
  </si>
  <si>
    <t>CI4100QL</t>
  </si>
  <si>
    <t>ALTAVOZ CUADRADO DE HASTA 150W, FRECUENCIAS DE 35Hz, HASTA 34.000Hz.</t>
  </si>
  <si>
    <t>CI200QS</t>
  </si>
  <si>
    <t>ALTAVOZ MOTORIZADO EN FORMATO CUADRADO DE HASTA 100W</t>
  </si>
  <si>
    <t>CI200.3QT</t>
  </si>
  <si>
    <t>ALTAVOCES DE PARED O TECHO EN FORMATO CUADRADO, POTENCIA DE 50W.</t>
  </si>
  <si>
    <t>CI100QS</t>
  </si>
  <si>
    <t>ALTAVOCES DE PARED O TECHO EN FORMATO CUADRADO, POTENCIA DE 50W, 4 OHM. DIMENSIONES. 12.7Cm x 12.7Cm x 7.7Cm</t>
  </si>
  <si>
    <t>KUBE8</t>
  </si>
  <si>
    <t>SUBWOOFER CON DRIVER DE 8 PULGADAS, FRECUENCIA 38-150Hz, 14.5 LITROS, AMPLIFICADOR INTERNO DE 300 VATIOS.</t>
  </si>
  <si>
    <t xml:space="preserve">ALTAVOZ ULTRA DELGADO DE 100W, </t>
  </si>
  <si>
    <t>T101</t>
  </si>
  <si>
    <t>Q550</t>
  </si>
  <si>
    <t>ALTAVOCES DE AMPLIO RANGO DE 8OHM PARA AMPLIFICADOR DE HASTA 130W.</t>
  </si>
  <si>
    <t>KERUI</t>
  </si>
  <si>
    <t>KIT DE ALARMA CON CONECTIVIDAD WIFI. UN PANEL DE ALARMA, 15 SENSORES MAGNÉTICOS INALÁMBRICOS.</t>
  </si>
  <si>
    <t>8218G</t>
  </si>
  <si>
    <t>KIT DE ALARMA CON CONECTIVIDAD WIFI. UN PANEL DE ALARMA, 15 SENSORES MAGNÉTICOS INALÁMBRICOS. DOS CONTROLES REMOTO.</t>
  </si>
  <si>
    <t>https://www.amazon.com/8218G-Wireless-ANDROID-Security-System/dp/B01M5CCQXD/ref=sr_1_2?ie=UTF8&amp;qid=1541387304&amp;sr=8-2&amp;keywords=8218g</t>
  </si>
  <si>
    <t xml:space="preserve">SENSOR DE MOVIMIENTO INALÁMBRICO DE 27 PIES DE ALCANCE </t>
  </si>
  <si>
    <t>P819</t>
  </si>
  <si>
    <t>https://www.amazon.com/KERUI-Driveway-Infrared-Intelligent-surroundings/dp/B00NPVF9KM/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psc=1&amp;refRID=96ANBCAAFMMZPN6R7GKC</t>
  </si>
  <si>
    <t>SENSORES INALÁMBRICO TIPO CORTINA</t>
  </si>
  <si>
    <t>P817</t>
  </si>
  <si>
    <t>https://www.amazon.com/KERUI-Driveway-Infrared-Intelligent-surroundings/dp/B00XJG8FTA/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refRID=96ANBCAAFMMZPN6R7GKC&amp;th=1</t>
  </si>
  <si>
    <t>SIRENA EXTERNA CON CARGA SOLAR.</t>
  </si>
  <si>
    <t>SJI</t>
  </si>
  <si>
    <t>https://www.amazon.com/KERUI-Driveway-Infrared-Intelligent-surroundings/dp/B071F4JDNW/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refRID=96ANBCAAFMMZPN6R7GKC&amp;th=1</t>
  </si>
  <si>
    <t>REPETIDOR DE SEÑAL PARA SENSOR</t>
  </si>
  <si>
    <t>Z08</t>
  </si>
  <si>
    <t>SISTEMA DE ALARMA WIFI DE NOTIFICACIÓN CON DOS SENSORES DE PRESENCIA Y TECLADO.</t>
  </si>
  <si>
    <t>IM_W18_W</t>
  </si>
  <si>
    <t>KEY_DIGITAL</t>
  </si>
  <si>
    <t>KD_MS6X6G</t>
  </si>
  <si>
    <t>MATRIZ 8X8 4K, PARA MANEJO DE VIDEO WALL EN MOSAICO</t>
  </si>
  <si>
    <t>KINGSTON</t>
  </si>
  <si>
    <t>KIN</t>
  </si>
  <si>
    <t>USB</t>
  </si>
  <si>
    <t>MEMORIA USB DE 8 GIGAS.</t>
  </si>
  <si>
    <t>DTSE9H_8GBZET</t>
  </si>
  <si>
    <t>MEMORIA USB DE 64G</t>
  </si>
  <si>
    <t>SE9</t>
  </si>
  <si>
    <t>KK</t>
  </si>
  <si>
    <t>SENSOR DE EMBOLO PARA DETECCIÓN DE NIVELES DE COMBUSTIBLE</t>
  </si>
  <si>
    <t>EMB.5</t>
  </si>
  <si>
    <t>KLIPSCH</t>
  </si>
  <si>
    <t>ALTAVOZ ARQUITECTÓNICO SIN BORDE DE 8" 40 VATIOS.</t>
  </si>
  <si>
    <t>CS_18C</t>
  </si>
  <si>
    <t>ALTAVOZ ARQUITECTÓNICO SIN BORDE DE 8" 40 VATIOS, RESPUESTA EN FRECUENCIA DE 63Hz - 20kHz.</t>
  </si>
  <si>
    <t>Uno sin tapa</t>
  </si>
  <si>
    <t>ALTAVOZ ARQUITECTÓNICO SIN BORDE DE 6.5" 40 VATIOS.</t>
  </si>
  <si>
    <t>CS_16CSM</t>
  </si>
  <si>
    <t>ALTAVOZ ARQUITECTÓNICO SIN BORDE DE 6.5" 40 VATIOS, RESPUESTA EN FRECUENCIA DE 65Hz - 20kHz.</t>
  </si>
  <si>
    <t>ALTAVOZ ESTÉREO DE 8 OHM, 50 VATIOS.</t>
  </si>
  <si>
    <t>R_2650_CSM</t>
  </si>
  <si>
    <t>CABINA PARA ALTAVOZ DE 6.5"</t>
  </si>
  <si>
    <t>ME_650_C</t>
  </si>
  <si>
    <t>CABINA PARA ALTAVOZ DE 8"</t>
  </si>
  <si>
    <t>ME_800_C</t>
  </si>
  <si>
    <t>ALTAVOZ PARA EXTERIOR DE SOBREPONER DE 50W, MEMBRANA ACÚSTICA DE 5". 8 OHM.</t>
  </si>
  <si>
    <t>PRO_650T_LS</t>
  </si>
  <si>
    <t>SUBWOOFER PASIVO DE 8 OHM CON DOBLE MEMBRANA.</t>
  </si>
  <si>
    <t>RW_5802_II</t>
  </si>
  <si>
    <t>AMPLIFICADOR PARA SUBWOOFER</t>
  </si>
  <si>
    <t>RSA_500</t>
  </si>
  <si>
    <t>PARLANTES RECTANGULARES DE 8OHM CON MANEJO DE HASTA 100W DE POTENCIA.</t>
  </si>
  <si>
    <t>R_3650_W_II</t>
  </si>
  <si>
    <t>PARLANTE DE LÍNEA DE 70V HASTA 15W.</t>
  </si>
  <si>
    <t>IC_400_T</t>
  </si>
  <si>
    <t>SUBWOOFER DE 8" CON AMPLIFICADOR DIGITAL 50W/150W, MEDIDAS; 34cm X30cmX30cm.</t>
  </si>
  <si>
    <t>R_8SW</t>
  </si>
  <si>
    <t>CDT_3650</t>
  </si>
  <si>
    <t xml:space="preserve">ALTAVOZ DE SOBREPONER DE 8 OHM. </t>
  </si>
  <si>
    <t>REFERENCE_PACK_5.1</t>
  </si>
  <si>
    <t>SISTEMA DE ALTAVOCES 5.1 CON SUBWOOFER Y 5 PARLANTES 8 OHM</t>
  </si>
  <si>
    <t>T5_TRUE_WIRELESS</t>
  </si>
  <si>
    <t>EARPHONES DE SILICONA CON CONECTIVIDAD BLUETOOTH Y CARGADOR EN COLOR NEGRO.</t>
  </si>
  <si>
    <t>PRO_5002_S_THX</t>
  </si>
  <si>
    <t>ALTAVOCES CON CERTIFICACION THX, POTENCIA ENTER 100 Y 400W</t>
  </si>
  <si>
    <t>SPL_150SW</t>
  </si>
  <si>
    <t>SUBWOOFER CON AMPLIFICADOR ACTIVO DE 400W</t>
  </si>
  <si>
    <t>K1063275</t>
  </si>
  <si>
    <t>SISTEMA MULTIROOM DE AUDIO CON SALIDA ANALOGICA</t>
  </si>
  <si>
    <t>R_100SW</t>
  </si>
  <si>
    <t>SUBWOOFER CON AMPLIFICADOR INTERNO DE 150W. LINEA REFERENCE.</t>
  </si>
  <si>
    <t>R_120SW</t>
  </si>
  <si>
    <t>SUBWOOFER CON RESPUESTA EN FRECUENCIA DE 29Hz - 120Hz, POTENCIA DE 200W RMS.</t>
  </si>
  <si>
    <t>AW_525</t>
  </si>
  <si>
    <t>PARLANTE DE EXTERIOR 8 OHM, 75 VATIOS.</t>
  </si>
  <si>
    <t>PRO_650T_RK</t>
  </si>
  <si>
    <t>ALTAVOZ TIPO ROCA COLOR GRANITO DE 100W</t>
  </si>
  <si>
    <t>HERITAHE_GROOVE</t>
  </si>
  <si>
    <t>ALTAVOZ COMPACTO WIRELESS</t>
  </si>
  <si>
    <t>PRO_180RPC_LCR</t>
  </si>
  <si>
    <t>ALTAVOZ DE 8" EN TECHO CON ANGULO DE 45° PARA APLICACIONES DE HOME CINEMA</t>
  </si>
  <si>
    <t>PARLANTE DE EXTERIOR PARA INTEMPERIE CON POTENCIA DE HASTA 100W.</t>
  </si>
  <si>
    <t>CDT_5800_C_II</t>
  </si>
  <si>
    <t>PARLANTE CON TWEETER DIRECCIONAL, MEMBRANA DE 8" PARA AMFLIFICADOR DE 100W.</t>
  </si>
  <si>
    <t>CDT_5650_C_II</t>
  </si>
  <si>
    <t>PARLANTE CON TWEETER DIRECCIONAL, MEMBRANA DE 6.5" PARA AMFLIFICADOR DE 100W.</t>
  </si>
  <si>
    <t>DS_160C</t>
  </si>
  <si>
    <t>ALTAVOCES REDONDOS DE 6.5" SIN BORDE. POTENCIA DE 50W RMS.</t>
  </si>
  <si>
    <t>CS_16C_II</t>
  </si>
  <si>
    <t>PARLANTES EN POLIMERO DE 6.5". POTENCIA DE 40W. 57Hz - 20kHz +/- 3dB</t>
  </si>
  <si>
    <t>KODAK</t>
  </si>
  <si>
    <t>BOMBILLA TIPO EDISSON LED ATENUABLE</t>
  </si>
  <si>
    <t>K67032</t>
  </si>
  <si>
    <t>KOMODO</t>
  </si>
  <si>
    <t>SOLDADURA CADWELL 115 GR</t>
  </si>
  <si>
    <t>GR115</t>
  </si>
  <si>
    <t>CABLE COBRE # 2/0 THHN</t>
  </si>
  <si>
    <t>COB_AWG2</t>
  </si>
  <si>
    <t>CAJA INSPECCIÓN STP</t>
  </si>
  <si>
    <t>STP_BOX</t>
  </si>
  <si>
    <t>TRANSPORTE DE SUMINISTROS LIVIANOS DENTRO DEL PERÍMETRO URBANO DE BOGOTÁ</t>
  </si>
  <si>
    <t>K_TRANS_BOG</t>
  </si>
  <si>
    <t>ALQUILER DE UNA SEMANA DE SECCIONES DE ANDAMIO</t>
  </si>
  <si>
    <t>K_ALQ_AND</t>
  </si>
  <si>
    <t>DIA DE ALQUILES DE EQUIPO DE ALTURAS</t>
  </si>
  <si>
    <t>K_ALQ_EQUI_ALTURA</t>
  </si>
  <si>
    <t>DESPLAZAMIENTO A VALLEDUPAR</t>
  </si>
  <si>
    <t>K_TRANS_VALLE</t>
  </si>
  <si>
    <t>TRANSPORTE A LA CIUDAD DE BUCARAMANGA</t>
  </si>
  <si>
    <t>K_TRANS_BUCA</t>
  </si>
  <si>
    <t>DESPLAZAMIENTO A SOPO Y ALREDEDORES</t>
  </si>
  <si>
    <t>K_TRANS_HGR</t>
  </si>
  <si>
    <t>DESPLAZAMIENTOS VIÁTICOS Y DIETAS ENTRE LA CIUDAD DE BOGOTÁ Y CALI POR UN DÍA.</t>
  </si>
  <si>
    <t>K_TRANS_CALI</t>
  </si>
  <si>
    <t>DESPLAZAMIENTOS VIÁTICOS Y DIETAS ENTRE LA CIUDAD DE BOGOTÁ Y CALI POR LAPSO DE UN DÍA.</t>
  </si>
  <si>
    <t>TRANSPORTE DE EQUIPOS EN EL ÁREA</t>
  </si>
  <si>
    <t>K_TRANS</t>
  </si>
  <si>
    <t>DESPLAZAMIENTO A BARRANQUILLA EN AVIÓN</t>
  </si>
  <si>
    <t>K_TRANS_BQUILLA</t>
  </si>
  <si>
    <t>SSWS</t>
  </si>
  <si>
    <t>XX</t>
  </si>
  <si>
    <t>INSTALACIÓN DE TOMA CORRIENTE EN CAJA, NO INCLUYE ACOMETIDAS A SUMINISTROS.</t>
  </si>
  <si>
    <t>K_INST_TOMA</t>
  </si>
  <si>
    <t>INSTALACIÓN DE MEDIDOR DE CORRIENTE EN RIEL</t>
  </si>
  <si>
    <t>K_INST_METER</t>
  </si>
  <si>
    <t>INST</t>
  </si>
  <si>
    <t>BALLAST</t>
  </si>
  <si>
    <t>INSTALACIÓN DE BALASTRO EN LÁMPARA.</t>
  </si>
  <si>
    <t>K_INST_BALLAST</t>
  </si>
  <si>
    <t>INSTALACIÓN DE BALASTRO EN LÁMPARA. NO INCLUYE CABLEADO NI ACCESORIOS DE CONEXIÓN O CABLEADO INTERNO DENTRO DE LA LÁMPARA.</t>
  </si>
  <si>
    <t>LIMPIEZA DE SUPERFICIE DE LUMINARIA CON DESENGRASANTE Y/O VARSOL</t>
  </si>
  <si>
    <t>K_CLEAN_LAMP</t>
  </si>
  <si>
    <t>DESINSTALACIÓN DE LUMINARIA Y ORGANIZACIÓN DE SOBRANTE.</t>
  </si>
  <si>
    <t>K_DEST_LED</t>
  </si>
  <si>
    <t>JORNADA DE 4 HORAS CON TÉCNICO ELÉCTRICO PARA REVISIONES ELÉCTRICAS.</t>
  </si>
  <si>
    <t>K_INST_TECNICO</t>
  </si>
  <si>
    <t>JORNADA DE 4 HORAS CON TÉCNICO ELÉCTRICO PARA REVISIONES ELÉCTRICAS, CAMBIO DE LUMINARIAS, AJUSTES O RECONEXIONES. INCLUYE MANO DE OBRA Y NO INCLUYE MATERIALES EN CASO SER REQUERIDOS.</t>
  </si>
  <si>
    <t>REPOTENCIACIÓN Y CAMBIO DE TUBO FLUORESCENTE A REGLETA LED.</t>
  </si>
  <si>
    <t>INST_REPOT</t>
  </si>
  <si>
    <t>GRAFIK</t>
  </si>
  <si>
    <t>INSTALACIÓN DE EQUIPO TIPO GRAFIK. NO INCLUYE ACOMETIDAS.</t>
  </si>
  <si>
    <t>K_INST_GRAFIK</t>
  </si>
  <si>
    <t>INSTALACIÓN DE EQUIPO TIPO GRAFIK. NO INCLUYE ACOMETIDAS, TUBERÍA O INFRA ESTRUCTURA PARA LA INSTALACIÓN.</t>
  </si>
  <si>
    <t>CABLE</t>
  </si>
  <si>
    <t>INSTALACIÓN DE METRO DE CABLE EN DUCTERIA O INFRA ESTRUCTURA EXISTENTE.</t>
  </si>
  <si>
    <t>K_INST_CABLE</t>
  </si>
  <si>
    <t>INSTALACIÓN DE METRO DE CABLE EN DUCTERIA O INFRA ESTRUCTURA EXISTENTE. NO INCLUYE SUMINISTRO DE ACCESORIOS, INFRA ESTRUCTURA ADICIONAL O ACABADOS.</t>
  </si>
  <si>
    <t>INSTALACIÓN DE ALTAVOZ, NO INCLUYE OBRAS CIVILES.</t>
  </si>
  <si>
    <t>K_INST_SPK</t>
  </si>
  <si>
    <t>AMP1</t>
  </si>
  <si>
    <t>INSTALACIÓN DE AMPLIFICADOR DE UNA ZONA, NO INCLUYE OBRAS CIVILES.</t>
  </si>
  <si>
    <t>K_INST_AMP1</t>
  </si>
  <si>
    <t>AMP2</t>
  </si>
  <si>
    <t>INSTALACIÓN DE AMPLIFICADOR DE 2 ZONAS, NO INCLUYE OBRAS CIVILES.</t>
  </si>
  <si>
    <t>K_INST_AMP2</t>
  </si>
  <si>
    <t>AMP3</t>
  </si>
  <si>
    <t>INSTALACIÓN DE AMPLIFICADOR DE 3 ZONAS, NO INCLUYE OBRAS CIVILES.</t>
  </si>
  <si>
    <t>K_INST_AMP3</t>
  </si>
  <si>
    <t>AMP4</t>
  </si>
  <si>
    <t>INSTALACIÓN DE AMPLIFICADOR DE 4 ZONAS, NO INCLUYE OBRAS CIVILES.</t>
  </si>
  <si>
    <t>K_INST_AMP4</t>
  </si>
  <si>
    <t>AMP6</t>
  </si>
  <si>
    <t>INSTALACIÓN DE AMPLIFICADOR DE 6 ZONAS, NO INCLUYE OBRAS CIVILES.</t>
  </si>
  <si>
    <t>K_INST_AMP6</t>
  </si>
  <si>
    <t>AMP8</t>
  </si>
  <si>
    <t>INSTALACIÓN DE AMPLIFICADOR DE 8 ZONAS, NO INCLUYE OBRAS CIVILES.</t>
  </si>
  <si>
    <t>K_INST_AMP8</t>
  </si>
  <si>
    <t>CHAPA</t>
  </si>
  <si>
    <t>INSTALACIÓN DE CHAPA EN PUERTA DE MADERA O ALUMINIO.</t>
  </si>
  <si>
    <t>K_INST_CHAPA</t>
  </si>
  <si>
    <t>INSTALACIÓN DE CHAPA EN PUERTA DE MADERA O ALUMINIO. PUEDE REQUERIR COSTO ADICIONAL DEPENDIENDO DEL NIVEL DE SEGURIDAD Y MATERIAL DE LA PUERTA.</t>
  </si>
  <si>
    <t>M_CBL</t>
  </si>
  <si>
    <t>INSTALACIÓN DE METRO DE CABLE EN DUCTERIA SUMINISTRADA POR TERCEROS.</t>
  </si>
  <si>
    <t>K_INST_M_CBL</t>
  </si>
  <si>
    <t>DIM</t>
  </si>
  <si>
    <t xml:space="preserve">INSTALACIÓN DE INTERRUPTOR O DIMMER. </t>
  </si>
  <si>
    <t>K_INST_DIM</t>
  </si>
  <si>
    <t>INSTALACIÓN DE INTERRUPTOR O DIMMER. INFRA ESTRUCTURA Y CAJAS ELÉCTRICAS SUMINISTRADAS POR TERCEROS.</t>
  </si>
  <si>
    <t>INSTALACIÓN DE TECLADO DE CONTROL.</t>
  </si>
  <si>
    <t>K_INST_KEY</t>
  </si>
  <si>
    <t>INSTALACIÓN DE TECLADO DE CONTROL. INFRA ESTRUCTURA Y CAJAS ELÉCTRICAS SUMINISTRADAS POR TERCEROS.</t>
  </si>
  <si>
    <t>WP</t>
  </si>
  <si>
    <t>INSTALACIÓN DE EQUIPO DE PRESENTACIÓN INALÁMBRICA.</t>
  </si>
  <si>
    <t>K_INST_WP</t>
  </si>
  <si>
    <t>INSTALACIÓN DE EQUIPO DE PRESENTACIÓN INALÁMBRICA, NO INCLUYE ACOMETIDAS, MULTITOMAS O ACOMETIDAS ELÉCTRICAS.</t>
  </si>
  <si>
    <t>PROGRAMACIÓN E INTEGRACIÓN DE PROYECTOR MEDIANTE PROTOCOLO RS_232 O IP.</t>
  </si>
  <si>
    <t>K_PROG_PRO</t>
  </si>
  <si>
    <t>TVIR</t>
  </si>
  <si>
    <t>PROGRAMACIÓN E INTEGRACIÓN DE TV MEDIANTE PROTOCOLO IR.</t>
  </si>
  <si>
    <t>K_PROG_TVIR</t>
  </si>
  <si>
    <t>INSTALACIÓN DE PANTALLA TÁCTIL, NO INCLUYE ACOMETIDAS U OBRAS CIVILES.</t>
  </si>
  <si>
    <t>K_INST_TP</t>
  </si>
  <si>
    <t>AIO</t>
  </si>
  <si>
    <t>INSTALACIÓN DE SWITCH DE AUDIO Y VIDEO ALL IN ONE.</t>
  </si>
  <si>
    <t>K_INST_AIO</t>
  </si>
  <si>
    <t>PHPM</t>
  </si>
  <si>
    <t>INSTALACIÓN DE UNIDAD DE POTENCIA. NO INCLUYE ACOMETIDAS ELÉCTRICAS.</t>
  </si>
  <si>
    <t>K_INST_PHPM</t>
  </si>
  <si>
    <t>ASC</t>
  </si>
  <si>
    <t>INSTALACIÓN DE SOPORTE TIPO ASCENSOR PARA PROYECTOR.</t>
  </si>
  <si>
    <t>K_INST_ASC</t>
  </si>
  <si>
    <t>INSTALACIÓN DE SOPORTE TIPO ASCENSOR PARA PROYECTOR. NO INCLUYE SALIDAS O ACOMETIDAS ELÉCTRICAS, AJUSTES EN DRYWALL O TERMINACIONES FINALES DE PINTURA.</t>
  </si>
  <si>
    <t>SCREEN</t>
  </si>
  <si>
    <t>INSTALACIÓN DE TELÓN MOTORIZADO. NO INCLUYE SALIDAS O ACOMETIDAS ELÉCTRICAS.</t>
  </si>
  <si>
    <t>K_INST_SCREEN</t>
  </si>
  <si>
    <t>INSTALACIÓN DE TELÓN MOTORIZADO. NO INCLUYE SALIDAS O ACOMETIDAS ELÉCTRICAS, AJUSTES EN DRYWALL O TERMINACIONES FINALES DE PINTURA..</t>
  </si>
  <si>
    <t>5.1T</t>
  </si>
  <si>
    <t>INSTALACIÓN DE SISTEMA DE ALTAVOCES 5.1, NO INCLUYE ACOMETIDAS ELÉCTRICAS.</t>
  </si>
  <si>
    <t>K_INST_5.1T</t>
  </si>
  <si>
    <t>INSTALACIÓN DE SISTEMA DE ALTAVOCES 5.1, NO INCLUYE ACOMETIDAS ELÉCTRICAS, SALIDA DE PUNTOS O ACABADOS FINALES. INCLUYE TUBERÍA EN PVC.</t>
  </si>
  <si>
    <t>K_INST_5.1</t>
  </si>
  <si>
    <t>INSTALACIÓN DE SISTEMA DE ALTAVOCES 5.1, NO INCLUYE ACOMETIDAS ELÉCTRICAS, SALIDA DE PUNTOS O ACABADOS FINALES. INCLUYE SONDEO EN TUBERÍA PREVIAMENTE INSTALADA Y ESQUEMÁTICOS SOBRE PLANOS DEL CLIENTE.</t>
  </si>
  <si>
    <t>SB</t>
  </si>
  <si>
    <t>INSTALACIÓN DE SISTEMA SOUND BAR, NO INCLUYE ACOMETIDAS ELÉCTRICAS.</t>
  </si>
  <si>
    <t>K_INST_SB</t>
  </si>
  <si>
    <t>INSTALACIÓN DE SISTEMA SOUND BAR, NO INCLUYE ACOMETIDAS ELÉCTRICAS NI DUCTOS PASA CABLES.</t>
  </si>
  <si>
    <t>INSTALACIÓN DE PANEL 0-10 VOLTIOS, DE LA SERIE QSN.</t>
  </si>
  <si>
    <t>K_INST_0_10</t>
  </si>
  <si>
    <t>INSTALACIÓN DE PANEL DE 4 INTERRUPTORES DE LA SERIE QSN.</t>
  </si>
  <si>
    <t>K_INST_QSN16</t>
  </si>
  <si>
    <t>INSTALACIÓN DE PROYECTOR EN SOPORTE FIJO.</t>
  </si>
  <si>
    <t>K_INST_PRO</t>
  </si>
  <si>
    <t>INSTALACIÓN DE PROYECTOR EN SOPORTE FIJO, NO INCLUYE REFUERZOS EN TECHO O ACABADOS DEL TECHO.</t>
  </si>
  <si>
    <t>INSTALACIÓN DE TELÓN MOTORIZADO EN TECHO.</t>
  </si>
  <si>
    <t>K_INST_TELON</t>
  </si>
  <si>
    <t>INSTALACIÓN DE TELÓN MOTORIZADO EN TECHO, NO INCLUYE REFUERZOS EN TECHO O ACABADOS DEL TECHO.</t>
  </si>
  <si>
    <t>INSTALACIÓN DE LÁMPARA TIPO LED EN ESTRUCTURA TIPO DRYWALL O MODULAR.</t>
  </si>
  <si>
    <t>K_INST_LED</t>
  </si>
  <si>
    <t>INSTALACIÓN DE LÁMPARA TIPO LED EN ESTRUCTURA TIPO DRYWALL O MODULAR. NO INCLUYE OBRAS CIVILES O INFRA ESTRUCTURA ELÉCTRICA.</t>
  </si>
  <si>
    <t>INSTALACIÓN DE SALIDA PARA CÁMARA INTERIOR EN CAJA PLÁSTICA O SALIDA ELÉCTRICA.</t>
  </si>
  <si>
    <t>K_INST_CAM</t>
  </si>
  <si>
    <t>INSTALACIÓN DE SALIDA PARA CÁMARA INTERIOR EN CAJA PLÁSTICA O SALIDA ELÉCTRICA EXISTENTE EN DRYWALL O PARED. V</t>
  </si>
  <si>
    <t>INSTALACIÓN DE SALIDA PARA CÁMARA DE EXTERIOR EN CAJA PLÁSTICA.</t>
  </si>
  <si>
    <t>K_INST_CAM_OUT</t>
  </si>
  <si>
    <t>INSTALACIÓN DE SALIDA PARA CÁMARA DE EXTERIOR EN CAJA PLÁSTICA O SALIDA ELÉCTRICA EXISTENTE EN DRYWALL O PARED. V</t>
  </si>
  <si>
    <t>INSTALACIÓN DE SENSOR DE PRESENCIA. NO INCLUYE INFRA ESTRUCTURA ELÉCTRICA.</t>
  </si>
  <si>
    <t>K_INST_SP</t>
  </si>
  <si>
    <t>INSTALACIÓN DE SENSOR DE PRESENCIA. NO INCLUYE INFRA ESTRUCTURA ELÉCTRICA O ACCESORIOS TALES COMO TAPAS CIEGAS.</t>
  </si>
  <si>
    <t>INSTALACIÓN DE CAJA ELÉCTRICA FIGURADA.</t>
  </si>
  <si>
    <t>K_INST_BOX</t>
  </si>
  <si>
    <t>INSTALACIÓN DE CONTACTOR PARA COMO INTERRUPTOR DE CARGAS.</t>
  </si>
  <si>
    <t>K_INST_CON</t>
  </si>
  <si>
    <t>INSTALACIÓN DE CONTROL DE ACCESO PARA DOS PUERTAS.</t>
  </si>
  <si>
    <t>K_INST_CA</t>
  </si>
  <si>
    <t>INSTALACIÓN DE CONTROL DE ACCESO PARA DOS PUERTAS. NO INCLUYE TRABAJO DE OBRA CIVIL O TUBERÍA.</t>
  </si>
  <si>
    <t>INSTALACIÓN DE EQUIPO AIRPORT, INCLUYE CONEXIÓNDENTRO DE LA RED LAN.</t>
  </si>
  <si>
    <t>K_INST_AIRPORT</t>
  </si>
  <si>
    <t>INSTALACIÓN DE EQUIPO AIRPORT, INCLUYE CONEXIÓN DE CERCANA A DISPOSITIVO DENTRO DE LA RED LAN.</t>
  </si>
  <si>
    <t>INSTALACIÓN DE PROCESADOR HOMEWORKS QS. INCLUYE SEGUIMIENTO DE OBRA.</t>
  </si>
  <si>
    <t>K_INST_PRO_QS</t>
  </si>
  <si>
    <t xml:space="preserve">INSTALACIÓN DE METRO LINEAL DE TUBERÍA MT DE SOBRE PONER. </t>
  </si>
  <si>
    <t>K_INST_MT</t>
  </si>
  <si>
    <t>INSTALACIÓN DE METRO LINEAL DE TUBERÍA MT DE SOBRE PONER. NO INCLUYE OBRA CIVIL O PINTURA.</t>
  </si>
  <si>
    <t>INSTALACIÓN DE CAJA DE SOBRE PONER</t>
  </si>
  <si>
    <t>K_INST_BOXR</t>
  </si>
  <si>
    <t>INSTALACIÓN DE LÁMPARA HERMÉTICA CON VARILLA ROSCADA A PLACA.</t>
  </si>
  <si>
    <t>K_INS_LH</t>
  </si>
  <si>
    <t>INSTALACIÓN DE LÁMPARA HERMÉTICA CON VARILLA ROSCADA A PLACA. NO INCLUYE SALIDA ELÉCTRICA.</t>
  </si>
  <si>
    <t>INSTALACIÓN DE ROUTER EN RACK DE EQUIPOS, INCLUYE ACCESORIOS DE CONEXIÓN.</t>
  </si>
  <si>
    <t>K_INST_ROUTER</t>
  </si>
  <si>
    <t>INSTALACIÓN DE ROUTER EN RACK DE EQUIPOS, INCLUYE ACCESORIOS DE CONEXIÓN, NO INCLUYE CABLEADO O INFRA ESTRUCTURA ELÉCTRICA O CIVIL.</t>
  </si>
  <si>
    <t>INSTALACIÓN DE PUNTO DE ACCESO INALÁMBRICO EN POSTES.</t>
  </si>
  <si>
    <t>K_INST_AP_P</t>
  </si>
  <si>
    <t>INSTALACIÓN DE PUNTO DE ACCESO INALÁMBRICO EN POSTES O INFRA ESTRUCTURA PARA EXTERIORES, NO INCLUYE INFRA ESTRUCTURA FÍSICA CABLEADO O CONEXIONES ELÉCTRICAS.</t>
  </si>
  <si>
    <t>INSTALACIÓN DE PUNTO DE ACCESO INALÁMBRICO EN INTERIOR.</t>
  </si>
  <si>
    <t>K_INST_AP</t>
  </si>
  <si>
    <t>INSTALACIÓN DE PUNTO DE ACCESO INALÁMBRICO EN INTERIOR, NO INCLUYE INFRA ESTRUCTURA FÍSICA, OBRAS CIVILES, CABLEADO O CONEXIONES ELÉCTRICAS.</t>
  </si>
  <si>
    <t>INSTALACIÓN DE MANEJADOR DE PUNTOS DE ACCESO TIPO ROAMING.</t>
  </si>
  <si>
    <t>K_INST_MAP</t>
  </si>
  <si>
    <t>INSTALACIÓN DE SWITCH DE DATOS.</t>
  </si>
  <si>
    <t>K_INST_SW</t>
  </si>
  <si>
    <t>INSTALACIÓN DE SWITCH DE DATOS, NO INCLUYE OBRA CIVIL O INFRA ESTRUCTURA ELÉCTRICA.</t>
  </si>
  <si>
    <t>K_INST_CAC2</t>
  </si>
  <si>
    <t>INSTALACIÓN DE TALANQUERA, NO INCLUYE OBRA CIVIL NI INFRA ESTRUCTURA ELÉCTRICA.</t>
  </si>
  <si>
    <t>K_INST_TALAN</t>
  </si>
  <si>
    <t>INSTALACIÓN DE LÁMPARA DE PISO.</t>
  </si>
  <si>
    <t>K_INST_LAMP_P</t>
  </si>
  <si>
    <t>INSTALACIÓN DE LÁMPARA DE PISO, NO INCLUYE INFRA ESTRUCTURA NI PERFORACIÓN EN SUELO</t>
  </si>
  <si>
    <t>INSTALACIÓN DE LÁMPARA TIPO PANEL EN DRYWALL.</t>
  </si>
  <si>
    <t>K_INST_LAM_PAN</t>
  </si>
  <si>
    <t>INSTALACIÓN DE LÁMPARA TIPO PANEL EN DRYWALL, NO INCLUYE INFRA ESTRUCTURA ELÉCTRICA.</t>
  </si>
  <si>
    <t>INSTALACIÓN DE PANEL DE VIDEO WALL EN SOPORTE COMPATIBLE.</t>
  </si>
  <si>
    <t>K_INST_VW</t>
  </si>
  <si>
    <t>INSTALACIÓN DE SISTEMA INTERACTIVO DE PRESENTACIÓN</t>
  </si>
  <si>
    <t>K_INST_SIP</t>
  </si>
  <si>
    <t>INSTALACIÓN DE PUNTO ELÉCTRICO O DE DATOS</t>
  </si>
  <si>
    <t>K_INST_PED</t>
  </si>
  <si>
    <t>INSTALACIÓN Y FIGURADO DE TABLERO ELÉCTRICO HASTA 24 BREAKERS.</t>
  </si>
  <si>
    <t>K_INST_T24</t>
  </si>
  <si>
    <t>INSTALACIÓN Y FIGURADO DE TABLERO ELÉCTRICO DE ALIMENTACIÓN DE HASTA 24 BREAKERS.</t>
  </si>
  <si>
    <t>INSTALACIÓN DE LÁMPARA DE LECTURA EN CABECERO DE MADERA.</t>
  </si>
  <si>
    <t>K_INST_LEC</t>
  </si>
  <si>
    <t>INSTALACIÓN DE LÁMPARA DE LECTURA EN CABECERO DE MADERA, INCLUYE CONEXIÓN Y PRUEBA DE FUNCIONAMIENTO, NO INCLUYE INTERVENCIÓN DE MADERA</t>
  </si>
  <si>
    <t>INSTALACIÓN DE METRO DE CABLOFIL CON SUJECIÓN A TECHO O PARED</t>
  </si>
  <si>
    <t>K_INST_CF</t>
  </si>
  <si>
    <t>INSTALACIÓN DE UPS</t>
  </si>
  <si>
    <t>K_INST_UPS</t>
  </si>
  <si>
    <t>CONEXIÓN DE NVR, PONCHADO DE CABLES Y ORGANIZACIÓN DE CABLES</t>
  </si>
  <si>
    <t>K_INST_NVR</t>
  </si>
  <si>
    <t>RECONFIGURACIÓN DE CABLEADO EN RACK DE HASTA 12 UNIDADES.</t>
  </si>
  <si>
    <t>K_INST_CAB12U</t>
  </si>
  <si>
    <t>RECONFIGURACIÓN DE CABLEADO EN RACK DE HASTA 12 UNIDADES. INCLUYE ORGANIZACIÓN DE CABLEADO CON LOS ACCESORIOS QUE TENGA EL RACK.</t>
  </si>
  <si>
    <t>INSTALACIÓN DE REGLETA COLOR KINETICS, INCLUYE INSTALACIÓN DE EQUIPOS.</t>
  </si>
  <si>
    <t>K_INST_KINETICS</t>
  </si>
  <si>
    <t>INSTALACIÓN DE REGLETA COLOR KINETICS, INCLUYE INSTALACIÓN DE EQUIPOS Y ACCESORIOS, NO INCLUYE ACOMETIDAS DE CABLEADO O ALIMENTACIÓN.</t>
  </si>
  <si>
    <t>REVISIÓN DE LUMINARIA T5, REVISIÓN DE CABLEADO, TUBERÍA Y BALASTRO.</t>
  </si>
  <si>
    <t>K_INST_REV_LAMP</t>
  </si>
  <si>
    <t>REVISIÓN DE LUMINARIA T5, REVISIÓN DE CABLEADO, TUBERÍA Y BALASTRO, NO INCLUYE REPUESTOS PARA ARREGLO DE LUMINARIA.</t>
  </si>
  <si>
    <t>INSTALACIÓN DE SENSOR DE LUZ. NO INCLUYE INFRA ESTRUCTURA ELÉCTRICA.</t>
  </si>
  <si>
    <t>K_INST_SL</t>
  </si>
  <si>
    <t>INSTALACIÓN DE SENSOR DE LUZ. NO INCLUYE INFRA ESTRUCTURA ELÉCTRICA O ACCESORIOS TALES COMO TAPAS CIEGAS.</t>
  </si>
  <si>
    <t>CONFIGURACIÓN DE REPETIDORA PRINCIPAL DE SISTEMA RADIO RA2</t>
  </si>
  <si>
    <t>K_INST_RA2</t>
  </si>
  <si>
    <t>CONFIGURACIÓN DE REPETIDORA INALÁMBRICA RADIO RA 2</t>
  </si>
  <si>
    <t>K_INST_REP_RA2</t>
  </si>
  <si>
    <t>INSTALACIÓN DE MÓDULO POW PACK.</t>
  </si>
  <si>
    <t>K_INST_POW</t>
  </si>
  <si>
    <t>INSTALACIÓN DE MODULO CCO POW PACK</t>
  </si>
  <si>
    <t>K_INST_POW_CCO</t>
  </si>
  <si>
    <t>INSTALACIÓN DE MÓDULO DUAL DE CONTACTOS SECOS.</t>
  </si>
  <si>
    <t>K_INST_VCRX</t>
  </si>
  <si>
    <t>INSTALACIÓN DE MÓDULO DE ACCESO REMOTO.</t>
  </si>
  <si>
    <t>K_INST_LUTRON_BRIDGE</t>
  </si>
  <si>
    <t>INSTALACIÓN DE PANEL BUS DE DATOS ECOSYSTEM</t>
  </si>
  <si>
    <t>K_INST_ECO</t>
  </si>
  <si>
    <t>INSTALACIÓN DE LOS EQUIPOS QUE HACEN PARTE DE ESTA PROPUESTA</t>
  </si>
  <si>
    <t>K_INST_GENERAL</t>
  </si>
  <si>
    <t>INSTALACIÓN Y PROGRAMACIÓN DE LOS EQUIPOS QUE HACEN PARTE DE ESTA PROPUESTA</t>
  </si>
  <si>
    <t>K_INST_PROG_GEN</t>
  </si>
  <si>
    <t>INSTALACIÓN DE SENSOR DE HUMO Y TEMPERATURA.</t>
  </si>
  <si>
    <t>K_INST_SHT</t>
  </si>
  <si>
    <t>INSTALACIÓN DE CANTONERA O ELECTROIMÁN</t>
  </si>
  <si>
    <t>K_INST_MAG</t>
  </si>
  <si>
    <t>INSTALACIÓN DE TV EN SOPORTE FIJO</t>
  </si>
  <si>
    <t>K_INST_TV</t>
  </si>
  <si>
    <t>INSTALACIÓN DE LUMINARIA TIPO BALA. NO INCLUYE OBRAS CIVILES.</t>
  </si>
  <si>
    <t>K_INST_BALA</t>
  </si>
  <si>
    <t>INSTALACIÓN DE LUMINARIA TIPO BALA. NO INCLUYE OBRAS CIVILES O ADAPTACIONES NECESARIAS A TECHO.</t>
  </si>
  <si>
    <t>INSTALACIÓN DE LUMINARIA TIPO PANEL PEQUEÑO. NO INCLUYE OBRAS CIVILES.</t>
  </si>
  <si>
    <t>K_INST_PANEL PEQUEÑO</t>
  </si>
  <si>
    <t>INSTALACIÓN DE LUMINARIA TIPO PANEL PEQUEÑO. NO INCLUYE OBRAS CIVILES O ADAPTACIONES QUE SE REQUIERAN A TECHO.</t>
  </si>
  <si>
    <t>INSTALACIÓN DE LUMINARIA TIPO PANEL.</t>
  </si>
  <si>
    <t>K_INST_PANEL_GRANDE</t>
  </si>
  <si>
    <t>INSTALACIÓN DE LUMINARIA TIPO PANEL. NO INCLUYE OBRAS CIVILES O ADAPTACIONES NECESARIAS A TECHO.</t>
  </si>
  <si>
    <t>INSTALACIÓN DE LUMINARIA EN RIEL.</t>
  </si>
  <si>
    <t>K_INST_RIEL</t>
  </si>
  <si>
    <t>INSTALACIÓN DE LUMINARIA EN RIEL. NO INCLUYE OBRAS CIVILES O ADAPTACIONES NECESARIAS A TECHO.</t>
  </si>
  <si>
    <t>K_INST_PANEL</t>
  </si>
  <si>
    <t>INSTALACIÓN DE LUMINARIA TIPO TABACO DE EXTERIOR.</t>
  </si>
  <si>
    <t>K_INST_TABACO</t>
  </si>
  <si>
    <t>INSTALACIÓN DE LUMINARIA TIPO TABACO DE EXTERIOR. NO INCLUYE OBRAS CIVILES O ADAPTACIONES NECESARIAS A TECHO.</t>
  </si>
  <si>
    <t>INSTALACIÓN DE LUMINARIA TIPO APLIQUE DE EXTERIOR.</t>
  </si>
  <si>
    <t>K_INST_APLIQUE</t>
  </si>
  <si>
    <t>INSTALACIÓN DE LUMINARIA TIPO APLIQUE DE EXTERIOR. NO INCLUYE OBRAS CIVILES O ADAPTACIONES NECESARIAS A TECHO.</t>
  </si>
  <si>
    <t>INSTALACIÓN DE LUMINARIA DESCOLGADA.</t>
  </si>
  <si>
    <t>K_INST_DESCOLGADA</t>
  </si>
  <si>
    <t>INSTALACIÓN DE LUMINARIA DESCOLGADA. NO INCLUYE OBRAS CIVILES O ADAPTACIONES NECESARIAS A TECHO.</t>
  </si>
  <si>
    <t>INSTALACIÓN DE METRO LINEAL DE CINTA LED.</t>
  </si>
  <si>
    <t>K_INST_CINTA_LED</t>
  </si>
  <si>
    <t>INSTALACIÓN DE METRO LINEAL DE CINTA LED. NO INCLUYE OBRAS CIVILES O ADAPTACIONES NECESARIAS.</t>
  </si>
  <si>
    <t>INSTALACIÓN DE REFLECTOR. NO INCLUYE OBRAS CIVILES O ADAPTACIONES NECESARIAS.</t>
  </si>
  <si>
    <t>K_INST_REFLECTOR</t>
  </si>
  <si>
    <t>INSTALACIÓN DE LUMINARIA TIPO HASTA.</t>
  </si>
  <si>
    <t>K_INST_HASTA</t>
  </si>
  <si>
    <t>INSTALACIÓN DE LUMINARIA TIPO HASTA. NO INCLUYE OBRAS CIVILES O ADAPTACIONES NECESARIAS.</t>
  </si>
  <si>
    <t>INSTALACIÓN DE TELÓN FIJO EN PARED, NO INCLUYE REFUERZOS O ACABADOS.</t>
  </si>
  <si>
    <t>K_INST_TELONF</t>
  </si>
  <si>
    <t>DESMONTE Y BODEGAJE DE PANTALLA VIDEO WALL.</t>
  </si>
  <si>
    <t>K_INST_DVW</t>
  </si>
  <si>
    <t>VISITA TÉCNICA PARA REVISIÓN O INSTALACIÓN DE EQUIPOS DE ILUMINACIÓN O CONTROL, DENTRO DEL PERÍMETRO URBANO DE BOGOTÁ. LA VISITA INCLUYE UNA VISITA DE HASTA 1.5 HORAS..</t>
  </si>
  <si>
    <t>K_INST_LANUIT</t>
  </si>
  <si>
    <t>VISITA TÉCNICA PARA REVISIÓN O INSTALACIÓN DE EQUIPOS DE ILUMINACIÓN O CONTROL, DENTRO DEL PERÍMETRO URBANO DE BOGOTÁ. LA VISITA INCLUYE UNA VISITA DE HASTA 1.5 HORAS.</t>
  </si>
  <si>
    <t>MONTAJE DE BALA DE ILUMINACIÓN EN TECHO.</t>
  </si>
  <si>
    <t>K_MON_BAL_S</t>
  </si>
  <si>
    <t>MONTAJE DE BALA DE ILUMINACIÓN EN TECHO. NO INCLUYE ACCESORIOS COMO CONECTORES ROSCADOS.</t>
  </si>
  <si>
    <t>K_MON_BAL</t>
  </si>
  <si>
    <t>MONTAJE DE BALA DE ILUMINACIÓN EN TECHO. INCLUYE ACCESORIOS COMO CONECTORES ROSCADOS.</t>
  </si>
  <si>
    <t>MONTAJE DE BALA CUADRADA DE ILUMINACIÓN EN TECHO.</t>
  </si>
  <si>
    <t>K_MON_BALC_S</t>
  </si>
  <si>
    <t>MONTAJE DE BALA CUADRADA DE ILUMINACIÓN EN TECHO. NO INCLUYE ACCESORIOS COMO CONECTORES ROSCADOS.</t>
  </si>
  <si>
    <t>K_MON_BALC</t>
  </si>
  <si>
    <t>MONTAJE DE BALA CUADRADA DE ILUMINACIÓN EN TECHO. INCLUYE ACCESORIOS COMO CONECTORES ROSCADOS.</t>
  </si>
  <si>
    <t>MONTAJE DE LÁMPARA PEQUEÑA DESCOLGADA.</t>
  </si>
  <si>
    <t>K_MON_DES_S</t>
  </si>
  <si>
    <t>MONTAJE DE LÁMPARA PEQUEÑA DESCOLGADA. NO INCLUYE ACCESORIOS TALES COMO CONECTORES ROSCADOS O TORNILLERÍA.</t>
  </si>
  <si>
    <t>K_MON_DES</t>
  </si>
  <si>
    <t>MONTAJE DE LÁMPARA PEQUEÑA DESCOLGADA. INCLUYE ACCESORIOS TALES COMO CONECTORES ROSCADOS O TORNILLERÍA.</t>
  </si>
  <si>
    <t>MONTAJE DE METRO LINEAL DE CINTA LED. NO INCLUYE ACCESORIOS.</t>
  </si>
  <si>
    <t>K_MON_CLED_S</t>
  </si>
  <si>
    <t>MONTAJE DE METRO LINEAL DE CINTA LED.</t>
  </si>
  <si>
    <t>K_MON_CLED</t>
  </si>
  <si>
    <t>MONTAJE DE METRO LINEAL DE CINTA LED. INCLUYE ACCESORIOS COMO CINTA O AMARRES DE SUJECIÓN, SOPORTE TIPO PERFIL NO INCLUIDO.</t>
  </si>
  <si>
    <t>INSTALACIÓN DE LUMINARIA INTERNA EN LETRA CON RECUBRIMIENTO ACRÍLICO.</t>
  </si>
  <si>
    <t>K_INST_LUM_LETRA</t>
  </si>
  <si>
    <t>DESMONTE O MONTAJE DE ELEMENTO EN FACHADA CON DESCENSO CON LÍNEA DE VIDA.</t>
  </si>
  <si>
    <t>K_MON_DESC</t>
  </si>
  <si>
    <t>DESMONTE O MONTAJE DE ELEMENTO EN FACHADA CON DESCENSO CONTROLADO CON LÍNEA DE VIDA. POR TÉCNICOS CERTIFICADOS EN ALTURAS. INCLUYE UN DESCENSO.</t>
  </si>
  <si>
    <t>INSTALACIÓN DE PUNTO ELÉCTRICO EN FACHADA, CON DESCENSO CONTROLADO EN ALTURA.</t>
  </si>
  <si>
    <t>K_INST_PE_A</t>
  </si>
  <si>
    <t>REVISIÓN DE PUNTO ELÉCTRICO O DE DATOS</t>
  </si>
  <si>
    <t>K_REV_PE</t>
  </si>
  <si>
    <t>VISITA TÉCNICA PARA REVISIÓN DE EQUIPOS DE CONTROL AUDIO O VIDEO.</t>
  </si>
  <si>
    <t>K_VISITA</t>
  </si>
  <si>
    <t>VISITA TÉCNICA PARA REVISIÓN DE EQUIPOS DE CONTROL AUDIO O VIDEO, DENTRO DEL PERÍMETRO URBANO DE BOGOTÁ. LA VISITA INCLUYE UNA VISITA DE HASTA 1.5 HORAS.</t>
  </si>
  <si>
    <t>PONCHADO Y CONEXIÓN DE PATCH PANEL DE 24 PUERTOS</t>
  </si>
  <si>
    <t>K_INST_PP24</t>
  </si>
  <si>
    <t>INSTALACIÓN DE BARRERA DE ACCESO PEATONAL</t>
  </si>
  <si>
    <t>K_INST_BAP</t>
  </si>
  <si>
    <t>REORGANIZACIÓN DE CABLEADO DE SISTEMA 5.1.</t>
  </si>
  <si>
    <t>K_INST_R5.1</t>
  </si>
  <si>
    <t>REORGANIZACIÓN DE CABLEADO DE SISTEMA 5.1. NO INCLUYE ACCESORIOS DE INSTALACIÓN NI REPUESTOS.</t>
  </si>
  <si>
    <t>INSTALACIÓN DE SALIDA DE AUDIO.</t>
  </si>
  <si>
    <t>K_INST_SA</t>
  </si>
  <si>
    <t>INSTALACIÓN DE SALIDA DE AUDIO, INCLUYE SONDEO DE CABLE EN INFRA ESTRUCTURA EXISTENTE. NO INCLUYE DUCTOS.</t>
  </si>
  <si>
    <t>MOVIMIENTO DE ALIMENTACIÓN PARCIAL</t>
  </si>
  <si>
    <t>K_INST_PARCIAL</t>
  </si>
  <si>
    <t>INSTALACIÓN DE METRO DE CANALETA</t>
  </si>
  <si>
    <t>K_INST_CANA</t>
  </si>
  <si>
    <t>ADECUACIÓN Y ORGANIZACIÓN DE EQUIPOS EN RACK</t>
  </si>
  <si>
    <t>K_INST_RACK</t>
  </si>
  <si>
    <t>INSTALACIÓN DE INTERFAZ DE ATENUACIÓN WIRELESS TIPO PLUG.</t>
  </si>
  <si>
    <t>K_INST_3D</t>
  </si>
  <si>
    <t>INSTALACIÓN DE EXTRACTOR</t>
  </si>
  <si>
    <t>K_INST_ESTR</t>
  </si>
  <si>
    <t>INSTALACIÓN DE CITÓFONO</t>
  </si>
  <si>
    <t>K_INST_CITOFONO</t>
  </si>
  <si>
    <t>INSTALACIÓN DE DRIVER PARA LETRERO</t>
  </si>
  <si>
    <t>K_INST_DRI_LET</t>
  </si>
  <si>
    <t>INSTALACIÓN DE METRO DE DUCTO DE AIRE PARA EXTRACCIÓN</t>
  </si>
  <si>
    <t>K_INST_DUC</t>
  </si>
  <si>
    <t>DESMONTE DE TABLERO ELÉCTRICO Y BYPASS DE TABLERO ELÉCTRICO</t>
  </si>
  <si>
    <t>K_INST_DESM_T</t>
  </si>
  <si>
    <t>INSTALACIÓN DE PANEL DE ALARMA HASTA POR 16 ZONAS</t>
  </si>
  <si>
    <t>K_INST_ALAR</t>
  </si>
  <si>
    <t>MONTAJE DE BASE DE DATOS DE SISTEMA QUANTUM EN SERVIDOR.</t>
  </si>
  <si>
    <t>K_INST_LUT_Q</t>
  </si>
  <si>
    <t>MONTAJE DE BASE DE DATOS DE SISTEMA QUANTUM EN SERVIDOR PROPORCIONADO POR EL CLIENTE. EL CLIENTE DEBE TENER EL SERVIDOR OPERATIVO Y LICENCIADO. CON CAPACIDAD DE MANEJO REMOTO. NO INCLUYE INSTALACIONES ADICIONALES AL SOFTWARE PARA CONTROL DE ILUMINACIÓN.</t>
  </si>
  <si>
    <t>INSTALACIÓN DE DRIVER</t>
  </si>
  <si>
    <t>K_INST_DRIVER</t>
  </si>
  <si>
    <t>INSTALACIÓN DE TIMER</t>
  </si>
  <si>
    <t>K_INST_TIMER</t>
  </si>
  <si>
    <t>DISENO DE SISTEMA ELÉCTRICO DE CONTROL DE ILUMINACIÓN.</t>
  </si>
  <si>
    <t>K_DIS_ELEC</t>
  </si>
  <si>
    <t xml:space="preserve">DISENO DE SISTEMA ELÉCTRICO DE CONTROL DE ILUMINACIÓN. ESTE DISENO PARTE DE UN DISENO DE ILUMINACIÓN PREVIAMENTE CONCEBIDO. </t>
  </si>
  <si>
    <t>VISITA DE SEGUIMIENTO, REVISIÓN Y CONSULTORÍA</t>
  </si>
  <si>
    <t>K_SEG_ING</t>
  </si>
  <si>
    <t>INSTALACIÓN DE CABLE HDMI EN INFRA ESTRUCTURA EXISTENTE</t>
  </si>
  <si>
    <t>K_INST_HDMI</t>
  </si>
  <si>
    <t>INSTALACIÓN DE CABLE VGA EN INFRA ESTRUCTURA EXISTENTE</t>
  </si>
  <si>
    <t>K_INST_VGA</t>
  </si>
  <si>
    <t>INSTALACIÓN DE CABLE ESTÉREO EN INFRA ESTRUCTURA EXISTENTE</t>
  </si>
  <si>
    <t>K_INST_ESTEREO</t>
  </si>
  <si>
    <t>INSTALACIÓN DE PUNTO DE ACCESO DE AUDIO Y VIDEO</t>
  </si>
  <si>
    <t>K_INST_PAV</t>
  </si>
  <si>
    <t>INSTALACIÓN Y CONFIGURACIÓN DE MATRIZ INALÁMBRICA</t>
  </si>
  <si>
    <t>K_INST_BARCO</t>
  </si>
  <si>
    <t>CONEXIÓN DE PUNTOS DE DATOS, REGULADOS O USB EN GROMMET.</t>
  </si>
  <si>
    <t>K_INST_GROMMET</t>
  </si>
  <si>
    <t xml:space="preserve">DESCENSO CONTROLADO EN ALTURAS, REALIZADO POR DOS TÉCNICOS CERTIFICADOS. </t>
  </si>
  <si>
    <t>K_INST_ALTURA</t>
  </si>
  <si>
    <t>DESCENSO CONTROLADO EN ALTURAS, REALIZADO POR DOS TÉCNICOS CERTIFICADOS. MANEJO DE LÍNEAS DE VIDA, FRENOS Y EQUIPOS DE SEGURIDAD PERSONAL. EL CLIENTE DEBE SUMINISTRAR PUNTO DE ANCLAJE SEGURO. NO INCLUYE TRABAJOS ELECTRICOS, SOLO INCLUYE EL DESCENSO PARA INSPECCIÓN DE LABORES A REALIZAR.</t>
  </si>
  <si>
    <t>INSTALACIÓN DE TABLERO ELÉCTRICO</t>
  </si>
  <si>
    <t>K_INST_TE</t>
  </si>
  <si>
    <t>MOVIMIENTO DE TABLERO ELÉCTRICO Y ACOMETIDA</t>
  </si>
  <si>
    <t>K_INST_MTE</t>
  </si>
  <si>
    <t>MOVIMIENTO DE SIRENA EN SISTEMA DE DETECCIÓN DE INCENDIO</t>
  </si>
  <si>
    <t>K_INST_MSIR</t>
  </si>
  <si>
    <t>INSTALACIÓN DE CLAVIJA</t>
  </si>
  <si>
    <t>K_INST_CLA</t>
  </si>
  <si>
    <t>MOVIMIENTO DE LUMINARIA PREVIAMENTE INSTALADA.</t>
  </si>
  <si>
    <t>K_INST_MOVE_L</t>
  </si>
  <si>
    <t>CERTIFICACIÓN DE PUNTO DE DATOS CON ANALIZADOR CALIBRADO POR PARTE DE UN TERCERO</t>
  </si>
  <si>
    <t>K_CERT</t>
  </si>
  <si>
    <t>REORGANIZACIÓN DE HASTA 48 PATCH CORE EN ORGANIZADOR</t>
  </si>
  <si>
    <t>K_INST_ORGANIZADOR</t>
  </si>
  <si>
    <t>INSTALACIÓN DE TUBO LED O FLUORESCENTE.</t>
  </si>
  <si>
    <t>K_INST_TFL</t>
  </si>
  <si>
    <t>INSTALACIÓN DE TUBO LED O FLUORESCENTE, NO INCLUYE ACCESORIOS COMO SOCKET O CABLEADO, COSTOS DE ANDAMIOS O TRANSPORTE DE HERRAMIENTAS Y MERCANCÍA DEPENDEN DE CANTIDADES DE INSTALACIÓN Y CONDICIONES DE PROYECTO. PODRÍAN ESTAR COTIZADOS POR APARTE.</t>
  </si>
  <si>
    <t>DERIVACIÓN DE PUNTO ELÉCTRICO</t>
  </si>
  <si>
    <t>K_INST_DERI</t>
  </si>
  <si>
    <t>HORA DE TÉCNICO PARA REVISIÓN O EJECUCIONES ADICIONALES</t>
  </si>
  <si>
    <t>K_INST_HT</t>
  </si>
  <si>
    <t>INSTALACIÓN DE METRO DE CABLE EN TUBERÍA EXISTENTE</t>
  </si>
  <si>
    <t>K_INST_MCBL</t>
  </si>
  <si>
    <t>HASTA 8 HORAS DE TRABAJO PARA INSTALACIONES TÉCNICAS.</t>
  </si>
  <si>
    <t>K_INST_DT</t>
  </si>
  <si>
    <t>DESMONTE DE TABLERO ELÉCTRICO</t>
  </si>
  <si>
    <t>K_INST_DES_TE</t>
  </si>
  <si>
    <t>INSTALACIÓN Y FIGURADO DE TABLERO DE ALIMENTACIÓN DE HASTA 24 BREAKERS.</t>
  </si>
  <si>
    <t>K_INST_T18</t>
  </si>
  <si>
    <t>K_INST_T12</t>
  </si>
  <si>
    <t>DESMONTAJE DE RACK Y MONTAJE DE RACK POR CAMBIO DE CONFIGURACIÓN</t>
  </si>
  <si>
    <t>K_INST_CONFIG_RACK</t>
  </si>
  <si>
    <t>ADMINISTRACION DEL PROYECTO.</t>
  </si>
  <si>
    <t>K_ADMIN</t>
  </si>
  <si>
    <t>ADMINISTRACION DEL PROYECTO: INCLUYE COSTOS DE FACTURACIÓN, ACTAS, Y GASTOS ADMINISTRATIVOS ASOCIADOS AL PROYECTO.</t>
  </si>
  <si>
    <t>CORRESPONDE A LA UTILIDAD SOBRE LOS COSTOS DEL PROYECTO.</t>
  </si>
  <si>
    <t>K_UTILIDAD</t>
  </si>
  <si>
    <t>INSTALACIÓN DE KIT RF PARA CHAPA</t>
  </si>
  <si>
    <t>K_INST_CHAPA_KIT_RF</t>
  </si>
  <si>
    <t>INSTALACIÓN DE PUNTO ELÉCTRICO O DATOS EN ALTURA</t>
  </si>
  <si>
    <t>K_INST_PED_ALT</t>
  </si>
  <si>
    <t>DIA DE TÉCNICO CERTIFICADO CON PAPELES Y HERRAMIENTA DE MANO.</t>
  </si>
  <si>
    <t>K_TECNICO_DIA</t>
  </si>
  <si>
    <t>DIA LABORAL DE INSPECTOR SISOMA</t>
  </si>
  <si>
    <t>K_SISOMA_DIA</t>
  </si>
  <si>
    <t>INSTALACIÓN DE CONTROLADOR RGB</t>
  </si>
  <si>
    <t>K_INST_CRGB</t>
  </si>
  <si>
    <t>INSTALACIÓN DE MODULO DE ATENUACIÓN O SWITCHEO DE 4 ZONAS</t>
  </si>
  <si>
    <t>K_INST_4M</t>
  </si>
  <si>
    <t>ADAPTACIÓN DE HUECO DE DRYWALL, INCLUYE RESANE Y MASILLADO PARA REDUCCIÓN.</t>
  </si>
  <si>
    <t>K_INST_DRY</t>
  </si>
  <si>
    <t>ADAPTACIÓN DE HUECO DE DRYWALL, INCLUYE RESANE Y MASILLADO PARA REDUCCIÓN, NO INCLUYE ACABADOS DE PINTURA</t>
  </si>
  <si>
    <t>ORGANIZACIÓN DEA CABLEADO PARA SISTEMA DE TV.</t>
  </si>
  <si>
    <t>K_ORG_CBL</t>
  </si>
  <si>
    <t>INSTALACIÓN Y ADAPTACIÓN DE SENSOR DE NIVEL DE LÍQUIDOS EN TANQUE</t>
  </si>
  <si>
    <t>K_INST_SENL</t>
  </si>
  <si>
    <t>INSTALACIÓN DE SISTEMA DE CONTROL REMOTO UNIVERSAL CON CONTROLADOR</t>
  </si>
  <si>
    <t>K_INST_URC</t>
  </si>
  <si>
    <t>ADAPTACIÓN DE BOMBILLA FLUORESCENTE O INCANDESCENTE A REPOTENCIACIÓN CON LED</t>
  </si>
  <si>
    <t>K_ADAPT_LED</t>
  </si>
  <si>
    <t>DERIVACIÓN DE EXTENSIÓN PARA SOCKET</t>
  </si>
  <si>
    <t>K_ARM_E27</t>
  </si>
  <si>
    <t>INSTALACIÓN DE LUMINARIA TIPO BATTEN</t>
  </si>
  <si>
    <t>K_INST_BATTEN</t>
  </si>
  <si>
    <t>INSTALACIÓN DE LUMINARIA DE INCRUSTAR EN FACHADA PARA EXTERIOR.</t>
  </si>
  <si>
    <t>K_INST_INC_EXT</t>
  </si>
  <si>
    <t>RESANE DE METRO LINEAL DE DRYWALL PARA RIEL.</t>
  </si>
  <si>
    <t>K_RES_ML</t>
  </si>
  <si>
    <t>RESANE DE METRO LINEAL DE DRYWALL PARA RIEL, NORMALMENTE INCLUYE REFUERZO DE ESTRUCTURA ALREDEDOR DEL RIEL.</t>
  </si>
  <si>
    <t>INTALALACION DE TERMOSTATO. NO INCLUYE CABLEADO.</t>
  </si>
  <si>
    <t>K_INST_TERMO</t>
  </si>
  <si>
    <t>INTALALACION DE TERMOSTATO. NO INCLUYE CABLEADO, LA SALIDA DE CONTROL DEBE ESTAR PREVIAMENTE CONTEMPLADA.</t>
  </si>
  <si>
    <t>ADECUACIÓN DE TECHO PARA TENSOFLEX, INCLUYE CERRAMIENTO EN MDF, PINTURA BLANCA.</t>
  </si>
  <si>
    <t>K_INST_TEC</t>
  </si>
  <si>
    <t>ADECUACIÓN DE TECHO PARA TENSOFLEX, INCLUYE CERRAMIENTO EN MDF, PINTURA BLANCA, SELLADO Y CERRAMIENTO ENTAMBORADO EN INFRA ESTRUCTURA EXISTENTE.</t>
  </si>
  <si>
    <t>CAMBIO DE UNIDAD DLP</t>
  </si>
  <si>
    <t>K_REP_DLP</t>
  </si>
  <si>
    <t>MANTENIMIENTO PREVENTIVO, CAMBIO DE FILTROS Y LIMPIEZA DE LA UNIDAD.</t>
  </si>
  <si>
    <t>K_REP_PREV</t>
  </si>
  <si>
    <t>MANTENIMIENTO PREVENTIVO, CONSISTENTE EN CAMBIO DE FILTROS Y LIMPIEZA DE LA UNIDAD.</t>
  </si>
  <si>
    <t>RECAMBIO DE UNIDAD DE VENTILACIÓN</t>
  </si>
  <si>
    <t>K_REP_VENT</t>
  </si>
  <si>
    <t>DIA DE VIÁTICOS EN LA CIUDAD DE INSTALACIÓN CON ESTADÍA DE UNA NOCHE.</t>
  </si>
  <si>
    <t>K_VIATICOS</t>
  </si>
  <si>
    <t>DIA DE VIÁTICOS EN LA CIUDAD DE INSTALACIÓN CON ESTADÍA DE UNA NOCHE. INCLUYE TRANSPORTES A LUGAR DE INSTALACIÓN.</t>
  </si>
  <si>
    <t>ARRANQUE PUESTA PUNTO E INTEGRACIÓN DEL SISTEMA A SISTEMA QUANTUM EXISTENTE</t>
  </si>
  <si>
    <t>COMMISSIONING</t>
  </si>
  <si>
    <t>JORNADA DE 8 HORAS DE TÉCNICO CERTIFICADO LUTRON.</t>
  </si>
  <si>
    <t>K_DIA_ING</t>
  </si>
  <si>
    <t>.JORNADA DE 8 HORAS DE TÉCNICO CERTIFICADO LUTRON, PARA REVISIÓN Y PUESTA A PUNTO DE SISTEMA DE CONTROL DE ILUMINACION.</t>
  </si>
  <si>
    <t>und</t>
  </si>
  <si>
    <t>LICENCIA PARA INTEGRACIÓN DE SUCURSAL.</t>
  </si>
  <si>
    <t>K_LICEN_BUILD</t>
  </si>
  <si>
    <t>LICENCIA PARA INTEGRACIÓN DE SUCURSAL. EL CLIENTE DEBE PONER EL CANAL DE INTEGRACIÓN MEDIANTE ACCESO A INTERNET.</t>
  </si>
  <si>
    <t>INTEGRACIÓN DE MEDIDOR DE CORRIENTE</t>
  </si>
  <si>
    <t>K_PROG_METER</t>
  </si>
  <si>
    <t>INTEGRACIÓN DE UPS MEDIANTE PUERTO SERIAL O IP.</t>
  </si>
  <si>
    <t>K_PROG_UPS</t>
  </si>
  <si>
    <t>INTEGRACIÓN DE UPS MEDIANTE PUERTO SERIAL O IP. EL FABRICANTE DEBE PROPORCIONAR PROTOCOLO DE COMUNICACIÓN PARA MONITOREO DE LA UNIDAD.</t>
  </si>
  <si>
    <t>JORNADA DE 4 HORAS EN PROGRAMACIÓN Y RECONFIGURACIÓN DE SISTEMAS QUANTUM.</t>
  </si>
  <si>
    <t>K_PROG_LUTRON</t>
  </si>
  <si>
    <t>JORNADA DE 4 HORAS EN PROGRAMACIÓN Y RECONFIGURACIÓN DE SISTEMAS QUANTUM POR PARTE DE DOS INGENIEROS: CONSISTE EN LA PUESTA A PUNTO Y PROGRAMACIÓN DE SISTEMA, NO INCLUYE AJUSTES ELECTRICOS, RECONEXIONES, MATERIALES U OTROS.</t>
  </si>
  <si>
    <t>VISITA TÉCNICA DE REVISIÓN PARA AJUSTE DE SISTEMA QUANTUM</t>
  </si>
  <si>
    <t>K_PROG_QUANTUM</t>
  </si>
  <si>
    <t>PROG</t>
  </si>
  <si>
    <t>PROGRAMACIÓN DE BALASTO ELECTRÓNICO O DIGITAL</t>
  </si>
  <si>
    <t>K_PROG_BALLAST</t>
  </si>
  <si>
    <t>LICENCIA PARA OPERACIÓN DE PROGRAMACIÓN A MEDIDA DE MONITOREO DE EQUIPOS.</t>
  </si>
  <si>
    <t>K_LICEN_RMS_ADAP</t>
  </si>
  <si>
    <t>LICENCIA PARA OPERACIÓN DE PROGRAMACIÓN A MEDIDA DE MONITOREO DE EQUIPOS A TRAVÉS DE PLATAFORMA RMS DE AMX</t>
  </si>
  <si>
    <t>IMPLEMENTACIÓN DE SOFTWARE RMS DE AMX EN MANDO CENTRAL.</t>
  </si>
  <si>
    <t>K_LICEN_RMS</t>
  </si>
  <si>
    <t>IMPLEMENTACIÓN DE SOFTWARE RMS DE AMX EN MANDO CENTRAL. L A INSTALACIÓN SE HACE EN SERVIDOR DEL PROPIETARIO. PARA MAS DE 50 GESTIONES REMOTAS SE SUGIERE EL USO DE SERVIDOR EXCLUSIVO</t>
  </si>
  <si>
    <t>INTEGRACIÓN DE VIDEO CONFERENCIA MEDIANTE IP O RS232</t>
  </si>
  <si>
    <t>K_PROG_VC</t>
  </si>
  <si>
    <t>PROGRAMACIÓN DE DISPOSITIVO APPLE TV</t>
  </si>
  <si>
    <t>K_PROG_APTV</t>
  </si>
  <si>
    <t>PROGRAMACIÓN DE BALASTRO, INCLUYE INTEGRACIÓN CON EQUIPOS PERIFÉRICOS.</t>
  </si>
  <si>
    <t xml:space="preserve">PROGRAMACIÓN DE BALASTRO, INCLUYE INTEGRACIÓN CON EQUIPOS PERIFÉRICOS CONTENIDOS EN LA PROPUESTA. </t>
  </si>
  <si>
    <t>PROGRAMACIÓN DE EQUIPO TIPO GRAFIK QS, WPM O TIMER QS.</t>
  </si>
  <si>
    <t>K_PROG_GRAFIK</t>
  </si>
  <si>
    <t xml:space="preserve">PROGRAMACIÓN DE EQUIPO TIPO GRAFIK QS, WPM O TIMER QS, INCLUYE INTEGRACIÓN CON EQUIPOS PERIFÉRICOS CONTENIDOS EN LA PROPUESTA. </t>
  </si>
  <si>
    <t>SENSOR</t>
  </si>
  <si>
    <t>PROGRAMACIÓN DE SENSORES, INCLUYE INTEGRACIÓN CON EQUIPOS PERIFÉRICOS.</t>
  </si>
  <si>
    <t>K_PROG_SENSOR</t>
  </si>
  <si>
    <t xml:space="preserve">PROGRAMACIÓN DE SENSORES, INCLUYE INTEGRACIÓN CON EQUIPOS PERIFÉRICOS CONTENIDOS EN LA PROPUESTA. </t>
  </si>
  <si>
    <t>WIRELESS</t>
  </si>
  <si>
    <t>CONFIGURACIÓN DE SISTEMA WIRELESS.</t>
  </si>
  <si>
    <t>K_PROG_WIRELESS</t>
  </si>
  <si>
    <t>CONFIGURACIÓN DE SISTEMA WIRELESS. EL CLIENTE DEBE SUMINISTRAR ROUTER CON RED INALÁMBRICA Y BANCO DE MÚSICA. INCLUYE CONFIGURACIÓN DE 2 DISPOSITIVOS ANDROID O MAC EN LA PROPIEDAD.</t>
  </si>
  <si>
    <t>PROGRAMACIÓN DE INTERRUPTOR O ATENUADOR SENCILLO.</t>
  </si>
  <si>
    <t>K_PROG_DIM</t>
  </si>
  <si>
    <t>PROGRAMACIÓN DE TECLADO DE CONTROL DE ILUMINACIÓN.</t>
  </si>
  <si>
    <t>K_PROG_KEY</t>
  </si>
  <si>
    <t>CONFIGURACIÓN DE EQUIPO DE PRESENTACIÓN INALÁMBRICA.</t>
  </si>
  <si>
    <t>K_PROG_WP</t>
  </si>
  <si>
    <t>CONFIGURACIÓN DE EQUIPO DE PRESENTACIÓN INALÁMBRICA, EL CLIENTE DEBE PROPORCIONAR LA RED LAN, PERMISOS DE FIRE-WALL Y PUERTOS ABIERTOS PARA LA CONFIGURACIÓN DEL DISPOSITIVO.</t>
  </si>
  <si>
    <t xml:space="preserve">PROGRAMACIÓN DE SWITCH DE AUDIO Y VIDEO ALL IN ONE. </t>
  </si>
  <si>
    <t>K_PROG_AIO</t>
  </si>
  <si>
    <t>PROGRAMACIÓN DE PANTALLA TÁCTIL, INCLUYE DISEÑO GRAFICO PERSONALIZADO.</t>
  </si>
  <si>
    <t>K_PROG_TP</t>
  </si>
  <si>
    <t>PROGRAMACIÓN E INTEGRACIÓN DE PROYECTOR MEDIANTE PROTOCOLO RS-232 O IP.</t>
  </si>
  <si>
    <t>PROGRAMACIÓN E INTEGRACIÓN DE AMPLIFICADOR DE AUDIO.</t>
  </si>
  <si>
    <t>K_PROG_AMP</t>
  </si>
  <si>
    <t>PROGRAMACIÓN E INTEGRACIÓN DE AMPLIFICADOR DE AUDIO MEDIANTE PROTOCOLO RS-232 O IP.</t>
  </si>
  <si>
    <t>GRKIR</t>
  </si>
  <si>
    <t>PROGRAMACIÓN DE DISPOSITIVO GRAFIK EYE MEDIANTE IR</t>
  </si>
  <si>
    <t>K_PROG_GRKIR</t>
  </si>
  <si>
    <t>PROGRAMACIÓN DE PANEL 0-10. INCLUYE CONFIGURACIÓN EN SITIO Y AJUSTE DE RED.</t>
  </si>
  <si>
    <t>K_PROG_0_10</t>
  </si>
  <si>
    <t>K_PROG_QSN16</t>
  </si>
  <si>
    <t>PROGRAMACIÓN DE SISTEMA DE CONTROL DE TEMPERATURA.</t>
  </si>
  <si>
    <t>K_PROG_TEMP</t>
  </si>
  <si>
    <t>INSTALACIÓN DE SISTEMA DE CONTROL DE TEMPERATURA.</t>
  </si>
  <si>
    <t>K_INST_TEMP</t>
  </si>
  <si>
    <t>PROGRAMACIÓN Y CONFIGURACIÓN DE CAPARA IP O ANÁLOGA CON DVR.</t>
  </si>
  <si>
    <t>K_PROG_CAM</t>
  </si>
  <si>
    <t>PROGRAMACIÓN Y CONFIGURACIÓN DE CAPARA IP O ANÁLOGA CON DVR. NO INCLUYE COSTOS DE CONEXIÓN A INTERNET O IP FIJA DE SER NECESARIOS. NO INCLUYE ROUTER DE LA PROPIEDAD.</t>
  </si>
  <si>
    <t>PROGRAMACIÓN DE SENSOR DE PRESENCIA PARA ALARMA</t>
  </si>
  <si>
    <t>K_PROG_SP</t>
  </si>
  <si>
    <t>PROGRAMACIÓN DE TECLADO DE ALARMA</t>
  </si>
  <si>
    <t>K_PROG_KA</t>
  </si>
  <si>
    <t>SERVICIO DE MONITOREO MENSUAL MEDIANTE PLATAFORMA DE ALARM.COM</t>
  </si>
  <si>
    <t>K_PROG_ALARM.COM</t>
  </si>
  <si>
    <t>PROGRAMACIÓN DE MODULO CONTROL DE ACCESO DE 2 ZONAS.</t>
  </si>
  <si>
    <t>K_PROG_CA2</t>
  </si>
  <si>
    <t>CONFIGURACIÓN DE DISPOSITIVO AIRPORT EXPRESS COMO GATEWAY DE AUDIO.</t>
  </si>
  <si>
    <t>K_PROG_AIRPORT</t>
  </si>
  <si>
    <t>CONFIGURACIÓN DE DISPOSITIVO AIRPORT EXPRESS COMO GATEWAY DE AUDIO DENTRO DE RED LAN EXISTENTE.</t>
  </si>
  <si>
    <t>PROGRAMACIÓN DE PROCESADOR HOMEWORKS QS.</t>
  </si>
  <si>
    <t>K_PROG_PRO_QS</t>
  </si>
  <si>
    <t>PROGRAMACIÓN DE PROCESADOR HOMEWORKS QS, CONFIGURACIÓN IP Y CONFIGURACIÓN BÁSICA.</t>
  </si>
  <si>
    <t>INTEGRACIÓN DE MECANISMO TELÓN O CORTINA MEDIANTE RELÉ.</t>
  </si>
  <si>
    <t>K_PROG_TELON</t>
  </si>
  <si>
    <t>INTEGRACIÓN DE MATRIZ O SWITCH DE AUDIO Y/O VIDEO</t>
  </si>
  <si>
    <t>K_PROG_MATRIZ</t>
  </si>
  <si>
    <t>CONFIGURACIÓN ESTÁNDAR DE ROUTER EN RED LAN.</t>
  </si>
  <si>
    <t>K_PROG_ROUTER</t>
  </si>
  <si>
    <t>CONFIGURACIÓN ESTÁNDAR DE ROUTER EN RED LAN NO INCLUYE PROGRAMACIONES DE VLAN, QoS, U OTRAS.</t>
  </si>
  <si>
    <t>CONFIGURACIÓN DE ACCESS POINT DENTRO DE RED LAN.</t>
  </si>
  <si>
    <t>K_PROG_AP</t>
  </si>
  <si>
    <t>CONFIGURACIÓN DE EQUIPO TIPO ROAMING PARA MANEJO DE ACCESS POINT.</t>
  </si>
  <si>
    <t>K_PROG_MAP</t>
  </si>
  <si>
    <t>PROGRAMACIÓN ESTÁNDAR DE SWITCH DE DATOS</t>
  </si>
  <si>
    <t>K_PROG_SW</t>
  </si>
  <si>
    <t>PROGRAMACIÓN DE CONTROL DE ACCESO PARA DOS PUERTAS</t>
  </si>
  <si>
    <t>K_PROG_CAC2</t>
  </si>
  <si>
    <t>PROGRAMACIÓN DE TARJETA RFID</t>
  </si>
  <si>
    <t>K_PROG_RFID</t>
  </si>
  <si>
    <t>CONFIGURACIÓN DE PANEL DE VIDEO WALL</t>
  </si>
  <si>
    <t>K_PROG_VW</t>
  </si>
  <si>
    <t>RESET DE FABRICA PARA NVR</t>
  </si>
  <si>
    <t>K_PROG_RESETNVR</t>
  </si>
  <si>
    <t>CONFIGURACIÓN DE DISPOSITIVO NVR</t>
  </si>
  <si>
    <t>K_PROG_NVR</t>
  </si>
  <si>
    <t>PROGRAMACIÓN DE SECUENCIA HORARIA DURANTE UN ANO</t>
  </si>
  <si>
    <t>K_PROG_KINETICS</t>
  </si>
  <si>
    <t>PROGRAMACIÓN DE SENSOR DE LUMINOSIDAD.</t>
  </si>
  <si>
    <t>K_PROG_SL</t>
  </si>
  <si>
    <t>PROGRAMACIÓN Y CONFIGURACIÓN DE REPETIDORA PRINCIPAL RADIO RA2.</t>
  </si>
  <si>
    <t>K_PROG_RA2</t>
  </si>
  <si>
    <t>PROGRAMACIÓN Y CONFIGURACIÓN DE REPETIDORA PRINCIPAL RADIO RA2 CONECTADA A RED LAN O ROUTER DEL CLIENTE.</t>
  </si>
  <si>
    <t>PROGRAMACIÓN Y CONFIGURACIÓN DE REPETIDORA AUXILIAR RADIO RA2.</t>
  </si>
  <si>
    <t>K_PROG_REP_RA2</t>
  </si>
  <si>
    <t>PROGRAMACIÓN Y CONFIGURACIÓN DE REPETIDORA AUXILIAR RADIO RA2 CONECTADA A RED LAN O ROUTER DEL CLIENTE.</t>
  </si>
  <si>
    <t>PROGRAMACIÓN Y CONFIGURACIÓN DE CONTROLADOR TIPO POW PACK.</t>
  </si>
  <si>
    <t>K_PROG_POW</t>
  </si>
  <si>
    <t>PROGRAMACIÓN Y CONFIGURACIÓN DE MÓDULO POW PACK PARA CONTROL DE CONTACTOS SECOS.</t>
  </si>
  <si>
    <t>K_PROG_POW_CCO</t>
  </si>
  <si>
    <t>CONFIGURACIÓN DE MÓDULO PARA CONTROL DE ACCESO REMOTO.</t>
  </si>
  <si>
    <t>K_PROG_LUTRON_BRIDGE</t>
  </si>
  <si>
    <t>PROGRAMACIÓN DE MÓDULO DUAL DE CONTACTOS SECOS.</t>
  </si>
  <si>
    <t>K_PROG_VCRX</t>
  </si>
  <si>
    <t>PROGRAMACIÓN DE LO EQUIPOS QUE HACEN PARTE DE ESTA PROPUESTA</t>
  </si>
  <si>
    <t>K_INST_PROG</t>
  </si>
  <si>
    <t>PROGRAMACIÓN DE SENSOR DE HUMO Y TEMPERATURA.</t>
  </si>
  <si>
    <t>K_PROG_SHT</t>
  </si>
  <si>
    <t>PROGRAMACIÓN DE TIMER</t>
  </si>
  <si>
    <t>K_PROG_TIMER</t>
  </si>
  <si>
    <t>REINSTALACIÓN DE SOFTWARE, ARRANQUE EN DISCO.</t>
  </si>
  <si>
    <t>K_PROG_SERVER</t>
  </si>
  <si>
    <t>REINSTALACIÓN DE SOFTWARE, ARRANQUE EN DISCO, BIOS Y PARTICIONADO DE EQUIPO TIPO SERVIDOR, DEPURACIÓN DE SISTEMA OPERATIVO Y REACTIVACIÓN DE SISTEMA.</t>
  </si>
  <si>
    <t>PROGRAMACIÓN DE UNIDAD TPI-PRO</t>
  </si>
  <si>
    <t>K_PROG_TPI</t>
  </si>
  <si>
    <t>PROGRAMACIÓN DE UNIDAD DE CONTROL DE ILUMINACIÓN LUTRON.</t>
  </si>
  <si>
    <t>K_PROG_LUT_HGR</t>
  </si>
  <si>
    <t>PROGRAMACIÓN DE UNIDAD DE CONTROL DE ILUMINACIÓN LUTRON. SUJETO A VALIDACIÓN EN SITIO DE FUNCIONAMIENTO OPERATIVO DE PUERTO SERIE DEL PROCESADOR</t>
  </si>
  <si>
    <t>DÍA DE INGENIERO EN CAMPO PARA ACTUALIZACIÓN DE SISTEMA QUANTUM</t>
  </si>
  <si>
    <t>PROGRAMACIÓN DE MODULO DE ATENUACIÓN O SWITCHEO DE 4 ZONAS</t>
  </si>
  <si>
    <t>K_PROG_4M</t>
  </si>
  <si>
    <t>PROGRAMACIÓN DE PANEL INTERLOGIX</t>
  </si>
  <si>
    <t>K_PROG_INTER</t>
  </si>
  <si>
    <t>PROGRAMACIÓN DE TELÉFONO IP.</t>
  </si>
  <si>
    <t>K_PROG_TIP</t>
  </si>
  <si>
    <t>PROGRAMACIÓN DE SISTEMA DE CONTROL REMOTO UNIVERSAL</t>
  </si>
  <si>
    <t>K_PROG_URC</t>
  </si>
  <si>
    <t>INTEGRACIÓN DE SISTEMA BACNET A AMX.</t>
  </si>
  <si>
    <t>K_PROG_BACNET_AMX</t>
  </si>
  <si>
    <t>INTEGRACIÓN DE SISTEMA BACNET A AMX. INCLUYE DESARROLLO A MEDIDA DE REPORTES DE FALLO Y CONSUMO EN SISTEMA QUANTUM.</t>
  </si>
  <si>
    <t>PROGRAMACIÓN DE TERMOSTATO PARA INTEGRACIÓN CON APP DE LUTRON</t>
  </si>
  <si>
    <t>K_PROG_TERMO</t>
  </si>
  <si>
    <t>DIA DE ALQUILER DE PLANCHONES</t>
  </si>
  <si>
    <t>ALQ_PLAN</t>
  </si>
  <si>
    <t>DIA</t>
  </si>
  <si>
    <t>DIA DE ALQUILER DE EQUIPO DE ALTURA CERTIFICADO. LÍNEAS DE VIDA, ARNÉS, OTROS.</t>
  </si>
  <si>
    <t>ALQ_ALT</t>
  </si>
  <si>
    <t>KOM</t>
  </si>
  <si>
    <t>BOX</t>
  </si>
  <si>
    <t>CAJA EN MADERA CON RECUBRIMIENTO PARA INSTALACIÓN DE SOPORTE EMBEBIDO DE TV.</t>
  </si>
  <si>
    <t>CBOX</t>
  </si>
  <si>
    <t>CAJA EN MADERA CON RECUBRIMIENTO PARA INSTALACIÓN DE SOPORTE EMBEBIDO DE TV. INCLUYE INSTALACIÓN, NO INCLUYE TOMA CORRIENTE O PASA CABLE.</t>
  </si>
  <si>
    <t>DISENO DE SISTEMA DE AUDIO PARA EL PROYECTO.</t>
  </si>
  <si>
    <t>K_DISENO_AUDIO_M2</t>
  </si>
  <si>
    <t>DISENO DE SISTEMA DE AUDIO PARA EL PROYECTO. LA TARIFA INCLUYE ELABORACIÓN DE PLANOS SOBRE DISEÑOS ARQUITECTÓNICOS SUMINISTRADOS POR EL CLIENTE SEGÚN LA CANTIDAD DE METROS CUADRADOS. INCLUYE LISTA DE MATERIALES CON ESPECIFICACIONES TÉCNICAS Y POSIBLES MARCAS. JUEGO DE PLANOS DIGITAL CON INDICACIONES DE: TUBERÍA, CABLEADO Y UBICACIÓN DE EQUIPOS. INCLUYE 3 REUNIONES PARA COORDINACIÓN Y EXPLICACIÓN DE DISENO.</t>
  </si>
  <si>
    <t>DISENO DE SISTEMA DE VIDEOVIGILANCIA PARA EL PROYECTO.</t>
  </si>
  <si>
    <t>K_DISENO_CCTV</t>
  </si>
  <si>
    <t>DISENO DE SISTEMA DE VIDEOVIGILANCIA PARA EL PROYECTO. LA TARIFA INCLUYE ELABORACIÓN DE PLANOS SOBRE DISEÑOS ARQUITECTÓNICOS SUMINISTRADOS POR EL CLIENTE SEGÚN LA CANTIDAD DE ESTANCIAS. INCLUYE LISTA DE MATERIALES CON ESPECIFICACIONES TÉCNICAS Y POSIBLES MARCAS. JUEGO DE PLANOS DIGITAL CON INDICACIONES DE: TUBERÍA, CABLEADO Y UBICACIÓN DE EQUIPOS. INCLUYE 3 REUNIONES PARA COORDINACIÓN Y EXPLICACIÓN DE DISENO.</t>
  </si>
  <si>
    <t>DISENO DE SISTEMA DE ALARMA PARA EL PROYECTO.</t>
  </si>
  <si>
    <t>K_DISENO_ALARMA</t>
  </si>
  <si>
    <t>DISENO DE SISTEMA DE ALARMA PARA EL PROYECTO. LA TARIFA INCLUYE ELABORACIÓN DE PLANOS SOBRE DISEÑOS ARQUITECTÓNICOS SUMINISTRADOS POR EL CLIENTE SEGÚN LA CANTIDAD DE ESTANCIAS. INCLUYE LISTA DE MATERIALES CON ESPECIFICACIONES TÉCNICAS Y POSIBLES MARCAS. JUEGO DE PLANOS DIGITAL CON INDICACIONES DE: TUBERÍA, CABLEADO Y UBICACIÓN DE EQUIPOS. INCLUYE 3 REUNIONES PARA COORDINACIÓN Y EXPLICACIÓN DE DISENO.</t>
  </si>
  <si>
    <t>DISENO DE ILUMINACIÓN PARA EL RECINTO.</t>
  </si>
  <si>
    <t>K_DISENO_ILUMINACION_M2</t>
  </si>
  <si>
    <t>DISENO DE ILUMINACIÓN PARA EL RECINTO. LA TARIFA INCLUYE ELABORACIÓN DE PLANOS SOBRE DISEÑOS ARQUITECTÓNICOS SUMINISTRADOS POR EL CLIENTE SEGÚN LA CANTIDAD DE METROS CUADRADOS. INCLUYE LISTA DE MATERIALES CON ESPECIFICACIONES TÉCNICAS Y POSIBLES MARCAS. JUEGO DE PLANOS DIGITAL CON INDICACIONES DE: TUBERÍA, CABLEADO Y UBICACIÓN DE EQUIPOS. INCLUYE 3 REUNIONES PARA COORDINACIÓN Y EXPLICACIÓN DE DISENO.</t>
  </si>
  <si>
    <t>DISENO DE SISTEMA DE AUDIO PARA EL RECINTO.</t>
  </si>
  <si>
    <t>K_DISENO_CONT_ILUM_M2</t>
  </si>
  <si>
    <t>DISENO DE SISTEMA DE AUDIO PARA EL RECINTO. LA TARIFA INCLUYE ELABORACIÓN DE PLANOS SOBRE DISEÑOS ARQUITECTÓNICOS SUMINISTRADOS POR EL CLIENTE SEGÚN LA CANTIDAD DE METROS CUADRADOS. INCLUYE LISTA DE MATERIALES CON ESPECIFICACIONES TÉCNICAS Y POSIBLES MARCAS. JUEGO DE PLANOS DIGITAL CON INDICACIONES DE: TUBERÍA, CABLEADO Y UBICACIÓN DE EQUIPOS. INCLUYE 3 REUNIONES PARA COORDINACIÓN Y EXPLICACIÓN DE DISENO.</t>
  </si>
  <si>
    <t>http://www.fibersavvy.com/store/p/6379-THE-SCOOP-Single-Dual-Gang-Reversible-Non-Metallic-Cable-Entrance-Plates.aspx</t>
  </si>
  <si>
    <t>K_DISENO_CONTROL_ACCESO_M2</t>
  </si>
  <si>
    <t>K_DISENO_AUDIO_VIDEO_M2</t>
  </si>
  <si>
    <t>DISENO DE ILUMINACIÓN PARA RECINTO TIPO CORPORATIVO.</t>
  </si>
  <si>
    <t>K_DISENO_ILUM_CORP_M2</t>
  </si>
  <si>
    <t>DISENO DE ILUMINACIÓN PARA RECINTO TIPO CORPORATIVO. LA TARIFA INCLUYE ELABORACIÓN DE PLANOS SOBRE DISEÑOS ARQUITECTÓNICOS SUMINISTRADOS POR EL CLIENTE SEGÚN LA CANTIDAD DE METROS CUADRADOS. INCLUYE LISTA DE MATERIALES CON ESPECIFICACIONES TÉCNICAS Y POSIBLES MARCAS. JUEGO DE PLANOS DIGITAL CON INDICACIONES DE: TUBERÍA, CABLEADO Y UBICACIÓN DE EQUIPOS. INCLUYE 3 REUNIONES PARA COORDINACIÓN Y EXPLICACIÓN DE DISENO. INCLUYE UN ACOMPAÑAMIENTO EN SELECCIÓN DE PRODUCTO EN CASO DE SER SUMINISTRADO POR UN TERCERO.</t>
  </si>
  <si>
    <t>http://www.amazon.com/Philmore-Stainless-Microphone-Connector-Feed-Thru/dp/B00EW6D7FS/ref=sr_1_1?ie=UTF8&amp;qid=1444957952&amp;sr=8-1&amp;keywords=xlr+3.5mm+plate</t>
  </si>
  <si>
    <t>DISENO DE ILUMINACIÓN PARA RECINTO TIPO COMERCIAL.</t>
  </si>
  <si>
    <t>K_DISENO_ILUM_COME_M2</t>
  </si>
  <si>
    <t>DISENO DE ILUMINACIÓN PARA RECINTO TIPO COMERCIAL. LA TARIFA INCLUYE ELABORACIÓN DE PLANOS SOBRE DISEÑOS ARQUITECTÓNICOS SUMINISTRADOS POR EL CLIENTE SEGÚN LA CANTIDAD DE METROS CUADRADOS. INCLUYE LISTA DE MATERIALES CON ESPECIFICACIONES TÉCNICAS Y POSIBLES MARCAS. JUEGO DE PLANOS DIGITAL CON INDICACIONES DE: TUBERÍA, CABLEADO Y UBICACIÓN DE EQUIPOS. INCLUYE 3 REUNIONES PARA COORDINACIÓN Y EXPLICACIÓN DE DISENO. INCLUYE UN ACOMPAÑAMIENTO EN SELECCIÓN DE PRODUCTO EN CASO DE SER SUMINISTRADO POR UN TERCERO.</t>
  </si>
  <si>
    <t>http://www.amazon.com/gp/product/B00I0HPK3M?keywords=RCA%2050FT&amp;qid=1445018730&amp;ref_=sr_1_6&amp;sr=8-6</t>
  </si>
  <si>
    <t>DISENO DE ILUMINACIÓN PARA RECINTO TIPO RESIDENCIAL.</t>
  </si>
  <si>
    <t>K_DISENO_ILUM_RESI_M2</t>
  </si>
  <si>
    <t>DISENO DE ILUMINACIÓN PARA RECINTO TIPO RESIDENCIAL. LA TARIFA INCLUYE ELABORACIÓN DE PLANOS SOBRE DISEÑOS ARQUITECTÓNICOS SUMINISTRADOS POR EL CLIENTE SEGÚN LA CANTIDAD DE METROS CUADRADOS. INCLUYE LISTA DE MATERIALES CON ESPECIFICACIONES TÉCNICAS Y POSIBLES MARCAS. JUEGO DE PLANOS DIGITAL CON INDICACIONES DE: TUBERÍA, CABLEADO Y UBICACIÓN DE EQUIPOS. INCLUYE 3 REUNIONES PARA COORDINACIÓN Y EXPLICACIÓN DE DISENO. INCLUYE UN ACOMPAÑAMIENTO EN SELECCIÓN DE PRODUCTO EN CASO DE SER SUMINISTRADO POR UN TERCERO.</t>
  </si>
  <si>
    <t>DISENO DE ILUMINACIÓN PARA RECINTO TIPO RESIDENCIAL CON ALTO NIVEL DE DETALLE ARQUITECTÓNICO.</t>
  </si>
  <si>
    <t>DISENO DE ILUMINACIÓN PARA RECINTO TIPO RESIDENCIAL CON ALTO NIVEL DE DETALLE ARQUITECTÓNICO. LA TARIFA INCLUYE ELABORACIÓN DE PLANOS SOBRE DISEÑOS ARQUITECTÓNICOS SUMINISTRADOS POR EL CLIENTE SEGÚN LA CANTIDAD DE METROS CUADRADOS. INCLUYE LISTA DE MATERIALES CON ESPECIFICACIONES TÉCNICAS Y POSIBLES MARCAS. JUEGO DE PLANOS DIGITAL CON INDICACIONES DE: TUBERÍA, CABLEADO Y UBICACIÓN DE EQUIPOS. INCLUYE 3 REUNIONES PARA COORDINACIÓN Y EXPLICACIÓN DE DISENO. INCLUYE UN ACOMPAÑAMIENTO EN SELECCIÓN DE PRODUCTO EN CASO DE SER SUMINISTRADO POR UN TERCERO.</t>
  </si>
  <si>
    <t>ELABORACIÓN DE PLANOS, DIAGRAMAS UNIFILARES Y MEMORIAS DE CALCULO DE PROYECTO</t>
  </si>
  <si>
    <t>K_DISENO_RETIE</t>
  </si>
  <si>
    <t>COSTOS DE PROCESO DE CERTIFICACIÓN ANTE ENTE CERTIFICADOR.</t>
  </si>
  <si>
    <t>K_RETIE</t>
  </si>
  <si>
    <t>DISENO DE ILUMINACIÓN POR METRO CUADRADO.</t>
  </si>
  <si>
    <t>K_DISENO_ILU_VITRINA</t>
  </si>
  <si>
    <t>DISENO DE ILUMINACIÓN POR METRO CUADRADO. INCLUYE RENDER SOBRE MOBILIARIO Y TERMINACIONES APORTADAS POR EL CLIENTE. NIVELES DE ILUMINACIÓN SEGÚN NORMA O ESPECIFICACIONES DEL CLIENTE.</t>
  </si>
  <si>
    <t>K_DISENO_ILU_ADMIN</t>
  </si>
  <si>
    <t>K_DISENO_ILU_BODEGA</t>
  </si>
  <si>
    <t>K_DISENO_ILU_SERVICIO</t>
  </si>
  <si>
    <t>DISENO ELÉCTRICO PARA EL RECINTO.</t>
  </si>
  <si>
    <t>K_DISENO_ELECTRICO</t>
  </si>
  <si>
    <t>DISENO ELÉCTRICO PARA EL RECINTO. ENTREGABLE DE ACUERDO A NORMATIVIDAD VIGENTE. INCLUYE, PLANOS ELECTRICOS Y DIAGRAMAS UNIFILARES. JUEGO DE PLANOS EN DIGITAL.</t>
  </si>
  <si>
    <t>DIA DE INTERVENTORÍA PARA REVISIÓN DE PROYECTO.</t>
  </si>
  <si>
    <t>K_INTER_DIA</t>
  </si>
  <si>
    <t>DIA DE INTERVENTORÍA PARA REVISIÓN DE PROYECTO. INCLUYE TRANSPORTE DENTRO DE LA CIUDAD. EL TRABAJO SE REALIZA DE ACUERDO A LOS ALCANCES DE LA PROPUESTA.</t>
  </si>
  <si>
    <t>INSTALACIÓN DE EQUIPO TIPO GRAFIK.</t>
  </si>
  <si>
    <t>INSTALACIÓN DE INTERRUPTOR O DIMMER.</t>
  </si>
  <si>
    <t>INSTALACIÓN DE TELÓN MOTORIZADO.</t>
  </si>
  <si>
    <t>INSTALACIÓN DE SISTEMA DE ALTAVOCES 5.1.</t>
  </si>
  <si>
    <t>INSTALACIÓN DE SISTEMA SOUND BAR.</t>
  </si>
  <si>
    <t>INSTALACIÓN DE SALIDA PARA CÁMARA INTERIOR.</t>
  </si>
  <si>
    <t>INSTALACIÓN DE SALIDA PARA CÁMARA DE EXTERIOR.</t>
  </si>
  <si>
    <t>INSTALACIÓN DE SENSOR DE PRESENCIA.</t>
  </si>
  <si>
    <t>INSTALACIÓN DE EQUIPO AIRPORT.</t>
  </si>
  <si>
    <t>INSTALACIÓN DE METRO LINEAL DE TUBERÍA MT DE SOBRE PONER.</t>
  </si>
  <si>
    <t>INSTALACIÓN DE ROUTER EN RACK DE EQUIPOS.</t>
  </si>
  <si>
    <t>INSTALACIÓN DE REGLETA COLOR KINETICS.</t>
  </si>
  <si>
    <t>INSTALACIÓN DE SENSOR DE LUZ.</t>
  </si>
  <si>
    <t>INSTALACIÓN DE LUMINARIA TIPO BALA.</t>
  </si>
  <si>
    <t>INSTALACIÓN DE LUMINARIA TIPO PANEL PEQUEÑO.</t>
  </si>
  <si>
    <t>VISITA TÉCNICA PARA REVISIÓN O INSTALACIÓN DE EQUIPOS DE ILUMINACIÓN O CONTROL.</t>
  </si>
  <si>
    <t>DESMONTE O MONTAJE DE ELEMENTO EN FACHADA CON DESCENSO CONTROLADO.</t>
  </si>
  <si>
    <t>MONTAJE DE BASE DE DATOS DE SISTEMA QUANTUM EN SERVIDOR PROPORCIONADO POR EL CLIENTE.</t>
  </si>
  <si>
    <t>DESCENSO CONTROLADO EN ALTURAS, REALIZADO POR DOS TÉCNICOS CERTIFICADOS.</t>
  </si>
  <si>
    <t>INSTALACIÓN Y FIGURADO DE TABLERO ELÉCTRICO DE HASTA 24 BREAKERS.</t>
  </si>
  <si>
    <t>ADAPTACIÓN DE HUECO DE DRYWALL.</t>
  </si>
  <si>
    <t>CAPACITACIÓN DEL SISTEMA DE INTEGRACIÓN.</t>
  </si>
  <si>
    <t>K_CAP_INT</t>
  </si>
  <si>
    <t>CAPACITACIÓN DEL SISTEMA DE INTEGRACIÓN. INCLUYE UNA VISITA DE UNA HORA EN SITIO.</t>
  </si>
  <si>
    <t>CAPACITACIÓN DE 2 HORAS EN FUNCIONAMIENTO DE TABLERO INTERACTIVO.</t>
  </si>
  <si>
    <t>K_CAP_SPI</t>
  </si>
  <si>
    <t>CAPACITACIÓN DEL USO DE SISTEMA DE CONTROL DE ILUMINACIÓN.</t>
  </si>
  <si>
    <t>K_CAP_ILU</t>
  </si>
  <si>
    <t>CAPACITACIÓN DEL USO DE SISTEMA DE CONTROL DE ILUMINACIÓN. INCLUYE UNA VISITA DE UNA HORA EN SITIO.</t>
  </si>
  <si>
    <t>CAPACITACIÓN DEL SISTEMA DE AUDIO MULTIROOM.</t>
  </si>
  <si>
    <t>K_CAP_AUDIO</t>
  </si>
  <si>
    <t>CAPACITACIÓN DEL SISTEMA DE AUDIO MULTIROOM. INCLUYE UNA VISITA DE UNA HORA EN SITIO.</t>
  </si>
  <si>
    <t>CAPACITACIÓN DEL SISTEMA DE ALARMA. INCLUYE UNA VISITA DE UNA HORA EN SITIO.</t>
  </si>
  <si>
    <t>K_CAP_ALARM</t>
  </si>
  <si>
    <t>XXXXXX</t>
  </si>
  <si>
    <t>BORRA1</t>
  </si>
  <si>
    <t>BORRA2</t>
  </si>
  <si>
    <t>BORRA3</t>
  </si>
  <si>
    <t>INSTALACIÓN DE PASTILLA LED EN LUMINARIA EXISTENTE.</t>
  </si>
  <si>
    <t>K_INST_PLED</t>
  </si>
  <si>
    <t>INSTALACIÓN DE PASTILLA LED EN LUMINARIA EXISTENTE. LA INSTALACIÓN SERA SUJETA DE VERIFICACIÓN DE MODO DE APERTURA DE LA LAMPARA. NO INCLUYE DRIVERS NI ARREGLOS EN DRYWALL DE SER NECESARIOS.</t>
  </si>
  <si>
    <t>PROGRAMACIÓN DE ENTRADA O SALIDA DE CONTACTO SECO O RELÉ.</t>
  </si>
  <si>
    <t>K_PROG_RELE</t>
  </si>
  <si>
    <t>PROGRAMACIÓN DE ENTRADA O SALIDA DE CONTACTO SECO O RELÉ ARA DIFERENTES APLICACIONES</t>
  </si>
  <si>
    <t>INSTALACIÓN DE EXTRACTOR A 110V. NO INCLUYE SALIDA ELÉCTRICA.</t>
  </si>
  <si>
    <t>K_INST_EXTRAC</t>
  </si>
  <si>
    <t>INSTALACIÓN DE SENSOR DE HUMO</t>
  </si>
  <si>
    <t>K_INST_DH</t>
  </si>
  <si>
    <t>PROGRAMACIÓN DE SENSOR DE HUMO CON PANEL COMPATIBLE.</t>
  </si>
  <si>
    <t>K_PROG_DH</t>
  </si>
  <si>
    <t>TEST DE SENSOR CON HUMO SIMULADO</t>
  </si>
  <si>
    <t>K_TEST_DH</t>
  </si>
  <si>
    <t>INSTALACIÓN Y FIGURADO DE TABLERO ESTÁNDAR DE 42 CIRCUITOS.</t>
  </si>
  <si>
    <t>K_INST_TAB42</t>
  </si>
  <si>
    <t>INSTALACIÓN Y FIGURADO DE TABLERO ESTÁNDAR DE 36 CIRCUITOS.</t>
  </si>
  <si>
    <t>K_INST_TAB36</t>
  </si>
  <si>
    <t>INSTALACIÓN Y FIGURADO DE TABLERO ESTÁNDAR DE 24 CIRCUITOS.</t>
  </si>
  <si>
    <t>K_INST_TAB24</t>
  </si>
  <si>
    <t>INSTALACIÓN Y FIGURADO DE TABLERO ESTÁNDAR DE 18 CIRCUITOS.</t>
  </si>
  <si>
    <t>K_INST_TAB18</t>
  </si>
  <si>
    <t>INSTALACIÓN Y FIGURADO DE TABLERO ESTÁNDAR DE 12 CIRCUITOS.</t>
  </si>
  <si>
    <t>K_INST_TAB12</t>
  </si>
  <si>
    <t>INSTALACIÓN DE METRO LINEAL DE TUBERÍA EMT</t>
  </si>
  <si>
    <t>K_INST_EMT</t>
  </si>
  <si>
    <t>INSTALACIÓN DE METRO LINEAL DE CABLOFIL</t>
  </si>
  <si>
    <t>K_INST_CABLOFIL</t>
  </si>
  <si>
    <t>INSTALACIÓN DE PLAFÓN EN SALIDA ELÉCTRICA EXISTENTE</t>
  </si>
  <si>
    <t>K_INST_PLAFON</t>
  </si>
  <si>
    <t>INSTALACIÓN DE LUMINARIA HERMÉTICA SOBRE PUESTA O DESCOLGADA.</t>
  </si>
  <si>
    <t>K_INST_HERMETICA</t>
  </si>
  <si>
    <t>INSTALACIÓN DE LUMINARIA HERMÉTICA SOBRE PUESTA O DESCOLGADA. NO INCLUYE ACCESORIOS TIPO GUAYA.</t>
  </si>
  <si>
    <t>INSTALACIÓN DE LUMINARIA EN POSTE, NO INCLUYE POLLO DE SUJECIÓN U OBRA CIVIL</t>
  </si>
  <si>
    <t>K_INST_POSTE</t>
  </si>
  <si>
    <t>INSTALACIÓN DE TRACK SOBREPUESTO O DESCOLGADO, NO INCLUYE ACCESORIOS.</t>
  </si>
  <si>
    <t>K_INST_TRACK</t>
  </si>
  <si>
    <t>INSTALACIÓN Y CONFIGURACIÓN DE APPLE TV</t>
  </si>
  <si>
    <t>K_INST_ATV</t>
  </si>
  <si>
    <t>INTEGRACIÓN DE SISTEMA MULTIROOM NUVO</t>
  </si>
  <si>
    <t>K_PROG_NUVO</t>
  </si>
  <si>
    <t>INTEGRACIÓN Y PROGRAMACIÓN DE PROCESADOR DE AV</t>
  </si>
  <si>
    <t>K_PROG_AVR</t>
  </si>
  <si>
    <t>PROGRAMACIÓN E INTEGRACIÓN DE EQUIPOS MEDIANTE IR</t>
  </si>
  <si>
    <t>K_PROG_IR</t>
  </si>
  <si>
    <t>DISENO DE ESTÁNDAR DE CONTROL DE ILUMINACION.</t>
  </si>
  <si>
    <t>K_ESTANDAR_DAV</t>
  </si>
  <si>
    <t>DISENO DE ESTÁNDAR DE CONTROL DE ILUMINACION CON LOS SIGUIENTES ENTREGABLES: TIPO DE ILUMINACION Y CONTROL DE ACUERDO A TIPO DE EDIFICACIÓN Y ZONA, TIPO DE ILUMINACION DE EMERGENCIA Y SIMULADOR ESTIMATIVO DE COSTOS DE CONTROL DE ILUMINACION POR TIPO DE ZONAS Y EDIFICACIÓN EN EXCEL.</t>
  </si>
  <si>
    <t>DESMONTE DE LUMINARIA Y RECOLECCIÓN EN PUNTO FIJO DENTRO DE LA MISMA EDIFICACIÓN</t>
  </si>
  <si>
    <t>K_INST_DEMONTE</t>
  </si>
  <si>
    <t>RECOLECCIÓN CON CAMIÓN MEDIANO PARA UNA CARGA DE MATERIAL CON DISPOSICIÓN FINAL.</t>
  </si>
  <si>
    <t>K_TRANS_DP</t>
  </si>
  <si>
    <t>RECOLECCIÓN CON CAMIÓN MEDIANO PARA UNA CARGA DE MATERIAL CON DISPOSICIÓN FINAL, TRANSPORTE DENTRO DEL PERÍMETRO URBANO DE LA CIUDAD DEL PROYECTO.</t>
  </si>
  <si>
    <t>MANTENIMIENTO DE CHANDELIER, CONSISTE EN LIMPIEZA TRAPO HÚMEDO SECO DE CADA ELEMENTO.</t>
  </si>
  <si>
    <t>K_MAN_CHAN</t>
  </si>
  <si>
    <t>MANTENIMIENTO DE CHANDELIER, CONSISTE EN LIMPIEZA TRAPO HÚMEDO SECO DE CADA ELEMENTO. NO INCLUYE TRANSPORTE DE ANDAMIOS O ESCALERAS</t>
  </si>
  <si>
    <t>MANTENIMIENTO DE LUMINARIA DECORATIVA DESCOLGADA</t>
  </si>
  <si>
    <t>K_MAN_DESCL</t>
  </si>
  <si>
    <t xml:space="preserve">MANTENIMIENTO DE LUMINARIA DECORATIVA DESCOLGADA. CONSISTE EN LIMPIEZA SI APLICA CON AIRE COMPRIMIDO Y LIMPIEZA CONS TRAPO HÚMEDO SECO. </t>
  </si>
  <si>
    <t>INSTALACIÓN DE POTENCIÓMETRO EN LAMPARA</t>
  </si>
  <si>
    <t>K_INST_POT</t>
  </si>
  <si>
    <t>REEMPLAZO DE CHIP LED</t>
  </si>
  <si>
    <t>K_REPLACE</t>
  </si>
  <si>
    <t>INSTALACIÓN DE TOMA ELÉCTRICA, VOZ O TELÉFONO. NO INCLUYE MATERIALES.</t>
  </si>
  <si>
    <t>K_INST_ELEC</t>
  </si>
  <si>
    <t>MATRIZ HDMI DE 4 ENTRADAS CON 4 SALIDAS, RESOLUCIÓN 4K.</t>
  </si>
  <si>
    <t>PS_500</t>
  </si>
  <si>
    <t>MATRIZ HDMI DE 4 ENTRADAS CON 4 SALIDAS, RESOLUCIÓN 4K. CONTROL REMOTO RS232 E INFRA ROJO.</t>
  </si>
  <si>
    <t>INSTALACIÓN DE TRANSFORMADOR</t>
  </si>
  <si>
    <t>K_INST_TRANS</t>
  </si>
  <si>
    <t>INSTALACIÓN DE CONTADOR EN MURO EXISTENTE</t>
  </si>
  <si>
    <t>PONCHADO DE PUNTO DE RED SOBRE CABLEADO EXISTENTE.</t>
  </si>
  <si>
    <t>K_INST_PR</t>
  </si>
  <si>
    <t>LUMINARIA LED HERMÉTICA DIMERIZABLE 0-10V, 4000K, 4.400Lm.</t>
  </si>
  <si>
    <t>P27372_36</t>
  </si>
  <si>
    <t>INSTALACIÓN DE SENSOR TIPO EMBOLO DE CONTACTO SECO</t>
  </si>
  <si>
    <t>K_INST_EMBOLO</t>
  </si>
  <si>
    <t>ALTAVOZ DE 8" A LÍNEA DE 70V.</t>
  </si>
  <si>
    <t>IC800T</t>
  </si>
  <si>
    <t>ALTAVOZ DE 8" A LÍNEA DE 70V, CON ANEJOS DE POTENCIA EN TAP DE 12.5W, 25W, 50W y 100W.</t>
  </si>
  <si>
    <t>INSTALACIÓN DE LUMINARIA DECORATIVA GRANDE DESCOLGADA</t>
  </si>
  <si>
    <t>K_INST_DECO_GRANDE</t>
  </si>
  <si>
    <t>INSTALACIÓN DE LUMINARIA TIPO SUPERNOVA.</t>
  </si>
  <si>
    <t>K_INST_SUPERNOVA</t>
  </si>
  <si>
    <t>INSTALACIÓN DE LUMINARIA TIPO SUPERNOVA. NO INCLUYE REFUERZOS EN TECHO DE SER REQUERIDOS O TRABAJOS DE PINTURA.</t>
  </si>
  <si>
    <t>INSTALACIÓN DE PANEL XPS DE 24 CIRCUITOS EN INFRA ESTRUCTURA ELÉCTRICA EXISTE</t>
  </si>
  <si>
    <t>K_INST_XPS24</t>
  </si>
  <si>
    <t>K_PROG_XPS24</t>
  </si>
  <si>
    <t>REVISIÓN E INSTALACIÓN DE INTERRUPTOR</t>
  </si>
  <si>
    <t>K_INST_INT_REV</t>
  </si>
  <si>
    <t>DIA DE TÉCNICO PARA REVISIÓN DE CONEXIONES ELÉCTRICAS</t>
  </si>
  <si>
    <t>K_INST_DIA_ELEC</t>
  </si>
  <si>
    <t>SOFTWARE A MEDIDA PARA REGISTRO DE INGRESOS.</t>
  </si>
  <si>
    <t>K_SOFT_P2D</t>
  </si>
  <si>
    <t>SOFTWARE A MEDIDA PARA REGISTRO DE INGRESOS Y SALIDAS DE PERSONAL A PARTIR DE LECTURA DE CEDULA.</t>
  </si>
  <si>
    <t>INSTALACIÓN DE INTERRUPTOR TIPO MULETILLA</t>
  </si>
  <si>
    <t>K_INST_INT_M</t>
  </si>
  <si>
    <t>INSTALACIÓN DE PUNTO DE ACCESO BIOMÉTRICO.</t>
  </si>
  <si>
    <t>K_INST_TCB</t>
  </si>
  <si>
    <t>INSTALACIÓN DE PUNTO DE ACCESO BIOMÉTRICO. NO INCLUYE ACOMETIDA PARA PUNTO ELECTRICOS. INCLUYE INSTALACIÓN, Y CAPACITACION EN SITIO PARA USO.</t>
  </si>
  <si>
    <t>INSTALACIÓN DE BALA TRIMLESS</t>
  </si>
  <si>
    <t>K_INST_BALA_TRIM</t>
  </si>
  <si>
    <t>MANTENIMIENTO DE SISTEMA DE CONTROL DE ILUMINACION LUTRON</t>
  </si>
  <si>
    <t>K_MANT_LUT</t>
  </si>
  <si>
    <t>MI PRUEBA</t>
  </si>
  <si>
    <t>PRUEBA 1</t>
  </si>
  <si>
    <t>INSTALACIÓN DE ASCENSOR PARA BOLILIARIO</t>
  </si>
  <si>
    <t>K_INST_LIFT_F</t>
  </si>
  <si>
    <t>K_CAMP_CAL</t>
  </si>
  <si>
    <t>INSTALACION Y CALIBRACION DE SISTEMA</t>
  </si>
  <si>
    <t>PROGRAMACIÓN/CONFIGURACIÓN DE DIGITAL SIGNAGE O ENRUTADOR</t>
  </si>
  <si>
    <t>K_PROG_TVDS</t>
  </si>
  <si>
    <t>PROGRAMACIÓN Y CONFIGURACION DE TV CON UNIDAD DE TRANSPORTE DE VIDEO. YA SEA MEDIANTE SEÑALIZACION DIGITAL O ENRUTAMIENTO DE SENALES DE AV.</t>
  </si>
  <si>
    <t>K_PROG_SD</t>
  </si>
  <si>
    <t>CONFIGURACIÓN DE SWITCH DE DATOS PARA LA APLICACIÓN</t>
  </si>
  <si>
    <t>K_PROG_TESIRA</t>
  </si>
  <si>
    <t>PROGRAMACION DE PROCESADOR DE AUDIO DIGITAL</t>
  </si>
  <si>
    <t>K_PROG_MICRO</t>
  </si>
  <si>
    <t>PROGRAMACION DE MICROFONO DANTE</t>
  </si>
  <si>
    <t>K_PROG_AMP70V</t>
  </si>
  <si>
    <t>CONFIGURACION DE AMPLIFICADOR DE 4 CANALES</t>
  </si>
  <si>
    <t>K_CONFIG_H20</t>
  </si>
  <si>
    <t>CONFIGURACION DE SISTEMA DE GESTION DE CHAPAS PARA HOTEL HASTA 20 CHAPAS</t>
  </si>
  <si>
    <t>K_INST_CH</t>
  </si>
  <si>
    <t>INSTALACION DE CHAPA EN PUERTA DE MADERA</t>
  </si>
  <si>
    <t>K_CAP_CH</t>
  </si>
  <si>
    <t>CAPACITACION DE DOS HORAS EN EL USO DE SISTEMA DE GESTION DE ACCESO EN HOTEL</t>
  </si>
  <si>
    <t>CONTROL52</t>
  </si>
  <si>
    <t>PARLANTE COMPACTO DE 16 OHM.</t>
  </si>
  <si>
    <t>K_INST_SOBREPONER</t>
  </si>
  <si>
    <t>INSTALACIÓN DE LUMINARIA DE SOBREPONER</t>
  </si>
  <si>
    <t>K_INST_GUIA</t>
  </si>
  <si>
    <t>INSTALACIÓN DE LUMINARIA TIPO GUIA DE EMPOTRAR</t>
  </si>
  <si>
    <t>MEZCLADOR Y AMPLIFICADOR DE 60W, CON LECTOR DE USB Y BLUETOOTH. CON 6 ENTRADAS Y DOS SALIDAS.</t>
  </si>
  <si>
    <t>INSTALACION DE UPS. INCLUYE CONEXIÓN A INFRA ESTRUCTURA ELECTRICA EXISTENTE.</t>
  </si>
  <si>
    <t>LH6500L</t>
  </si>
  <si>
    <t xml:space="preserve">CERRADURA PARA HOTEL COLOR NEGRO CON LECTOR PARA TARJETAS MIFARE SENTIDO IZQUIERDO O DERECHO </t>
  </si>
  <si>
    <t>MF1S50</t>
  </si>
  <si>
    <t>TARJETA MIFARE FRECUENCIA 13.56MHZ MEMORIA 1KB</t>
  </si>
  <si>
    <t>CR60W</t>
  </si>
  <si>
    <t>ENROLADORA PARA LEER Y ESCRIBIR TARJETAS MIFARE USO CON SOLUCION DE HOTEL</t>
  </si>
  <si>
    <t>ZKLOOK</t>
  </si>
  <si>
    <t>LICENCIA PARA OPERACIÓN DE SOFTWARE DE CONTROL DE ACCESO DE HOTELES</t>
  </si>
  <si>
    <t>K_INST_LOCK</t>
  </si>
  <si>
    <t>K_CONFIG_TIP</t>
  </si>
  <si>
    <t>CONFIGURACION DE TELEFONO IP</t>
  </si>
  <si>
    <t>K_CONFIG_ASTERISK</t>
  </si>
  <si>
    <t>CONFIGRACION DE CENTAL TELEFONICA VIRTUAL ASTERISK</t>
  </si>
  <si>
    <t>K_INST_RIEL_TRIM</t>
  </si>
  <si>
    <t>INSTALACION DE METRO LINEAL DE RIEL INCRUSTADO SIN BORDE.</t>
  </si>
  <si>
    <t>K_ACO_ADE_FIS</t>
  </si>
  <si>
    <t>ADECUACIÓN A ESTRUCTURA MEDIA TENSIÓN EXISTENTE EN PUNTO FÍSICO NO. 42294302, DERIVACIÓN A 90 GRADOS NORMA ENEL- CODENSA LAR 280</t>
  </si>
  <si>
    <t>K_ACO_EST_SERIE5</t>
  </si>
  <si>
    <t>SUMINISTRO E INSTALACIÓN DE ESTRUCTURA  PARA INSTALCIÓN DE SUBESTACIÓN SERIE 5  NORMA ENEL-CODENSA CTR 501-1, INCLIUYE POSTE DE 12 M Y TRANSPORTE A SITIO,  CAPACIDAD DE RUPTURA DE 1050 KG. INCLUYE PROTECCIONES PARA TRANSFORMDOR Y DPS SEGÚN DISEÑO ELÉCTRICO APROBADO POR ENEL. INCLUYE  TUBERÍA IMC PARA BAJANTES Y CAPACETES.</t>
  </si>
  <si>
    <t>K_ACO_BIFA</t>
  </si>
  <si>
    <t>SUMINISTRO E  INSTALACIÓN DE CIRCUITO BIFÁSICO MEDIA TENSION  EN CABLE ACSR 2X2 AWG</t>
  </si>
  <si>
    <t>K_ACO_TRANS</t>
  </si>
  <si>
    <t>SUMINSTRO E INSTALCIÓN DE TRANSFROMADOR BIFÁSICO 45 KVA, 11400/208-120 V AC. PARA INSTALAR EN POSTE, INCLUYE ACCESORIOS DE FIJACIÓN Y SUJECIÓN, TRANSPORTE A SITIO Y CONEXIONADO.</t>
  </si>
  <si>
    <t>K_ACO_AWG2X4</t>
  </si>
  <si>
    <t>SUMINISTRO E INSTALCIÓN DE CABLE DE COBRE 2X4+4N+8T AWG THHN, DESDE MEDIDOR PREDIO 1- HASTA TABLERO GENERAL.</t>
  </si>
  <si>
    <t>K_ACO_ACOM</t>
  </si>
  <si>
    <t>CONSTRUCCIÓN DE CANALIZACION EN BANCO DE DUCTOS 1.5", INCLUYE ESCAVACION Y RELLENO CON MATERIAL EXTRAIDO DEL SITIO.</t>
  </si>
  <si>
    <t>K_ACO_C_INSP</t>
  </si>
  <si>
    <t>CONSTRUCCION DE CAJAS DE INSPECCIÓN CS274</t>
  </si>
  <si>
    <t>K_ACO_TIERRA</t>
  </si>
  <si>
    <t>SUMINISTRO E INSTALACIÓN DE SISTEMA DE PUESTA A TIERRA PARA TRANSFROMADOR Y MEDIDORES. VER PLANODE  DETALLE CODENSA.</t>
  </si>
  <si>
    <t>K_ACO_CA</t>
  </si>
  <si>
    <t>CONSTRUCCIÓN DE CASETA  INTEMPERIE MEDIDORES, INCLUYE TECHO, PISO, MUROS Y REJA DE SEGURIDAD</t>
  </si>
  <si>
    <t>K_ACO_MED</t>
  </si>
  <si>
    <t>SUMINISTRO E INSTALACION DE CAJA PARA MEDIDORES NORMA AE 306</t>
  </si>
  <si>
    <t>K_ACO_LEG</t>
  </si>
  <si>
    <t>TRAMITES PARA ENERGIZACIÓN Y LEGALIZACIÓN, NO INCLUYE RETIE</t>
  </si>
  <si>
    <t>K_ACO_MAN</t>
  </si>
  <si>
    <t>MANIOBRA PARA CONEXIÓN A CIRCUITO DE MEDIA TENSION Y ADECUACIONES A ESTRUCTURA EXISTENTE</t>
  </si>
  <si>
    <t>K_ACO_RETIE</t>
  </si>
  <si>
    <t>INSPECCIÓN RETIE DE DISTRIBUCIÓN DE MT AÉREA CON LONGITUD DE 30 MTS, TRANSFORMADOR EN POSTE DE 45 KVA Y RED DE BT
HASTA CAJA MEDIDOR CON LONGITUD APROXIMADA DE 20 MTS</t>
  </si>
  <si>
    <t>K_INST_CORT</t>
  </si>
  <si>
    <t>INSTALACIÓN DE CORTINA MOTORIZADA</t>
  </si>
  <si>
    <t>K_INST_DESMONTE_LM</t>
  </si>
  <si>
    <t>DESMONTE DE LUMINARIA</t>
  </si>
  <si>
    <t>K_INST_UNIT</t>
  </si>
  <si>
    <t>INSTALACIÓN DE UNIDAD EN RIEL DIM CON 4 LAZOS DE CONTROL O PROTOCOLO DIGITAL</t>
  </si>
  <si>
    <t>K_INST_QSM</t>
  </si>
  <si>
    <t>INSTALACIÓN DE MODULO QSM</t>
  </si>
  <si>
    <t>K_PROG_UNIT</t>
  </si>
  <si>
    <t>PROGRAMACIÓN DE UNIDAD EN RIEL DIM CON 4 LAZOS DE CONTROL O PROTOCOLO DIGITAL</t>
  </si>
  <si>
    <t>K_INST_BREAKER</t>
  </si>
  <si>
    <t>INSTALACION DE BREAKER PARA ALIMENTACIÓN DE ACOMETIDAS</t>
  </si>
  <si>
    <t>K_INST_REM_LAM_GRANDE</t>
  </si>
  <si>
    <t>REMOCION DE LUMINARIA GRANDE</t>
  </si>
  <si>
    <t>K_INST_REM_LAM_PEQ</t>
  </si>
  <si>
    <t>REMOCION DE LUMINARIA PEQUEÑA</t>
  </si>
  <si>
    <t>K_ALQ_TELESCOPICA</t>
  </si>
  <si>
    <t>ALQUILER DE ESCALERA TELESCOPICA</t>
  </si>
  <si>
    <t>K_INST_PINM</t>
  </si>
  <si>
    <t>PINTURA DE MURO CON 4 MANOS DE PINTURA</t>
  </si>
  <si>
    <t>K_INST_DAL</t>
  </si>
  <si>
    <t>INSTALACIÓN DE MODULO DE CONTROL DALI</t>
  </si>
  <si>
    <t>K_PROG_DAL</t>
  </si>
  <si>
    <t>INSTALACION DE MODULO DE CONTROL DALI</t>
  </si>
  <si>
    <t>K_INST_REGULADOR</t>
  </si>
  <si>
    <t>INSTALACION DE REGULADOR DE VOLTAJE MONOFASICO</t>
  </si>
  <si>
    <t>K_INST_LAMP_PIE</t>
  </si>
  <si>
    <t>INSTALACIÓN DE LAMPARA DE PIE DECORATIVA</t>
  </si>
  <si>
    <t>K_MANT_PRO</t>
  </si>
  <si>
    <t>MANTENIMIENTO DE PROYECTOR, INCLUYE AJUSTE DE LUMINARIA, CAMBIO DE REFLECTOR EN CASO DE SER REQUERIDO SIN SUMINISTRO Y MANTENIMIENTO DE VENTILACIÓN</t>
  </si>
  <si>
    <t>K_INST_REC</t>
  </si>
  <si>
    <t>REMOCIÓN DE EQUIPO DE PROYECCIÓN E INSTALACIÓN DE EQUIPO EN SOPORTE EXISTENTE</t>
  </si>
  <si>
    <t>K_MANT_LAMP</t>
  </si>
  <si>
    <t>CAMBIO DE LAMPARA EN UNIDAD DE PROYECCIÓN DLP</t>
  </si>
  <si>
    <t>K_INST_COR_REP</t>
  </si>
  <si>
    <t>CORTE DE CORTINA, INCLUYE, DESMONTE Y MONTAJE DE CORTINA PARA CORTE.</t>
  </si>
  <si>
    <t>K_INST_COND</t>
  </si>
  <si>
    <t>INSTALACION DE CONDENSADOR LUT_LMC</t>
  </si>
  <si>
    <t>K_REV</t>
  </si>
  <si>
    <t>REVISION DEL SISTEMA DE AUDIO, INCLUYE PRUEBAS, CONEXIONES, E INFORME DIAGNOSTICO.</t>
  </si>
  <si>
    <t>K_INST_DU_ELEC</t>
  </si>
  <si>
    <t>INSTALACIÓN DE DUCHA ELECTRICA, NO INCLUYE SALIDA ELECTRICA.</t>
  </si>
  <si>
    <t>K_PROG_ENERGY</t>
  </si>
  <si>
    <t>CAMBIOS EN PROGRAMACION DE SISTEMA ENERGY SAVR</t>
  </si>
  <si>
    <t>K_ALQ_NI1200</t>
  </si>
  <si>
    <t>ALQUILER DE MASTER PROGRAMADA PARA CONTROL HORARIO DURANTE DOS MESES</t>
  </si>
  <si>
    <t>K_REV_TEC_QUANTUM</t>
  </si>
  <si>
    <t>REVISION TECNICA EN SITIO PARA DIAGNOSTICO DE SISTEMAS QUANTUM</t>
  </si>
  <si>
    <t>K_REV_TEC_AMX</t>
  </si>
  <si>
    <t>REVISION TECNICA EN SITIO PARA DIAGNOSTICO DE SISTEMAS AMX</t>
  </si>
  <si>
    <t>K_ADMIN_COR</t>
  </si>
  <si>
    <t>ADMINISTRACION, IMPREVISTOS, TRANSPORTE Y COSTOS ADICIONALES RELACIONADOS CON CONTRATO CORREDORES. LINEAS 365 A 369 DE PRESUPUESTO ACEPTADO.</t>
  </si>
  <si>
    <t>K_INST_RING</t>
  </si>
  <si>
    <t>INSTALACION DE SISTEMA DE TIMBRE RING</t>
  </si>
  <si>
    <t>K_MAN_UPS</t>
  </si>
  <si>
    <t>MANTENIMEUNTO DE UPS DE HASTA 1000VA, INCLUYE CAMBIO DE BATERIAS</t>
  </si>
  <si>
    <t>MAN_LUM</t>
  </si>
  <si>
    <t>MANTENIMIENTO DE LUMINARIA</t>
  </si>
  <si>
    <t>K_LUT</t>
  </si>
  <si>
    <t>INSTALACION DE UNIDAD DE CONDENSADOR LUT_MLC</t>
  </si>
  <si>
    <t>K_INSP_QUANTUM</t>
  </si>
  <si>
    <t>K_MANT_QUANTUM</t>
  </si>
  <si>
    <t>K_CODEN</t>
  </si>
  <si>
    <t>PRESENTACION DE TRAMITES ANTE CODENSA PARA CONEXIÓN FINAL</t>
  </si>
  <si>
    <t>TRAMITES Y PROCESO DE CERTIFICACION RETIE PARA MEDIA TENCION Y BAJA</t>
  </si>
  <si>
    <t>K_ACOM_3X6</t>
  </si>
  <si>
    <t>K_PARC_3X8</t>
  </si>
  <si>
    <t>K_TUBE_1.25</t>
  </si>
  <si>
    <t>K_TUBE_1</t>
  </si>
  <si>
    <t>K_CAJA_305</t>
  </si>
  <si>
    <t>K_CAJA_274</t>
  </si>
  <si>
    <t>K_MOCHETA</t>
  </si>
  <si>
    <t>K_TIERRA</t>
  </si>
  <si>
    <t>K_AP_UPGRADE</t>
  </si>
  <si>
    <t>UPGRADE DE ACCESS POINT</t>
  </si>
  <si>
    <t>K_MAN_AUDIO</t>
  </si>
  <si>
    <t>MANTENIMIENTO DE SISTEMA DE AUDIO CON REPOSICION DE FUENTE DE PODER</t>
  </si>
  <si>
    <t>K_INST_PRO_US</t>
  </si>
  <si>
    <t>INSTALACION DE PROYECTOR ULTRA CORTO CON CALIBRACION EN SITIO</t>
  </si>
  <si>
    <t>K_INST_DES_PRO</t>
  </si>
  <si>
    <t>REMOCION DE PROYECTOR EN SITIO</t>
  </si>
  <si>
    <t>K_REMO</t>
  </si>
  <si>
    <t>REMOCIÓN DE LUMINARIA DECORATIVA</t>
  </si>
  <si>
    <t>K_EMBA</t>
  </si>
  <si>
    <t>EMBALAJE DE EQUIPOS</t>
  </si>
  <si>
    <t>K_PROG_PP_ECO</t>
  </si>
  <si>
    <t>PROGRAMACION DE POW PACK ECOSYSTEM.</t>
  </si>
  <si>
    <t>K_INST_MICRO</t>
  </si>
  <si>
    <t>INSTALACION Y CONFIGURACION DE MICROFONO</t>
  </si>
  <si>
    <t>K_PROG_UNIVERSAL_IR</t>
  </si>
  <si>
    <t>PROGRAMACION DE CONTROL DEMOTO UNIVERSAL</t>
  </si>
  <si>
    <t>K_INST_RELE</t>
  </si>
  <si>
    <t>INTALACION DE RELE PARA MANEJO DE CARGAS SWITCHEADAS</t>
  </si>
  <si>
    <t>K_INST_MOB</t>
  </si>
  <si>
    <t>INSTALACION DE MOBILIARIO A MEDIDA</t>
  </si>
  <si>
    <t>K_INST_DVD</t>
  </si>
  <si>
    <t>INSTALACION DE UNIDAD DE DVD</t>
  </si>
  <si>
    <t>K_INST_DTV</t>
  </si>
  <si>
    <t>INSTALACION DE UNIDAD DECODIFICADORA DE TV</t>
  </si>
  <si>
    <t>K_INST_CARDAN</t>
  </si>
  <si>
    <t>INSTALACION DE LUMINARIA TIPO CARDAN</t>
  </si>
  <si>
    <t>K_INST_DESCOLGADA_GRAN</t>
  </si>
  <si>
    <t>INSTALACION DE LUMINARIA DECORATIVA DE GRAN FORMATO</t>
  </si>
  <si>
    <t>K_INST_SPOT_RIEL</t>
  </si>
  <si>
    <t>INSTALACION DE SPOT EN LUMINARIA TIPO RIEL</t>
  </si>
  <si>
    <t>K_MANIOBRA</t>
  </si>
  <si>
    <t>MANIOBRA DE DESCONEXION Y CONEXIÓN DE LINEA DE TENSION ENTER PROVEEDOR DE ENERGIA Y CONTADOR. INCLUYE MANIOBRA EN POSTE DE SER REQUERIDA. NO INCLUYE INSTALACIONES ADICIONALES O REQUERIMIENTOS POR PARTE DEL PROVEEDOR DE ENERGIA.</t>
  </si>
  <si>
    <t>K_INST_LQSE</t>
  </si>
  <si>
    <t>INSTALACION DE MODULOEN RIEL DIN</t>
  </si>
  <si>
    <t>K_PROG_LQSE</t>
  </si>
  <si>
    <t>PROGRAMACION DE MODULO LQSE</t>
  </si>
  <si>
    <t>INSTALACIÓN Y CONEXIÓN DE UPS A 0 METROS DE ACOMETIDA. NO INCLUYE CABLEADO, SOLAMENTE CONEXIÓN CLAVIJA TRABADA DEL CLIENTE</t>
  </si>
  <si>
    <t>K_INST_PLANTA</t>
  </si>
  <si>
    <t xml:space="preserve">INSTALACIÓN Y CONEXIÓN DE PLANTA A 0 METROS DE ACOMETIDA. NO INCLUYE CABLEADO, SOLAMENTE CONEXIÓN A TABLERO DEL CLIENTE. </t>
  </si>
  <si>
    <t>K_DES_VW</t>
  </si>
  <si>
    <t>DESMONTE DE MONITOR DE VIDEO WALL</t>
  </si>
  <si>
    <t>CAJON_MDF</t>
  </si>
  <si>
    <t>CAJON MDF  A MEDIDA, PARA ALOJAMIENTO DE REGLETAS LED</t>
  </si>
  <si>
    <t>K_DESCENSO</t>
  </si>
  <si>
    <t>DESCENSO DE ALTURA PARA TRABAJO EN ALTURAS. INCLUYE PRESTAMOS DE EQUIPO DE DESCENSO.</t>
  </si>
  <si>
    <t>K_PROG_VLAN_RED</t>
  </si>
  <si>
    <t>8 HORAS DE SOPORTE EN REDES DE DATOS PARA MONTAJE DE SISTEMA</t>
  </si>
  <si>
    <t>K_REV_LIFT</t>
  </si>
  <si>
    <t>REVISION DE ASCENSOR, INCLUYE REVISION DE CONEXIONES, REVISION DE CONTACTO SECO O INFRA ROJO. DEPENDIENDO DEL ESTADO EN SITIO, SE DETERMINA SI HAY DAÑO EN LA UNIDAD, SE REQUIERE CONTROL REMOTO POR PARTE DEL CLIENTE. POSIBLE PERFORACIONES A TECHO NO INCLUIDAS.</t>
  </si>
  <si>
    <t>K_REP_PW</t>
  </si>
  <si>
    <t>REPARACION DE FUENTE DE VOLTAJE</t>
  </si>
  <si>
    <t>K_ING</t>
  </si>
  <si>
    <t>JORNADA DE TRABAJO DE INGENIERO DURANTE 4 HORAS. CONSISTENTE EN LA BÚSQUEDA DE ERRORES EN PROGRAMACIÓN Y AJUSTES SOLICITADOS POR EL CLIENTE. ESTAS ACTIVIDADES SE HACEN SOBRE LOS EQUIPOS QUE ESTE EN LÍNEA Y COMUNICÁNDOSE CORRECTAMENTE.</t>
  </si>
  <si>
    <t>KOW</t>
  </si>
  <si>
    <t>CPE29X23X13</t>
  </si>
  <si>
    <t>CAJA DE PASO IP65 PARA EXTERIOR</t>
  </si>
  <si>
    <t>KRAMER</t>
  </si>
  <si>
    <t>VS_211UHD</t>
  </si>
  <si>
    <t>SELECTOR DE VIDEO DE 2 ENTRADAS CON CONTROL RS-232 O INFRA ROJO</t>
  </si>
  <si>
    <t>LAIA</t>
  </si>
  <si>
    <t>CUTE_10X</t>
  </si>
  <si>
    <t>CAMARA 1080P, CON ZOOM OPTICO Y PTZ</t>
  </si>
  <si>
    <t>LAMP</t>
  </si>
  <si>
    <t>IMAG BASE 2300LM WW MFL BL.</t>
  </si>
  <si>
    <t>S7241440</t>
  </si>
  <si>
    <t>IMAG BASE 2300LM WW MFL BL. LUMINARIA TIPO PROYECTOR PARA SOBREPONER EN TECHO O PARED. LED DE 21W COLOR DE LUZ 3000K. ÓPTICA DE 25°. DIM POR FASE</t>
  </si>
  <si>
    <t>IMAG BASE 2300LM WW SPOT BL.</t>
  </si>
  <si>
    <t>S7241430</t>
  </si>
  <si>
    <t>IMAG BASE 2300LM WW SPOT BL. LUMINARIA TIPO PROYECTOR PARA SOBREPONER EN TECHO O PARED. LED DE 21W COLOR DE LUZ 3000K. ÓPTICA DE 18°. DIM POR FASE</t>
  </si>
  <si>
    <t>LANPRO</t>
  </si>
  <si>
    <t>XCAQFSDC</t>
  </si>
  <si>
    <t>LPSICOLCE0N2BKC</t>
  </si>
  <si>
    <t>CABLE UTP CAT 5e PARA EXTERIOR 50% COBRE, 50% ALUMINIO.</t>
  </si>
  <si>
    <t>LPCA0J0VLB</t>
  </si>
  <si>
    <t>CABLE UTP CAT 6A PARA INTERIOR.</t>
  </si>
  <si>
    <t>LPCE370BKC</t>
  </si>
  <si>
    <t>CABLE UTP DE EXTERIOR COBRE - COBRE CATEGORIA 5e.</t>
  </si>
  <si>
    <t>LANRO</t>
  </si>
  <si>
    <t>JACK CATEGORÍA 6 COLOR ROJO</t>
  </si>
  <si>
    <t>LANRED6</t>
  </si>
  <si>
    <t>JACK CATEGORÍA 6 COLOR AZUL</t>
  </si>
  <si>
    <t>LANBLUE6</t>
  </si>
  <si>
    <t>FACEPLATE DOBLE PARA JACK.</t>
  </si>
  <si>
    <t>LANFACE</t>
  </si>
  <si>
    <t>PATCH PANEL DE 24 PUERTOS CATEGORÍA 6</t>
  </si>
  <si>
    <t>LANPP246</t>
  </si>
  <si>
    <t>LARMTEK</t>
  </si>
  <si>
    <t>KIT DE ALARMA MONITOREADA CON APP, INTERCONEXIÓN ETHERNET Y WIFI.</t>
  </si>
  <si>
    <t>AK01_W</t>
  </si>
  <si>
    <t>KIT DE ALARMA MONITOREADA CON APP, INTERCONEXIÓN ETHERNET Y WIFI. INCLUYE PANEL DE CONTROL, DOS TECLADOS DE ARMADO/DESARMADO, TECLADO NUMÉRICO, DOS SENSORES MAGNÉTICOS Y UN SENSOR DE PRESENCIA.</t>
  </si>
  <si>
    <t>https://www.amazon.com/Wireless-Cellular-BusHomeiness-Security-Controller/dp/B07D397CMF/ref=sr_1_1_sspa?s=hi&amp;ie=UTF8&amp;qid=1540920983&amp;sr=1-1-spons&amp;keywords=alarm+wifi&amp;refinements=p_72%3A1248909011&amp;psc=1</t>
  </si>
  <si>
    <t>SENSOR MAGNÉTICO INALÁMBRICO PARA DETECCIÓN DE APERTURA.</t>
  </si>
  <si>
    <t>CS01</t>
  </si>
  <si>
    <t>SENSOR DE MOVIMIENTO INALÁMBRICO, CON SOPORTE DE PARED.</t>
  </si>
  <si>
    <t>PIR</t>
  </si>
  <si>
    <t>LEDS_C4</t>
  </si>
  <si>
    <t>LUMINARIA ARQUITECTÓNICA DE SOBREPONER PARA BOMBILLA GU10</t>
  </si>
  <si>
    <t>TC_0173_BLA</t>
  </si>
  <si>
    <t>ACCESORIO PARA FIJACIÓN DE BOMBILLA GU10</t>
  </si>
  <si>
    <t>TC_0366_BLA</t>
  </si>
  <si>
    <t>GEA GU10 - Empotrable de
suelo IP 65 IK10, Potencia
máxima 50 W 100 - 240 VAC.</t>
  </si>
  <si>
    <t>55_9281_CA_37</t>
  </si>
  <si>
    <t>GEA POWER LED.</t>
  </si>
  <si>
    <t>GEA Power led - Empotrable
de suelo IP 65, IK 10, 8.6 W,
3000 K, CRI 80. 100-240 VAC</t>
  </si>
  <si>
    <t>ILUMINACION GUÍA DE 25W EN FORMATO CUADRADO DE 9x9</t>
  </si>
  <si>
    <t>EP_0349_N3_XY</t>
  </si>
  <si>
    <t>55_9974_CA_CL</t>
  </si>
  <si>
    <t>LUMINARIA MULTIVOLTAJE DE 2W, 3000K.</t>
  </si>
  <si>
    <t>55_9155_M1_M1</t>
  </si>
  <si>
    <t>LUMINARIA IP44 CON BOMBILLA E27 DE 23W. 30CM DE DIAMETRO.</t>
  </si>
  <si>
    <t>55_9156_M1_M1</t>
  </si>
  <si>
    <t>LUMINARIA IP44 CON BOMBILLA E27 DE 30W. 40CM DE DIAMETRO.</t>
  </si>
  <si>
    <t>55_9481_M1_M1</t>
  </si>
  <si>
    <t>LUMINARIA IP44 CON BOMBILLA E27 DE 30W. 50CM DE DIAMETRO.</t>
  </si>
  <si>
    <t>LC4TRACK</t>
  </si>
  <si>
    <t>TRACK TRIMLESS DE 3 METROS DE LARGO</t>
  </si>
  <si>
    <t>BENTO6</t>
  </si>
  <si>
    <t>LUMINARIA LED DE 6 PASTILLAS 6W CON CONTROL DALI</t>
  </si>
  <si>
    <t>ATOM12</t>
  </si>
  <si>
    <t>SPOT DIRECCIONAL PARA RIEL CON CONTROL DALI</t>
  </si>
  <si>
    <t>LVPC</t>
  </si>
  <si>
    <t>CONECTOR DE BAJO VOLTAJE</t>
  </si>
  <si>
    <t>END_L</t>
  </si>
  <si>
    <t>ACCESORIO DE UNION EN RIEL</t>
  </si>
  <si>
    <t>PS48V150W</t>
  </si>
  <si>
    <t>FUENTE DE PODER DE 48V, 150W</t>
  </si>
  <si>
    <t>VELA_DA</t>
  </si>
  <si>
    <t>LUMINARIA DE BAJO VOLTAJE VELA CON CONEXIÓN DALI</t>
  </si>
  <si>
    <t>55_9156_M1</t>
  </si>
  <si>
    <t>LUMINARIA CISNE PARA BOMBILLA E27</t>
  </si>
  <si>
    <t>PX_0396_NEG</t>
  </si>
  <si>
    <t>LUMINARIA TIPO APLIQUE DE 4.1W, 3000K. 110 LUMENS. GARANTIA DE 5 AÑOS.</t>
  </si>
  <si>
    <t>05_6006_DC_DC</t>
  </si>
  <si>
    <t>LUMINARIA ECLIPSE, TIPO APLIQUE, 4.6W, 155 LUMENS, 3000K.</t>
  </si>
  <si>
    <t>LEGRAND</t>
  </si>
  <si>
    <t>LEG</t>
  </si>
  <si>
    <t>TOM</t>
  </si>
  <si>
    <t>TOMA CORRIENTE LÍNEA AMBIA PARA CLAVIJA TRIPLE.</t>
  </si>
  <si>
    <t>AM120</t>
  </si>
  <si>
    <t>ROSETA CERÁMICA PARA BOMBILLA E27.</t>
  </si>
  <si>
    <t>RE27L</t>
  </si>
  <si>
    <t>TOMA DE TV BLANCA</t>
  </si>
  <si>
    <t>AQS_060_75BA</t>
  </si>
  <si>
    <t>TOMA CORRIENTE 15A BLANCO</t>
  </si>
  <si>
    <t>AQ_303BG</t>
  </si>
  <si>
    <t>AQS_PB_0</t>
  </si>
  <si>
    <t>TOMA DE TV BLANCA LÍNEA GÁLICA</t>
  </si>
  <si>
    <t>GALTV</t>
  </si>
  <si>
    <t>INTERRUPTOR TOTALIZADOR TRIPOLAR DE 100A</t>
  </si>
  <si>
    <t>DRX100A</t>
  </si>
  <si>
    <t>TOMA CORRIENTE CON INTERRUPTOR</t>
  </si>
  <si>
    <t>AQ_301BG</t>
  </si>
  <si>
    <t>CITÓFONO ESTÁNDAR LEGRAND</t>
  </si>
  <si>
    <t>CLEGRAND</t>
  </si>
  <si>
    <t>APE</t>
  </si>
  <si>
    <t>MULTITOMA DE 6 SALIDAS CON INDICADOR DE CORRIENTE.</t>
  </si>
  <si>
    <t>N4129S</t>
  </si>
  <si>
    <t>MULTITOMA DOBLE DE 3 MÓDULOS.</t>
  </si>
  <si>
    <t>N4188S</t>
  </si>
  <si>
    <t>SOPORTE PARA TRES MÓDULOS</t>
  </si>
  <si>
    <t>PLACA DECORATIVA BLANCA</t>
  </si>
  <si>
    <t>MULTITOMA DOBLE DE 3 MÓDULOS NARANJA.</t>
  </si>
  <si>
    <t>L583745</t>
  </si>
  <si>
    <t>MULTITOMA GFCI DOBLE DE 3 MÓDULOS.</t>
  </si>
  <si>
    <t>N4188GF</t>
  </si>
  <si>
    <t>TOMA DE TV DE UN MÓDULO</t>
  </si>
  <si>
    <t>L4269F</t>
  </si>
  <si>
    <t>CONECTOR RCA DE UN MÓDULO</t>
  </si>
  <si>
    <t>L4269R</t>
  </si>
  <si>
    <t>CONECTOR CAT6 DE UN MÓDULO</t>
  </si>
  <si>
    <t>L4279C6</t>
  </si>
  <si>
    <t>CF2054</t>
  </si>
  <si>
    <t>PAQUETE DE 10 UNIDADES DE TRACK JACK CIEGO</t>
  </si>
  <si>
    <t>O42100002_88</t>
  </si>
  <si>
    <t>TABLERO DE PROTECTORES ENCHUFABLES PARA 42 CIRCUITOS.</t>
  </si>
  <si>
    <t>TWC_42MBO</t>
  </si>
  <si>
    <t>TABLERO DE PROTECTORES ENCHUFABLES PARA 42 CIRCUITOS CON ESPACIO PARA TOTALIZADOR.</t>
  </si>
  <si>
    <t>TABLERO DE PROTECTORES ENCHUFABLES PARA 36 CIRCUITOS.</t>
  </si>
  <si>
    <t>TWC_36MBO</t>
  </si>
  <si>
    <t>TABLERO DE PROTECTORES ENCHUFABLES PARA 36 CIRCUITOS CON ESPACIO PARA TOTALIZADOR.</t>
  </si>
  <si>
    <t>TABLERO DE PROTECTORES ENCHUFABLES PARA 24 CIRCUITOS.</t>
  </si>
  <si>
    <t>TWC_24MBO</t>
  </si>
  <si>
    <t>TABLERO DE PROTECTORES ENCHUFABLES PARA 24 CIRCUITOS CON ESPACIO PARA TOTALIZADOR.</t>
  </si>
  <si>
    <t>TABLERO DE PROTECTORES ENCHUFABLES PARA 18 CIRCUITOS.</t>
  </si>
  <si>
    <t>TWC_18MBO</t>
  </si>
  <si>
    <t>TABLERO DE PROTECTORES ENCHUFABLES PARA 18 CIRCUITOS CON ESPACIO PARA TOTALIZADOR.</t>
  </si>
  <si>
    <t>TABLERO DE PROTECTORES ENCHUFABLES PARA 12 CIRCUITOS.</t>
  </si>
  <si>
    <t>TWC_12MBO</t>
  </si>
  <si>
    <t>TABLERO DE PROTECTORES ENCHUFABLES PARA 12 CIRCUITOS CON ESPACIO PARA TOTALIZADOR.</t>
  </si>
  <si>
    <t>INTERRUPTOR TOTALIZADOR TRIPOLAR DE 125A</t>
  </si>
  <si>
    <t>DRX125A</t>
  </si>
  <si>
    <t>INTERRUPTOR TOTALIZADOR TRIPOLAR DE 60A</t>
  </si>
  <si>
    <t>DRX60A</t>
  </si>
  <si>
    <t>DRX20A</t>
  </si>
  <si>
    <t>INTERRUPTOR ARTEOR DE 4 VÍAS CON TAPA BLANCA</t>
  </si>
  <si>
    <t>ART4B_WH</t>
  </si>
  <si>
    <t>TABLERO ELÉCTRICO DE 24 CIRCUITOS SIN ESPACIO</t>
  </si>
  <si>
    <t>46TWP24BO</t>
  </si>
  <si>
    <t>BREAKER TRIFÁSICO DE 3X60 AMPERIOS</t>
  </si>
  <si>
    <t>46DSE3060</t>
  </si>
  <si>
    <t>TOTALIZADOR PARA ESPACIO DE 2X60 AMPERIOS</t>
  </si>
  <si>
    <t>B027056</t>
  </si>
  <si>
    <t>TOTALIZADOR PARA ESPACIO DE 2X100 AMPERIOS</t>
  </si>
  <si>
    <t>B27058L</t>
  </si>
  <si>
    <t>DSE_3100</t>
  </si>
  <si>
    <t>BREAKER TRIFASICO ENCHUFABLE DE 100 AMPERIOS 3X100</t>
  </si>
  <si>
    <t>DRX75A</t>
  </si>
  <si>
    <t>INTERRUPTOR TOTALIZADOR TRIPOLAR DE 75A TIPO INDUSTRIAL</t>
  </si>
  <si>
    <t>CLICKME_S1C</t>
  </si>
  <si>
    <t>INTERRUPTOR CONMUTABLE LEGRAND</t>
  </si>
  <si>
    <t>CE40X35X12</t>
  </si>
  <si>
    <t>CAJA HERMETICA PLASTICA DE EXTERIOR DE 40x35x12CM.</t>
  </si>
  <si>
    <t>GL2_303BG</t>
  </si>
  <si>
    <t>TOMACORRIENTE 15A EN COLOR BLANCO MATE</t>
  </si>
  <si>
    <t>A582531</t>
  </si>
  <si>
    <t>TOMA DUPLEX DE 3 MODULOS</t>
  </si>
  <si>
    <t>A582565</t>
  </si>
  <si>
    <t>PLACA 4X2 DE 3 MODULOS</t>
  </si>
  <si>
    <t>A583750</t>
  </si>
  <si>
    <t>SOPORTE 4X2</t>
  </si>
  <si>
    <t>TAB</t>
  </si>
  <si>
    <t>TABLERO DE SOBREPONER HASTA 24 CIRCUITOS</t>
  </si>
  <si>
    <t>TWP_24BO</t>
  </si>
  <si>
    <t>LENOVO</t>
  </si>
  <si>
    <t>TABLETA DE 8", SISTEMA OPERATIVO ANDROID 5.1. PROCESADOR QUAD CORE DE 1.3GHz.</t>
  </si>
  <si>
    <t>YOGA38</t>
  </si>
  <si>
    <t>TABLET LENOVO YOGA DE 8"</t>
  </si>
  <si>
    <t>YOGA8</t>
  </si>
  <si>
    <t>TABLET LENOVO YOGA DE 8", CON 2GB RAM.</t>
  </si>
  <si>
    <t>APQ8009</t>
  </si>
  <si>
    <t>COMPUTADOR LENOVO MINI DE ESCRITORIO, PROCESADOR CORE I5 CON WINDOWS 10 PRO.</t>
  </si>
  <si>
    <t>M920Q</t>
  </si>
  <si>
    <t>COMPUTADOR LENOVO MINI DE ESCRITORIO, PROCESADOR CORE I5 CON WINDOWS 10 PRO. DISCO DURO DE 8 GIGAS.</t>
  </si>
  <si>
    <t>M14</t>
  </si>
  <si>
    <t>MONITOR DE 14 PULGADAS CON CONEXIÓN USB TIPO C</t>
  </si>
  <si>
    <t>M90N</t>
  </si>
  <si>
    <t>MINI PC CON PROCESADOR Core i5-8265U Upto 3.9GHz, 8GB RAM, 256GB NVMe SSD, Displayport, Wi-Fi, Bluetooth, Windows 10 Pro</t>
  </si>
  <si>
    <t>Lenovo ThinkCentre M90n-1 Mini PC, Intel Core i5-8265U Upto 3.9GHz, 8GB RAM, 256GB NVMe SSD, Displayport, Wi-Fi, Bluetooth, Windows 10 Pro - Newegg.com</t>
  </si>
  <si>
    <t>LEVITON</t>
  </si>
  <si>
    <t>TIMER PROGRAMABLE DE CLAVIJA</t>
  </si>
  <si>
    <t>R02_LT112_10W</t>
  </si>
  <si>
    <t>LEV</t>
  </si>
  <si>
    <t>BOTÓN TIMBRE DOBLE CONTACTO DECORA BLANCO</t>
  </si>
  <si>
    <t>L5657_2W</t>
  </si>
  <si>
    <t xml:space="preserve">INTERRUPTOR DOBLE CONMUTABLE DECORA 15A 120/277V </t>
  </si>
  <si>
    <t xml:space="preserve">L5643_W
</t>
  </si>
  <si>
    <t>INTERRUPTOR DOBLE DECORA 15A 120/277V BOTÓN ANCHO BLANCO</t>
  </si>
  <si>
    <t>L5634_W</t>
  </si>
  <si>
    <t>INTERRUPTOR SENCILLO DECORA 15A 120/277 BLANCA</t>
  </si>
  <si>
    <t>L5601_W</t>
  </si>
  <si>
    <t>INTERRUPTOR SENCILLO CONMUTABLE 3 VÍAS DECORA 15A 120/277 BLANCA</t>
  </si>
  <si>
    <t>L5603_W</t>
  </si>
  <si>
    <t>INTERRUPTOR SENCILLO DECORA 15A 120/277V BLANCA</t>
  </si>
  <si>
    <t>TAPA PRESIÓN DE UNA VENTANA DECORA BLANCA</t>
  </si>
  <si>
    <t>L80301_SW</t>
  </si>
  <si>
    <t>SENSOR TECHO IR 360, 4 METROS DE RADIO.</t>
  </si>
  <si>
    <t>LODCOS_I1W</t>
  </si>
  <si>
    <t>TAPA CIEGA DE PRESIÓN DECORA BLANCA</t>
  </si>
  <si>
    <t>L80314_W</t>
  </si>
  <si>
    <t>TOMA DOBLE CON POLO GFCI 15A</t>
  </si>
  <si>
    <t>LN7599_W</t>
  </si>
  <si>
    <t>TOMA DOBLE DECORA GR 15A</t>
  </si>
  <si>
    <t>L5325_W</t>
  </si>
  <si>
    <t>TOMA TELÉFONO SENCILLA DECORA BLANCA</t>
  </si>
  <si>
    <t>L40649_W</t>
  </si>
  <si>
    <t>TOMA TV DECORA COMPLETA BLANCA</t>
  </si>
  <si>
    <t>L80381_W</t>
  </si>
  <si>
    <t>TAPA TERMO PLÁSTICA TIPO INTEMPERIE, RESISTENTE A LA LLUVIA</t>
  </si>
  <si>
    <t>L5981_UCL</t>
  </si>
  <si>
    <t>DIMMER UNIVERSAL PARA CARGAS LED HASTA 150 VATIOS O 600 VATIOS.</t>
  </si>
  <si>
    <t>L6674</t>
  </si>
  <si>
    <t>DIMMER UNIVERSAL PARA CARGAS LED HASTA 150 VATIOS O 600 VATIOS EN CARGA MAGNÉTICA.</t>
  </si>
  <si>
    <t>LECTOR DE TARJETA PARA CONTROL DE ACCESO RFID.</t>
  </si>
  <si>
    <t>75A00_2</t>
  </si>
  <si>
    <t>TARJETA RFID PROGRAMADA</t>
  </si>
  <si>
    <t>78A00_1</t>
  </si>
  <si>
    <t>CANTONERA PARA SUJECIÓN DE PUERTA ELÉCTRICA</t>
  </si>
  <si>
    <t>79A00_1</t>
  </si>
  <si>
    <t>TECLADO NUMÉRICO PARA CONTROL DE ALARMA DE LA SERIE OMNI II.</t>
  </si>
  <si>
    <t>54A00_1</t>
  </si>
  <si>
    <t>TARJETA SERIE OMNI II, CON PUERTO SERIE.</t>
  </si>
  <si>
    <t>20A00_2</t>
  </si>
  <si>
    <t>TARJETA SERIE OMNI II, CON PUERTO SERIE, ENTRADAS DE CONTACTO Y 16 ZONAS DE ALARMA.</t>
  </si>
  <si>
    <t>TECLADO ALFA NUMÉRICO PARA CONTROL DE ALARMA.</t>
  </si>
  <si>
    <t>33A00_1</t>
  </si>
  <si>
    <t>TECLADO ALFA NUMÉRICO PARA CONTROL DE ALARMA, PROGRAMACIÓN DE SISTEMA E INTEGRACIÓN DE PLATAFORMA OMNI II.</t>
  </si>
  <si>
    <t>RECEPTOR INALÁMBRICO DE 64 ZONAS.</t>
  </si>
  <si>
    <t>L45A00</t>
  </si>
  <si>
    <t xml:space="preserve">SENSOR DE MOVIMIENTO INFRA ROJO INALÁMBRICO INMUNE A MASCOTAS. </t>
  </si>
  <si>
    <t>L47A00_2</t>
  </si>
  <si>
    <t>PROCESADOR DE ALARMA DE LA SERIE OMNI LTE PARA 16 ZONAS.</t>
  </si>
  <si>
    <t>L20A00_72</t>
  </si>
  <si>
    <t>PROCESADOR DE ALARMA DE LA SERIE OMNI LTE PARA 16 ZONAS. DISCADOR TELEFÓNICO Y CAPACIDAD PARA CONTROL DE ACCESO.</t>
  </si>
  <si>
    <t>TAPA DOBLE NEGRA</t>
  </si>
  <si>
    <t>LTA</t>
  </si>
  <si>
    <t>TOMA DOBLE BLANCA.</t>
  </si>
  <si>
    <t>LTOD</t>
  </si>
  <si>
    <t>TOMACORRIENTE CON TIERRA AISLADA NARANJA</t>
  </si>
  <si>
    <t>L5262_IG</t>
  </si>
  <si>
    <t>RCR1</t>
  </si>
  <si>
    <t>L80703_ORG</t>
  </si>
  <si>
    <t>TAPA PARA TOMA CORRIENTE NARANJA</t>
  </si>
  <si>
    <t>TOMA CORRIENTE CON POLO A TIERRA BLANCO</t>
  </si>
  <si>
    <t>L5230_ICP</t>
  </si>
  <si>
    <t>TAPA DECORATIVA DE TORNILLO BLANCA</t>
  </si>
  <si>
    <t>L88003_W</t>
  </si>
  <si>
    <t>TOMA 30A 250V NEMA L630R</t>
  </si>
  <si>
    <t>L2620</t>
  </si>
  <si>
    <t>TOMA 30A 250V NEMA L1430R</t>
  </si>
  <si>
    <t>L2710</t>
  </si>
  <si>
    <t>CLAVIJA 30A 250V NEMA L1430R</t>
  </si>
  <si>
    <t>L2711</t>
  </si>
  <si>
    <t>CLAVIJA 30A 250V NEMA L630R</t>
  </si>
  <si>
    <t>L2621</t>
  </si>
  <si>
    <t>PANEL PARA INSTALACIÓN DE TARJETA DE LA SERIE OMNI II</t>
  </si>
  <si>
    <t>75B04_1</t>
  </si>
  <si>
    <t>TOMA CORRIENTE SENCILLO DOBLE OJO</t>
  </si>
  <si>
    <t>L5320_W</t>
  </si>
  <si>
    <t>L5325_N</t>
  </si>
  <si>
    <t>TAPA PRESIÓN DE UNA VENTANA DECORA NEGRA</t>
  </si>
  <si>
    <t>L80301_N</t>
  </si>
  <si>
    <t>TAPA DOBLE A PRESIÓN BLANCA</t>
  </si>
  <si>
    <t>L80309W</t>
  </si>
  <si>
    <t>TAPA PARA TOMA CORRIENTE BLANCA</t>
  </si>
  <si>
    <t>L80703_W</t>
  </si>
  <si>
    <t>TAPA CIEGA</t>
  </si>
  <si>
    <t>L88019</t>
  </si>
  <si>
    <t>INTERRUPTOR TRIPLE EN COLOR BLANCO</t>
  </si>
  <si>
    <t>L1755_W</t>
  </si>
  <si>
    <t>TAPA PARA TOMA CORRIENTE NEGRA</t>
  </si>
  <si>
    <t>L80703_N</t>
  </si>
  <si>
    <t>L80414_W</t>
  </si>
  <si>
    <t>SENSOR DE PRESENCIA INFRA ROJO CON FOTOCELDA, 360</t>
  </si>
  <si>
    <t>ODC0S_I1W</t>
  </si>
  <si>
    <t>DIMMER CON INTERRUPTOR PARA CARGAS ATENUABLES 0-10v</t>
  </si>
  <si>
    <t>IP710</t>
  </si>
  <si>
    <t>PANEL PARA ALBERGAR HASTA 24 RELÉS</t>
  </si>
  <si>
    <t>EZ_MAX24</t>
  </si>
  <si>
    <t>PANEL PARA ALBERGAR HASTA 8 RELÉS</t>
  </si>
  <si>
    <t>EZ_MAX8</t>
  </si>
  <si>
    <t>RELÉ MODULAR DE 30 AMPERIOS</t>
  </si>
  <si>
    <t>EZ_REL</t>
  </si>
  <si>
    <t>PROGRAMACIÓN DE TABLEROS EZ</t>
  </si>
  <si>
    <t>EZ_PROG</t>
  </si>
  <si>
    <t>UNIDAD DE CONTROL PARA SENSORES, CONTACTOS SECOS, OTROS.</t>
  </si>
  <si>
    <t>EZ_CON</t>
  </si>
  <si>
    <t>CABLE DE CONTROL CERTIFICADO PARA SENSORES</t>
  </si>
  <si>
    <t>EZ_CBL</t>
  </si>
  <si>
    <t>SENSOR 360 GRADOS INTEGRABLE A PANEL Z MAX</t>
  </si>
  <si>
    <t>EZ_SEN</t>
  </si>
  <si>
    <t>INTERRUPTOR LÓGICO PROGRAMABLE PROTEGIDO. PARA TABLERO GREEN MAX.</t>
  </si>
  <si>
    <t>BREAKER_SET</t>
  </si>
  <si>
    <t>PROCESADOR CON 4 PUERTOS IR, 2 PUERTOS SERIALES.</t>
  </si>
  <si>
    <t>BWBC2</t>
  </si>
  <si>
    <t>PROCESADOR CON 4 PUERTOS IR, 2 PUERTOS SERIALES Y CAPACIDAD DE COMUNICACIÓN BIDIRECCIONAL TCP/IP.</t>
  </si>
  <si>
    <t>ANCLAJE DE SUJECIÓN DE PROCESADOR A RACK</t>
  </si>
  <si>
    <t>BWEAR</t>
  </si>
  <si>
    <t>TAPA CON SALIDA TIPO CORDÓN EN COLOR BLANCO.</t>
  </si>
  <si>
    <t>L80400_W</t>
  </si>
  <si>
    <t>SALIDA TIPO CORDÓN EN COLOR BLANCO.</t>
  </si>
  <si>
    <t>L_80400W</t>
  </si>
  <si>
    <t>REGULADOR DE 3 FASES PARA 120V.</t>
  </si>
  <si>
    <t>L51120_3</t>
  </si>
  <si>
    <t>POWER PACK DE 24V</t>
  </si>
  <si>
    <t>LEV_24</t>
  </si>
  <si>
    <t>INTERRUPTOR SENCILLO DE 3 VÍAS 15 AMPERIOS.</t>
  </si>
  <si>
    <t>INTERRUPTOR SENCILLO DE 4 VÍAS 15 AMPERIOS.</t>
  </si>
  <si>
    <t>L5604_W</t>
  </si>
  <si>
    <t>TOMA CORRIENTE DE PISO LEVITON COLOR ALUMINIO SATINADO</t>
  </si>
  <si>
    <t>L25249S</t>
  </si>
  <si>
    <t>L25249B</t>
  </si>
  <si>
    <t>TOMA CORRIENTE DE PISO LEVITON COLOR DORADO SATINADO</t>
  </si>
  <si>
    <t>TOMA DE PISO 15A CON TAPA TIPO MONEDA, ALUMINIO ANODIZADO COLOR DORADO.</t>
  </si>
  <si>
    <t>L25249_FBA</t>
  </si>
  <si>
    <t xml:space="preserve">TOMA CORRIENTE A 220VAC </t>
  </si>
  <si>
    <t>L16462_W</t>
  </si>
  <si>
    <t>L4976_GY</t>
  </si>
  <si>
    <t>TAPA GRIS PARA TOMA EN INTEMPERIE</t>
  </si>
  <si>
    <t>L5325</t>
  </si>
  <si>
    <t>TOMA CORRIENTE NEGRO LINEA DECORA</t>
  </si>
  <si>
    <t>56021_2W</t>
  </si>
  <si>
    <t>INTERRUPTOR DECORA 3A, 24V.</t>
  </si>
  <si>
    <t>4996_GY</t>
  </si>
  <si>
    <t>CUBIERTA PLASTICA PARA TOMA DOBLE DECORA</t>
  </si>
  <si>
    <t>OSC10_M0W</t>
  </si>
  <si>
    <t>SENSOR DE TECHO IR 7 METROS RADIALES DE COBERTURA.</t>
  </si>
  <si>
    <t>OSC10_U0W</t>
  </si>
  <si>
    <t>SENSOR DE TECHO DUAL CON 14 METROS DE COBERTURA</t>
  </si>
  <si>
    <t>OSC15_I0W</t>
  </si>
  <si>
    <t>SENSOR DE TECHO IR DE 6 METROS DE COBERTURA</t>
  </si>
  <si>
    <t>OSWLR_I0W</t>
  </si>
  <si>
    <t>SENSOR DE PARED DE 10 METROS DE ALCANCE</t>
  </si>
  <si>
    <t>OSP20_RD0</t>
  </si>
  <si>
    <t>FUENTE DE ALIMENTACION PARA SENSOR 20 AMPERIOS</t>
  </si>
  <si>
    <t>OSP20_RDH</t>
  </si>
  <si>
    <t>LG</t>
  </si>
  <si>
    <t>DVD1</t>
  </si>
  <si>
    <t>DVD CON SALIDA ANÁLOGA Y LECTOR DE USB.</t>
  </si>
  <si>
    <t>DP132</t>
  </si>
  <si>
    <t>DVD</t>
  </si>
  <si>
    <t>BLU-RAY CON SALIDA ESTÉREO 2CN, SALIDA COAXIAL Y ÓPTICA, SALIDA HDMI.</t>
  </si>
  <si>
    <t>BD690</t>
  </si>
  <si>
    <t>BLU-RAY CON SALIDA ESTÉREO 2CN, SALIDA COAXIAL Y ÓPTICA, SALIDA HDMI. SALIDA POR VIDEO COMPUESTO Y POR COMPONENTES. MARCA: LG.</t>
  </si>
  <si>
    <t>DVD CON SALIDA DE AUDIO ANÁLOGA Y ENTRADA USB</t>
  </si>
  <si>
    <t>LP132</t>
  </si>
  <si>
    <t>BLU-RAY 3D LG</t>
  </si>
  <si>
    <t>B838</t>
  </si>
  <si>
    <t>MONITOR DE 24 PULGADAS SON ENTRADAS HDMI Y VGA</t>
  </si>
  <si>
    <t>L24M38H_B</t>
  </si>
  <si>
    <t>MONITOR DE 19", CON ENTRADAS HDMI Y VGA.</t>
  </si>
  <si>
    <t>MK400H</t>
  </si>
  <si>
    <t>70UN7100PDA</t>
  </si>
  <si>
    <t>TV 4K DE 70"</t>
  </si>
  <si>
    <t>SNH5</t>
  </si>
  <si>
    <t>BARRA DE SONIDO CON CONECTIVIDAD BLUETOOTH Y OPTICA</t>
  </si>
  <si>
    <t>86UN8000</t>
  </si>
  <si>
    <t>TV DE 4K DE 86" CON 4 PUERTOS HDMI</t>
  </si>
  <si>
    <t>LIBERTY</t>
  </si>
  <si>
    <t>LIB</t>
  </si>
  <si>
    <t>ROLLO DE CABLE CERTIFICADO PARA ALTAVOCES, LIBRE DE OXIGENO, DE MÁXIMA PUREZA.</t>
  </si>
  <si>
    <t>14_2C_HT</t>
  </si>
  <si>
    <t xml:space="preserve">ROLLO DE CABLE CERTIFICADO PARA ALTAVOCES, LIBRE DE OXIGENO, DE MÁXIMA PUREZA. LONGITUD: DE 1000 PIES. </t>
  </si>
  <si>
    <t>14_2C_HT_M</t>
  </si>
  <si>
    <t>METRO DE CABLE CERTIFICADO PARA BUS DE DATOS LUTRON.</t>
  </si>
  <si>
    <t>LUTRON_EBC</t>
  </si>
  <si>
    <t>IPEX5001_WP_W</t>
  </si>
  <si>
    <t>PLACA DE PPARED CON ENTRADA VGA, HDMI Y USB</t>
  </si>
  <si>
    <t>IPEX5002</t>
  </si>
  <si>
    <t>DECODIFICADO 4K CON SALIDA HDMI, RS232 Y ALIMENTACIÓN PoE.</t>
  </si>
  <si>
    <t>IPEXCB</t>
  </si>
  <si>
    <t>PROCESADOR PARA MATRIZ POR IP</t>
  </si>
  <si>
    <t>NGSME24T2H_AV</t>
  </si>
  <si>
    <t>SWITXH DE DATOS GIGA,DE 24 PUERTOS. PoE 500W.</t>
  </si>
  <si>
    <t>DL_HDM44A_H2</t>
  </si>
  <si>
    <t>MATRIZ HDMI 4K, 4X4.</t>
  </si>
  <si>
    <t>LIBERTY AV</t>
  </si>
  <si>
    <t>HDMI OVER IP ENCODER.</t>
  </si>
  <si>
    <t>IPEX5001</t>
  </si>
  <si>
    <t>HDMI Over IP Encoder - Scalable 4K
Solution over 1Gb Network w/ full Matrix &amp; Video
wall Capability Hdmi Over Ip Encoder-Video signals
up to 4K HDR (static) with HDCP 2.2 and 7.1
multichannel audio</t>
  </si>
  <si>
    <t>48-PORT FULL LAYER 2GIGABIT SWITCH.</t>
  </si>
  <si>
    <t>NGSME48T2H</t>
  </si>
  <si>
    <t>48-Port Full Layer 2+ Management,
plus 2 10G SFP+ Gigabit EthernetPoE+(400W)
Switch</t>
  </si>
  <si>
    <t>LIEBERT</t>
  </si>
  <si>
    <t>UPS DE 6 KVA BIFÁSICA DE DOBLE CONVERSIÓN. AUTONOMÍA DE 4 MIN A FULL CARGA.</t>
  </si>
  <si>
    <t>GXT4</t>
  </si>
  <si>
    <t>LIECTROUX</t>
  </si>
  <si>
    <t>ZK901</t>
  </si>
  <si>
    <t>ASPIRADORA ROBOTICA, CON 3000PA DE ABSORCION, SENSOR LASER, FUNCION DE TRAPEADO. CONTROL DESDE MAPA Y APP.</t>
  </si>
  <si>
    <t>LINDY</t>
  </si>
  <si>
    <t>KIT EXTENDER DE VGA, CON DISTANCIA DE TRANSMISION HASTA 135 METROS. RESOLUCION MAXIMA DE 1600X1200. FUNCIONA CON CABLE CATEGORIA 5E, 6 Y 6A. GARANTIA DE  1 AÑO. UN AÑO.</t>
  </si>
  <si>
    <t>V38315_LI</t>
  </si>
  <si>
    <t>CONVERSOR PASIVO DE DISPLAY PORT A HDMI.</t>
  </si>
  <si>
    <t>V42817_LI</t>
  </si>
  <si>
    <t>|</t>
  </si>
  <si>
    <t>38243_LI</t>
  </si>
  <si>
    <t>SWITCH HDMI CON SELECTOR MEDIANTE INFRA ROJO. RESOLUCION 4K</t>
  </si>
  <si>
    <t>V43098_LI</t>
  </si>
  <si>
    <t>CABLE ACTIVO PARA EXTENSION USB DE 10 METROS.</t>
  </si>
  <si>
    <t>SWITH DE VIDEO AUTOMATICO 4K DE 3 ENTRADAS HDMI</t>
  </si>
  <si>
    <t>42923_LI</t>
  </si>
  <si>
    <t>CABLE ACTIVO PARA EXTENSION USB 3.0 DE 31 METROS</t>
  </si>
  <si>
    <t>43099_LI</t>
  </si>
  <si>
    <t>EXTENSION ACTIVA USB DE 15 METROS 3.0</t>
  </si>
  <si>
    <t>43155_LI</t>
  </si>
  <si>
    <t>EXTENSION ACTIVA DE USB DE 5 METROS</t>
  </si>
  <si>
    <t>LINK-MI</t>
  </si>
  <si>
    <t>CONTROLADOR PARA VIDEO WALL GENÉRICO CON FORMATOS: 1X2,1X3,1X4,2X1,2X2,3X1,4X1.</t>
  </si>
  <si>
    <t>LM_TV04</t>
  </si>
  <si>
    <t>CONTROLADOR PARA VIDEO WALL GENÉRICO CON FORMATOS: 3X3, 2X3, 3X2, ENTRE OTROS.</t>
  </si>
  <si>
    <t>LM_TV09</t>
  </si>
  <si>
    <t>LINKSYS</t>
  </si>
  <si>
    <t>SWITCH DE 16 PUERTOS ETHERNET</t>
  </si>
  <si>
    <t>SE3016</t>
  </si>
  <si>
    <t>ROUTER GIGA ETHERNET DE 4 PUERTOS, DOBLE BANDA.</t>
  </si>
  <si>
    <t>C60</t>
  </si>
  <si>
    <t>C20W</t>
  </si>
  <si>
    <t>ROUTER 300MBPS</t>
  </si>
  <si>
    <t>LS1008G</t>
  </si>
  <si>
    <t>SWITCH GIGA ETHERNET DE 8 PUERTOS</t>
  </si>
  <si>
    <t>PLSK400</t>
  </si>
  <si>
    <t>TRANSMISOR ETHERNET POR LINEA DE CORRIENTE PLC.</t>
  </si>
  <si>
    <t>LITHIUM</t>
  </si>
  <si>
    <t>T5D120_LED_20W_30</t>
  </si>
  <si>
    <t xml:space="preserve">TUBO LED T5 ATENUABLE DE 20W. </t>
  </si>
  <si>
    <t>LIVERTECH</t>
  </si>
  <si>
    <t>PANEL DE FUENTES DC DE 20 AMPERIOS, 12 VOLTIOS PARA 12 SALIDAS</t>
  </si>
  <si>
    <t>FCAM12V20A</t>
  </si>
  <si>
    <t>LOEVET</t>
  </si>
  <si>
    <t>PANEL ATENUABLE 0-10V, ALIMENTACIÓN A 110V. 48 VATIOS, 3600 LUMENS.</t>
  </si>
  <si>
    <t>LOEVET48</t>
  </si>
  <si>
    <t>LOGITECH</t>
  </si>
  <si>
    <t>CÁMARA DE VIDEO FULL HD, PARA INSTALACIÓN TV, CONEXIÓN USB A COMPUTADOR.</t>
  </si>
  <si>
    <t>C920</t>
  </si>
  <si>
    <t>CÁMARA WEB PARA COMPUTADOR</t>
  </si>
  <si>
    <t>C270</t>
  </si>
  <si>
    <t>SISTEMA DE VIDEO CONFERENCIA COMPATIBLE CON SKYPE BUSINESS.</t>
  </si>
  <si>
    <t>L960_001217</t>
  </si>
  <si>
    <t>SISTEMA DE VIDEO CONFERENCIA COMPATIBLE CON SKYPE BUSINESS, NET MEETING ENTRE OTROS. INCLUYE UN PARLANTE, UN MICRÓFONO, UN RECEPTOR DE MESA Y GESTOR DE VIDEO CON CÁMARA 4K. INCLUYE CONTROL REMOTO DE GESTIÓN.</t>
  </si>
  <si>
    <t>KIT INALÁMBRICO DE TECLADO Y MOUSE</t>
  </si>
  <si>
    <t>MK235</t>
  </si>
  <si>
    <t>L960_001201</t>
  </si>
  <si>
    <t>CAMARA CONFERENCE MEETUP + Mics Logitech Corporativo USB 3.0 Ultra-HD Hasta 4K Compatible Win-Mac Tecnologías RightSense Control Garantía 2Años-NEGRO</t>
  </si>
  <si>
    <t>CTLCBX1_7H</t>
  </si>
  <si>
    <t xml:space="preserve">CHROMEBOX GOOGLE  Chromebox CTL CBX1 Core i7 - H8th Generación Intel Core i7-8550U 1,8 Ghz (4,0 Ghz turbo)8GB DDR4 Ram (2x4GB ampliable hasta 32GB) 128GB de Almacenamiento SSD (ampliable hasta 256GB SSD)802.11 AC Wireless 2x2 10/100/1000 Ethernet Port 2 USB 2.0, 3 USB 3.0, HDMI and 1 USB C port(soporte monitor dual) Bluetooth 4.2 VESA mounting option 2 años garantia included. Hangout  Meets Hardware Ready  </t>
  </si>
  <si>
    <t>L939_001796</t>
  </si>
  <si>
    <t>TAP LOGITECH Mando Tactil Para salas de Reuniones se conecta a un ordenador a través de USB como pantalla adicional, control táctil para usos como la colaboración en equipo,  señalización digital, automatización de salas. Garantia 2 años</t>
  </si>
  <si>
    <t>L939_001825</t>
  </si>
  <si>
    <t>PIEZA DE MONTAJE LOGITECH para Mini PC Diseñada para una instalación discreta detrás de monitores, dentro de armarios o bajo mesas. Garantia 2 años</t>
  </si>
  <si>
    <t>C930E</t>
  </si>
  <si>
    <t>CAMARA WEB 1080P</t>
  </si>
  <si>
    <t>K400</t>
  </si>
  <si>
    <t>TECLADO INALAMBRICO CON MOUSE INTEGRADO TACTIL</t>
  </si>
  <si>
    <t>HARMONY_950</t>
  </si>
  <si>
    <t>CONTROL REMOTO UNIVERSAL CON IR MULTIFORMATO</t>
  </si>
  <si>
    <t>LUCKY TONE</t>
  </si>
  <si>
    <t>MICRÓFONO CUELLO DE GANZO CON CONECTIVIDAD DANTE MEDIANTE PoE.</t>
  </si>
  <si>
    <t>DMIC</t>
  </si>
  <si>
    <t>LULOVA</t>
  </si>
  <si>
    <t>PS_480</t>
  </si>
  <si>
    <t>CONVERTIDOR DE AUDIO ANALOGO A DIGITAL DE 3.5mm A OPTICO.</t>
  </si>
  <si>
    <t>TL_113_EX</t>
  </si>
  <si>
    <t>TELON ELECTRICO FORMATO 1:1 DE 203M DE ANCHO DE IMAGEN</t>
  </si>
  <si>
    <t>LUMEK</t>
  </si>
  <si>
    <t>BOMBILLA ECO CLASIK 3000K, ROSCA E27, 7 VATIOS.</t>
  </si>
  <si>
    <t>LUK015</t>
  </si>
  <si>
    <t>LED ECO SPOT MR16 7W 6500K.</t>
  </si>
  <si>
    <t>LUK038</t>
  </si>
  <si>
    <t>LED DIMERIZABLE 3000K ROSCA E27 DE 14W.</t>
  </si>
  <si>
    <t>LUK14E27</t>
  </si>
  <si>
    <t>CARCASA HERMÉTICA, IP65 EN POLICARBONATO.</t>
  </si>
  <si>
    <t>LUK001</t>
  </si>
  <si>
    <t>LED ECO ELEGANCE 32W 3000K LUMEK
100-240V</t>
  </si>
  <si>
    <t>LUK032</t>
  </si>
  <si>
    <t>LUM</t>
  </si>
  <si>
    <t>BALA DE EMPOTRAR EN TECHO PARA LUMINARIA MR_16. MARCA: ILUMEK.</t>
  </si>
  <si>
    <t>MEK_MR16</t>
  </si>
  <si>
    <t>BOMBILLA DE 6.5 VATIOS LED, COLOR BLANCO CÁLIDO. MARCA: ILUMEK.</t>
  </si>
  <si>
    <t>MEKLED6.5</t>
  </si>
  <si>
    <t>LUMINARIA HERMÉTICA CON BALASTO 2x28W T5.</t>
  </si>
  <si>
    <t>LUMINARIA DE EMERGENCIA 2X1W, AUTONOMÍA DE 90 MINUTOS.</t>
  </si>
  <si>
    <t>LUK003</t>
  </si>
  <si>
    <t>LUMINARIA DE SOBRE PONER LED DE 18 VATIOS NO DIMERIZABLE EN COLOR BLANCO 6500K.</t>
  </si>
  <si>
    <t>LUK018</t>
  </si>
  <si>
    <t>LUMINARIA LED DE 7.5W, COLOR CÁLIDO DE 3000K, CONECTOR GU10 A 120V.</t>
  </si>
  <si>
    <t>COD.LAR10SD</t>
  </si>
  <si>
    <t>PANEL LED DE INCRUSTAR DE 8", 23 VATIOS. 6500K.</t>
  </si>
  <si>
    <t>LUK011</t>
  </si>
  <si>
    <t>LED GU10 DIMERIZABLE DE 7.5 VATIOS, 3000K.</t>
  </si>
  <si>
    <t>LUK029</t>
  </si>
  <si>
    <t>LED ECO ELEGANCE 23W 6000K LUMEK
100-240V</t>
  </si>
  <si>
    <t>LUK023</t>
  </si>
  <si>
    <t>LUMINARIA PARA SEÑALIZACIÓN DE SALIDA EN LED</t>
  </si>
  <si>
    <t>LUK002</t>
  </si>
  <si>
    <t>TUBO LED T8 DE 24.5W, 6500K, MULTI-VOLTAJE.</t>
  </si>
  <si>
    <t>T8LUK003</t>
  </si>
  <si>
    <t>LUMINARIA NO DIMERIZABLE GU10, 7.5W, 3000K.</t>
  </si>
  <si>
    <t>LUK026ND</t>
  </si>
  <si>
    <t>BOMBILLA MR16 DE 6 VATIOS ATENUABLE, CONECTOR GU10, 3000K.</t>
  </si>
  <si>
    <t>LUK030</t>
  </si>
  <si>
    <t>LED INTEGRADO MP16, 5.5W 3000K.</t>
  </si>
  <si>
    <t>LUK025</t>
  </si>
  <si>
    <t>LED AR111 NO DIMERIZABLE, 3000K. CONEXIÓN DIRECTA A 110V.</t>
  </si>
  <si>
    <t>ECO_AR111_11W</t>
  </si>
  <si>
    <t>LED FLOOR WASH DE 2W, 4000K.</t>
  </si>
  <si>
    <t>LUK028FW</t>
  </si>
  <si>
    <t>LED ECO SPOT MR16 7.5W 6500K, ATENUABLE.</t>
  </si>
  <si>
    <t>LUK028</t>
  </si>
  <si>
    <t>LUMINARIA HERMÉTICA DE 2X18W CON TUBO LED.</t>
  </si>
  <si>
    <t>HX3L</t>
  </si>
  <si>
    <t>LUMINARIA HERMÉTICA PARA 2 TUBOS T8 LED DE 18W.</t>
  </si>
  <si>
    <t>LUK097</t>
  </si>
  <si>
    <t>TUBO LED DE 18W EN FORMATO T8</t>
  </si>
  <si>
    <t>LUK008</t>
  </si>
  <si>
    <t>LUMINARIA LED DE ALTA EFICIENCIA PARA USO HIGHBAY. POTENCIA 100W.</t>
  </si>
  <si>
    <t>NHLB1150_100</t>
  </si>
  <si>
    <t>NHLB1150_150</t>
  </si>
  <si>
    <t>NHLB1150_200</t>
  </si>
  <si>
    <t>LUMINARIA HERMÉTICA PARA TUBO LED T8 2x18W.</t>
  </si>
  <si>
    <t>HX4L</t>
  </si>
  <si>
    <t>LED ECO PAR 20 DE 6W, 3000K, ROSCA E27</t>
  </si>
  <si>
    <t>LUK00165</t>
  </si>
  <si>
    <t>LED ECO NO DIMERIZABLE 6.5W. 3000K, E27.</t>
  </si>
  <si>
    <t>LUK00268</t>
  </si>
  <si>
    <t>BOMBILLO LED PAR 38, 18W.</t>
  </si>
  <si>
    <t>PAR38</t>
  </si>
  <si>
    <t>PANEL NO ATENUABLE LUZ NEUTRA DE 4100k, POTENCIA DE 40 VATIOS.</t>
  </si>
  <si>
    <t>PANEL_30X120_40</t>
  </si>
  <si>
    <t>BOMBILLA LED DE 5 VATIOS NO DIMERIZABLE, CON CONEXIÓN GU10</t>
  </si>
  <si>
    <t>LUK041</t>
  </si>
  <si>
    <t>LUMINARIA DE SOBREPONER, TIPO PANEL LED DE 6", 12W.</t>
  </si>
  <si>
    <t>LUK035</t>
  </si>
  <si>
    <t>PANEL LED REDONDO LUZ BLANCA, 18W.</t>
  </si>
  <si>
    <t>LUK0018</t>
  </si>
  <si>
    <t>LED AR111 NO DIMERIZABLE, 6500K. CONEXIÓN DIRECTA A 110V.</t>
  </si>
  <si>
    <t>ECO_AR111_11W6.5K</t>
  </si>
  <si>
    <t>LUMINARIA LED DE 5.5W, COLOR 6500K, CONECTOR GU10 A 120V.</t>
  </si>
  <si>
    <t>COS.LAR10SD6.5K</t>
  </si>
  <si>
    <t>LUMINARIA NO DIMERIZABLE GU10, 7.5W, 6500K.</t>
  </si>
  <si>
    <t>LUK026ND6.5K</t>
  </si>
  <si>
    <t>LUMINARIA LED DE 5.5W, COLOR BLANCO 6000K, CONECTOR GU10 A 120V.</t>
  </si>
  <si>
    <t>COD.LAR10SD6.5K</t>
  </si>
  <si>
    <t>PANEL LED DE 45 VATIOS 4100K</t>
  </si>
  <si>
    <t>PANEL30X120_45</t>
  </si>
  <si>
    <t>PANEL LED REDONDO DE INCRUSTAR, 4000K, 18 VATIOS.</t>
  </si>
  <si>
    <t>LUK054</t>
  </si>
  <si>
    <t>PANEL LED REDONDO DE SOBREPONER, 3000K, 18 VATIOS.</t>
  </si>
  <si>
    <t>LUK036</t>
  </si>
  <si>
    <t>PANEL LED REDONDO DE SOBREPONER, 6500K, 12 VATIOS.</t>
  </si>
  <si>
    <t>LUK022</t>
  </si>
  <si>
    <t>LUMINARIA LED DE 4W, COLOR 3000K, CONECTOR GU10 A 120V. 350Lm. NO DIMERIZABLE.</t>
  </si>
  <si>
    <t>COD.LAR.LUK048</t>
  </si>
  <si>
    <t>LUMINARIA LED DE 4W, COLOR 6500K, CONECTOR GU10 A 120V. 350Lm. NO DIMERIZABLE.</t>
  </si>
  <si>
    <t>COD.LAR.LUK047</t>
  </si>
  <si>
    <t>LUMINARIA LED DE 5W, COLOR 3000K, CONECTOR GU10 A 120V. 450Lm. NO DIMERIZABLE.</t>
  </si>
  <si>
    <t>COD.LAR.LUK052</t>
  </si>
  <si>
    <t>LUMINARIA LED DE 5W, COLOR 6500K, CONECTOR GU10 A 120V. 450Lm. NO DIMERIZABLE.</t>
  </si>
  <si>
    <t>COD.LAR.LUK051</t>
  </si>
  <si>
    <t>LUMINARIA LED DE 6.3W, COLOR 3000K, CONECTOR GU10 A 120V. 550Lm. NO DIMERIZABLE.</t>
  </si>
  <si>
    <t>COD.LAR.LUK045</t>
  </si>
  <si>
    <t>LUMINARIA LED DE 6.5W, COLOR 3000K, CONECTOR GU10 A 120V. 450Lm. NO DIMERIZABLE.</t>
  </si>
  <si>
    <t>COD.LAR.LUK005</t>
  </si>
  <si>
    <t>LUMINARIA LED DE 6W, COLOR 6500K, CONECTOR GU10 A 120V. 450Lm. NO DIMERIZABLE.</t>
  </si>
  <si>
    <t>COD.LAR.LUK006</t>
  </si>
  <si>
    <t>COD.LAR.LUK036</t>
  </si>
  <si>
    <t>LUMINARIA LED DE 6W, COLOR 3000K, CONECTOR GU10 A 120V. 550Lm. NO DIMERIZABLE.</t>
  </si>
  <si>
    <t>COD.LAR.LUK050</t>
  </si>
  <si>
    <t>LUMINARIA LED DE 6W, COLOR 6500K, CONECTOR GU10 A 120V. 550Lm. NO DIMERIZABLE.</t>
  </si>
  <si>
    <t>COD.LAR.LUK049</t>
  </si>
  <si>
    <t>LUMINARIA LED DE 7W, COLOR 3000K, CONECTOR GU10 A 120V. 550Lm. NO DIMERIZABLE.</t>
  </si>
  <si>
    <t>COD.LAR.LUK039</t>
  </si>
  <si>
    <t>LUMINARIA LED DE 7W, COLOR 6500K, CONECTOR GU10 A 120V. 550Lm. NO DIMERIZABLE.</t>
  </si>
  <si>
    <t>COD.LAR.LUK038</t>
  </si>
  <si>
    <t>LUMINARIA LED DE 5.5W, COLOR 6500K, CONECTOR GU10 A 120V. 350Lm. NO DIMERIZABLE.</t>
  </si>
  <si>
    <t>COD.LAR.LUK023</t>
  </si>
  <si>
    <t>LUMINARIA LED DE 6W, COLOR 3000K, CONECTOR GU10 A 120V. 350Lm. DIMERIZABLE.</t>
  </si>
  <si>
    <t>COD.LAR.LUK030</t>
  </si>
  <si>
    <t>LUMINARIA LED DE 6W, COLOR 6500K, CONECTOR GU10 A 120V. 350Lm. DIMERIZABLE.</t>
  </si>
  <si>
    <t>COD.LAR.LUK043</t>
  </si>
  <si>
    <t>LUMINARIA LED DE 7.5W, COLOR 6500K, CONECTOR GU10 A 120V. 550Lm. DIMERIZABLE.</t>
  </si>
  <si>
    <t>COD.LAR.LUK028</t>
  </si>
  <si>
    <t>PANEL LED DE INCRUSTAR DE 24W. 4000K</t>
  </si>
  <si>
    <t>LUK057</t>
  </si>
  <si>
    <t>HERMÉTICA IP65 CON DOS TUBOS DE 17W.</t>
  </si>
  <si>
    <t>HX2L</t>
  </si>
  <si>
    <t>HERMÉTICA IP65 CON DOS TUBOS DE 17W. CON TUBOS LED MULTIVOLTAGE DE 1520 LUMENS CADA UNO.</t>
  </si>
  <si>
    <t>LUMINARIA LINEAL DE 40W TIPO TITANIA</t>
  </si>
  <si>
    <t>LUK073</t>
  </si>
  <si>
    <t>PANEL LED DE 40W, MULTIVOLTAJE DE 60X60, 6500K.</t>
  </si>
  <si>
    <t>LUK010</t>
  </si>
  <si>
    <t>PANEL LED DE 40W, MULTIVOLTAJE DE 60X60, 4000K.</t>
  </si>
  <si>
    <t>LUMINARIA DE 22 EN COLOR 6500K CON DISIPADOR</t>
  </si>
  <si>
    <t>L22</t>
  </si>
  <si>
    <t>PA0665</t>
  </si>
  <si>
    <t>PANEL DE SOBREPONER 6W, 6500K</t>
  </si>
  <si>
    <t>LUK058</t>
  </si>
  <si>
    <t>LED ECO DOWNLIGHT BC 4" (SLIM) 6W, 6500K SOBREPONER CIRCULAR 85-265V</t>
  </si>
  <si>
    <t>LUK060</t>
  </si>
  <si>
    <t>LED ECO DOWNLIGHT BC 6" (SLIM) 12W, 6500K SOBREPONER CIRCULAR 85-265V</t>
  </si>
  <si>
    <t>LUK062</t>
  </si>
  <si>
    <t>LED ECO DOWNLIGHT BC 8" (SLIM) 18W, 6500K SOBREPONER CIRCULAR 85-265V</t>
  </si>
  <si>
    <t>LUK016</t>
  </si>
  <si>
    <t>LUMINARIA E27 ATENUABLE, 10W, 6000K.</t>
  </si>
  <si>
    <t>LED E27 DE 40W, 3000K.</t>
  </si>
  <si>
    <t>LUMIA</t>
  </si>
  <si>
    <t>PANEL LED DE 48 VATIOS EN LUZ BLANCA.</t>
  </si>
  <si>
    <t>PANEL60X60_48</t>
  </si>
  <si>
    <t>LUMIK</t>
  </si>
  <si>
    <t>PANEL LED ATENUABLE DE 60 VATIOS 4100K</t>
  </si>
  <si>
    <t>PANEL30X120_60</t>
  </si>
  <si>
    <t>PANEL REDONDO DE 18 VATIOS 4100K.</t>
  </si>
  <si>
    <t>P18W</t>
  </si>
  <si>
    <t>PANEL REDONDO DE 18 VATIOS 6500K.</t>
  </si>
  <si>
    <t>P18W6500</t>
  </si>
  <si>
    <t>PANEL DE 12 VATIOS ATENUABLE 4100K.</t>
  </si>
  <si>
    <t>PA12W</t>
  </si>
  <si>
    <t>PANEL LED ATENUABLE DE 12 VATIOS, TEMPERATURA 4100K.</t>
  </si>
  <si>
    <t>PAN12WLED4100A</t>
  </si>
  <si>
    <t>PANEL LED ATENUABLE DE 18 VATIOS, TEMPERATURA 4100K.</t>
  </si>
  <si>
    <t>PAN18WLED4100A</t>
  </si>
  <si>
    <t>CINTA LED 3500K, DE 5 METROS</t>
  </si>
  <si>
    <t>CL3000K5</t>
  </si>
  <si>
    <t>FUENTE PARA CINTA LED DE 5 AMPERIOS</t>
  </si>
  <si>
    <t>FCLED5A</t>
  </si>
  <si>
    <t>PANEL DE 12 VATIOS 4100K.</t>
  </si>
  <si>
    <t>P12W</t>
  </si>
  <si>
    <t>METRO DE PERFIL CON CINTA LED DE 15W POR METRO.</t>
  </si>
  <si>
    <t>PLED</t>
  </si>
  <si>
    <t>METRO DE PERFIL CON CINTA LED DE 15W POR METRO. TEMPERATURA DE COLOR ENTRE 3.000 Y 6.000K</t>
  </si>
  <si>
    <t>SPOT RIEL BLANCO PARA RIEL EN FORMATO DE BOMBILLA E27</t>
  </si>
  <si>
    <t>SE27</t>
  </si>
  <si>
    <t>LP3818W</t>
  </si>
  <si>
    <t>PANEL DE 18 VATIOS ATENUABLE 4100K.</t>
  </si>
  <si>
    <t>PA18W</t>
  </si>
  <si>
    <t>TUBO LED DE 18W 6000K, VIDA ÚTIL DE 15.000 HORAS. GARANTÍA DE UN ANO.</t>
  </si>
  <si>
    <t>LUM18T</t>
  </si>
  <si>
    <t>SOCKET PARA TUBO T8</t>
  </si>
  <si>
    <t>ST8</t>
  </si>
  <si>
    <t>PANEL LED DE 30X120CM A 60 VATIOS. TEMPERATURA DE COLOR DE 4000K.</t>
  </si>
  <si>
    <t>L60W4000K</t>
  </si>
  <si>
    <t>PANEL LED REDONDO DE 24 VATIOS, 6500K.</t>
  </si>
  <si>
    <t>P24W6.5K</t>
  </si>
  <si>
    <t>PANEL LED DE 12W, 4000K, 20.000 HORAS, MULTIVOLTAGE. 840 Lm.</t>
  </si>
  <si>
    <t>LUMIK12W</t>
  </si>
  <si>
    <t>PANEL LED CUADRADO EN 6000K O 4000K. DE INCRUSTAR EN TECHO. CERTIFICADO RETIE.</t>
  </si>
  <si>
    <t>PLC15W</t>
  </si>
  <si>
    <t>PANEL DE SOBREPONER MULTIVOLTAJE 4000K.</t>
  </si>
  <si>
    <t>LUM_RM12</t>
  </si>
  <si>
    <t>PANEL DE SOBREPONER MULTIVOLTAJE 4000K, 12W. 25.000 HORAS DE VIDA ESPERADA. 840 Lm.</t>
  </si>
  <si>
    <t>PANEL DE SOBREPONER MULTIVOLTAJE 6500K.</t>
  </si>
  <si>
    <t>LUM_RM18</t>
  </si>
  <si>
    <t>PANEL DE SOBREPONER MULTIVOLTAJE 6500K, 18W. 30.000 HORAS DE VIDA ESPERADA. 1260 Lm.</t>
  </si>
  <si>
    <t>LUMINAR</t>
  </si>
  <si>
    <t>LUMINARIA DECORATIVA EN CRISTAL DESCOLGADA PARA BOMBILLA E27</t>
  </si>
  <si>
    <t>BULB_E27</t>
  </si>
  <si>
    <t>LUMINEX</t>
  </si>
  <si>
    <t>BREAKER PARA CIRCUITO DE 20 AMPERIOS.</t>
  </si>
  <si>
    <t>DSE20</t>
  </si>
  <si>
    <t>BREAKER ENCHUFABLE DE 2 X 30 AMPERIOS.</t>
  </si>
  <si>
    <t>B2X30E</t>
  </si>
  <si>
    <t>TABLERO ELÉCTRICO DE 12 CIRCUITOS</t>
  </si>
  <si>
    <t>TWP12</t>
  </si>
  <si>
    <t>BREAKER 20 AMPERIOS ENCHUFABLE.</t>
  </si>
  <si>
    <t>DSE1020</t>
  </si>
  <si>
    <t>BREAKER ENCHUFABLE DE 3X100A</t>
  </si>
  <si>
    <t>CAJA PARA CONTADOR MONOFÁSICO</t>
  </si>
  <si>
    <t>C02_15_20</t>
  </si>
  <si>
    <t>TABLERO BIFÁSICO DE 8 CIRCUITOS</t>
  </si>
  <si>
    <t>TB8P</t>
  </si>
  <si>
    <t>BREAKER ENCHUFABLE DE 3X30 AMPERIOS</t>
  </si>
  <si>
    <t>BL3X30</t>
  </si>
  <si>
    <t>BREAKER DE CONTE DE 30 AMPERIOS</t>
  </si>
  <si>
    <t>BLX30</t>
  </si>
  <si>
    <t>BREAKER DE CORTE DE 40 AMPERIOS</t>
  </si>
  <si>
    <t>BLX40</t>
  </si>
  <si>
    <t>LUT</t>
  </si>
  <si>
    <t>MEM</t>
  </si>
  <si>
    <t>MEMORIA GENÉRICA DE 4 GIGAS</t>
  </si>
  <si>
    <t>LUTEC</t>
  </si>
  <si>
    <t>GUAYA ELÉCTRICA CON SOCKET DECORATIVO EN ACERO INOXIDABLE</t>
  </si>
  <si>
    <t>ELE_GUAYA_SOCKET</t>
  </si>
  <si>
    <t>LUTRON</t>
  </si>
  <si>
    <t>BALASTRO T8 PARA TUBO U_BEND, DE UNA LÁMPARA.</t>
  </si>
  <si>
    <t>EHDT825MU110</t>
  </si>
  <si>
    <t>BALASTRO T8 PARA TUBO U_BEND, DE UNA LÁMPARA, ATENUACIÓN AL 1%, FACTOR DE BALASTRO  DE 1.0</t>
  </si>
  <si>
    <t>EHDT817MU110</t>
  </si>
  <si>
    <t>EHDT832C347110</t>
  </si>
  <si>
    <t>EHDT832ME110_B</t>
  </si>
  <si>
    <t>BALASTRO T8 PARA TUBO U_BEND, DE UNA LÁMPARA, ATENUACIÓN AL 1%, FACTOR DE BALASTRO  DE 1.0 (Brasil _ InMetro)</t>
  </si>
  <si>
    <t>EHDT832MU110_NP</t>
  </si>
  <si>
    <t xml:space="preserve">BALASTRO T8 PARA TUBO U_BEND, DE UNA LÁMPARA, ATENUACIÓN AL 1%, FACTOR DE BALASTRO  DE 1.0;  </t>
  </si>
  <si>
    <t>EHDT832C347117</t>
  </si>
  <si>
    <t>BALASTRO T8 PARA TUBO U_BEND, DE UNA LÁMPARA, ATENUACIÓN AL 1%, FACTOR DE BALASTRO DE 1.17</t>
  </si>
  <si>
    <t>EHDT832MU117_NP</t>
  </si>
  <si>
    <t xml:space="preserve">BALASTRO T8 PARA TUBO U_BEND, DE UNA LÁMPARA, ATENUACIÓN AL 1%, FACTOR DE BALASTRO DE 1.17;  </t>
  </si>
  <si>
    <t>BALASTRO T8 PARA TUBO U_BEND, DE UNA LÁMPARAS.</t>
  </si>
  <si>
    <t>EHDT832MU110</t>
  </si>
  <si>
    <t>BALASTRO T8 PARA TUBO U_BEND, DE UNA LÁMPARAS, ATENUACIÓN AL 1%, FACTOR DE BALASTRO  DE 1.0</t>
  </si>
  <si>
    <t>EHDT832MU117</t>
  </si>
  <si>
    <t>BALASTRO T8 PARA TUBO U_BEND, DE UNA LÁMPARAS, ATENUACIÓN AL 1%, FACTOR DE BALASTRO DE 1.17</t>
  </si>
  <si>
    <t>BALASTRO T8 PARA TUBO U_BEND, 2 LÁMPARAS.</t>
  </si>
  <si>
    <t>EHDT825MU210</t>
  </si>
  <si>
    <t>BALASTRO T8 PARA TUBO U_BEND, 2 LÁMPARAS, ATENUACIÓN AL 1%, FACTOR DE BALASTRO  DE 1.0</t>
  </si>
  <si>
    <t>EHDT817MU210</t>
  </si>
  <si>
    <t>BALASTRO T8 PARA TUBO U_BEND, 2 LÁMPARAS, ATENUACIÓN AL 1%, FACTOR DE BALASTRO  DE 1.0 (Brasil _ InMetro)</t>
  </si>
  <si>
    <t>BALASTRO T8 PARA TUBO U_BEND, DE DOS LÁMPARAS.</t>
  </si>
  <si>
    <t>EHDT832MU210</t>
  </si>
  <si>
    <t>BALASTRO T8 PARA TUBO U_BEND, DE DOS LÁMPARAS ATENUACIÓN AL 1%, FACTOR DE BALASTRO  DE 1.0</t>
  </si>
  <si>
    <t>EHDT832C347210</t>
  </si>
  <si>
    <t>EHDT832MU210_NP</t>
  </si>
  <si>
    <t xml:space="preserve">BALASTRO T8 PARA TUBO U_BEND, DE DOS LÁMPARAS ATENUACIÓN AL 1%, FACTOR DE BALASTRO  DE 1.0;  </t>
  </si>
  <si>
    <t>EHDT832MU217</t>
  </si>
  <si>
    <t>BALASTRO T8 PARA TUBO U_BEND, DE DOS LÁMPARAS ATENUACIÓN AL 1%, FACTOR DE BALASTRO DE 1.17</t>
  </si>
  <si>
    <t>EHDT832C347217</t>
  </si>
  <si>
    <t>EHDT832MU217_NP</t>
  </si>
  <si>
    <t xml:space="preserve">BALASTRO T8 PARA TUBO U_BEND, DE DOS LÁMPARAS ATENUACIÓN AL 1%, FACTOR DE BALASTRO DE 1.17;  </t>
  </si>
  <si>
    <t>BALASTRO T8 PARA TUBO U_BEND,  DE TRES LÁMPARAS.</t>
  </si>
  <si>
    <t>EHDT832GU310</t>
  </si>
  <si>
    <t>BALASTRO T8 PARA TUBO U_BEND,  DE TRES LÁMPARAS, ATENUACIÓN AL 1%, FACTOR DE BALASTRO  DE 1.0</t>
  </si>
  <si>
    <t>EHDT832GU310_NP</t>
  </si>
  <si>
    <t xml:space="preserve">BALASTRO T8 PARA TUBO U_BEND,  DE TRES LÁMPARAS, ATENUACIÓN AL 1%, FACTOR DE BALASTRO  DE 1.0;  </t>
  </si>
  <si>
    <t>EHDT832GU317</t>
  </si>
  <si>
    <t>BALASTRO T8 PARA TUBO U_BEND,  DE TRES LÁMPARAS, ATENUACIÓN AL 1%, FACTOR DE BALASTRO DE 1.17</t>
  </si>
  <si>
    <t>EHDT832GU317_NP</t>
  </si>
  <si>
    <t xml:space="preserve">BALASTRO T8 PARA TUBO U_BEND,  DE TRES LÁMPARAS, ATENUACIÓN AL 1%, FACTOR DE BALASTRO DE 1.17;  </t>
  </si>
  <si>
    <t>BALASTRO T5 LINEAL, DE UNA LÁMPARA, ATENUACIÓN AL 1%, FACTOR DE BALASTRO  DE 1.0</t>
  </si>
  <si>
    <t>EHDT521MU110</t>
  </si>
  <si>
    <t>EHDT514MU110</t>
  </si>
  <si>
    <t>EHDT528MU110</t>
  </si>
  <si>
    <t>EHDT528C347110</t>
  </si>
  <si>
    <t>BALASTRO T5 LINEAL, DE UNA LÁMPARA.</t>
  </si>
  <si>
    <t>EHDT528ME110_B</t>
  </si>
  <si>
    <t>BALASTRO T5 LINEAL, DE UNA LÁMPARA, ATENUACIÓN AL 1%, FACTOR DE BALASTRO  DE 1.0 (Brasil _ InMetro)</t>
  </si>
  <si>
    <t>EHDT514ME110_B</t>
  </si>
  <si>
    <t>EHDT528ME110_C</t>
  </si>
  <si>
    <t>BALASTRO T5 LINEAL, DE UNA LÁMPARA, ATENUACIÓN AL 1%, FACTOR DE BALASTRO  DE 1.0 (China _ CCC)</t>
  </si>
  <si>
    <t>EHDT514ME110_C</t>
  </si>
  <si>
    <t>EHDT528ME110</t>
  </si>
  <si>
    <t>BALASTRO T5 LINEAL, DE UNA LÁMPARA, ATENUACIÓN AL 1%, FACTOR DE BALASTRO  DE 1.0 (Europa _ CE,ENEC)</t>
  </si>
  <si>
    <t>EHDT514ME110</t>
  </si>
  <si>
    <t>BALASTRO T5 LINEAL, 2 LÁMPARAS, ATENUACIÓN AL 1%, FACTOR DE BALASTRO  DE 1.0</t>
  </si>
  <si>
    <t>EHDT528MU210</t>
  </si>
  <si>
    <t>BALASTRO T5 LINEAL, 2 LÁMPARAS.</t>
  </si>
  <si>
    <t>EHDT528ME210_B</t>
  </si>
  <si>
    <t>BALASTRO T5 LINEAL, 2 LÁMPARAS, ATENUACIÓN AL 1%, FACTOR DE BALASTRO  DE 1.0 (Brasil _ InMetro)</t>
  </si>
  <si>
    <t>EHDT514ME210_B</t>
  </si>
  <si>
    <t>EHDT528ME210_C</t>
  </si>
  <si>
    <t>BALASTRO T5 LINEAL, 2 LÁMPARAS, ATENUACIÓN AL 1%, FACTOR DE BALASTRO  DE 1.0 (China _ CCC)</t>
  </si>
  <si>
    <t>EHDT514ME210_C</t>
  </si>
  <si>
    <t>EHDT528ME210</t>
  </si>
  <si>
    <t>BALASTRO T5 LINEAL, 2 LÁMPARAS, ATENUACIÓN AL 1%, FACTOR DE BALASTRO  DE 1.0 (Europa _ CE,ENEC)</t>
  </si>
  <si>
    <t>EHDT514ME210</t>
  </si>
  <si>
    <t>BALASTRO T5 LINEAL, DE DOS LÁMPARAS ATENUACIÓN AL 1%, FACTOR DE BALASTRO  DE 1.0</t>
  </si>
  <si>
    <t>EHDT521MU210</t>
  </si>
  <si>
    <t>EHDT514MU210</t>
  </si>
  <si>
    <t>EHDT528C347210</t>
  </si>
  <si>
    <t>EHDT554MU110</t>
  </si>
  <si>
    <t>BALASTRO T5 LINEAL, DE UNA LÁMPARA, ATENUACIÓN AL 1%.</t>
  </si>
  <si>
    <t>EHDT554ME110_B</t>
  </si>
  <si>
    <t>EHDT554ME110_C</t>
  </si>
  <si>
    <t>EHDT554ME110</t>
  </si>
  <si>
    <t>EHDT554MU210</t>
  </si>
  <si>
    <t>EHDT554ME210_B</t>
  </si>
  <si>
    <t>EHDT554ME210_C</t>
  </si>
  <si>
    <t>EHDT554ME210</t>
  </si>
  <si>
    <t>BALASTRO T5_HO LINEAL, DE UNA LÁMPARA.</t>
  </si>
  <si>
    <t>EHDT539MU110</t>
  </si>
  <si>
    <t>BALASTRO T5_HO LINEAL, DE UNA LÁMPARA, ATENUACIÓN AL 1%, FACTOR DE BALASTRO  DE 1.0</t>
  </si>
  <si>
    <t>EHDT524MU110</t>
  </si>
  <si>
    <t>EHDT554C347110</t>
  </si>
  <si>
    <t>BALASTRO T5_HO LINEAL, DE DOS LÁMPARAS.</t>
  </si>
  <si>
    <t>EHDT539MU210</t>
  </si>
  <si>
    <t>BALASTRO T5_HO LINEAL, DE DOS LÁMPARAS ATENUACIÓN AL 1%, FACTOR DE BALASTRO  DE 1.0</t>
  </si>
  <si>
    <t>EHDT524MU210</t>
  </si>
  <si>
    <t>EHDT554C347210</t>
  </si>
  <si>
    <t>BALASTRO T5 LINEAL DE 25 VATIOS, UNA LÁMPARA.</t>
  </si>
  <si>
    <t>EHDT525MU1RW</t>
  </si>
  <si>
    <t>BALASTRO T5 LINEAL DE 25 VATIOS, UNA LÁMPARA, ATENUACIÓN AL 10%, FACTOR DE BALASTRO  DE 1.0</t>
  </si>
  <si>
    <t>BALASTRO T5 LINEAL DE VATIAJE REDUCIDO, DE UNA LÁMPARA.</t>
  </si>
  <si>
    <t>EHDT513MU1RW</t>
  </si>
  <si>
    <t>BALASTRO T5 LINEAL DE VATIAJE REDUCIDO, DE UNA LÁMPARA, ATENUACIÓN AL 10%, FACTOR DE BALASTRO  DE 1.0</t>
  </si>
  <si>
    <t>EHDT513ME1RW_B</t>
  </si>
  <si>
    <t>BALASTRO T5 LINEAL DE VATIAJE REDUCIDO, DE UNA LÁMPARA, ATENUACIÓN AL 10%, FACTOR DE BALASTRO  DE 1.0 (Brasil – in_Metro)</t>
  </si>
  <si>
    <t>EHDT513ME2RW_B</t>
  </si>
  <si>
    <t>EHDT525ME2RW_B</t>
  </si>
  <si>
    <t>EHDT525MU1RWN</t>
  </si>
  <si>
    <t>BALASTRO T5 LINEAL DE VATIAJE REDUCIDO, DE UNA LÁMPARA, ATENUACIÓN AL 10%, FACTOR DE BALASTRO  DE 1.0, NOM approved</t>
  </si>
  <si>
    <t>EHDT513MU1RWN</t>
  </si>
  <si>
    <t>BALASTRO T5 LINEAL DE VATIAJE REDUCIDO, 2 LÁMPARAS.</t>
  </si>
  <si>
    <t>EHDT525MU2RW</t>
  </si>
  <si>
    <t>BALASTRO T5 LINEAL DE VATIAJE REDUCIDO, 2 LÁMPARAS, ATENUACIÓN AL 10%, FACTOR DE BALASTRO  DE 1.0</t>
  </si>
  <si>
    <t>EHDT513MU2RW</t>
  </si>
  <si>
    <t>EHDT525ME1RW_B</t>
  </si>
  <si>
    <t>BALASTRO T5 LINEAL DE VATIAJE REDUCIDO, 2 LÁMPARAS, ATENUACIÓN AL 10%, FACTOR DE BALASTRO  DE 1.0 (Brasil – in_Metro)</t>
  </si>
  <si>
    <t>EHDT525MU2RWN</t>
  </si>
  <si>
    <t>BALASTRO T5 LINEAL DE VATIAJE REDUCIDO, 2 LÁMPARAS, ATENUACIÓN AL 10%, FACTOR DE BALASTRO  DE 1.0, NOM approved</t>
  </si>
  <si>
    <t>EHDT513MU2RWN</t>
  </si>
  <si>
    <t>BALASTRO T5_HO LINEAL DE VATIAJE REDUCIDO, DE UNA LÁMPARA.</t>
  </si>
  <si>
    <t>EHDT549MU1RW</t>
  </si>
  <si>
    <t>BALASTRO T5_HO LINEAL DE VATIAJE REDUCIDO, DE UNA LÁMPARA, ATENUACIÓN AL 10%, FACTOR DE BALASTRO  DE 1.0</t>
  </si>
  <si>
    <t>EHDT549ME1RW_B</t>
  </si>
  <si>
    <t>BALASTRO T5_HO LINEAL DE VATIAJE REDUCIDO, DE UNA LÁMPARA, ATENUACIÓN AL 10%, FACTOR DE BALASTRO  DE 1.0 (Brasil – in_Metro)</t>
  </si>
  <si>
    <t>EHDT549MU1RWN</t>
  </si>
  <si>
    <t>BALASTRO T5_HO LINEAL DE VATIAJE REDUCIDO, DE UNA LÁMPARA, ATENUACIÓN AL 10%, FACTOR DE BALASTRO  DE 1.0, NOM approved</t>
  </si>
  <si>
    <t>BALASTRO T5_HO LINEAL DE VATIAJE REDUCIDO, 2 LÁMPARAS.</t>
  </si>
  <si>
    <t>EHDT549MU2RW</t>
  </si>
  <si>
    <t>BALASTRO T5_HO LINEAL DE VATIAJE REDUCIDO, 2 LÁMPARAS, ATENUACIÓN AL 10%, FACTOR DE BALASTRO  DE 1.0</t>
  </si>
  <si>
    <t>EHDT549ME2RW_B</t>
  </si>
  <si>
    <t>BALASTRO T5_HO LINEAL DE VATIAJE REDUCIDO, 2 LÁMPARAS, ATENUACIÓN AL 10%, FACTOR DE BALASTRO  DE 1.0 (Brasil – in_Metro)</t>
  </si>
  <si>
    <t>EHDT549MU2RWN</t>
  </si>
  <si>
    <t>BALASTRO T5_HO LINEAL DE VATIAJE REDUCIDO, 2 LÁMPARAS, ATENUACIÓN AL 10%, FACTOR DE BALASTRO  DE 1.0, NOM approved</t>
  </si>
  <si>
    <t>BALASTRO T8 LINEAL DE VATIAJE REDUCIDO, DE UNA LÁMPARA.</t>
  </si>
  <si>
    <t>EHDT828MU1RW</t>
  </si>
  <si>
    <t>BALASTRO T8 LINEAL DE VATIAJE REDUCIDO, DE UNA LÁMPARA, ATENUACIÓN AL 10%, FACTOR DE BALASTRO  DE 1.0</t>
  </si>
  <si>
    <t>EHDT828MU1RWN</t>
  </si>
  <si>
    <t>BALASTRO T8 LINEAL DE VATIAJE REDUCIDO, DE UNA LÁMPARA, ATENUACIÓN AL 10%, FACTOR DE BALASTRO  DE 1.0, NOM approved</t>
  </si>
  <si>
    <t>BALASTRO T8 LINEAL DE VATIAJE REDUCIDO, 2 LÁMPARAS.</t>
  </si>
  <si>
    <t>EHDT828MU2RW</t>
  </si>
  <si>
    <t>BALASTRO T8 LINEAL DE VATIAJE REDUCIDO, 2 LÁMPARAS, ATENUACIÓN AL 10%, FACTOR DE BALASTRO  DE 1.0</t>
  </si>
  <si>
    <t>EHDT828MU2RWN</t>
  </si>
  <si>
    <t>BALASTRO T8 LINEAL DE VATIAJE REDUCIDO, 2 LÁMPARAS, ATENUACIÓN AL 10%, FACTOR DE BALASTRO  DE 1.0, NOM approved</t>
  </si>
  <si>
    <t>BALASTRO T8 LINEAL, DE UNA LÁMPARA, ATENUACIÓN AL 10%</t>
  </si>
  <si>
    <t>EC5 T817 J UNV 1</t>
  </si>
  <si>
    <t>EC5 T825 J UNV 1</t>
  </si>
  <si>
    <t>BALASTRO T8 LINEAL, DE DOS LÁMPARAS ATENUACIÓN AL 10%</t>
  </si>
  <si>
    <t>EC5 T817 J UNV 2</t>
  </si>
  <si>
    <t>EC5 T825 J UNV 2</t>
  </si>
  <si>
    <t xml:space="preserve">BALASTRO T8 LINEAL, DE DOS LÁMPARAS ATENUACIÓN AL 10%;  </t>
  </si>
  <si>
    <t>EC5 T817 J UNV 2 NP</t>
  </si>
  <si>
    <t>BALASTRO T8 PARA TUBO U_BEND, DE UNA LÁMPARA, ATENUACIÓN AL 10%</t>
  </si>
  <si>
    <t>EC5 T832 J UNV 1</t>
  </si>
  <si>
    <t>BALASTRO T8 PARA TUBO U_BEND, DE DOS LÁMPARAS ATENUACIÓN AL 10%</t>
  </si>
  <si>
    <t>EC5 T832 G UNV 2L</t>
  </si>
  <si>
    <t>EC5 T832 J UNV 2</t>
  </si>
  <si>
    <t>BALASTRO T8 PARA TUBO U_BEND,  DE TRES LÁMPARAS, ATENUACIÓN AL 10%</t>
  </si>
  <si>
    <t>EC5 T832 G UNV 317L</t>
  </si>
  <si>
    <t>EC5 T832 G UNV 3L</t>
  </si>
  <si>
    <t xml:space="preserve">BALASTRO T8 PARA TUBO U_BEND,  DE TRES LÁMPARAS, ATENUACIÓN AL 10%;  </t>
  </si>
  <si>
    <t>EC5 T832 G UNV 3L NP</t>
  </si>
  <si>
    <t>BALASTRO T8 DE VATIAJE REDUCIDO 4ft, DE UNA LÁMPARA, ATENUACIÓN AL 10%</t>
  </si>
  <si>
    <t>EC5 T8RW J UNV 1</t>
  </si>
  <si>
    <t>BALASTRO T8 DE VATIAJE REDUCIDO 4ft, DE DOS LÁMPARAS ATENUACIÓN AL 10%</t>
  </si>
  <si>
    <t>EC5 T8RW J UNV 2</t>
  </si>
  <si>
    <t>BALASTRO T8 DE VATIAJE REDUCIDO 4ft,  DE TRES LÁMPARAS, ATENUACIÓN AL 10%</t>
  </si>
  <si>
    <t>EC5 T8RW G UNV 3L</t>
  </si>
  <si>
    <t>BALASTRO T5 LINEAL, DE UNA LÁMPARA, ATENUACIÓN AL 10%</t>
  </si>
  <si>
    <t>EC5 T514 J UNV 1</t>
  </si>
  <si>
    <t>EC5 T521 J UNV 1</t>
  </si>
  <si>
    <t>EC5 T528 J UNV 1</t>
  </si>
  <si>
    <t>EC5 T535 J UNV 1</t>
  </si>
  <si>
    <t>BALASTRO T5 LINEAL, DE DOS LÁMPARAS ATENUACIÓN AL 10%</t>
  </si>
  <si>
    <t>EC5 T514 J UNV 2</t>
  </si>
  <si>
    <t>EC5 T521 J UNV 2</t>
  </si>
  <si>
    <t>EC5 T528 J UNV 2</t>
  </si>
  <si>
    <t>BALASTRO T5_HO LINEAL, DE UNA LÁMPARA, ATENUACIÓN AL 10%</t>
  </si>
  <si>
    <t>EC5 T524 J UNV 1</t>
  </si>
  <si>
    <t>EC5 T539 J UNV 1</t>
  </si>
  <si>
    <t>EC5 T554 J UNV 1</t>
  </si>
  <si>
    <t>BALASTRO T5_HO LINEAL, DE DOS LÁMPARAS ATENUACIÓN AL 10%</t>
  </si>
  <si>
    <t>EC5 T524 J UNV 2</t>
  </si>
  <si>
    <t>EC5 T554 J UNV 2</t>
  </si>
  <si>
    <t>EC5 T539 J UNV 2</t>
  </si>
  <si>
    <t>BALASTRO T5 Twin_Tube, DE UNA LÁMPARA, ATENUACIÓN AL 10%</t>
  </si>
  <si>
    <t>EC5 T540 J UNV 1</t>
  </si>
  <si>
    <t>EC5 T550 J UNV 1</t>
  </si>
  <si>
    <t>EC5 T555 J UNV 1</t>
  </si>
  <si>
    <t>EC5 T536 J UNV 1</t>
  </si>
  <si>
    <t>BALASTRO T5 Twin_Tube, DE UNA LÁMPARAS, ATENUACIÓN AL 10%</t>
  </si>
  <si>
    <t>BALASTRO T5 Twin_Tube, DE DOS LÁMPARAS ATENUACIÓN AL 10%</t>
  </si>
  <si>
    <t>EC5 T536 J UNV 2</t>
  </si>
  <si>
    <t>EC5 T540 J UNV 2</t>
  </si>
  <si>
    <t>EC5 T550 J UNV 2</t>
  </si>
  <si>
    <t>EC5 T555 J UNV 2</t>
  </si>
  <si>
    <t>BALASTRO T5 Twin_Tube,  DE TRES LÁMPARAS, ATENUACIÓN AL 10%</t>
  </si>
  <si>
    <t>EC5 T540 G UNV 3L</t>
  </si>
  <si>
    <t>CFL Quad Tube, DE UNA LÁMPARA, ATENUACIÓN AL 5%.</t>
  </si>
  <si>
    <t>EC3D T418 K U 1</t>
  </si>
  <si>
    <t>EC3D T4MW K U 1</t>
  </si>
  <si>
    <t>CFL Quad Tube, DE DOS LÁMPARAS ATENUACIÓN AL 5%.</t>
  </si>
  <si>
    <t>EC3D T418 K U 2</t>
  </si>
  <si>
    <t>EC3D T4MW K U 2</t>
  </si>
  <si>
    <t>CFL Triple Tube, DE UNA LÁMPARA, ATENUACIÓN AL 5%.</t>
  </si>
  <si>
    <t>EC3D T442 K U 1</t>
  </si>
  <si>
    <t>CFL Triple Tube, DE DOS LÁMPARAS ATENUACIÓN AL 5%.</t>
  </si>
  <si>
    <t>EC3D T442 K U 2</t>
  </si>
  <si>
    <t>METRO DE CABLE CERTIFICADO CON RECUBRIMIENTO EN PVC AISLADO.</t>
  </si>
  <si>
    <t>C_CBL_216_GR_1</t>
  </si>
  <si>
    <t>METRO DE CABLE CERTIFICADO CON RECUBRIMIENTO EN PVC AISLADO. CONTIENE DOS CABLES AWG 16.</t>
  </si>
  <si>
    <t>ATENUADOR PARA CARGAS TIPO LED, HALÓGENA Y OTRAS CON FASE ADAPTATIVA.</t>
  </si>
  <si>
    <t>HQRD_6ND_WH</t>
  </si>
  <si>
    <t>ATENUADOR PARA CARGAS TIPO LED, HALÓGENA Y OTRAS CON FASE ADAPTATIVA. CAPACIDAD HASTA DE 600 VATIOS.</t>
  </si>
  <si>
    <t>DIMMER DE PARED DE LA SERIE CASETA WIRELESS.</t>
  </si>
  <si>
    <t>PD_6WCL_WH</t>
  </si>
  <si>
    <t>DIMMER DE PARED DE LA SERIE CASETA WIRELESS, MANEJO DE CARGAS ENTRE 25 Y 150 VATIOS. COLOR BLANCO.</t>
  </si>
  <si>
    <t>PD_6WCL_AL</t>
  </si>
  <si>
    <t>DIMMER DE PARED DE LA SERIE CASETA WIRELESS, MANEJO DE CARGAS ENTRE 25 Y 150 VATIOS. COLOR ALMENDRA.</t>
  </si>
  <si>
    <t>PD_6WCL_IV</t>
  </si>
  <si>
    <t>DIMMER DE PARED DE LA SERIE CASETA WIRELESS, MANEJO DE CARGAS ENTRE 25 Y 150 VATIOS. COLOR MARFIL.</t>
  </si>
  <si>
    <t>PD_6WCL_BL</t>
  </si>
  <si>
    <t>DIMMER DE PARED DE LA SERIE CASETA WIRELESS, MANEJO DE CARGAS ENTRE 25 Y 150 VATIOS. COLOR NEGRO.</t>
  </si>
  <si>
    <t>DIMMER PARA LÁMPARA DE MESA DE LA SERIE CASETA WIRELESS.</t>
  </si>
  <si>
    <t>PD_3PCL_WH</t>
  </si>
  <si>
    <t>DIMMER PARA LÁMPARA DE MESA DE LA SERIE CASETA WIRELESS, MANEJO DE CARGAS ENTRE 25 Y 150 VATIOS. COLOR BLANCO.</t>
  </si>
  <si>
    <t>MÓDULO DE ATENUACIÓN INALÁMBRICO PARA CARGAS 0_10 VOLTIOS HASTA 8 AMPERIOS.</t>
  </si>
  <si>
    <t>RMJS_8T_DV_B</t>
  </si>
  <si>
    <t>DIMMER DE LA SERIE RADIO RA2 DE FASE ADAPTATIVA.</t>
  </si>
  <si>
    <t>RRD_6CL_WH</t>
  </si>
  <si>
    <t>DIMMER DE LA SERIE RADIO RA2, DE FASE ADAPTATIVA PARA MANEJO DE CARGAS LED O HALÓGENAS. MANEJO DE POTENCIA ENTRE 5 Y 150 VATIOS PARA LED. 600 VATIOS PARA OTROS TIPOS DE CARGA.</t>
  </si>
  <si>
    <t>DIMMER DE LA SERIE MAESTRO WIRELESS DE FASE ADAPTATIVA.</t>
  </si>
  <si>
    <t>MRF2_6CL_WH</t>
  </si>
  <si>
    <t>DIMMER DE LA SERIE MAESTRO WIRELESS, DE FASE ADAPTATIVA PARA MANEJO DE CARGAS LED O HALÓGENAS. MANEJO DE POTENCIA ENTRE 5 Y 150 VATIOS PARA LED. 600 VATIOS PARA OTROS TIPOS DE CARGA.</t>
  </si>
  <si>
    <t>DIMMER DE FASE ADAPTATIVA PARA CARGAS LED O HALÓGENAS ATENUABLES.</t>
  </si>
  <si>
    <t>RRD_6NA_WH</t>
  </si>
  <si>
    <t>DIMMER DE FASE ADAPTATIVA PARA CARGAS LED O HALÓGENAS ATENUABLES. CAPACIDAD DE POTENCIA ENTRE 5W Y 150 O 600 VATIOS RESPECTIVAMENTE.</t>
  </si>
  <si>
    <t>DRI</t>
  </si>
  <si>
    <t>INTERFAZ PARA INTEGRACIÓN DE ATENUADOR 0_10V A SISTEMA ECOSYSTEM.</t>
  </si>
  <si>
    <t>TVI_LMF_2A</t>
  </si>
  <si>
    <t>INTERFAZ PARA INTEGRACIÓN DE ATENUADOR 0-10V A SISTEMA CON PROTOCOLO DE COMUNICACIÓN ECOSYSTEM., VOLTAJE DE OPERACIÓN 120 – 277 VAC 50/60 Hz 2A. EcoSystem: 18VDC- 250 mA. 0 – 10: 10 VDC- 25 mA.</t>
  </si>
  <si>
    <t>INT</t>
  </si>
  <si>
    <t>INTERRUPTOR CON SENSOR DE PRESENCIA INFRA ROJO PARA CARGAS HASTA 2 AMPERIOS.</t>
  </si>
  <si>
    <t>MS_OPS2_WH</t>
  </si>
  <si>
    <t>INTERRUPTOR CON SENSOR DE PRESENCIA INFRA ROJO PARA CARGAS HASTA 2 AMPERIOS. COLOR BLANCO.</t>
  </si>
  <si>
    <t>MODULO INTERRUPTOR INALÁMBRICO.</t>
  </si>
  <si>
    <t>MRF2_3PD_3_WH</t>
  </si>
  <si>
    <t>MODULO INTERRUPTOR INALÁMBRICO COMPATIBLE CON SENSORES DE PRESENCIA Y TECLADOS PICO.</t>
  </si>
  <si>
    <t>INTERRUPTOR COMPATIBLE CON SENSORES Y TECLADOS INALÁMBRICOS.</t>
  </si>
  <si>
    <t>MRF2_8ANS_120_WH</t>
  </si>
  <si>
    <t>INTERRUPTOR COMPATIBLE CON SENSORES Y TECLADOS INALÁMBRICOS. CAPACIDAD DE CARGA HASTA DE 8 AMPERIOS, LED INDICADOR. COLOR BLANCO.</t>
  </si>
  <si>
    <t>TECLADO PICO EN COLOR BLANCO CON AJUSTADOR DE INTENSIDAD.</t>
  </si>
  <si>
    <t>PJ2_3BRL_WH_L01R</t>
  </si>
  <si>
    <t>TECLADO PICO EN COLOR BLANCO CON AJUSTADOR DE INTENSIDAD Y BOTÓN DE ESCENA FAVORITA.</t>
  </si>
  <si>
    <t>TECLADO PICO EN COLOR ALMENDRA CON AJUSTADOR DE INTENSIDAD.</t>
  </si>
  <si>
    <t>PJ2_3BRL_LA_L01R</t>
  </si>
  <si>
    <t>TECLADO PICO EN COLOR ALMENDRA CON AJUSTADOR DE INTENSIDAD Y BOTÓN DE ESCENA FAVORITA.</t>
  </si>
  <si>
    <t>TECLADO PICO EN COLOR MARFIL CON AJUSTADOR DE INTENSIDAD.</t>
  </si>
  <si>
    <t>PJ2_3BRL_GIV_L01</t>
  </si>
  <si>
    <t>TECLADO PICO EN COLOR MARFIL CON AJUSTADOR DE INTENSIDAD Y BOTÓN DE ESCENA FAVORITA.</t>
  </si>
  <si>
    <t>TECLADO PICO EN COLOR NEGRO CON AJUSTADOR DE INTENSIDAD.</t>
  </si>
  <si>
    <t>PJ2_3BRL_GBL_L01</t>
  </si>
  <si>
    <t>TECLADO PICO EN COLOR NEGRO CON AJUSTADOR DE INTENSIDAD Y BOTÓN DE ESCENA FAVORITA.</t>
  </si>
  <si>
    <t>TECLADO PICO EN COLOR BLANCO CON BOTONES DE ENCENDIDO Y APAGADO.</t>
  </si>
  <si>
    <t>PJ2_2B_GWH_L01</t>
  </si>
  <si>
    <t>TECLADO PICO EN COLOR ALMENDRA CON BOTONES DE ENCENDIDO Y APAGADO.</t>
  </si>
  <si>
    <t>PJ2_2B_GLA_L01</t>
  </si>
  <si>
    <t>TECLADO PICO EN COLOR MARFIL CON BOTONES DE ENCENDIDO Y APAGADO.</t>
  </si>
  <si>
    <t>PJ2_2B_GIV_L01</t>
  </si>
  <si>
    <t>TECLADO PICO EN COLOR NEGRO CON BOTONES DE ENCENDIDO Y APAGADO.</t>
  </si>
  <si>
    <t>PJ2_2B_GBL_L01</t>
  </si>
  <si>
    <t>PJN_3BRL_GWH_L01</t>
  </si>
  <si>
    <t>TECLADO PICO EN COLOR BLANCO CON AJUSTADOR DE INTENSIDAD Y BOTÓN DE ESCENA FAVORITA. INCLUYE LED INDICADOR NOCTURNO.</t>
  </si>
  <si>
    <t>PJN_3BRL_GLA_L01</t>
  </si>
  <si>
    <t>TECLADO PICO EN COLOR ALMENDRA CON AJUSTADOR DE INTENSIDAD Y BOTÓN DE ESCENA FAVORITA. INCLUYE LED INDICADOR NOCTURNO.</t>
  </si>
  <si>
    <t>PJN_3BRL_GIV_L01</t>
  </si>
  <si>
    <t>TECLADO PICO EN COLOR MARFIL CON AJUSTADOR DE INTENSIDAD Y BOTÓN DE ESCENA FAVORITA. INCLUYE LED INDICADOR NOCTURNO.</t>
  </si>
  <si>
    <t>PJN_3BRL_GBL_L01</t>
  </si>
  <si>
    <t>TECLADO PICO EN COLOR NEGRO CON AJUSTADOR DE INTENSIDAD Y BOTÓN DE ESCENA FAVORITA. INCLUYE LED INDICADOR NOCTURNO.</t>
  </si>
  <si>
    <t>PJN_2B_GWH_L01</t>
  </si>
  <si>
    <t>TECLADO PICO EN COLOR BLANCO CON BOTONES DE ENCENDIDO Y APAGADO. INCLUYE LED INDICADOR NOCTURNO.</t>
  </si>
  <si>
    <t>PJN_2B_GLA_L01</t>
  </si>
  <si>
    <t>TECLADO PICO EN COLOR ALMENDRA CON BOTONES DE ENCENDIDO Y APAGADO. INCLUYE LED INDICADOR NOCTURNO.</t>
  </si>
  <si>
    <t>PJN_2B_GIV_L01</t>
  </si>
  <si>
    <t>TECLADO PICO EN COLOR MARFIL CON BOTONES DE ENCENDIDO Y APAGADO. INCLUYE LED INDICADOR NOCTURNO.</t>
  </si>
  <si>
    <t>PJN_2B_GBL_L01</t>
  </si>
  <si>
    <t>TECLADO PICO EN COLOR NEGRO CON BOTONES DE ENCENDIDO Y APAGADO. INCLUYE LED INDICADOR NOCTURNO.</t>
  </si>
  <si>
    <t>PEDESTAL DE SOBRE PONER EN MESA PARA UN MANDO A DISTANCIA PICO EN COLOR BLANCO.</t>
  </si>
  <si>
    <t>L_PED1_WH</t>
  </si>
  <si>
    <t>PEDESTAL DE SOBRE PONER EN MESA PARA DOS MANDOS A DISTANCIA PICO.</t>
  </si>
  <si>
    <t>L_PED2_WH</t>
  </si>
  <si>
    <t>PEDESTAL DE SOBRE PONER EN MESA PARA DOS MANDOS A DISTANCIA PICO EN COLOR BLANCO.</t>
  </si>
  <si>
    <t>PEDESTAL DE SOBRE PONER EN MESA PARA UN MANDO A DISTANCIA PICO EN COLOR NEGRO.</t>
  </si>
  <si>
    <t>L_PED1_BL</t>
  </si>
  <si>
    <t>PEDESTAL DE SOBRE PONER EN MESA PARA DOS MANDOS A DISTANCIA PICO EN COLOR NEGRO.</t>
  </si>
  <si>
    <t>L_PED2_BL</t>
  </si>
  <si>
    <t>CLIP PARA ADAPTADOR DE TECLADO PICO EN PARASOL DE AUTOMÓVIL.</t>
  </si>
  <si>
    <t>PICO_CAR_CLIP</t>
  </si>
  <si>
    <t>SOPORTE PARA INSTALACIÓN EN CAJA ELÉCTRICA</t>
  </si>
  <si>
    <t>PICO_WBX_ADAPT</t>
  </si>
  <si>
    <t>TAPA DECORATIVA A PRESIÓN BLANCA.</t>
  </si>
  <si>
    <t>CW_1_WH</t>
  </si>
  <si>
    <t>TAPA DECORATIVA A PRESIÓN BLANCA DE UNA VENTANA.</t>
  </si>
  <si>
    <t>TAPA DECORATIVA DE DOS UNIDADES A PRESIÓN BLANCA.</t>
  </si>
  <si>
    <t>CW_2_WH</t>
  </si>
  <si>
    <t>TAPA DECORATIVA A PRESIÓN BLANCA DE DOS VENTANAS.</t>
  </si>
  <si>
    <t>TAPA DECORATIVA DE TRES UNIDADES A PRESIÓN BLANCA.</t>
  </si>
  <si>
    <t>CW_3_WH</t>
  </si>
  <si>
    <t>TAPA DECORATIVA A PRESIÓN BLANCA DE TRES VENTANAS.</t>
  </si>
  <si>
    <t>TAPA DECORATIVA DE CUATRO UNIDADES A PRESIÓN BLANCA.</t>
  </si>
  <si>
    <t>CW_4_WH</t>
  </si>
  <si>
    <t>TAPA DECORATIVA A PRESIÓN BLANCA DE 4 VENTANAS.</t>
  </si>
  <si>
    <t>TAPA DECORATIVA A PRESIÓN NEGRA.</t>
  </si>
  <si>
    <t>CW_1_BL</t>
  </si>
  <si>
    <t>TAPA DECORATIVA A PRESIÓN NEGRA DE UNA VENTANA.</t>
  </si>
  <si>
    <t>TAPA DECORATIVA DE DOS UNIDADES A PRESIÓN NEGRA.</t>
  </si>
  <si>
    <t>CW_2_BL</t>
  </si>
  <si>
    <t>TAPA DECORATIVA A PRESIÓN NEGRA DE DOS VENTANAS.</t>
  </si>
  <si>
    <t>TAPA DECORATIVA DE TRES UNIDADES A PRESIÓN NEGRA.</t>
  </si>
  <si>
    <t>CW_3_BL</t>
  </si>
  <si>
    <t>TAPA DECORATIVA A PRESIÓN NEGRA DE TRES VENTANAS.</t>
  </si>
  <si>
    <t>TAPA DECORATIVA DE CUATRO UNIDADES A PRESIÓN NEGRA.</t>
  </si>
  <si>
    <t>CW_4_BL</t>
  </si>
  <si>
    <t>TAPA DECORATIVA A PRESIÓN NEGRA DE CUATRO VENTANAS.</t>
  </si>
  <si>
    <t>TAPA DECORATIVA EN PARA CONTROLADOR DE ILUMINACIÓN GRAFIK EYE QS.</t>
  </si>
  <si>
    <t>QSGFP_WH</t>
  </si>
  <si>
    <t>TAPA DECORATIVA EN PARA CONTROLADOR DE ILUMINACIÓN GRAFIK EYE QS EN COLOR BLANCO.</t>
  </si>
  <si>
    <t>QSGFP_TWH</t>
  </si>
  <si>
    <t>TAPA DECORATIVA EN PARA CONTROLADOR DE ILUMINACIÓN GRAFIK EYE QS EN COLOR BLANCO E INDICADOR DE LED TRANSLUCIDO NEGRO.</t>
  </si>
  <si>
    <t>TAPA DECORATIVA EN PARA CONTROLADOR DE ILUMINACIÓN GRAFIK EYE QS EN COLOR NEGRO.</t>
  </si>
  <si>
    <t>QSGFP_BL</t>
  </si>
  <si>
    <t>QSGFP_TBL</t>
  </si>
  <si>
    <t>TAPA DECORATIVA EN PARA CONTROLADOR DE ILUMINACIÓN GRAFIK EYE QS EN COLOR NEGRO E INDICADOR DE LED TRANSLUCIDO NEGRO.</t>
  </si>
  <si>
    <t>QSGFP_BRA</t>
  </si>
  <si>
    <t>TAPA DECORATIVA EN PARA CONTROLADOR DE ILUMINACIÓN GRAFIK EYE QS EN COLOR ANODIZADO.</t>
  </si>
  <si>
    <t>TECLADO DE 5 BOTONES TIPO INSERT. CON MARCACIÓN LASER.</t>
  </si>
  <si>
    <t>QSWS2_5BRLI_WH</t>
  </si>
  <si>
    <t>TECLADO CON DOS GRUPOS DE 3 BOTONES, INCLUYENDO RAISE AND LOWER.</t>
  </si>
  <si>
    <t>RRD_W1RLD_WH</t>
  </si>
  <si>
    <t>TECLADO CON DOS GRUPOS DE 3 BOTONES.</t>
  </si>
  <si>
    <t>RRD_W3BD</t>
  </si>
  <si>
    <t>KIT DE ATENUADOR PD-6WCL-W MAS TECLADO TIPO PICO PJ2-3BRL-WH-L01R.</t>
  </si>
  <si>
    <t>P_PKG1W_WH</t>
  </si>
  <si>
    <t>KIT DE ATENUADOR PARA CONEXIÓN EN TOMA CORRIENTE PD-3PCL-W.</t>
  </si>
  <si>
    <t>P_PKG1P_WH</t>
  </si>
  <si>
    <t>KIT DE ATENUADOR PARA CONEXIÓN EN TOMA CORRIENTE PD-3PCL-W MAS TECLADO TIPO PICO PJ2-3BRL-WH-L01R.</t>
  </si>
  <si>
    <t>KIT CON ACTUADOR DE TEMPERATURA Y SENSOR DE TEMPERATURA INALÁMBRICO.</t>
  </si>
  <si>
    <t>LR_HVAC_INT_SW</t>
  </si>
  <si>
    <t>KIT CON ACTUADOR DE CARGAS DE CONTROL DE TEMPERATURA Y SENSOR DE TEMPERATURA INALÁMBRICO.</t>
  </si>
  <si>
    <t>KIT CON ACTUADOR TEMPERATURA, MANDO TERMOSTATO DE PARED Y SENSOR DE TEMPERATURA.</t>
  </si>
  <si>
    <t xml:space="preserve">LR_HVAC_PKG_WH </t>
  </si>
  <si>
    <t>KIT CON ACTUADOR DE CARGAS DE CONTROL DE TEMPERATURA, MANDO TERMOSTATO DE PARED Y SENSOR DE TEMPERATURA INALÁMBRICO.</t>
  </si>
  <si>
    <t>MODULO PARA INTEGRACIÓN DE SENSORES INALÁMBRICOS Y ALÁMBRICOS.</t>
  </si>
  <si>
    <t>QSM2_4W_C</t>
  </si>
  <si>
    <t>MODULO PARA INTEGRACIÓN DE SENSORES INALÁMBRICOS Y ALÁMBRICOS, FRECUENCIA DE OPERACIÓN 434 MHZ.</t>
  </si>
  <si>
    <t>QSM2_4W_J</t>
  </si>
  <si>
    <t>MODULO PARA INTEGRACIÓN DE SENSORES INALÁMBRICOS Y ALÁMBRICOS, FRECUENCIA DE OPERACIÓN 434 MHZ. CON CARCASA DE MONTAJE TIPO J.</t>
  </si>
  <si>
    <t>MODULO PARA INTEGRACIÓN DE SENSORES ALÁMBRICOS, FRECUENCIA DE OPERACIÓN 434 MHZ.</t>
  </si>
  <si>
    <t>QSM2_XW_C</t>
  </si>
  <si>
    <t>M_QSM2_XW_C</t>
  </si>
  <si>
    <t>GESTION Y MANEJOR DE MODULO PARA INTEGRACIÓN DE SENSORES INALÁMBRICOS, FRECUENCIA DE OPERACIÓN 434 MHZ.</t>
  </si>
  <si>
    <t>QSM2_XW_J</t>
  </si>
  <si>
    <t>MODULO PARA INTEGRACIÓN DE SENSORES INALÁMBRICOS, FRECUENCIA DE OPERACIÓN 434 MHZ. CARCASA DE MONTAJE TIPO J.</t>
  </si>
  <si>
    <t>PROCESADOR MULTI VOLTAJE PARA MANEJO DE CUATRO 0_10 VOLTIOS Y CARGAS A 20A.</t>
  </si>
  <si>
    <t>QSN_4T20_S</t>
  </si>
  <si>
    <t>PROCESADOR MULTI VOLTAJE PARA MANEJO DE 4 LASOS 0_10 VOLTIOS Y CARGAS A 20 AMPERIOS.</t>
  </si>
  <si>
    <t>PROCESADOR MULTI VOLTAJE PARA MANEJO DE 4 LASOS 0_10 VOLTIOS Y CARGAS A 16A.</t>
  </si>
  <si>
    <t>QSN_4T16_S</t>
  </si>
  <si>
    <t>PROCESADOR MULTI VOLTAJE PARA MANEJO DE 4 RETORNOS DE 0_10 VOLTIOS Y CARGAS A 16 AMPERIOS.</t>
  </si>
  <si>
    <t>PROCESADOR MULTI VOLTAJE DE 4 LASOS 0_10 VOLTIOS Y CARGAS A 16A.</t>
  </si>
  <si>
    <t>QSN_4T16_S_347</t>
  </si>
  <si>
    <t>PROCESADOR MULTI VOLTAJE Y 327 VOLTIOS PARA MANEJO DE 4 LASOS 0_10 VOLTIOS Y CARGAS A 16 AMPERIOS.</t>
  </si>
  <si>
    <t>PROCESADOR DE UN LASO PARA MANEJO DE HASTA 64 ELEMENTOS ECOSYSTEM.</t>
  </si>
  <si>
    <t>QSN_1ECO_S</t>
  </si>
  <si>
    <t>PROCESADOR DE UN LASO PARA MANEJO DE HASTA 64 ELEMENTOS ECOSYSTEM, MULTIVOLTAJE, INTEGRABLE CON QUANTUM EQUIPOS MEDIANTE LINK QS.</t>
  </si>
  <si>
    <t>PROCESADOR DE DOS LASOS PARA MANEJO DE HASTA 128 ELEMENTOS ECOSYSTEM.</t>
  </si>
  <si>
    <t>QSN_2ECO_S</t>
  </si>
  <si>
    <t>PROCESADOR DE DOS LASOS PARA MANEJO DE HASTA 128 ELEMENTOS ECOSYSTEM, MULTIVOLTAJE, INTEGRABLE CON QUANTUM EQUIPOS MEDIANTE LINK QS.</t>
  </si>
  <si>
    <t>PANEL DE CONMUTACIÓN DE 4 LASOS MULTI VOLTAJE A 20 AMPERIOS.</t>
  </si>
  <si>
    <t>QSN_4S20_S</t>
  </si>
  <si>
    <t>PANEL DE CONMUTACIÓN DE 4 LASOS MULTI VOLTAJE A 16 AMPERIOS.</t>
  </si>
  <si>
    <t>QSN_4S16_S</t>
  </si>
  <si>
    <t>PANEL DE CONMUTACIÓN DE 4 LASOS MULTI VOLTAJE Y 327 VOLTIOS, A 20 AMPERIOS.</t>
  </si>
  <si>
    <t>QSN_4S16_S_347</t>
  </si>
  <si>
    <t>MODULO DE ATENUACIÓN DE 6 CANALES PARA CARGAS MAGNÉTICAS Y ELECTRÓNICAS.</t>
  </si>
  <si>
    <t>QSGRJ_6P</t>
  </si>
  <si>
    <t xml:space="preserve">MODULO DE ATENUACIÓN DE 6 CANALES PARA CARGAS MAGNÉTICAS Y ELECTRÓNICAS. CAPACIDAD DE 800 VATIOS POR CANAL O 1980 VATIOS POR EQUIPO. </t>
  </si>
  <si>
    <t>MÓDULO DE POTENCIA PARA ATENUACIÓN DE CARGAS CON FASE ADAPTATIVA.</t>
  </si>
  <si>
    <t>PHPM_PA_120_WH</t>
  </si>
  <si>
    <t>MÓDULO DE POTENCIA PARA ATENUACIÓN DE CARGAS CON FASE ADAPTATIVA. CAPACIDAD DE CARGA HASTA POR 2000 VATIOS.</t>
  </si>
  <si>
    <t>BUS DE DATOS PARA 32 BALASTROS ATENUABLES.</t>
  </si>
  <si>
    <t>RMJ_ECO32_DV_B</t>
  </si>
  <si>
    <t>BUS DE DATOS PARA 32 BALASTROS ATENUABLES, CONEXIÓN CON DISPOSITIVOS INALÁMBRICOS COMO SENSORES Y MANDOS DE CONTROL.</t>
  </si>
  <si>
    <t>CONTROLADOR DE ILUMINACIÓN PARA CONTROL DE 3 CIRCUITOS ATENUABLES.</t>
  </si>
  <si>
    <t>QSGRJ_3P_WH</t>
  </si>
  <si>
    <t>CONTROLADOR DE ILUMINACIÓN PARA CONTROL DE 3 CIRCUITOS ATENUABLES, CONTROL HORARIO, BOTONES DE ESCENAS, CAPACIDAD DE INTEGRACIÓN CON DISPOSITIVOS COMO SENSORES, TECLADOS Y CONTROLADORES. NO INCLUYE TAPA DECORATIVA.</t>
  </si>
  <si>
    <t>CONTROLADOR DE ILUMINACIÓN PARA CONTROL DE 4 CIRCUITOS ATENUABLES.</t>
  </si>
  <si>
    <t>QSGRJ_4P_WH</t>
  </si>
  <si>
    <t>CONTROLADOR DE ILUMINACIÓN PARA CONTROL DE 4 CIRCUITOS ATENUABLES, CONTROL HORARIO, BOTONES DE ESCENAS, CAPACIDAD DE INTEGRACIÓN CON DISPOSITIVOS COMO SENSORES, TECLADOS Y CONTROLADORES. NO INCLUYE TAPA DECORATIVA.</t>
  </si>
  <si>
    <t>CONTROLADOR DE ILUMINACIÓN PARA CONTROL DE 6 CIRCUITOS ATENUABLES.</t>
  </si>
  <si>
    <t>QSGRJ_6P_WH</t>
  </si>
  <si>
    <t>CONTROLADOR DE ILUMINACIÓN PARA CONTROL DE 6 CIRCUITOS ATENUABLES, CONTROL HORARIO, BOTONES DE ESCENAS, CAPACIDAD DE INTEGRACIÓN CON DISPOSITIVOS COMO SENSORES, TECLADOS Y CONTROLADORES. NO INCLUYE TAPA DECORATIVA.</t>
  </si>
  <si>
    <t>QSGRJ_3P_1TWH</t>
  </si>
  <si>
    <t xml:space="preserve">CONTROLADOR DE ILUMINACIÓN PARA CONTROL DE 3 CIRCUITOS ATENUABLES, CONTROL HORARIO, BOTONES DE ESCENAS, CAPACIDAD DE INTEGRACIÓN CON DISPOSITIVOS COMO SENSORES, TECLADOS Y CONTROLADORES. INCLUYE TECLADO CONTROLADOR DE CORTINAS Y TAPA TRANSLUCIDA. </t>
  </si>
  <si>
    <t>QSGRJ_4P_1TWH</t>
  </si>
  <si>
    <t>CONTROLADOR DE ILUMINACIÓN PARA CONTROL DE 4 CIRCUITOS ATENUABLES, CONTROL HORARIO, BOTONES DE ESCENAS, CAPACIDAD DE INTEGRACIÓN CON DISPOSITIVOS COMO SENSORES, TECLADOS Y CONTROLADORES. INCLUYE CONTROLADOR DE CORTINAS Y TAPA TRANSLUCIDA.</t>
  </si>
  <si>
    <t>QSGRJ_4P_1WH</t>
  </si>
  <si>
    <t>CONTROLADOR DE ILUMINACIÓN PARA CONTROL DE 4 CIRCUITOS ATENUABLES, CONTROL HORARIO, BOTONES DE ESCENAS, CAPACIDAD DE INTEGRACIÓN CON DISPOSITIVOS COMO SENSORES, TECLADOS Y CONTROLADORES. INCLUYE CONTROLADOR DE CORTINAS Y TAPA.</t>
  </si>
  <si>
    <t>QSGRJ_6P_1TWH</t>
  </si>
  <si>
    <t>CONTROLADOR DE ILUMINACIÓN PARA CONTROL DE 6 CIRCUITOS ATENUABLES, CONTROL HORARIO, BOTONES DE ESCENAS, CAPACIDAD DE INTEGRACIÓN CON DISPOSITIVOS COMO SENSORES, TECLADOS Y CONTROLADORES. INCLUYE CONTROLADOR DE CORTINAS Y TAPA TRANSLUCIDA.</t>
  </si>
  <si>
    <t>QSGRJ_6P_1WH</t>
  </si>
  <si>
    <t>CONTROLADOR DE ILUMINACIÓN PARA CONTROL DE 6 CIRCUITOS ATENUABLES, CONTROL HORARIO, BOTONES DE ESCENAS, CAPACIDAD DE INTEGRACIÓN CON DISPOSITIVOS COMO SENSORES, TECLADOS Y CONTROLADORES. INCLUYE CONTROLADOR DE CORTINAS Y TAPA.</t>
  </si>
  <si>
    <t>UNIDAD DE CONTROL DE ILUMINACIÓN CON BUS DE DATOS ECOSYSTEM.</t>
  </si>
  <si>
    <t>QSGRJ_6E_WH</t>
  </si>
  <si>
    <t>UNIDAD DE CONTROL DE ILUMINACIÓN CON BUS DE DATOS ECOSYSTEM PARA MANEJO DE HASTA 6 ZONAS.</t>
  </si>
  <si>
    <t>MODULO PARA INTEGRACIÓN DE RELEVOS O CONTACTOS SECOS.</t>
  </si>
  <si>
    <t>RR_VCRX_WH</t>
  </si>
  <si>
    <t>SOPORTE PARA PROCESADORES EN MONTAJE TIPO RACK</t>
  </si>
  <si>
    <t>LUT_19AV_1U</t>
  </si>
  <si>
    <t>INTERFAZ DE INTEGRACIÓN MEDIANTE CONTACTO SECO.</t>
  </si>
  <si>
    <t>QSE_IO</t>
  </si>
  <si>
    <t>INTERFAZ DE INTEGRACIÓN MEDIANTE CONTACTO SECO, INCLUYE 5 PUERTOS DE ENTRADA/SALIDA.</t>
  </si>
  <si>
    <t>INTERFACE PARA INTEGRACIÓN DE ILUMINACIÓN DE EMERGENCIA</t>
  </si>
  <si>
    <t>LUT_ELI_3PH</t>
  </si>
  <si>
    <t>CAJA PARA SUSPENSIÓN DE PROCESADORES QS</t>
  </si>
  <si>
    <t>LUT_5X10_ENC</t>
  </si>
  <si>
    <t>INTERFAZ DE INTEGRACIÓN MEDIANTE PUERTO SERIAL O TCP/IP.</t>
  </si>
  <si>
    <t>QSE_CI_NWK_E</t>
  </si>
  <si>
    <t>INTERFAZ PARA COMUNICACIÓN INALÁMBRICA DE PROCESADORES HOMEWORKS QS.</t>
  </si>
  <si>
    <t>HQR_REP_120</t>
  </si>
  <si>
    <t>INTERFAZ PARA HABILITACIÓN DE COMUNICACIÓN INALÁMBRICA DE PROCESADORES HOMEWORKS QS.</t>
  </si>
  <si>
    <t>MÓDULO PROCESADOR PARA MANEJO DE EVENTOS TEMPORIZADOS EN SISTEMAS ENERGY SAVR.</t>
  </si>
  <si>
    <t>QSGR_TC_3S_WH</t>
  </si>
  <si>
    <t>MÓDULO PROCESADOR CON CONECTIVIDAD QS PARA MANEJO DE EVENTOS TEMPORIZADOS EN SISTEMAS ENERGY SAVR.</t>
  </si>
  <si>
    <t>SMART BRIDGE PARA CONTROL INALÁMBRICO DE ILUMINACIÓN.</t>
  </si>
  <si>
    <t>L_BDGPRO2_WH</t>
  </si>
  <si>
    <t>SMART BRIDGE PARA CONTROL INALÁMBRICO DE ILUMINACIÓN. PERMITE LA INTEGRACIÓN CON OTROS SISTEMAS DE CONTROL.</t>
  </si>
  <si>
    <t xml:space="preserve">SMART BRIDGE PARA CONTROL INALÁMBRICO DE ILUMINACIÓN. </t>
  </si>
  <si>
    <t>L_BDG2_WH</t>
  </si>
  <si>
    <t>REPETIDORA PARA SISTEMA RADIO RA2, CON RELOJ ASTRONÓMICO.</t>
  </si>
  <si>
    <t>RR_MAIN_REP_WH</t>
  </si>
  <si>
    <t>REPETIDORA PARA SISTEMA RADIO RA2, CON RELOJ ASTRONÓMICO Y ALCANCE DE 9 METROS RADIALES. CAPACIDAD DE INTEGRACIÓN CON OTROS DISPOSITIVOS.</t>
  </si>
  <si>
    <t>REPETIDORA AUXILIAR PARA AUMENTO DE COBERTURA DE SISTEMAS RADIO RA2</t>
  </si>
  <si>
    <t>RR_AUX_REP_WH</t>
  </si>
  <si>
    <t>SENSOR DE DETECCIÓN CON DOBLE TECNOLOGÍA (ULTRA SÓNICA E INFRA ROJA).</t>
  </si>
  <si>
    <t>LOS_CDT_1000_WH</t>
  </si>
  <si>
    <t>SENSOR DE DETECCIÓN CON DOBLE TECNOLOGÍA (ULTRA SÓNICA E INFRA ROJA), COBERTURA 360 GRADOS Y 1000 PIES CUADRADOS.</t>
  </si>
  <si>
    <t>LOS_CDT_2000_WH</t>
  </si>
  <si>
    <t>SENSOR DE DETECCIÓN CON DOBLE TECNOLOGÍA (ULTRA SÓNICA E INFRA ROJA), COBERTURA 360 GRADOS Y 2000 PIES CUADRADOS.</t>
  </si>
  <si>
    <t>LOS_CDT_500_WH</t>
  </si>
  <si>
    <t>SENSOR DE DETECCIÓN CON DOBLE TECNOLOGÍA (ULTRA SÓNICA E INFRA ROJA), COBERTURA 180 GRADOS Y 500 PIES CUADRADOS.</t>
  </si>
  <si>
    <t>LOS_WDT_WH</t>
  </si>
  <si>
    <t>SENSOR DE DETECCIÓN CON DOBLE TECNOLOGÍA (ULTRA SÓNICA E INFRA ROJA), PARA MONTAJE EN PARED..</t>
  </si>
  <si>
    <t>LOS_CDT_1000R_WH</t>
  </si>
  <si>
    <t>SENSOR DE DETECCIÓN CON DOBLE TECNOLOGÍA (ULTRA SÓNICA E INFRA ROJA), COBERTURA 360 GRADOS Y 1000 PIES CUADRADOS. INCLUYE RELEVO INDEPENDIENTE PARA APLICACIONES ADICIONALES.</t>
  </si>
  <si>
    <t>LOS_CDT_2000R_WH</t>
  </si>
  <si>
    <t>SENSOR DE DETECCIÓN CON DOBLE TECNOLOGÍA (ULTRA SÓNICA E INFRA ROJA), COBERTURA 360 GRADOS Y 2000 PIES CUADRADOS. INCLUYE RELEVO INDEPENDIENTE PARA APLICACIONES ADICIONALES.</t>
  </si>
  <si>
    <t>LOS_CDT_500R_WH</t>
  </si>
  <si>
    <t>SENSOR DE DETECCIÓN CON DOBLE TECNOLOGÍA (ULTRA SÓNICA E INFRA ROJA), COBERTURA 180 GRADOS Y 500 PIES CUADRADOS. INCLUYE RELEVO INDEPENDIENTE PARA APLICACIONES ADICIONALES.</t>
  </si>
  <si>
    <t>LOS_WDT_R_WH</t>
  </si>
  <si>
    <t>SENSOR DE DETECCIÓN CON DOBLE TECNOLOGÍA (ULTRA SÓNICA E INFRA ROJA), PARA MONTAJE EN PARED. INCLUYE RELEVO INDEPENDIENTE PARA APLICACIONES ADICIONALES.</t>
  </si>
  <si>
    <t>SENSOR DE DETECCIÓN INFRA ROJA CON COBERTURA DE 360 GRADOS.</t>
  </si>
  <si>
    <t>LOS_CIR_1500</t>
  </si>
  <si>
    <t>SENSOR DE DETECCIÓN INFRA ROJA CON COBERTURA DE 360 GRADOS Y COBERTURA DE 1500 PIES CUADRADOS.</t>
  </si>
  <si>
    <t>SENSOR DE DETECCIÓN INFRA ROJA CON COBERTURA DE 180 GRADOS.</t>
  </si>
  <si>
    <t>LOS_CIR_450</t>
  </si>
  <si>
    <t>SENSOR DE DETECCIÓN INFRA ROJA CON COBERTURA DE 180 GRADOS Y COBERTURA DE 450 PIES CUADRADOS.</t>
  </si>
  <si>
    <t xml:space="preserve">SENSOR DE DETECCIÓN CON DETECCIÓN INFRA ROJA, PARA MONTAJE EN PARED. </t>
  </si>
  <si>
    <t>LOS_WIR_WH</t>
  </si>
  <si>
    <t>SENSOR INALÁMBRICO PARA COBERTURA EN PASILLOS.</t>
  </si>
  <si>
    <t>LRF2_VHLB_P_WH</t>
  </si>
  <si>
    <t>SENSOR INALÁMBRICO PARA COBERTURA EN PASILLOS, FRECUENCIA DE OPERACIÓN DE 434 MHZ.</t>
  </si>
  <si>
    <t>SENSOR DE LUZ INALÁMBRICO CON FRECUENCIA DE OPERACIÓN 434 MHZ.</t>
  </si>
  <si>
    <t>LRF2_DCRB_WH</t>
  </si>
  <si>
    <t>SENSOR DE OCUPACIÓN Y DESOCUPACIÓN INALÁMBRICO CON COBERTURA DE 360 GRADOS.</t>
  </si>
  <si>
    <t>LRF2_OCR2B_P_WH</t>
  </si>
  <si>
    <t>SENSOR DE OCUPACIÓN Y DESOCUPACIÓN INALÁMBRICO CON COBERTURA DE 360 GRADOS, 3 VDC, 434 MHz.</t>
  </si>
  <si>
    <t>SENSOR DE DESOCUPACIÓN INALÁMBRICO CON COBERTURA DE 365 GRADOS.</t>
  </si>
  <si>
    <t>LRF2_VCR2B_P_WH</t>
  </si>
  <si>
    <t>SENSOR DE OCUPACIÓN Y DESOCUPACIÓN INALÁMBRICO PARA MONTAJE EN ESQUINAS.</t>
  </si>
  <si>
    <t>LRF2_OKLB_P_WH</t>
  </si>
  <si>
    <t>SENSOR DE OCUPACIÓN Y DESOCUPACIÓN INALÁMBRICO PARA MONTAJE EN ESQUINAS, CON COBERTURA DE 90 GRADOS.</t>
  </si>
  <si>
    <t>SENSOR DE DESOCUPACIÓN INALÁMBRICO PARA MONTAJE EN ESQUINAS.</t>
  </si>
  <si>
    <t>LRF2_VKLB_P_WH</t>
  </si>
  <si>
    <t>SENSOR DE DESOCUPACIÓN INALÁMBRICO PARA MONTAJE EN ESQUINAS, CON COBERTURA DE 90 GRADOS.</t>
  </si>
  <si>
    <t>SENSOR INALÁMBRICO DE OCUPACIÓN Y DESOCUPACIÓN PARA COBERTURA EN PASILLOS.</t>
  </si>
  <si>
    <t>LRF2_OHLB_P_WH</t>
  </si>
  <si>
    <t>SENSOR INALÁMBRICO DE OCUPACIÓN Y DESOCUPACIÓN PARA COBERTURA EN PASILLOS, FRECUENCIA DE OPERACIÓN DE 434 MHZ.</t>
  </si>
  <si>
    <t>SENSOR INALÁMBRICO DE OCUPACIÓN Y DESOCUPACIÓN PARA MONTAJE EN PARED.</t>
  </si>
  <si>
    <t>LRF2_OWLB_P_WH</t>
  </si>
  <si>
    <t>SENSOR INALÁMBRICO DE OCUPACIÓN Y DESOCUPACIÓN PARA MONTAJE EN PARED, FRECUENCIA DE OPERACIÓN DE 434 MHZ.</t>
  </si>
  <si>
    <t>SENSOR INALÁMBRICO DE DESOCUPACIÓN PARA MONTAJE EN PARED.</t>
  </si>
  <si>
    <t>LRF2_VWLB_P_WH</t>
  </si>
  <si>
    <t>SENSOR INALÁMBRICO DE DESOCUPACIÓN PARA MONTAJE EN PARED, FRECUENCIA DE OPERACIÓN DE 434 MHZ.</t>
  </si>
  <si>
    <t>SENSOR CON DETECCIÓN ULTRA SÓNICA Y COBERTURA DE 360 GRADOS.</t>
  </si>
  <si>
    <t>LOS_CUS_1000_WH</t>
  </si>
  <si>
    <t>SENSOR CON DETECCIÓN ULTRA SÓNICA Y COBERTURA DE 360 GRADOS PARA 1000 PIES CUADRADOS.</t>
  </si>
  <si>
    <t>LOS_CUS_2000_WH</t>
  </si>
  <si>
    <t>SENSOR CON DETECCIÓN ULTRA SÓNICA Y COBERTURA DE 360 GRADOS PARA 2000 PIES CUADRADOS.</t>
  </si>
  <si>
    <t>SENSOR CON DETECCIÓN ULTRA SÓNICA Y COBERTURA DE 180 GRADOS.</t>
  </si>
  <si>
    <t>LOS_CUS_500_WH</t>
  </si>
  <si>
    <t>SENSOR CON DETECCIÓN ULTRA SÓNICA Y COBERTURA DE 180 GRADOS PARA 500 PIES CUADRADOS.</t>
  </si>
  <si>
    <t>SENSOR DE LUZ ALAMBRADO PARA INTERCONEXIÓN CON DISPOSITIVOS ECOSYSTEM.</t>
  </si>
  <si>
    <t>EC_DIR_WH</t>
  </si>
  <si>
    <t>ATENUADOR PARA DETECCIÓN DE OCUPACIÓN O DESOCUPACIÓN, PARA CARGAS TIPO HALÓGENO.</t>
  </si>
  <si>
    <t>MSCL_OP153MH_WH</t>
  </si>
  <si>
    <t>ATENUADOR PARA DETECCIÓN DE OCUPACIÓN O DESOCUPACIÓN, PARA CARGAS TIPO HALÓGENO, LED ATENUABLE O FLUORESCENTE COMPACTA ATENUABLE.</t>
  </si>
  <si>
    <t>INTERRUPTOR PARA DETECCIÓN DE OCUPACIÓN O DESOCUPACIÓN, PARA DOS CARGAS TIPO HALÓGENO.</t>
  </si>
  <si>
    <t>MS_OPS6_DDV_WH</t>
  </si>
  <si>
    <t>INTERRUPTOR PARA DETECCIÓN DE OCUPACIÓN O DESOCUPACIÓN, PARA DOS CARGAS TIPO HALÓGENO, LED ATENUABLE O FLUORESCENTE COMPACTA ATENUABLE.</t>
  </si>
  <si>
    <t>SWI</t>
  </si>
  <si>
    <t>INTERRUPTOR DE PARED DE LA SERIE CASETA WIRELESS.</t>
  </si>
  <si>
    <t>PD_5WS_DV_WH</t>
  </si>
  <si>
    <t>INTERRUPTOR DE PARED DE LA SERIE CASETA WIRELESS, MANEJO DE CARGAS ENTRE 25 Y 150 VATIOS. COLOR BLANCO.</t>
  </si>
  <si>
    <t>PD_5WS_DV_BL</t>
  </si>
  <si>
    <t>INTERRUPTOR DE PARED DE LA SERIE CASETA WIRELESS, MANEJO DE CARGAS ENTRE 25 Y 150 VATIOS. COLOR NEGRO.</t>
  </si>
  <si>
    <t>PD_5WS_DV_IV</t>
  </si>
  <si>
    <t>INTERRUPTOR DE PARED DE LA SERIE CASETA WIRELESS, MANEJO DE CARGAS ENTRE 25 Y 150 VATIOS. COLOR ALMENDRA.</t>
  </si>
  <si>
    <t>PD_5WS_DV_AL</t>
  </si>
  <si>
    <t>INTERRUPTOR DE PARED DE LA SERIE CASETA WIRELESS, MANEJO DE CARGAS ENTRE 25 Y 150 VATIOS. COLOR MARFIL.</t>
  </si>
  <si>
    <t>MÓDULO DE CONMUTACIÓN A 16 AMPERIOS, PARA ALIMENTACIÓN DE SENSORES.</t>
  </si>
  <si>
    <t>PP_DV</t>
  </si>
  <si>
    <t>MÓDULO DE CONMUTACIÓN INALÁMBRICO A 16 AMPERIOS.</t>
  </si>
  <si>
    <t>RMJS_5R_DV_B</t>
  </si>
  <si>
    <t>INTERRUPTOR CON OPERACIÓN INALÁMBRICA PARA SISTEMA RADIO RA2.</t>
  </si>
  <si>
    <t>RRD_8ANS_WH</t>
  </si>
  <si>
    <t>INTERRUPTOR CON OPERACIÓN INALÁMBRICA PARA SISTEMA RADIO RA2, CAPACIDAD DE CARGA HASTA DE 8 AMPERIOS.</t>
  </si>
  <si>
    <t>THE</t>
  </si>
  <si>
    <t>TERMOSTATO VISIÓN PRO HONEYWELL INALÁMBRICO.</t>
  </si>
  <si>
    <t>L_HWLV2_WIFI</t>
  </si>
  <si>
    <t>INTERFAZ PARA CONTROL DE TEMPERATURA, TERMOSTATO CALIBRADO EN   GRADOS CELSIUS.</t>
  </si>
  <si>
    <t>LRD_WST_C</t>
  </si>
  <si>
    <t>SENSOR DE TEMPERATURA INALÁMBRICO</t>
  </si>
  <si>
    <t>LRF2_TWRB _SW</t>
  </si>
  <si>
    <t>TIM</t>
  </si>
  <si>
    <t>INTERRUPTOR TIPO TIMER PARA APAGADO AUTOMÁTICO, TIEMPO AJUSTABLE. COLOR BLANCO.</t>
  </si>
  <si>
    <t>MA_T51_WH</t>
  </si>
  <si>
    <t>TEM</t>
  </si>
  <si>
    <t>KIT DE CONTROL DE TEMPERATURA, INCLUYE CONTROLADOR INALÁMBRICO.</t>
  </si>
  <si>
    <t>LR_HVAC_PKG_WH</t>
  </si>
  <si>
    <t>KIT DE CONTROL DE TEMPERATURA, INCLUYE CONTROLADOR INALÁMBRICO, SENSOR INALÁMBRICO DE TEMPERATURA Y SONDA CABLEADA.</t>
  </si>
  <si>
    <t>PROCESADOR PARA SISTEMAS HOMEWORKS QS</t>
  </si>
  <si>
    <t>HQP6_2</t>
  </si>
  <si>
    <t>TAPA CIEGA SENCILLA EN COLOR BLANCO.</t>
  </si>
  <si>
    <t>DV_BI_WH</t>
  </si>
  <si>
    <t>PANEL PARA INSTALACIÓN DE PROCESADOR DE CONTROL DE ILUMINACIÓN.</t>
  </si>
  <si>
    <t>HQ_LV21_120</t>
  </si>
  <si>
    <t>PANEL PARA INSTALACIÓN DE PROCESADOR DE CONTROL DE ILUMINACIÓN. MEDIDAS: 36.5cm X 53.3cm X 10.4cm.</t>
  </si>
  <si>
    <t>MÓDULO DE POTENCIA PARA CONTROL DE 6 CIRCUITOS. POTENCIA HASTA 2000 VATIOS.</t>
  </si>
  <si>
    <t>LQRJ_WPM_6D_120</t>
  </si>
  <si>
    <t>HQWA_W5BRLI_WH</t>
  </si>
  <si>
    <t>TECLADO DE 5 BOTONES TIPO INSERT. CON MARCACIÓN LASER. PARA SISTEMA HOMEWORKS QS.</t>
  </si>
  <si>
    <t>ATENUADOR DELA LÍNEA DIVA DE LUTRON, DE FASE ADAPTATIVA PARA CARGAS INCANDESCENTES.</t>
  </si>
  <si>
    <t>DVCL_153P_WH</t>
  </si>
  <si>
    <t>ATENUADOR DELA LÍNEA DIVA DE LUTRON, DE FASE ADAPTATIVA PARA CARGAS INCANDESCENTES, HALÓGENAS HASTA 600 VATIOS Y CARGAS TIPO LED COMPATIBLES HASTA 150 VATIOS.</t>
  </si>
  <si>
    <t>INTERRUPTOR PARA CARGAS HASTA 15 AMPERIOS. EN COLOR BLANCO.</t>
  </si>
  <si>
    <t>CA_3PS_WH</t>
  </si>
  <si>
    <t>INTERRUPTOR CONMUTABLE A 3 HILOS PARA CARGAS HASTA 15 AMPERIOS, 120 / 277 VAC. EN COLOR BLANCO.</t>
  </si>
  <si>
    <t>TOMA CORRIENTE EN COLOR BLANCO. MARCA: LUTRON.</t>
  </si>
  <si>
    <t>CAR_15_WH</t>
  </si>
  <si>
    <t>TOMA CORRIENTE EN COLOR BLANCO, 125 VAC, 60 Hz 15 A. MARCA: LUTRON.</t>
  </si>
  <si>
    <t xml:space="preserve">TOMA CORRIENTE GFCI EN COLOR BLANCO. </t>
  </si>
  <si>
    <t>SCR_15_GFTR_WH</t>
  </si>
  <si>
    <t>TOMA CORRIENTE GFCI EN COLOR BLANCO. 125 VAC, 60 Hz 15 A. NIVEL DE DISPARO 4 – 6 mA, TIEMPO DE DISPARO DE  .025s. MARCA: LUTRON.</t>
  </si>
  <si>
    <t>INTERFAZ DE INTEGRACIÓN PARA MANEJO DE CARGAS 0-10V</t>
  </si>
  <si>
    <t>GRX_TVI</t>
  </si>
  <si>
    <t>MÓDULO DE INTEGRACIÓN POR RADIO FRECUENCIA PARA CONTROL DE LUMINARIAS.</t>
  </si>
  <si>
    <t>LMJ_5T_DV_B</t>
  </si>
  <si>
    <t>MÓDULO DE INTEGRACIÓN POR RADIO FRECUENCIA PARA CONTROL DE LUMINARIAS CON ATENUACIÓN DE 0-10.</t>
  </si>
  <si>
    <t>MÓDULO PARA ATENUACIÓN COMPATIBLE CON PRODUCTOS MAESTRO WIRELESS.</t>
  </si>
  <si>
    <t>MRF2_3PD_1</t>
  </si>
  <si>
    <t>MODULO DE INTEGRACIÓN PARA BALASTROS A TRES HILOS, HASTA 2 AMPERIOS DE CARGA.</t>
  </si>
  <si>
    <t>C5_BMF_2A</t>
  </si>
  <si>
    <t>TAPA DECORATIVA DE DOS GANG EN COLOR ALUMINIO SATINADO.</t>
  </si>
  <si>
    <t>CW_1_SS</t>
  </si>
  <si>
    <t>CW_2_SS</t>
  </si>
  <si>
    <t>MS_OPS2_BL</t>
  </si>
  <si>
    <t>INTERRUPTOR CON SENSOR DE PRESENCIA INFRA ROJO PARA CARGAS HASTA 2 AMPERIOS. COLOR NEGRO.</t>
  </si>
  <si>
    <t>DIMMER ENCAPSULADO PARA CARGAS REMOTAS HASTA POR 300 VATIOS.</t>
  </si>
  <si>
    <t>MÓDULO DE INTEGRACIÓN POR RADIO FRECUENCIA PARA CONTROL DE RELÉ.</t>
  </si>
  <si>
    <t>RMJS_16R_DV_B</t>
  </si>
  <si>
    <t>CONTROLADOR 0-10 VOLTIOS PARA MANEJO DE CARGA LUMÍNICA INDIVIDUAL.</t>
  </si>
  <si>
    <t>FCJS_010</t>
  </si>
  <si>
    <t>MÓDULO POW PACK PARA CONTROL INALÁMBRICO DE CONTACTOS SECOS.</t>
  </si>
  <si>
    <t>RMJS_CCO1_24_B</t>
  </si>
  <si>
    <t>MÓDULO PARA CONEXIÓN DE ACCESO REMOTO DE SISTEMAS RADIO RA2 O HOMEWORKS QS.</t>
  </si>
  <si>
    <t>CONNECT_BDG2_1</t>
  </si>
  <si>
    <t>TOMA CORRIENTE IGFC CON POLO A TIERRA DE 15A.</t>
  </si>
  <si>
    <t>CAR_15_GFST_WH</t>
  </si>
  <si>
    <t>TOMA DE TELÉFONO</t>
  </si>
  <si>
    <t>CA_PJ_WH</t>
  </si>
  <si>
    <t>CA_CJ_WH</t>
  </si>
  <si>
    <t>INTERRUPTOR SENCILLO DE LA LÍNEA DIVA.</t>
  </si>
  <si>
    <t>CA_1PS_WH</t>
  </si>
  <si>
    <t>SUPLEMENTO PARA INSTALACIÓN RECESADA DE SENSOR DE PRESENCIA.</t>
  </si>
  <si>
    <t>L_CRMK_WH</t>
  </si>
  <si>
    <t>CONTROL DE PARED ALAMBRADO</t>
  </si>
  <si>
    <t>PX_3BRL_GWH_I01</t>
  </si>
  <si>
    <t>SENSOR ALAMBRADO DE OCUPACIÓN Y LUZ DIA PARA CONTROLADORES FCJ.</t>
  </si>
  <si>
    <t>FC_SENSOR</t>
  </si>
  <si>
    <t>METRO DE CABLE DE CABLE DE COMUNICACIONES 2X16 PARA BUS DE DATOS ECOSYSTEM.</t>
  </si>
  <si>
    <t>C_PCBL_216_CL_1</t>
  </si>
  <si>
    <t>METRO DE CABLE DE DATOS PARA COMUNICACIONES LINK QS</t>
  </si>
  <si>
    <t>GRX_CBL_346S_500</t>
  </si>
  <si>
    <t>CONTROLADOR ECOSYSTEM PARA LUMINARIAS LED O FLUORESCENTES.</t>
  </si>
  <si>
    <t>FCJS_ECO</t>
  </si>
  <si>
    <t>TECLADO HIBRIDO PARA MANEJO DE 6 ESCENAS CON BOTÓN DE SUBIDA Y BAJADA.</t>
  </si>
  <si>
    <t>RRD_HN6BRL_WH</t>
  </si>
  <si>
    <t>TECLADO HIBRIDO PARA MANEJO DE 6 ESCENAS CON BOTÓN DE SUBIDA Y BAJADA. ATENUACIÓN DE CARGAS DIRECTAS AL DISPOSITIVO.</t>
  </si>
  <si>
    <t>TECLADO DE 5 BOTONES PARA SUBIDA Y BAJADA CON MANEJO DE ESCENAS.</t>
  </si>
  <si>
    <t>RRD_W5BRL_WH</t>
  </si>
  <si>
    <t>TECLADO PICO DE 4 BOTONES</t>
  </si>
  <si>
    <t>PJ2_4B_GWH_L31</t>
  </si>
  <si>
    <t>TECLADO PICO CON 4 BOTONES DE ESCENAS.</t>
  </si>
  <si>
    <t>MÓDULO DE POTENCIA CON 6 CIRCUITOS INTEGRADOS PARA CARGAS ELECTRÓNICAS.</t>
  </si>
  <si>
    <t>LQRJ_WPM_6P</t>
  </si>
  <si>
    <t>MÓDULO DE POTENCIA CON 6 CIRCUITOS INTEGRADOS PARA CARGAS ELECTRÓNICAS, LED E INCANDESCENTES.</t>
  </si>
  <si>
    <t>TECLADO DE MESA INALÁMBRICO CON 15 BOTONES.</t>
  </si>
  <si>
    <t>RR_T15RL_SW</t>
  </si>
  <si>
    <t>DIMMER INALÁMBRICO PARA LUMINARIA DE MESA EN COLOR BLANCO NIEVE.</t>
  </si>
  <si>
    <t>RRD_3LD_SW</t>
  </si>
  <si>
    <t>DIMMER INALÁMBRICO PARA LUMINARIA DE MESA EN COLOR BLANCO NIEVE, CARGAS HASTA 300W.</t>
  </si>
  <si>
    <t>TECLADO PARA VISOR DE AUTOMÓVIL CON TRES BOTONES</t>
  </si>
  <si>
    <t>LR_3B_H_SW</t>
  </si>
  <si>
    <t>FACEPLATE PARA UNIDAD GRAFIK QS CON BOTONERA DE ESCENAS Y DOS PARA CORTINAS.</t>
  </si>
  <si>
    <t>QSGFP_2WH</t>
  </si>
  <si>
    <t>FACEPLATE PARA UNIDAD GRAFIK QS CON BOTONERA DE ESCENAS Y DOS MANDOS PARA CORTINAS.</t>
  </si>
  <si>
    <t>CONTROLADOR POW PACK CON CAPACIDAD HASTA 32 LUMINARIAS ECOSYSTEM.</t>
  </si>
  <si>
    <t>CONTROLADOR POW PACK CON CAPACIDAD HASTA 32 LUMINARIAS ECOSYSTEM Y CONECTIVIDAD POR RF.</t>
  </si>
  <si>
    <t>TECLADO PICO CON 3 BOTONES, SUBIR/BAJAR. CON ICONO AZUL.</t>
  </si>
  <si>
    <t>PJ2_3BRL_GWH_L01</t>
  </si>
  <si>
    <t>TECLADO PICO WIRELESS CON SUBIDA BAJADA COLOR BLANCO.</t>
  </si>
  <si>
    <t>DRIVER HI-LUME PARA LED, ATENUACIÓN 1%.</t>
  </si>
  <si>
    <t>LTEA4U1UKS</t>
  </si>
  <si>
    <t>DIMMER CASETA DE 1000W EN COLOR BLANCO</t>
  </si>
  <si>
    <t>PD_10NXD_WH</t>
  </si>
  <si>
    <t>TECLADO INALÁMBRICO DE 6 BOTONES CON RAISE AND LOWER EN COLOR BLANCO.</t>
  </si>
  <si>
    <t>RRD_W6BRL_WH</t>
  </si>
  <si>
    <t>DIMMER REMOTO PARA CARGAS CONMUTABLES</t>
  </si>
  <si>
    <t>RD_RD_WH</t>
  </si>
  <si>
    <t>METRO DE CABLE PARA BUS DE DATOS ECOSYSTEM, ROLLO POR 1000 PIES.</t>
  </si>
  <si>
    <t>LUTRON_PINK</t>
  </si>
  <si>
    <t>DIMMER ATENUADOR DE CARGAS LED HASTA 150 VATIOS DE LA LÍNEA DIVA.</t>
  </si>
  <si>
    <t>DVCL_153P</t>
  </si>
  <si>
    <t>HUB DE ADMINISTRACIÓN DE ILUMINACIÓN CON UN ÚNICO PROCESADOR QUANTUM.</t>
  </si>
  <si>
    <t>QP3_1PL_100_240</t>
  </si>
  <si>
    <t>LICENCIA PARA SUPERVISIÓN Y CONTROL DE LUMINARIAS ASOCIADAS A SISTEMA QUANTUM.</t>
  </si>
  <si>
    <t>QSW_QVS_L</t>
  </si>
  <si>
    <t>TECLADO DE 4 BOTONES CON RAISE AND LOWER.</t>
  </si>
  <si>
    <t>PJ2_2BRL_GWH_L01</t>
  </si>
  <si>
    <t>INTERRUPTOR DUAL PARA DOS CARGAS HASTA 15 AMPERIOS, CON SENSOR ULTRA SÓNICO.</t>
  </si>
  <si>
    <t>MS_B202_WH</t>
  </si>
  <si>
    <t>INTERRUPTOR DUAL PARA DOS CARGAS HASTA 15 AMPERIOS, CON SENSOR ULTRA SÓNICO PARA DETECCIÓN DE MOVIMIENTOS FINOS.</t>
  </si>
  <si>
    <t>KIT DE ATENUACIÓN CON DIMMER DE CONTROL, TECLADO PICO Y WALL PLATE.</t>
  </si>
  <si>
    <t>TECLADO TIPO PICO PARA EL CONTROL DE EQUIPOS DE AUDIO.</t>
  </si>
  <si>
    <t>PJ2_3BRL_GWH_A02</t>
  </si>
  <si>
    <t>DIMMER DE FASE ADAPTATIVA CON NEUTRO</t>
  </si>
  <si>
    <t>PD_6ANS_WH</t>
  </si>
  <si>
    <t>INTERRUPTOR LINEA CASETA CON NEUTRO COLOR BLANCO</t>
  </si>
  <si>
    <t>TAPA CIEGA SENCILLA EN COLOR NEGRO.</t>
  </si>
  <si>
    <t>DV_BI_BL</t>
  </si>
  <si>
    <t>PROCESADOR QUANTUM</t>
  </si>
  <si>
    <t>QS_1P</t>
  </si>
  <si>
    <t>VISITA POR PARTE DE REPRESENTANTE DE LUTRON</t>
  </si>
  <si>
    <t>LSC_SYSOPT_SP</t>
  </si>
  <si>
    <t>SENSOR INFRA ROJO DE PARTICIÓN</t>
  </si>
  <si>
    <t>GRX_IRPS_WH</t>
  </si>
  <si>
    <t>MÓDULO DE CONMUTACIÓN DE 4 SALIDAS A 16A</t>
  </si>
  <si>
    <t>LQSE_4S8_120_D</t>
  </si>
  <si>
    <t>MÓDULO DE CONMUTACIÓN DE 4 SALIDAS 5A CON CONTROL 0-10</t>
  </si>
  <si>
    <t>LQSE_4T5_120_D</t>
  </si>
  <si>
    <t>SENSOR DE LUZ NATURAL</t>
  </si>
  <si>
    <t>LRF2_SSW_WH</t>
  </si>
  <si>
    <t>PHPM_PA_DV_WH</t>
  </si>
  <si>
    <t>MÓDULO DE POTENCIA PARA ATENUACIÓN DE CARGAS CON FASE ADAPTATIVA. CAPACIDAD DE CARGA HASTA POR 2000 VATIOS. TRABAJA HASTA 277V.</t>
  </si>
  <si>
    <t>TECLADO DE 6 BOTONES CON SUBIDA Y BAJADA CON MANEJO DE ESCENAS.</t>
  </si>
  <si>
    <t>DIMMER DE FASE ADAPTATIVA DE LA SERIE MAESTRO WIRELESS</t>
  </si>
  <si>
    <t>MRF2_6ANS_WH</t>
  </si>
  <si>
    <t>DRIVER PARA LUMINARIA SOFT DIM</t>
  </si>
  <si>
    <t>L3DA4U1UKN_GA065</t>
  </si>
  <si>
    <t>INTERFAZ PARA CONTROL DE CARGAS DE BAJO VOLTAJE.</t>
  </si>
  <si>
    <t>LUT_LBX_WH</t>
  </si>
  <si>
    <t xml:space="preserve">PANEL DE CONTROL CON DOS LAZOS ECOSYSTEM DE 64 DIRECCIONES. </t>
  </si>
  <si>
    <t>LQSE_2ECO_D</t>
  </si>
  <si>
    <t xml:space="preserve">PANEL DE CONTROL CON DOS LAZOS DALÍ DE 64 DIRECCIONES. </t>
  </si>
  <si>
    <t>LQSE_2DAL_D</t>
  </si>
  <si>
    <t>INTERFAZ PARA CONTROL MEDIANTE PROTOCOLO DMX.</t>
  </si>
  <si>
    <t>QSE_CI_DMX</t>
  </si>
  <si>
    <t>DRIVER PARA LUMINARIAS SOFT DIM</t>
  </si>
  <si>
    <t>INTERFAZ PARA PROGRAMACIÓN DE SISTEMAS ENERGY SAVR</t>
  </si>
  <si>
    <t>QSE_CI_AP_D</t>
  </si>
  <si>
    <t>INTERFAZ PARA CONTROL HORARIO EN SISTEMAS ENERGY SAVR.</t>
  </si>
  <si>
    <t>QSGR_TC_3S_WH_CPN5825</t>
  </si>
  <si>
    <t>INTERFAZ PARA INTEGRACIÓN DE SISTEMAS MEDIANTE CONTACTO SECO.</t>
  </si>
  <si>
    <t>GRX_IO</t>
  </si>
  <si>
    <t>INTERRUPTOR DIGITAL DE LA LÍNEA MAESTRO DE LUTRON</t>
  </si>
  <si>
    <t>MA_S8AM_WH</t>
  </si>
  <si>
    <t>PROCESADOR LUTRON HOMEWORKS SERIE 4 CON LINK DE CONEXIÓN HIBRIDA.</t>
  </si>
  <si>
    <t>H4P5_H48_HRL_120</t>
  </si>
  <si>
    <t>KIT DE CONTROL CON: 1 CONTROLADOR L-BDGPRO2-WH, 1 DIMMER PD-6WCL-WH.</t>
  </si>
  <si>
    <t>P_BDGPRO_PKG1W</t>
  </si>
  <si>
    <t>KIT DE CONTROL DE ILUMINACIÓN CON: 1 CONTROLADOR L-BDGPRO2-WH, 1 DIMMER PD-6WCL-WH, 1 CONTROL REMOTO PJ2-3BRL-WH-L01R, UNA TAPA CW-1-WH.</t>
  </si>
  <si>
    <t>DIMMER DE LA LÍNEA DIVA EN COLOR BLANCO MATE</t>
  </si>
  <si>
    <t>DVSCCL_153P_SW</t>
  </si>
  <si>
    <t>DIMMER DE LA LÍNEA DIVA EN COLOR BLANCO MATE.</t>
  </si>
  <si>
    <t>SC_3PS_SW</t>
  </si>
  <si>
    <t>SALIDA COAXIAL BLANCO MATE.</t>
  </si>
  <si>
    <t>SC_CJ_SW</t>
  </si>
  <si>
    <t>SALIDA PARA LÍNEA TELEFÓNICA BLANCO MATE.</t>
  </si>
  <si>
    <t>SC_PJ_SW</t>
  </si>
  <si>
    <t>TOMA CORRIENTE ELÉCTRICA DE 15 AMPERIOS BLANCO MATE.</t>
  </si>
  <si>
    <t>SCR_15_SW</t>
  </si>
  <si>
    <t>TOMA CORRIENTE ELÉCTRICA GFCI DE 15 AMPERIOS BLANCO MATE.</t>
  </si>
  <si>
    <t>SCR_15_GFST_SW</t>
  </si>
  <si>
    <t>TOMA CORRIENTE ELÉCTRICA GFCI DE 15 AMPERIOS BLANCO MATE. 125 VAC, 60 Hz 15 A. NIVEL DE DISPARO 4 – 6 mA, TIEMPO DE DISPARO DE  .025s. MARCA: LUTRON.</t>
  </si>
  <si>
    <t>TOMA CORRIENTE DE 15 AMPERIOS CON CARGADOR USB</t>
  </si>
  <si>
    <t>SCR_15_UBTR_SW</t>
  </si>
  <si>
    <t>DIMMER INALÁMBRICO EN COLOR BLANCO MATE.</t>
  </si>
  <si>
    <t>RRD_6CL_SW</t>
  </si>
  <si>
    <t>TAPA DECORATIVA EN COLOR BLANCO MATE.</t>
  </si>
  <si>
    <t>SC_1_SW</t>
  </si>
  <si>
    <t>TAPA DECORATIVA DOBLE EN COLOR BLANCO MATE.</t>
  </si>
  <si>
    <t>SC_2_SW</t>
  </si>
  <si>
    <t>TAPA DECORATIVA TRIPLE EN COLOR BLANCO MATE.</t>
  </si>
  <si>
    <t>SC_3_SW</t>
  </si>
  <si>
    <t>TAPA DECORATIVA CUÁDRUPLE EN COLOR BLANCO MATE.</t>
  </si>
  <si>
    <t>SC_4_SW</t>
  </si>
  <si>
    <t>DIMMER DE FASE ADAPTATIVA CON PILOTO Y NEUTRO. COLOR BLANCO MATE.</t>
  </si>
  <si>
    <t>MRF2_6ND_120_SW</t>
  </si>
  <si>
    <t>BOTONERA CON MARCACIÓN LASER PARA UNIDAD GRAFIK EYE.</t>
  </si>
  <si>
    <t>ENGRAVING_GRAFIK</t>
  </si>
  <si>
    <t>INTERRUPTOR CON SENSOR DE PRESENCIA</t>
  </si>
  <si>
    <t>MS_OPS6M2_DV_WH</t>
  </si>
  <si>
    <t>INTERRUPTOR CONMUTABLE CON SENSOR DE OCUPACIÓN SIN REQUERIMIENTO DE NEUTRO. CARGAS HASTA 3 AMPERIOS. COLOR BLANCO.</t>
  </si>
  <si>
    <t>BALASTRO ELECTRÓNICO DE ATENUACIÓN A 3 HILOS PARADOS TUBOS T5 DE 54 VATIOS.</t>
  </si>
  <si>
    <t>H3DT554CU210</t>
  </si>
  <si>
    <t>PANEL DE ATENUACIÓN DE 4 ZONAS, CON CARGAS HASTA DE UN AMPERIO.</t>
  </si>
  <si>
    <t>LQSE_4A1_D</t>
  </si>
  <si>
    <t>PANEL DE ATENUACIÓN DE 4 ZONAS, CON CARGAS HASTA DE DOS AMPERIOS.</t>
  </si>
  <si>
    <t>LQSE_4A_120_D</t>
  </si>
  <si>
    <t>TABLERO ELÉCTRICO PARA INSTALACIÓN DE HASTA 4 MÓDULOS EN RIEL DIM</t>
  </si>
  <si>
    <t>PD4_16_F</t>
  </si>
  <si>
    <t>BORNERA PARA LINK QS DE 4 EQUIPOS</t>
  </si>
  <si>
    <t>PDW_QS_4</t>
  </si>
  <si>
    <t>TECLADO DE 5 BOTONES EN COLOR BLANCO</t>
  </si>
  <si>
    <t>HQWD_W5BRL_WH</t>
  </si>
  <si>
    <t>DIMMER DE LA LÍNEA DIVA CON CONTROL 0-10VDV EN COLOR BLANCO.</t>
  </si>
  <si>
    <t>DVSTV_WH</t>
  </si>
  <si>
    <t>DRIVER PROGRAMADO LED</t>
  </si>
  <si>
    <t>L3DA5U1UKN1B</t>
  </si>
  <si>
    <t>TECLADO HIBRIDO DE 6 BOTONES DE COLOR NEGRO. LÍNEA SEETOUCH.</t>
  </si>
  <si>
    <t>HQRD_H6BRL_BL</t>
  </si>
  <si>
    <t>TECLADO DE 6 BOTONES DE COLOR NEGRO. LÍNEA SEETOUCH.</t>
  </si>
  <si>
    <t>HQRD_W6BRL_BL</t>
  </si>
  <si>
    <t>PEDESTAL DE SOBRE PONER EN MESA PARA TRES MANDOS A DISTANCIA PICO.</t>
  </si>
  <si>
    <t>L_PED3_WH</t>
  </si>
  <si>
    <t>PEDESTAL DE SOBRE PONER EN MESA PARA TRES MANDOS A DISTANCIA PICO EN COLOR BLANCO.</t>
  </si>
  <si>
    <t>TECLADO PICO EN COLOR BLANCO CON AJUSTADOR Y BOTÓN DE ESCENA FAVORITA.</t>
  </si>
  <si>
    <t>PJ2_3BRL_GWH_S01</t>
  </si>
  <si>
    <t>TECLADO PICO EN COLOR BLANCO CON AJUSTADOR DE INTENSIDAD Y BOTÓN DE ESCENA FAVORITA. MARCACIÓN DE ICONO DE CORTINA.</t>
  </si>
  <si>
    <t>MODULO SAVR PARA CONTROL DE DOS BUSES DE DATOS DALÍ HASTA 64 DISPOSITIVOS:</t>
  </si>
  <si>
    <t>QSNE_2DAL_D</t>
  </si>
  <si>
    <t>MODULO ENERGY SAVR PARA CONTROL DE DOS BUSES DE DATOS DALÍ HASTA 64 DISPOSITIVOS:</t>
  </si>
  <si>
    <t>ENERGY SAVR</t>
  </si>
  <si>
    <t>CONTROLADOR DE ILUMINACIÓN CON BUS DE DATOS DALÍ.</t>
  </si>
  <si>
    <t>QSGR_8D</t>
  </si>
  <si>
    <t>LICENCIA PARA INTEGRACIÓN DE SISTEMA QUANTUM MEDIANTE PROTOCOLO BACNET IP</t>
  </si>
  <si>
    <t>QSW_BAC_PP_A</t>
  </si>
  <si>
    <t>CONTROL DE PARED TIPO DIMMER CON CONTROL 0-10V</t>
  </si>
  <si>
    <t>DVTV_WH</t>
  </si>
  <si>
    <t>QSGRJ_6P_TWH</t>
  </si>
  <si>
    <t>MODULO DE ATENUACIÓN DE 6 CANALES PARA CARGAS MAGNÉTICAS Y ELECTRÓNICAS. CAPACIDAD DE 800 VATIOS POR CANAL O 1980 VATIOS POR EQUIPO. INCLUYE TAPA TRANSLUCIDA.</t>
  </si>
  <si>
    <t>TECLADO RADIO RA2 DE 7 BOTONES</t>
  </si>
  <si>
    <t>RRD_W7B_WH</t>
  </si>
  <si>
    <t>INTERRUPTOR Y ATENUADOR DE PARED DE 300 VATIOS.</t>
  </si>
  <si>
    <t>MA_L3S25_WH</t>
  </si>
  <si>
    <t>INTERRUPTOR CON SENSOR DE VACANCIA</t>
  </si>
  <si>
    <t>MS_OPS5M_WH</t>
  </si>
  <si>
    <t>REPETIDORA AUXILIAR RADIO RA SELECT.</t>
  </si>
  <si>
    <t>L_REPPRO_BL</t>
  </si>
  <si>
    <t>MAIN REPEATER DE LA LÍNEA RADIO RA2 SELECT.</t>
  </si>
  <si>
    <t>RR_SEL_REP2</t>
  </si>
  <si>
    <t>MAIN REPEATER DE LA LÍNEA RADIO RA2 SELECT.  COMPATIBLE CON APPLE HOME KIT, ALEXA Y NEST.</t>
  </si>
  <si>
    <t>INTERRUPTOR DOBLE CON SENSOR DE OCUPACIÓN SIN REQUERIMIENTO DE NEUTRA.</t>
  </si>
  <si>
    <t>MS_OPS6M2_DV_MN</t>
  </si>
  <si>
    <t>INTERRUPTOR CONMUTABLE CON SENSOR DE OCUPACIÓN SIN REQUERIMIENTO DE NEUTRO. CARGAS HASTA 3 AMPERIOS. COLOR NEGRO MATE.</t>
  </si>
  <si>
    <t>DIMMER MAESTRO PARA CARGAS LED HASTA 150 VATIOS O 600 VATIOS EN HALÓGENAS.</t>
  </si>
  <si>
    <t>MRF2S_6CL_WH</t>
  </si>
  <si>
    <t>DIMMER MAESTRO PARA CARGAS LED HASTA 150 VATIOS O 600 VATIOS EN HALÓGENAS. COMPATIBLE CON SISTEMA VIVE.</t>
  </si>
  <si>
    <t>SENSOR DE OCUPACIÓN PARA APLICACIONES DE ALTURA ELEVADA. COBERTURA 360 GRADOS.</t>
  </si>
  <si>
    <t>LUT_WSPSM24V_360_CPN6111</t>
  </si>
  <si>
    <t>DIMMER DE 150 WATIOS CON CARGA Y NEUTRO.</t>
  </si>
  <si>
    <t>RRD_6ND_WH</t>
  </si>
  <si>
    <t>QSGR_6D</t>
  </si>
  <si>
    <t>CONTROLADOR DE VENTILADOR CON CARGA INDUCTIVA</t>
  </si>
  <si>
    <t>RRD_2ANF_WH</t>
  </si>
  <si>
    <t>DIMMER CON INTERRUPTOR DE LA SERIE SKYLARK. 1000W.</t>
  </si>
  <si>
    <t>S_603P_WH</t>
  </si>
  <si>
    <t>S_103P_WH</t>
  </si>
  <si>
    <t>SISTEMA DE CORTINAS DE ACUERDO A ESPECIFICACIÓN ANEXA</t>
  </si>
  <si>
    <t>SHADE_SYSTEM</t>
  </si>
  <si>
    <t>SOPORTE ANGULAR PARA SENSOR DE PARED O ESQUINA</t>
  </si>
  <si>
    <t>LRF_ARM_WH</t>
  </si>
  <si>
    <t>TECLADO SEETOUCH DE 7 BOTONES DE LA LÍNEA QS.</t>
  </si>
  <si>
    <t>QSWS2_7BI_WH</t>
  </si>
  <si>
    <t>TAPA DECORATIVA DE TRES GANG EN COLOR ALUMINIO SATINADO.</t>
  </si>
  <si>
    <t>CW_3_SS</t>
  </si>
  <si>
    <t>TAPA DECORATIVA DE UN GANG EN COLOR SIENNA</t>
  </si>
  <si>
    <t>SC_1_SI</t>
  </si>
  <si>
    <t>TOMA CORRIENTE GFCI EN COLOR SIENNA</t>
  </si>
  <si>
    <t>SCR_15_GFST_SI</t>
  </si>
  <si>
    <t>TOMA CORRIENTE EN COLOR SIENNA</t>
  </si>
  <si>
    <t>SCRS_15_TR_SI</t>
  </si>
  <si>
    <t>TAPA DECORATIVA SATÍN CAFÉ</t>
  </si>
  <si>
    <t>CW_1_BR</t>
  </si>
  <si>
    <t>TOMA CORRIENTE GFCI EN COLOR CAFÉ</t>
  </si>
  <si>
    <t>CAR_15_GFST_BR</t>
  </si>
  <si>
    <t>TOMA CORRIENTE EN COLOR CAFÉ</t>
  </si>
  <si>
    <t>CAR_15_BR</t>
  </si>
  <si>
    <t>MODULO DE RELÉ SOFTSWITCH DE 16 AMPERIOS</t>
  </si>
  <si>
    <t>LMJ_16R_DV_B</t>
  </si>
  <si>
    <t>TECLADO NEGRO PICO CON ENGRAVING DE CORTINAS</t>
  </si>
  <si>
    <t>PJ2_3BRL_GBL_S03</t>
  </si>
  <si>
    <t>INTERRUPTOR SENCILLO LÍNEA DIVA DE LUTRON EN COLOR NEGRO.</t>
  </si>
  <si>
    <t>CA_1PS_BL</t>
  </si>
  <si>
    <t>CORTINA TIPO TRIATHLON DE LUTRON.</t>
  </si>
  <si>
    <t>QSFRJ_S2A13_PS</t>
  </si>
  <si>
    <t>CORTINA TIPO TRIATHLON DE LUTRON. MIRAR TAMAÑO Y TELA EN LA ESPECIFICACIÓN ANEXA.</t>
  </si>
  <si>
    <t>FUENTE DE ALIMENTACIÓN 12V PARA CORTINA TRIATHLON.</t>
  </si>
  <si>
    <t>CSPS_P1_1_6_WH</t>
  </si>
  <si>
    <t>HUB SISTEMA VIVE</t>
  </si>
  <si>
    <t>HJS_1_FM</t>
  </si>
  <si>
    <t>LICENCIA DE SOFTWARE VIVE</t>
  </si>
  <si>
    <t>VIVE_VUE</t>
  </si>
  <si>
    <t>ARRANQUE DEL SISTEMA POR PARTE DE INGENIERÍA DE FABRICA</t>
  </si>
  <si>
    <t>FACTORY_COMMISSIONIG</t>
  </si>
  <si>
    <t>PANEL DE SWITCHEO PROGRAMABLE DE 24 CIRCUITOS DE 16 AMPERIOS CADA UNO.</t>
  </si>
  <si>
    <t>XPS24</t>
  </si>
  <si>
    <t>TOMA CORRIENTE GFCI EN COLOR NEGRO</t>
  </si>
  <si>
    <t>SCR_15_GFTR_MN</t>
  </si>
  <si>
    <t>TOMA CORRIENTE GFCI EN COLOR NEGRO, 125 VAC, 60 Hz 15 A. NIVEL DE DISPARO 4 – 6 mA, TIEMPO DE DISPARO DE  .025s. MARCA: LUTRON.</t>
  </si>
  <si>
    <t>PROCESADOR LUTRON HOMEWORKS SERIE 4</t>
  </si>
  <si>
    <t>H4P5_CE</t>
  </si>
  <si>
    <t>MODULO PARA MANEJO DE 6 CARGAS CONTROLADAS HASTA 2000W.</t>
  </si>
  <si>
    <t>HWI_WPM_6D_120</t>
  </si>
  <si>
    <t>MODULO POW PACK DE CONMUTACIÓN CON RELÉ SOFTSWITCH DE  AMPERIOS</t>
  </si>
  <si>
    <t>RMJS_16R_DV_B_EM</t>
  </si>
  <si>
    <t>TOMA CORRIENTE EN COLOR NEGRO. MARCA: LUTRON.</t>
  </si>
  <si>
    <t>CAR_15_BL</t>
  </si>
  <si>
    <t>DIMMER DE FASE ADAPTATIVA PARA CARGAS INCANDESCENTES O LED HASTA POR 250W.</t>
  </si>
  <si>
    <t>RRD_PRO_WH</t>
  </si>
  <si>
    <t>DIMMER DE FASE ADAPTATIVA PARA CARGAS INCANDESCENTES O LED HASTA POR 250W DEPENDIENDO DEL TIPO DE CARGA.</t>
  </si>
  <si>
    <t>DIMMER CON NEUTRO TIPO POW PACK CON CAPACIDAD HASTA 1000W.</t>
  </si>
  <si>
    <t>RRD_10ND_WH</t>
  </si>
  <si>
    <t>INTERRUPTOR PARA CARGAS HASTA 15 AMPERIOS. EN COLOR NEGRO.</t>
  </si>
  <si>
    <t>CA_3PS_BL</t>
  </si>
  <si>
    <t>REGULADOR DE INTENSIDAD DE FASE SELECCIONABLE PARA CARGAS TIPO LED.</t>
  </si>
  <si>
    <t>MA_PRO_WH</t>
  </si>
  <si>
    <t>REGULADOR DE INTENSIDAD DE FASE SELECCIONABLE PARA CARGAS TIPO LED, ELECTRONICAS DE BAJO VOLTAJE E INCANDESCENTES HASTA 250W. COLOR BLANCO.</t>
  </si>
  <si>
    <t>MA_PRO_BL</t>
  </si>
  <si>
    <t>REGULADOR DE INTENSIDAD DE FASE SELECCIONABLE PARA CARGAS TIPO LED, ELECTRONICAS DE BAJO VOLTAJE E INCANDESCENTES HASTA 250W. COLOR NEGRO.</t>
  </si>
  <si>
    <t>TOMA CORRIENTE IGFC CON POLO A TIERRA DE 15A. COLOR NEGRO.</t>
  </si>
  <si>
    <t>CAR_15_GFST_BL</t>
  </si>
  <si>
    <t>MODULO CON DOS BUSES DE DATOS DALÍ HASTA 64 DISPOSITIVOS.</t>
  </si>
  <si>
    <t>QSN_2DAL_S_CPN6619</t>
  </si>
  <si>
    <t>MODULO PARA CONTROL DE DOS BUSES DE DATOS DALÍ HASTA 64 DISPOSITIVOS.</t>
  </si>
  <si>
    <t>LICENCIA PARA REPORTE EN SOFTWARE QUANTUM</t>
  </si>
  <si>
    <t>QSW_RPT_PP_A</t>
  </si>
  <si>
    <t>SCR_15_GFTR_BL</t>
  </si>
  <si>
    <t>TOMA CORRIENTE GFCI EN COLOR NEGRO. 125 VAC, 60 Hz 15 A. NIVEL DE DISPARO 4 – 6 mA, TIEMPO DE DISPARO DE  .025s. MARCA: LUTRON.</t>
  </si>
  <si>
    <t>JACK CONECTOR RJ45 CATEGORIA 5E</t>
  </si>
  <si>
    <t>CON_1P_C5E_WH</t>
  </si>
  <si>
    <t>PD_REP_WH</t>
  </si>
  <si>
    <t>REPETIDOR AUXILIAR PARA SISTEMA CASETA</t>
  </si>
  <si>
    <t>P_BDG_PKG1W</t>
  </si>
  <si>
    <t>KIT CASETA CON CONTROLADORA, UN DIMMER CON TAPA Y TECLADO PICO.</t>
  </si>
  <si>
    <t>L3DA4U1UKL_AV120</t>
  </si>
  <si>
    <t>DRIVER DE CORRIENTE O VOLTAJE CONTINUO HASTA 40W DE POTENCIA.</t>
  </si>
  <si>
    <t>HQRD_W5BRL_WH</t>
  </si>
  <si>
    <t>TECLADO SEETOUCH DE 5 BOTONES</t>
  </si>
  <si>
    <t>HQWT_S_PRRW_BL</t>
  </si>
  <si>
    <t>TECLADO PALLADIUM DE 4 BOTONES</t>
  </si>
  <si>
    <t>TECLADO PICO DE 3 BOTONES CON SUBIDA Y BAJADA</t>
  </si>
  <si>
    <t>PJ2_4B_GBL_L31</t>
  </si>
  <si>
    <t>TECLADO PICO NEGRO DE 4 BOTONES</t>
  </si>
  <si>
    <t>KIT CON CEREBRO CASETA, UN DIMMER DE PARED CON TAPA Y UN TECLADO PICO.</t>
  </si>
  <si>
    <t>P_BDG_PKG2P</t>
  </si>
  <si>
    <t>KIT CON CEREBRO CASETA, DOS DIMMERS DE LAMPARA Y DOS TECLADOS PICO CON PEDESTAL.</t>
  </si>
  <si>
    <t>P_BDG_PKG2W</t>
  </si>
  <si>
    <t>KIT CON CEREBRO CASETA, DOS DIMMERS DE PARED CON TAPA Y DOS TECLADOS PICO CON PEDESTAL.</t>
  </si>
  <si>
    <t>KIT CON CEREBRO CASETA PRO, UN DIMMER DE PARED CON TAPA Y TECLADOS PICO.</t>
  </si>
  <si>
    <t>CA_6PF_WH</t>
  </si>
  <si>
    <t>PLACA PARA MODULOS LUTRON TIPO JACK HASTA 6 UNIDADES</t>
  </si>
  <si>
    <t>CON_1C_WH</t>
  </si>
  <si>
    <t>JACK PARA TERMINACION DE ANTENA COAXIAL</t>
  </si>
  <si>
    <t>JACK PARA TERMINACION DE SALIDA TELEFONICA</t>
  </si>
  <si>
    <t>MS_B102_V_WH</t>
  </si>
  <si>
    <t xml:space="preserve">SENSOR DE OCUPACION O DESOCUPACION CON TECNOLOGIA DUAL ULTRASONICA </t>
  </si>
  <si>
    <t>DVFSQ_LF_WH</t>
  </si>
  <si>
    <t>CONTROL DE VENTILADORES CON REGULADOR DE VELOCIDAD.</t>
  </si>
  <si>
    <t>PD_FSQN_WH</t>
  </si>
  <si>
    <t>CONTROL DE VENTILADORES INALAMBRICO CON REGULADOR DE VELOCIDAD.</t>
  </si>
  <si>
    <t>DVSTV_BL</t>
  </si>
  <si>
    <t>DIMMER DE LA LÍNEA DIVA CON CONTROL 0-10VDV EN COLOR NEGRO.</t>
  </si>
  <si>
    <t>HJS_2_FM</t>
  </si>
  <si>
    <t>HUB VIVE CON FUENTE DE ALIMENTACION</t>
  </si>
  <si>
    <t>L_CMDPIRKIT</t>
  </si>
  <si>
    <t>KIT PARA INSTALACION DE SENSOR DE PRESENCIA EN TECHO</t>
  </si>
  <si>
    <t>TECLADO SEETOUCH PARA SISTEMA HOMEWORKS DE 5 BOTONES CON RAISE Y LOWER</t>
  </si>
  <si>
    <t>QSPS_P1_1_35V</t>
  </si>
  <si>
    <t>FUENTE DE ALIMENTACION PARA CORTINA SEVOIA QS</t>
  </si>
  <si>
    <t>HQ1_CONNECT1_PKG</t>
  </si>
  <si>
    <t>PROCESADOR HOMEWORKS QS</t>
  </si>
  <si>
    <t>LQSE_4S5_230_D</t>
  </si>
  <si>
    <t>MODULO DE CONMUTACIÓN PARA DINRAIL. 220-20VAC. 5 AMPERIOS POR SALIDA, 4 SALIDAS.</t>
  </si>
  <si>
    <t>MS_B202_SW</t>
  </si>
  <si>
    <t>MSCL_OP153M_SW</t>
  </si>
  <si>
    <t>MS_OPS2_SW</t>
  </si>
  <si>
    <t>INTERRUPTOR CON SENSOR DE PRESENCIA INFRA ROJO PARA CARGAS HASTA 2 AMPERIOS, ALIMENTACIÓN 120 VAC 50/60 Hz. COLOR BLANCO.</t>
  </si>
  <si>
    <t>PJ2_2B_TSW_L01</t>
  </si>
  <si>
    <t>TECLADO PICO DE 2 BOTONES EN COLOR MATE</t>
  </si>
  <si>
    <t>PJ2_4B_TSW_L01</t>
  </si>
  <si>
    <t>TECLADO PICO DE 4 BOTONES EN COLOR MATE</t>
  </si>
  <si>
    <t>PJ2_4B_TSW_P11</t>
  </si>
  <si>
    <t>TECLADO PICO DE 4 BOTONES EN COLOR MATE, RM SCENE.</t>
  </si>
  <si>
    <t>PJ2_4B_TSW_P12</t>
  </si>
  <si>
    <t>TECLADO PICO DE 4 BOTONES EN COLOR MATE, KITCHEN SCENE.</t>
  </si>
  <si>
    <t>PJ2_4B_TSW_P13</t>
  </si>
  <si>
    <t>TECLADO PICO DE 4 BOTONES EN COLOR MATE, ANY ROOM SCENE.</t>
  </si>
  <si>
    <t>PJ2_3BRL_TSW_L01</t>
  </si>
  <si>
    <t>TECLADO PICO CON RAISE AND LOWER MATE, CON ICONO DE ILUMINACION</t>
  </si>
  <si>
    <t>PJ2_4B_TSW_EL1</t>
  </si>
  <si>
    <t>TECLADO PICO DE 4 BOTONES EN COLOR MATE, CON ESCENA DE ILUMINACIÓN</t>
  </si>
  <si>
    <t>MRF2S_6CL_BL</t>
  </si>
  <si>
    <t>DIMMER SERIE MAESTRO WIRELESS PARA CARGA FLUORESCENTE; MAGNETICA O LED.</t>
  </si>
  <si>
    <t>PJ2_4B_GWH_EL1</t>
  </si>
  <si>
    <t>TECLADO PICO DE 4 BOTONES CON MARCACION PERZONALIZADA</t>
  </si>
  <si>
    <t>MA_P_WH</t>
  </si>
  <si>
    <t>MA_P_BL</t>
  </si>
  <si>
    <t>PJ2_3BRL_GBL_A02</t>
  </si>
  <si>
    <t>TECLADO PICO PARA CONTRO DE AUDIO SONOS</t>
  </si>
  <si>
    <t>HQ2_CONNECT1_PKG</t>
  </si>
  <si>
    <t>PROCESADOR HOMEWORKS QS CON ACCESORIOS</t>
  </si>
  <si>
    <t>HQR_T10RL_MN</t>
  </si>
  <si>
    <t>BOTONERA INALAMBRICA DE 10 BOTNES</t>
  </si>
  <si>
    <t>HQWA_W3BDI_QB</t>
  </si>
  <si>
    <t>TECLADO ALAMBRADO DE DOS GRUPOS DE TRES BOTONES EN COLOR ANTIQUE BRASS</t>
  </si>
  <si>
    <t>HQWA_W3BDI_QZ</t>
  </si>
  <si>
    <t>TECLADO ALAMBRADO DE DOS GRUPOS DE TRES BOTONES EN COLOR ANTIQUE BRONCE</t>
  </si>
  <si>
    <t>HQWT_U_PRW_QB_E</t>
  </si>
  <si>
    <t>TECLADO PALLADIUM DE 3 BOTONES CON RAISE AND LOWER, EN COLOR ANTIQUE BRASS U ENGRAVING.</t>
  </si>
  <si>
    <t>LFK_T10RL_QB</t>
  </si>
  <si>
    <t>KIT DE 10 BOTONES EN COLOR ANTIQUE BRASS.</t>
  </si>
  <si>
    <t>LFK_T10RL_QZ</t>
  </si>
  <si>
    <t>KIT DE 10 BOTONES EN COLOR ANTIQUE BRONCE.</t>
  </si>
  <si>
    <t>PD4_36F_120</t>
  </si>
  <si>
    <t>ENCLOSURE DE 4 MODULOS DPM Y POWER SUPPLY</t>
  </si>
  <si>
    <t>QSE_CI_WCI</t>
  </si>
  <si>
    <t>INTERFAZ DE INTEGRACION DE 8 CONTACTOS SECOS</t>
  </si>
  <si>
    <t>PJ2_4B_TBL_EL1</t>
  </si>
  <si>
    <t>TECLADO PICO DE 4 BOTONES EN COLOR NEGRO, CON ESCENA DE ILUMINACIÓN</t>
  </si>
  <si>
    <t>PD_OSENS_WH</t>
  </si>
  <si>
    <t>SENSOR DE OCUPACION PARA SISTEMAS CASETA</t>
  </si>
  <si>
    <t>MRF2S_6ANS_WH</t>
  </si>
  <si>
    <t xml:space="preserve">INTERRUPTOR RF DE 6A COMPATIBLE CON LA LINEA VIVE. </t>
  </si>
  <si>
    <t>MRF2S_8S_DV_WH</t>
  </si>
  <si>
    <t xml:space="preserve">INTERRUPTOR RF DE 8A COMPATIBLE CON LA LINEA VIVE. </t>
  </si>
  <si>
    <t>MRF2S_6ANS_BL</t>
  </si>
  <si>
    <t>CA_4PS_BL</t>
  </si>
  <si>
    <t>INTERRUPTOR DE 4 VIAS NEGRO</t>
  </si>
  <si>
    <t>CA_CJ_BL</t>
  </si>
  <si>
    <t>PLACA CON CONECTOR COAXIAL EN COLOR NEGRO</t>
  </si>
  <si>
    <t>CA_PJ_BL</t>
  </si>
  <si>
    <t>PLACA CON CONEXIÓN TELEFONICA EN COLOR NEGRO</t>
  </si>
  <si>
    <t>QSGFP_3BL</t>
  </si>
  <si>
    <t>TAPA DECORATIVA EN COLOR NEGRO CON 4 COLUMNAS DE BOTONES</t>
  </si>
  <si>
    <t>HQWD_W7B_BL</t>
  </si>
  <si>
    <t>TECLADO HOMEWORKS DE 7 BOTONES EN COLOR NEGRO</t>
  </si>
  <si>
    <t>LRD_WST_C_BL</t>
  </si>
  <si>
    <t>TERMOSTATO EN GRADOS CELCIUS COLOR NEGRO</t>
  </si>
  <si>
    <t>HWD_6ND_WH</t>
  </si>
  <si>
    <t>DIMMER ALAMBRICO PARA SISTEMA HOMEWORKS, POTENCIA DE 600W.</t>
  </si>
  <si>
    <t>HQ_HWI_LX</t>
  </si>
  <si>
    <t>INTERFAZ DE CONEXIÓN PARA TRANSDUCCION DE PROTOCOLO HOMEWORKS ILLUMINATOR A HOMEWORKS QS</t>
  </si>
  <si>
    <t>HQHWI_KP_SW</t>
  </si>
  <si>
    <t>LICENCIA PARA CAMBIO DE PROTOCOLO HOMEWORKS ILLUMINATOR A HOMEWORKS QS EN TECLADOS.</t>
  </si>
  <si>
    <t>HQ_HWI_GRX_SW</t>
  </si>
  <si>
    <t>LICENCIA PARA CAMBIO DE PROTOCOLO HOMEWORKS ILLUMINATOR A HOMEWORKS QS EN WPM.</t>
  </si>
  <si>
    <t>HWD_6D_WH</t>
  </si>
  <si>
    <t>DIMMER MAESTRO DE 600W ALAMBRICO COMPATIBLE CON SISTEMA HOMEWORKS QS.</t>
  </si>
  <si>
    <t>HWD_8ANS_WH</t>
  </si>
  <si>
    <t>INTERRUPTOR MAESTRO DE 8 AMPERIOS ALAMBRICO COMPATIBLE CON SISTEMA HOMEWORKS QS.</t>
  </si>
  <si>
    <t>SC_1_MN</t>
  </si>
  <si>
    <t>TAPA DECORATIVA EN COLOR NEGRO MATE DE UNA VENTANA.</t>
  </si>
  <si>
    <t>SCR_15_GFST_MN</t>
  </si>
  <si>
    <t>TOMA GFCI NEGRO MATE, 125 VAC, 60 Hz 15 A. NIVEL DE DISPARO 4 – 6 mA, TIEMPO DE DISPARO DE  .025s. MARCA: LUTRON.</t>
  </si>
  <si>
    <t>SCR_15_MN</t>
  </si>
  <si>
    <t>TOMA CORRIENTE CON POLO A TIERRA NEGRO MATE, 125 VAC, 60 Hz 15 A. MARCA: LUTRON.</t>
  </si>
  <si>
    <t>SC_6_MN</t>
  </si>
  <si>
    <t>TAPA DECORATIVA DE 6 VENTANAS EN COLOR NEGRO MATE.</t>
  </si>
  <si>
    <t>SC_3PS_MN</t>
  </si>
  <si>
    <t>INTERRUPTOR DE DOS VIAS EN COLOR NEGRO MATE</t>
  </si>
  <si>
    <t>PD_5ANS_WH_R</t>
  </si>
  <si>
    <t>INTERRUPTOR DE 5 AMPERIOS DE LA LINEA CASETA WIRELESS BLANCO</t>
  </si>
  <si>
    <t>PP_SH</t>
  </si>
  <si>
    <t>POW PACK AUXILIAR PARA MANEJO DE CARGAS AUXILIARES. 24V, 16A.</t>
  </si>
  <si>
    <t>QSYR4_S30A20_P</t>
  </si>
  <si>
    <t>SISTEMA DE CORTINAS A MEDIDA</t>
  </si>
  <si>
    <t>--</t>
  </si>
  <si>
    <t>DVRP_253P_BL</t>
  </si>
  <si>
    <t>DIMMER DE LINEA DIVA PARA CARGAS ELECTRONICAS DE BAJO VOLTAJE HASTA 250W.</t>
  </si>
  <si>
    <t>RRD_W5BRL</t>
  </si>
  <si>
    <t>TECLADO DE PARED CON 5 BOTONES, MAS TECLA DE SUBIDA Y BAJADA.</t>
  </si>
  <si>
    <t>MODULO DE CONMUTACION DE 16 AMPERIOS</t>
  </si>
  <si>
    <t>HQ_UP_2LIC_S_PKG</t>
  </si>
  <si>
    <t>KIT DE PROCESADOR HOMEWORKS QS DE DOS LINK CON CONNECT BRIDGE (OPCIONAL) Y DOS LICENCIAS PARA BUS DE DATOS.</t>
  </si>
  <si>
    <t>TECLADO PICO DE 3 BOTONES CABLEADO</t>
  </si>
  <si>
    <t>TECLADO DE 7 BOTONES TIPO INSERT. CON MARCACIÓN LASER.</t>
  </si>
  <si>
    <t>QSWS2_7BI_AL_EGN</t>
  </si>
  <si>
    <t>TECLADO DE 7 BOTONES TIPO INSERT.</t>
  </si>
  <si>
    <t>PX_3BRL_GWG_I01</t>
  </si>
  <si>
    <t>TECLADO CABLEADO TIPO PICO</t>
  </si>
  <si>
    <t>LUTCC_4BRL_WH</t>
  </si>
  <si>
    <t>TECLADO PARA SISTEMA ECOSYSTEM</t>
  </si>
  <si>
    <t>C5_XPJ_16A</t>
  </si>
  <si>
    <t>MODULO DE CONMUTCION ECOSYSTEM DE 16 AMPERIOS</t>
  </si>
  <si>
    <t>C_CBL_522_S_WH_1</t>
  </si>
  <si>
    <t>METRO DE CABLE DE 5 LINEAS PARA CONEXIÓN DE SENSORES ECOSYSTEM</t>
  </si>
  <si>
    <t>PP_120H_PP_DV</t>
  </si>
  <si>
    <t>QSGGPPA</t>
  </si>
  <si>
    <t>GREEN GLANCE EN SISTEMA QUANTUM</t>
  </si>
  <si>
    <t>DIMMER DE HASTA 600W CON NEUTRO PARA CARGAS LED</t>
  </si>
  <si>
    <t>HQP6_1</t>
  </si>
  <si>
    <t>PROCESADOR HOMEWORKS QS CON UN LINK DE CONEXIÓN.</t>
  </si>
  <si>
    <t>RMJS_ECO32_SZ</t>
  </si>
  <si>
    <t>MODULO DE CONTROL PARA 32 CARGAS TIPO DALI O ECOSYSTEM</t>
  </si>
  <si>
    <t>HQWT_U_P4W_WH_E</t>
  </si>
  <si>
    <t>TECLADO PALLADIOM DE 4 BOTONES CON ENGRAVINGS PERSONALIZADO.</t>
  </si>
  <si>
    <t>PJ2_4B_TSW_EL2</t>
  </si>
  <si>
    <t>TECLADO PICO DE CUATRO BOTONES CON MARCACIÓN</t>
  </si>
  <si>
    <t>PD8_59F_120</t>
  </si>
  <si>
    <t>PANEL RIEL DIN PARA 8 MODULOS</t>
  </si>
  <si>
    <t>PD9_59F_120</t>
  </si>
  <si>
    <t>PANEL RIEL DIN PARA 9 MODULOS</t>
  </si>
  <si>
    <t>QS_WBL</t>
  </si>
  <si>
    <t>TARJETA DE CONECTORES TIPO FENIX</t>
  </si>
  <si>
    <t>HQP7_2</t>
  </si>
  <si>
    <t>PROCESADOR HOMEWORKS QS DE DOS LINK DE CONEXIÓN</t>
  </si>
  <si>
    <t>MSC_S8AM_SW</t>
  </si>
  <si>
    <t>INTERRUPTOR MAESTRO EN COLOR SATIN BLANCO</t>
  </si>
  <si>
    <t>MA_PRO_SW</t>
  </si>
  <si>
    <t>DIMMER MAESTRO DE FASE CON ADAPTACION DE CARGA EN COLOR SATIN BLANCO</t>
  </si>
  <si>
    <t>MSC_AS_SW</t>
  </si>
  <si>
    <t>INTERRUPTOR ACCESORIO PARA CONMUTABLE MAESTRO EN COLOR SATIN BLANCO</t>
  </si>
  <si>
    <t>MSC_AD_SW</t>
  </si>
  <si>
    <t>DIMMER MAESTRO ACCESORIO PARA CONMUTABLE EN COLOR SATIN BLANCO</t>
  </si>
  <si>
    <t>HWI_ENC_CC</t>
  </si>
  <si>
    <t>CAJA ELECTRICA PARA EQUIPOS LUTRON</t>
  </si>
  <si>
    <t>HQ_J_DK420_WH</t>
  </si>
  <si>
    <t>TECLADO DINAMICO LUTRON EN COLOR BLANCO</t>
  </si>
  <si>
    <t>L_LV_14_120</t>
  </si>
  <si>
    <t>PANEL PARA SISTEMA HOMEWORKS QS</t>
  </si>
  <si>
    <t>NTFTV_WH</t>
  </si>
  <si>
    <t>DIMMER PARA ATENUACION DE FLUORESCENTES POR 0-10V</t>
  </si>
  <si>
    <t>RR_T10RL_SW</t>
  </si>
  <si>
    <t>TECLADO INALAMBRICO DE 10 BOTONES</t>
  </si>
  <si>
    <t>LDE57U1UMN_VA100</t>
  </si>
  <si>
    <t>DRIVER PARA REGLETA LED PROGRAMABLE</t>
  </si>
  <si>
    <t>HWI_H48</t>
  </si>
  <si>
    <t>INTERFAZ DE ATENUACION PARA COMUNICACIÓN ENTER DIMMERS Y PROCESADORES HOMEWORKS DE LUTRONInterfaz de atenuación para comunicación entre dimmers y procesadores Homeworks de Lutron</t>
  </si>
  <si>
    <t>LTEA4U1UKN_CV240</t>
  </si>
  <si>
    <t>DRIVER PROGRAMADO A 24VDC</t>
  </si>
  <si>
    <t>QSWS2_5BRLI_WH_EGN</t>
  </si>
  <si>
    <t>TECLADO DE 5 BOTONES TIPO INSERT. CON MARCACIÓN LASER. CON ENGRAVING.</t>
  </si>
  <si>
    <t>GRX_12VDC</t>
  </si>
  <si>
    <t>FUENTE DE ALIMENTACION 12VDC</t>
  </si>
  <si>
    <t>MSCL_OP153M_WH</t>
  </si>
  <si>
    <t>INTERRUPTOR CON SENSOR INFRA ROJO</t>
  </si>
  <si>
    <t>PJ2_4B_GWH_P03</t>
  </si>
  <si>
    <t>TECLADO PICO CON ESCENAS DE HABITACION</t>
  </si>
  <si>
    <t>DVCL_153P_BL</t>
  </si>
  <si>
    <t>CA_6PF_BL</t>
  </si>
  <si>
    <t>CAR_15_UBTR_BL</t>
  </si>
  <si>
    <t>TOMA CORRIENTE CON USB EN COLOR NEGRO</t>
  </si>
  <si>
    <t>INTERRUPTOR DE RADIO FERCUENCIA, 6 AMPERIOS PARA SISTEMA VIVE DE LUTRON.</t>
  </si>
  <si>
    <t>RR_SEL_KIT_1</t>
  </si>
  <si>
    <t>KIR DE RADIO RA SELECT CON DOS DIMERS, UN TECLADO PICO CON ADAPTADOR, 3 TAPAS SENCILLAS Y PROCESADOR.</t>
  </si>
  <si>
    <t>MA_L3S25</t>
  </si>
  <si>
    <t>INTERRUPTOR RF PARA CARGAS DE HASTA 2.5 AMPERIOS.</t>
  </si>
  <si>
    <t>LUXUL</t>
  </si>
  <si>
    <t>LUX</t>
  </si>
  <si>
    <t>AP</t>
  </si>
  <si>
    <t>ACCESS POINT PARA EXTERIORES, IP66, BANDA DUAL, ALCANCE ESTIMADO DE 90 METROS.</t>
  </si>
  <si>
    <t>XAP_1240</t>
  </si>
  <si>
    <t>ACCESS POINT PARA EXTERIORES, IP66, BANDA DUAL, ALCANCE ESTIMADO DE 90 METROS OMNI-DIRECCIONALES CON LÍNEA DE VISTA. MARCA: LUXUL.</t>
  </si>
  <si>
    <t>EQUIPO PARA GESTIÓN DE PUNTOS DE ACCESO MEDIANTE ROAMING.</t>
  </si>
  <si>
    <t>XWC_1000</t>
  </si>
  <si>
    <t>EQUIPO PARA GESTIÓN DE PUNTOS DE ACCESO MEDIANTE ROAMING, IDEAL PARA APLICACIONES MÓVILES ENTRE PUNTOS DE ACCESO. MARCA: LUXUL.</t>
  </si>
  <si>
    <t>ROUTER ALAMBRADO  GIGABIT, 1 PUERTO LAN Y 3 PUERTOS LAN/WAN.</t>
  </si>
  <si>
    <t>XBR_4400</t>
  </si>
  <si>
    <t>ROUTER ALAMBRADO  GIGABIT, 1 PUERTO LAN Y 3 PUERTOS LAN/WAN. QoS Y DDNS. MARCA: LUXUL.</t>
  </si>
  <si>
    <t>SWITCH GESTIONABLE GIGABIT DE 10 PUERTOS, 8 PUERTOS PoE. MARCA: LUXUL.</t>
  </si>
  <si>
    <t>XMS_1010P</t>
  </si>
  <si>
    <t>SWITCH DE 8 PUERTOS CON ALIMENTACIÓN PoE.</t>
  </si>
  <si>
    <t>AGS_1008M</t>
  </si>
  <si>
    <t>SWITCH GESTIONABLE GIGABIT DE 18 PUERTOS, OPTIMIZADO PARA VIDEO POR IP.</t>
  </si>
  <si>
    <t>XFS_1816P</t>
  </si>
  <si>
    <t>SWITCH GESTIONABLE GIGABIT DE 18 PUERTOS, OPTIMIZADO PARA VIDEO POR IP, 16 PUERTOS PoE.</t>
  </si>
  <si>
    <t>SWITCH GESTIONABLE GIGABIT DE 4 PUERTOS, OPTIMIZADO PARA VIDEO POR IP.</t>
  </si>
  <si>
    <t>XFS_1084P</t>
  </si>
  <si>
    <t>ACCESS POINT DE ALTA POTENCIA 300N.</t>
  </si>
  <si>
    <t>XAP_1210</t>
  </si>
  <si>
    <t>AMS_4424P</t>
  </si>
  <si>
    <t>SWITCH DE 24 PUERTOS RJ-45 10/100/1000 CON DETECCIÓN AUTOMÁTICA, 4 PUERTOS SFP GIGABIT ETHERNET.</t>
  </si>
  <si>
    <t>MAC</t>
  </si>
  <si>
    <t>IPAD</t>
  </si>
  <si>
    <t>PANTALLA RETINA DE 9.7", CHIP A7 CON PROCESADOR M7.</t>
  </si>
  <si>
    <t>APPLE_MD788CIB</t>
  </si>
  <si>
    <t>PANTALLA RETINA DE 9.7", CHIP A7 CON PROCESADOR M7, WIFI INTEGRADA (802.11a/b/g/n).</t>
  </si>
  <si>
    <t>MADECOR</t>
  </si>
  <si>
    <t>LAMINA DE MDF CON ENCHAPE BLANCO, 15mm DE ESPESOR, DE 2m X 2.44 x 1.83m.</t>
  </si>
  <si>
    <t>MDF_B</t>
  </si>
  <si>
    <t>MAGOM</t>
  </si>
  <si>
    <t>MAG</t>
  </si>
  <si>
    <t>REGULACIÓN DE BAJO VOLTAJE, PROTECCIÓN DE RED ADSL.</t>
  </si>
  <si>
    <t>POWER_4</t>
  </si>
  <si>
    <t>REGULACIÓN DE BAJO VOLTAJE, PROTECCIÓN DE RED ADSL. RESET POR SOBRE CARGA Y CORTO CIRCUITO. SUPRESOR DE PICOS. MARCA: MAGON.</t>
  </si>
  <si>
    <t>PWR3K</t>
  </si>
  <si>
    <t>REGULARO DE VOLTAJE DE 3000VA, 1800W.</t>
  </si>
  <si>
    <t>MAKITA</t>
  </si>
  <si>
    <t>TALADRO ROTOMARTILLO</t>
  </si>
  <si>
    <t>HR2470</t>
  </si>
  <si>
    <t>PULIDORA DE 9 PULGADAS MAKITA</t>
  </si>
  <si>
    <t>M9502KG</t>
  </si>
  <si>
    <t>MARANTZ</t>
  </si>
  <si>
    <t>MAR</t>
  </si>
  <si>
    <t>PROCESADOR DE AUDIO Y VIDEO 7.1. WIFI, BLUETOOTH, SINTONIZADOR AM/FM.</t>
  </si>
  <si>
    <t>NR1606</t>
  </si>
  <si>
    <t>PROCESADOR DE AUDIO Y VIDEO 7.1. WIFI, BLUETOOTH, SINTONIZADOR AM/FM. CONEXIÓN SPOTIFY. 50 VATIOS DE SALIDA REALES POR CANAL. 8 ENTRADAS HDMI.</t>
  </si>
  <si>
    <t>AV8077</t>
  </si>
  <si>
    <t>PROCESADOR DE AUDIO Y VIDEO 7.1. WIFI, BLUETOOTH, SINTONIZADOR AM/FM. CONEXIÓN SPOTIFY. 150 VATIOS DE SALIDA REALES POR CANAL. 8 ENTRADAS HDMI.</t>
  </si>
  <si>
    <t>PROCESADOR DE AUDIO Y VIDEO 9.2. WIFI, BLUETOOTH, SINTONIZADOR AM/FM.</t>
  </si>
  <si>
    <t>SR7009</t>
  </si>
  <si>
    <t>PROCESADOR DE AUDIO Y VIDEO 9.2. WIFI, BLUETOOTH, SINTONIZADOR AM/FM. CONEXIÓN SPOTIFY. 125 VATIOS DE SALIDA REALES POR CANAL. 8 ENTRADAS HDMI.</t>
  </si>
  <si>
    <t>PROCESADOR DE AUDIO Y VIDEO 3D READY, SALIDA DE 50W POR CANAL, AIR PLAY.</t>
  </si>
  <si>
    <t>NR1504</t>
  </si>
  <si>
    <t>PROCESADOR DE AUDIO Y VIDEO 3D READY, SALIDA DE 50W POR CANAL, AIR PLAY. INTEGRACIÓN BLUETOOTH MEDIANTE ACCESORIO ADICIONAL NO INCLUIDO.</t>
  </si>
  <si>
    <t>NR1506</t>
  </si>
  <si>
    <t>ADAPTADOR INALÁMBRICO PARA SEÑALES BLUETOOTH.</t>
  </si>
  <si>
    <t>RX101</t>
  </si>
  <si>
    <t>PROCESADOR DE AUDIO Y VIDEO CON SALIDA HDMI Y CONTROL DESDE APP</t>
  </si>
  <si>
    <t>NR1608</t>
  </si>
  <si>
    <t>REPRODUCTOR DE CD DE 24 BITS PARA FORMATOS MP3, WMA Y AAC.</t>
  </si>
  <si>
    <t>CD5005</t>
  </si>
  <si>
    <t>REPRODUCTOR DE CD DE 24 BITS PARA FORMATOS MP3, WMA Y AAC. NO REPRODUCE FORMATOS DVD.</t>
  </si>
  <si>
    <t>PROCESADOR DE AUDIO Y VIDEO 7.2 CON SALIDA HDMI Y CONTROL DESDE APP.</t>
  </si>
  <si>
    <t>NR1710</t>
  </si>
  <si>
    <t>PROCESADOR DE AUDIO Y VIDEO 7.2 CON SALIDA HDMI Y CONTROL DESDE APP, AIRPLAY2 Y BLUETOOTH. COMPATIBLE CON AMAZON ALEXA.</t>
  </si>
  <si>
    <t>PROCESADOR DE AUDIO Y VIDEO 5.2 CON SALIDA HDMI Y CONTROL DESDE APP.</t>
  </si>
  <si>
    <t>NR1510</t>
  </si>
  <si>
    <t>PROCESADOR DE AUDIO Y VIDEO 5.2 CON SALIDA HDMI Y CONTROL DESDE APP, AIRPLAY2 Y BLUETOOTH. COMPATIBLE CON AMAZON ALEXA.</t>
  </si>
  <si>
    <t>AMPLIFICADOR DE 150 VATIOS.</t>
  </si>
  <si>
    <t>NR1200</t>
  </si>
  <si>
    <t xml:space="preserve">AMPLIFICADOR DE 150 VATIOS (8 ohm, 20 Hz – 20 kHz, 0.08% THD), AZON ALEXA CERTIFICADO, 4K/60 Hz, Dolby Vision, 5 HDMI inputs Wi-Fi, HEOS MULTI ROOM, AirPlay2, BLUETOOTH.  </t>
  </si>
  <si>
    <t>SR6014</t>
  </si>
  <si>
    <t>PROCESADOR DE AUDIO Y VIDEO 9.2 CANALES, HEOS WIRELESS MULTIROOM, Wi-Fi, BLUETOOTH, IMAX, Dolby Atmos and DTS:X capability, 8 x HDMI.</t>
  </si>
  <si>
    <t>NR1711</t>
  </si>
  <si>
    <t>FULL 8K AVR CON 1 ENTRADA HDMI 2.1 8K. AMPLIFICADOR DE POTENCIA DISCRETO DE 7 CANALES, 50 W POR CANAL (8 OHMIOS, 20 HZ – 20 KHZ, 0,08 % THD), CERTIFICADO AMAZON ALEXA, PASSTHROUGH COMPLETO 4K/60 HZ, RESOLUCIÓN DE COLOR 4:4:4, HDR/HLG/BT.2020, DOLBY VISION, 6 ENTRADAS HDMI CON SOPORTE COMPLETO HDCP 2.3, eARC (CANAL DE RETORNO DE AUDIO MEJORADO), DOLBY ATMOS / DTS:X PARA AUDIO 3D (5.1.2), DTS VIRTUAL:X, WI-FI DOBLE BANDA 2,4 GHZ / 5 GHZ, TECNOLOGÍA HEOS DE AUDIO MULTIROOM INALÁMBRICO, AIRPLAY 2, BLUETOOTH, SOPORTE DSD (2,8 / 5,6 MHZ), FLAC, ALAC Y WAV. AUDYSSEY MULTEQ, DYNAMIC VOLUME Y DYNAMIC EQ. ENTRADA PHONO.</t>
  </si>
  <si>
    <t>Full 8K AVR with 1x 8K HDMI 2.1 Input. 7-channel discrete power amplifier, 50W per channel (8 ohm, 20 Hz – 20 kHz, 0.08% THD), Amazon Alexa certified, 4K/60 Hz full-rate pass-through, 4:4:4 color resolution, HDR/HLG/BT.2020, Dolby Vision, 6 HDMI inputs w/full HDCP 2.3 support, eARC (Enhanced Audio Return Channel), Dolby Atmos/DTS:X for 3D audio (5.1.2), DTS Virtual:X, 2.4GHz/5GHz dual band Wi-Fi, HEOS Wireless Multi-Room Audio Technology, AirPlay2, Bluetooth, DSD (2.8/5.6MHz), FLAC, ALAC and WAV support.  Audyssey MultEQ, Dynamic Volume and Dynamic EQ.  Phono Input</t>
  </si>
  <si>
    <t>SR5015</t>
  </si>
  <si>
    <t>PROCESADOR DE AUDIO Y VIDEO RESOLUCION 8K, 7.2 CON 6 ENTRADAS HDMI Y FORMATOS IMAX, DOLBY Y DTS.</t>
  </si>
  <si>
    <t>MASTERS</t>
  </si>
  <si>
    <t>CABLE ÓPTICO DE 10 PIES</t>
  </si>
  <si>
    <t>MOC10</t>
  </si>
  <si>
    <t>MATTERS</t>
  </si>
  <si>
    <t>MAT</t>
  </si>
  <si>
    <t>JACK HDMI</t>
  </si>
  <si>
    <t>MHDMI</t>
  </si>
  <si>
    <t>MAXELL</t>
  </si>
  <si>
    <t>MOUSE INALÁMBRICO MAXELL</t>
  </si>
  <si>
    <t>MOUSEM</t>
  </si>
  <si>
    <t>MEMORIA USB DE 16 GIGAS</t>
  </si>
  <si>
    <t>USB16</t>
  </si>
  <si>
    <t>MEMORIA USB DE 8G.</t>
  </si>
  <si>
    <t>M35814</t>
  </si>
  <si>
    <t>MAXHUB</t>
  </si>
  <si>
    <t>X3_86</t>
  </si>
  <si>
    <t>ACC_MO_001</t>
  </si>
  <si>
    <t>MODULO PARA SISTEMA OPERATIVO WINDOWS 10 E INTEGRACION DE SISTEMA DE COLABORACION</t>
  </si>
  <si>
    <t>AP_123</t>
  </si>
  <si>
    <t>KIT SISTEMA DE COMUNICACIÓN INALAMBRICO MAXHUB CON RECEPTOR Y 2 TRANSMISORES USB</t>
  </si>
  <si>
    <t>AP130</t>
  </si>
  <si>
    <t>MATRIZ INALAMBRICA DE PRESENTACION SIMULTANEA 1080P</t>
  </si>
  <si>
    <t>MO_1008</t>
  </si>
  <si>
    <t>MONITOR INTERACTIVO CON RECEPTOR WIRELESS PARA COMPARTIR CONTENIDO. ANOTACIONES EN TIEMPO REAL. 65". 4K.</t>
  </si>
  <si>
    <t>SP_MO_004</t>
  </si>
  <si>
    <t>SOPORTE PARA MONITOR INTERACTIVO</t>
  </si>
  <si>
    <t>ACC_MO_003</t>
  </si>
  <si>
    <t>TRANSMISOR USB INALAMBRICO DE VIDEO</t>
  </si>
  <si>
    <t>ACC_MO_004</t>
  </si>
  <si>
    <t>BASE PARA TRANSMISORES</t>
  </si>
  <si>
    <t xml:space="preserve">ACC-MO-009 </t>
  </si>
  <si>
    <t>SISTEMA PARA VIDEO CONFERENCIA CON CANCELACION DE ECO, MICROFONOS DE COVERTURA HASTA 8 METROS. AMPLIFICADOR DE 10W. ANDROID INTERNO.</t>
  </si>
  <si>
    <t>X3_55</t>
  </si>
  <si>
    <t>MONITOR INTERACTIVO, RESOLUCIÓN 4K, DE 55". SISTEMA ANDROID 7.0. GARANTIA DE 3 AÑOS.</t>
  </si>
  <si>
    <t>X3_65</t>
  </si>
  <si>
    <t>MONITOR INTERACTIVO, RESOLUCIÓN 4K, DE 65". SISTEMA ANDROID 7.0. GARANTIA DE 3 AÑOS.</t>
  </si>
  <si>
    <t>X3_98</t>
  </si>
  <si>
    <t>MONITOR INTERACTIVO, RESOLUCIÓN 4K, DE 98". SISTEMA ANDROID 7.0. GARANTIA DE 3 AÑOS.</t>
  </si>
  <si>
    <t>C86FA</t>
  </si>
  <si>
    <t>MONITOR INTERACTIVO DE 86" CON: SALIDA PARLANTES DE 40W. CAMARA DE 12MP, RESOLUCION 4K, MICROFONO CON ALCANCE DE 8 METROS</t>
  </si>
  <si>
    <t>MT51_I5</t>
  </si>
  <si>
    <t>MODULO PROCESADOR CORE I5 PARA MANEJO DE PC</t>
  </si>
  <si>
    <t>C65FA</t>
  </si>
  <si>
    <t>MONOTOR INTERACTIVO DE 65 PULGADAS CON MODULO PC WINDOWS.</t>
  </si>
  <si>
    <t>MAXILUM</t>
  </si>
  <si>
    <t>MAX180</t>
  </si>
  <si>
    <t>SENSOR DE ILUMINACION PARA EXTERIOR CON COBERTURA 180 GRADOS</t>
  </si>
  <si>
    <t>MEANWELL</t>
  </si>
  <si>
    <t>FUENTE DE PODER DE 12V, 8.5 AMPERIOS.</t>
  </si>
  <si>
    <t>FUENTE DE ALIMENTACIÓN DRIVER DE 12VDC, 150W Y 12.5 AMPERIOS. CARCASA METÁLICA.</t>
  </si>
  <si>
    <t>RS_150_12</t>
  </si>
  <si>
    <t>INTERFAZ DRIVER TIPO TRIACK PARA ATENUACIÓN HASTA 150W.</t>
  </si>
  <si>
    <t>INTERFAZ DRIVER TIPO TRIACK PARA ATENUACIÓN HASTA 600W.</t>
  </si>
  <si>
    <t>INTERFAZ DRIVER TIPO TRIACK PARA ATENUACIÓN HASTA 450W.</t>
  </si>
  <si>
    <t>INTERFAZ DRIVER TIPO TRIACK PARA ATENUACIÓN HASTA 350W.</t>
  </si>
  <si>
    <t>FUENTE DE PODER 12 VOLTIOS 6 AMPERIOS EN CARCASA METÁLICA DE INTERIOR</t>
  </si>
  <si>
    <t>DRIVER DE EXTERIOR IP65, 12V 5 AMPERIOS.</t>
  </si>
  <si>
    <t>FUENTE DE ALIMENTACION DE 12V, 3A.</t>
  </si>
  <si>
    <t>FUENTE DE ALIMENTACION DE 12V, 6A.</t>
  </si>
  <si>
    <t>FUENTE DE ALIMENTACION DE 12V, 4.2A.</t>
  </si>
  <si>
    <t>DRIVER MULTIVOLTAJE DE 24V</t>
  </si>
  <si>
    <t>FUENTE DE ALIMENTACION 12V, DE 17 AMPERIOS</t>
  </si>
  <si>
    <t>MEASY</t>
  </si>
  <si>
    <t>TRANSMISOR WIRELESS DE HDMI 1080P HASTA 10 METROS.</t>
  </si>
  <si>
    <t>W2H</t>
  </si>
  <si>
    <t>MEGAMAN</t>
  </si>
  <si>
    <t>MEG</t>
  </si>
  <si>
    <t>BOMBILLA GU10 DE 10 VATIOS</t>
  </si>
  <si>
    <t>BGU10</t>
  </si>
  <si>
    <t>MERCURY</t>
  </si>
  <si>
    <t>BLLSM9</t>
  </si>
  <si>
    <t>BOMBILLO E27 DE 9W CON SENSOR DE PRESENCIA</t>
  </si>
  <si>
    <t>MERCUSYS</t>
  </si>
  <si>
    <t>MW305R</t>
  </si>
  <si>
    <t>ROUTER DE 300 MBPS</t>
  </si>
  <si>
    <t>MICRO MOTORES</t>
  </si>
  <si>
    <t>KIT ELECTROIMÁN DE 600 LIBRAS</t>
  </si>
  <si>
    <t>MLR100</t>
  </si>
  <si>
    <t>MICRONET</t>
  </si>
  <si>
    <t>MN1000VA</t>
  </si>
  <si>
    <t>UPS DE 1000VA, 600 VATIOS. ALIMENTACIÓN 120V, 60Hz.</t>
  </si>
  <si>
    <t>MICROSOFT</t>
  </si>
  <si>
    <t>MOUSE INALÁMBRICO MICROSOFT</t>
  </si>
  <si>
    <t>M1850</t>
  </si>
  <si>
    <t>SURFACE_PRO_1796</t>
  </si>
  <si>
    <t>COMPUTADORA SURFACE PRO, PROCESADOR CORE I5. 128Gb. 4Gb DE RAM.</t>
  </si>
  <si>
    <t>OFFICE_365</t>
  </si>
  <si>
    <t>LICENCIA DE OFFICE DURANTE 1 AÑO</t>
  </si>
  <si>
    <t>MIKROTIK</t>
  </si>
  <si>
    <t>ROUTER CON 32M RAM, 2.4GHz.</t>
  </si>
  <si>
    <t xml:space="preserve"> RB94</t>
  </si>
  <si>
    <t>RB2011UIAS</t>
  </si>
  <si>
    <t>ROUTER INALAMBRICO DE 10 PUERTOS, 5 GIGABIT. FERCUENCIA DE 2.4GHz.</t>
  </si>
  <si>
    <t>RB962UIGS_5HACT</t>
  </si>
  <si>
    <t>ROUTER INALAMBRICO DE DOBLE FERCUENCIA</t>
  </si>
  <si>
    <t>CRS326_24G_2S_RM</t>
  </si>
  <si>
    <t>SWITCH GESTIONABLE DE 24 PUERTOS</t>
  </si>
  <si>
    <t>MINI PRAGMA BY SCHNEIDER.</t>
  </si>
  <si>
    <t>MIP22112T</t>
  </si>
  <si>
    <t>MINNESOTA</t>
  </si>
  <si>
    <t>BBSPCU</t>
  </si>
  <si>
    <t>GATEWAY DE CONVERSION DE RS232</t>
  </si>
  <si>
    <t>MIOKEE</t>
  </si>
  <si>
    <t xml:space="preserve">METRO DE CABLE UTP CATEGORÍA 6. </t>
  </si>
  <si>
    <t>MIOKEE_CAT6_M</t>
  </si>
  <si>
    <t xml:space="preserve">ROLLO DE CABLE UTP DE 305 METROS CATEGORÍA 6. </t>
  </si>
  <si>
    <t>MIOKEE_CAT6</t>
  </si>
  <si>
    <t>METRO DE CABLE UTP CATEGORÍA 5.</t>
  </si>
  <si>
    <t>MIOKEE_CAT5_M</t>
  </si>
  <si>
    <t>ROLLO DE CABLE UTP DE 305 METROS CATEGORÍA 5.</t>
  </si>
  <si>
    <t>MIOKEE_CAT5</t>
  </si>
  <si>
    <t>MONOPRICE</t>
  </si>
  <si>
    <t>EXTENSOR DE AUDIO POR CATEGORÍA 5.</t>
  </si>
  <si>
    <t>EXTENDER DE SEÑALES RS232</t>
  </si>
  <si>
    <t>M103598</t>
  </si>
  <si>
    <t>POWER SUPPLY DE 10 AMPERIOS PARA 16 CÁMARAS ANÁLOGAS</t>
  </si>
  <si>
    <t>CCTV16PS</t>
  </si>
  <si>
    <t>MONSTER</t>
  </si>
  <si>
    <t>HDMI15_M</t>
  </si>
  <si>
    <t>FACEPLATE HDMI</t>
  </si>
  <si>
    <t>G_HDMI_PLATE</t>
  </si>
  <si>
    <t>CABLE HDMI DE 3.6 METROS</t>
  </si>
  <si>
    <t>HDMI_3.6_M</t>
  </si>
  <si>
    <t>CABLE HDMI DE 7.5 METROS</t>
  </si>
  <si>
    <t>HDMI7.5_M</t>
  </si>
  <si>
    <t>MOTONG</t>
  </si>
  <si>
    <t>HI_TO_RCA</t>
  </si>
  <si>
    <t>CONVERSOR DE AUDIO DE SALIDA AMPLIFICADA A RCA</t>
  </si>
  <si>
    <t>https://www.amazon.com/dp/B0743B4BY5/ref=sspa_dk_detail_9?psc=1&amp;pd_rd_i=B0743B4BY5&amp;pd_rd_w=eNHYa&amp;pf_rd_p=7d37a48b-2b1a-4373-8c1a-bdcc5da66be9&amp;pd_rd_wg=euLcS&amp;pf_rd_r=YJEPQKT01ZWJ2TBEPCYA&amp;pd_rd_r=24b56c6a-ca44-45f1-a983-4f23e40e39ef&amp;spLa=ZW5jcnlwdGVkUXVhbGlmaWVyPUExRlFRSE5WQzNFVFMwJmVuY3J5cHRlZElkPUEwNDE5NTg0MjNHTU1ZSU5PSzQxMyZlbmNyeXB0ZWRBZElkPUEwNTAyNjA1MVBGUUFWSzBVU1FZWCZ3aWRnZXROYW1lPXNwX2RldGFpbCZhY3Rpb249Y2xpY2tSZWRpcmVjdCZkb05vdExvZ0NsaWNrPXRydWU=</t>
  </si>
  <si>
    <t>MTEK</t>
  </si>
  <si>
    <t>AB_MSIII10000</t>
  </si>
  <si>
    <t>UPS ONLINE DE 10KVA CON CONTROL AVANZADO DSP; FACTOR DE POTENCIA DE SALIDA 1, AMPLIO RANGO EN VOLTAJE DE ENTRADA. PANTALLA LCD/LED, TRANSFORMADOR DE AISLAMIENTO A LA SALIDA. TARJETA DE RED SNMP OPCIONAL. AUTONOMÍA 5 MIN A PLENA CARGA, 11 MIN A MEDIA CARGA.</t>
  </si>
  <si>
    <t>MTXTEC</t>
  </si>
  <si>
    <t>MTXTEC56</t>
  </si>
  <si>
    <t>BATERIA PARA PORTATIL DE 56W</t>
  </si>
  <si>
    <t>MUZATA</t>
  </si>
  <si>
    <t>RIEL LED DE UN METRO EN ALUMINIO Y DIFUSOR BLANCO EN POLICARBONATO.</t>
  </si>
  <si>
    <t>RIEL_LED_12.5_X_0.7</t>
  </si>
  <si>
    <t>ACCESS POINT COMERCIAL DE 300N</t>
  </si>
  <si>
    <t>XAP_1230</t>
  </si>
  <si>
    <t>NACIONAL</t>
  </si>
  <si>
    <t>NAL</t>
  </si>
  <si>
    <t>GABINETE DE FABRICACIÓN NACIONAL DE 7 UNIDADES DE RACK EN LAMINA.</t>
  </si>
  <si>
    <t>NAL_7U_RACK</t>
  </si>
  <si>
    <t>NAD</t>
  </si>
  <si>
    <t>REPRODUCTOR DE ZONA STREAMING CON FORMATO MQA. 60W POR CANAL.</t>
  </si>
  <si>
    <t>CI720</t>
  </si>
  <si>
    <t>T758V3</t>
  </si>
  <si>
    <t>PROCESADOR DE AUDIO Y VIDEO 7.2 DE DOS ZONAS, SALIDA DE POTENCIA 110W. CALIDAD DE SONIDO MQA, Y BLUOS INTEGRADO.</t>
  </si>
  <si>
    <t>T777V3</t>
  </si>
  <si>
    <t>PROCESADOR DE AUDIO Y VIDEO 7.2 DE DOS ZONAS, SALIDA DE POTENCIA 140W. CALIDAD DE SONIDO MQA, Y BLUOS INTEGRADO.</t>
  </si>
  <si>
    <t>NEC</t>
  </si>
  <si>
    <t>PROYECTOR LASER, CON 6000 LUMEN, RESOLUCIÓN 4K.</t>
  </si>
  <si>
    <t>NP_PX602WL</t>
  </si>
  <si>
    <t>PROYECTOR LASER, CON 6000 LUMEN, RESOLUCIÓN 4K, 4096x2160, ENTRADAS HDMI Y RGB. MARCA: NEC.</t>
  </si>
  <si>
    <t xml:space="preserve">LÁMPARA DE REEMPLAZO PARA NP-V302H/V332X/V332W </t>
  </si>
  <si>
    <t>NP35LP</t>
  </si>
  <si>
    <t>SOPORTE DE TECHO PARA PROYECTOR DE LA SERIE PX. MARCA: NEC.</t>
  </si>
  <si>
    <t>PX750CM</t>
  </si>
  <si>
    <t>VW</t>
  </si>
  <si>
    <t>ARREGLO DE VIDEO WALL 3x3, CON DISPLAYS DE 46 PULGADAS.</t>
  </si>
  <si>
    <t>X464UN_TMX9P</t>
  </si>
  <si>
    <t>ARREGLO DE VIDEO WALL 3x3, CON DISPLAYS DE 46 PULGADAS. ÁREA EFECTIVA DE 307cm X 174cm.</t>
  </si>
  <si>
    <t>LÁMPARA DE REMPLAZO PARA PROYECTOR DE LA SERIE . INCLUYE ÚNICAMENTE SUMINISTRO.</t>
  </si>
  <si>
    <t>NP06LP</t>
  </si>
  <si>
    <t>PROYECTOR WXGA, DLP, 3100 LUMENS, 3000:1 DE CONTRASTE, 3D READY, RJ-45(CTL).</t>
  </si>
  <si>
    <t>NP_V311W</t>
  </si>
  <si>
    <t>PROYECTOR WXGA, DLP, 3100 LUMENS, 3000:1 DE CONTRASTE, 3D READY, RJ-45(CTL), RGB INPUT, HDMI INPUT, 5000 HORAS DE LÁMPARA EN ECO MODE.</t>
  </si>
  <si>
    <t>PROYECTOR XGA, DLP, 3300 LUMENS, 10.000:1 DE CONTRASTE, 3D READY, RJ-45(CTL).</t>
  </si>
  <si>
    <t>NP_V332X</t>
  </si>
  <si>
    <t>PROYECTOR XGA, DLP, 3300 LUMENS, 10.000:1 DE CONTRASTE, 3D READY, RJ-45(CTL), RGB INPUT, HDMI INPUT, 5000 HORAS DE LÁMPARA EN ECO MODE.</t>
  </si>
  <si>
    <t>PROYECTOR WXGA, DLP, 3300 LUMENS, 10.000:1 DE CONTRASTE, 3D READY, RJ-45(CTL).</t>
  </si>
  <si>
    <t>NP_V332W</t>
  </si>
  <si>
    <t>PROYECTOR WXGA, DLP, 3300 LUMENS, 10.000:1 DE CONTRASTE, 3D READY, RJ-45(CTL), RGB INPUT, HDMI INPUT, 5000 HORAS DE LÁMPARA EN ECO MODE.</t>
  </si>
  <si>
    <t>PROYECTOR XGA, DLP, 2800 LUMENS, 10.000:1 DE CONTRASTE, RJ-45(CTL), RGB INPUT.</t>
  </si>
  <si>
    <t>NP_M282X</t>
  </si>
  <si>
    <t>PROYECTOR XGA, DLP, 2800 LUMENS, 10.000:1 DE CONTRASTE, RJ-45(CTL), RGB INPUT, HDMI INPUT, 10.000 HORAS DE LÁMPARA EN ECO MODE. ALTAVOZ DE 20 VATIOS.</t>
  </si>
  <si>
    <t>PROYECTOR 1080P DLP, 5000 HOURS LAMP LIFE, 4500 LUMEN.</t>
  </si>
  <si>
    <t>NP_P452H</t>
  </si>
  <si>
    <t>PROYECTOR WXGA, DLP, 3500 LUMENS, LENTE DE DISTANCIA CORTA.</t>
  </si>
  <si>
    <t>NP_M353WS</t>
  </si>
  <si>
    <t>WXGA, DLP, 3500 LUMENS, LENTE DE DISTANCIA CORTA, CONTRASTE 10,000:1, PARLANTE 20W, DOS ENTRADAS HDMI, 8000 HORAS DE VIDA ÚTIL EN LÁMPARA.</t>
  </si>
  <si>
    <t>PROYECTOR WXGA DLP,  4500 LUMEN.</t>
  </si>
  <si>
    <t>NP_P452W</t>
  </si>
  <si>
    <t>WXGA DLP, 5000 hours lamp life, 4500 Lumen Entry Level Installation Projector - 6000:1 Contrast (with iris), HDBaseT, Dual HDMI input (HDMI 1 supports MHL), VGA, USB Viewer Capability, 3D Sync, Closed Captioning, 11.5 lbs., 3 Year Warranty (Suggested Replacement Model for the NP-P451W)</t>
  </si>
  <si>
    <t>PROYECTOR SVGA, DLP, 3000 LUMEN.</t>
  </si>
  <si>
    <t>NP_VE303</t>
  </si>
  <si>
    <t>SVGA, DLP, 3000 lumen, 10,000:1 contrast projector w/2W speaker, 3D ready, Closed Captioning, Analog RGB input, HDMI w/HDCP, 6,000 hour lamp life (ECO mode), 5.8lbs., 2 Year Warranty (Suggested Replacement Model for the NP-VE281)</t>
  </si>
  <si>
    <t>PROYECTOR XGA, DLP, 3000 LUMEN.</t>
  </si>
  <si>
    <t>NP_VE303X</t>
  </si>
  <si>
    <t>XGA, DLP, 3000 lumen, 10,000:1 contrast projector w/2W speaker, 3D ready, Closed Captioning, Analog RGB input, HDMI w/HDCP, 6,000 hour lamp life (ECO mode), 5.8lbs., 2 Year Warranty (Suggested Replacement Model is the NP-VE281X)</t>
  </si>
  <si>
    <t>PROYECTOR LASER DE 5.000 LUMENS, TIEMPO ESTIMADO DE LUMINARIA DE 20.000 HORAS.</t>
  </si>
  <si>
    <t>P502HL_2</t>
  </si>
  <si>
    <t>PROYECTOR LASER DE 5.000 LUMENS, TIEMPO ESTIMADO DE LUMINARIA DE 20.000 HORAS. RESOLUCIÓN DE 1920x1200. ENTRADAS HDMI Y VGA.</t>
  </si>
  <si>
    <t>PROYECTOR WXGA LCD, 5500 LUMEN.</t>
  </si>
  <si>
    <t>NP_P554W</t>
  </si>
  <si>
    <t>WXGA LCD, 5500 Lumen Entry Level Installation Projector – H&amp;V Lens Shift, 20,000:1 Contrast (with iris), 8000 hours lamp life (eco), 20W speaker, HDBaseT, Dual HDMI input, VGA, RJ-45 (CTL), USB Viewer Capability (JPG), Closed Captioning, 10.6 lbs., 3 Year Warranty (Suggested Replacement Model for the NP-P502W)</t>
  </si>
  <si>
    <t>PROYECTOR WXGA, LCD, 3600 LUMEN.</t>
  </si>
  <si>
    <t>NP_ME361W</t>
  </si>
  <si>
    <t>WXGA, LCD, 3600 Lumen Projector w/6,000:1 Contrast with IRIS, 20W speaker, Dual HDMI Inputs, Variable Audio, Closed Captioning and RJ-45(CTL), MultiPresenter, H &amp; V Keystone Control, 9,000 hour lamp life (ECO mode), Wireless LAN optional, 6.4 lbs., 3 Year Warranty (Suggested Replacement Model for the NP-M402X &amp; NP-M363W)</t>
  </si>
  <si>
    <t>PROYECTOR WXGA DLP, LASER, 20,000 HORAS.</t>
  </si>
  <si>
    <t>NP_P502WL_2</t>
  </si>
  <si>
    <t>WXGA DLP, Laser Light Source, 20,000 hours light source life, 5000 Lumen Entry Level Installation Projector - 15,000:1 Contrast (with iris), HDBaseT, Dual HDMI input (HDMI 1 supports MHL), VGA, MultiPresenter, USB Viewer Capability, 3D Sync, Closed Captioning, 19.4 lbs., 3 Year Warranty (Suggested Replacement Model for the NP-P502WL)</t>
  </si>
  <si>
    <t>CONTROL REMOTO PARA PROYECTOR NEC</t>
  </si>
  <si>
    <t>7N900928</t>
  </si>
  <si>
    <t>BALASTO PARA PROYECTOR P-451X</t>
  </si>
  <si>
    <t>CA3Z00735</t>
  </si>
  <si>
    <t>LAMPARA DE LA SERIE:  NP-P401W/P451X/P451W Y NP-P501X</t>
  </si>
  <si>
    <t>NP23LP</t>
  </si>
  <si>
    <t>LAMPARA DE REPUESTO PARA PROYECTORES DE LA SERIE:  NP-P401W/P451X/P451W Y NP-P501X</t>
  </si>
  <si>
    <t>PROYECTOR WXGA, CONTRASTE 18.000:1.</t>
  </si>
  <si>
    <t>NP_P474W</t>
  </si>
  <si>
    <t>PROYECTOR WXGA, CONTRASTE 18.000:1, GARANTÍA DE 3 ANOS EN PROYECTOR Y DE 6 MESES EN LAMPARA. 4.700 LUMENS.</t>
  </si>
  <si>
    <t>WXGA LCD, FUENTE LASER, 20,000 HORAS DE LAMPARA, 5200 LUMENS.</t>
  </si>
  <si>
    <t>NP_P525WL</t>
  </si>
  <si>
    <t>WXGA LCD, FUENTE LASER, 20,000 HORAS DE LAMPARA, 5200 LUMENS, ENTRADA HDBaseT, HDMIx2, VGA, USB VIEWER.</t>
  </si>
  <si>
    <t>PROYECTOR DE RESOLUCIÓN DE 1280X800 DE 3700 LUMENS.</t>
  </si>
  <si>
    <t>NP_ME372W</t>
  </si>
  <si>
    <t>P506QL</t>
  </si>
  <si>
    <t>PROYECTOR RESOLUCION 4K (3840x2160), 5.000 LUMENS</t>
  </si>
  <si>
    <t>NP_ME382U</t>
  </si>
  <si>
    <t>PROYECCION CON RESOLUCION WUXGA LCD, 3800 LUMENS, 10,000 DE VIDA DE LAMPARA, DUAL HDMI, VGA.</t>
  </si>
  <si>
    <t>NP_P506QL</t>
  </si>
  <si>
    <t xml:space="preserve">PROYECTOR 4K UHD DLP, LASER, 5000 LUMEN, HDBaseT, DUAL HDMI. </t>
  </si>
  <si>
    <t>NP_P525UL</t>
  </si>
  <si>
    <t>WXGA LCD, LASER LIGHT SOURCE, 20,000 HOURS LIGHT SOURCE LIFE, 5200 LUMEN ENTRY INSTALLATION PROJECTOR - LENS SHIFT, HDBASET, DUAL HDMI, VGA, MULTIPRESENTER, USB VIEWER CAPABILITY, CLOSED CAPTIONING, 21.3 LBS., 5 YEAR WARRANTY</t>
  </si>
  <si>
    <t>NP_ME403U</t>
  </si>
  <si>
    <t>PROYECTOR DE 400 LUMENS RESOLUCION WUXGA</t>
  </si>
  <si>
    <t>NERO</t>
  </si>
  <si>
    <t>WSA</t>
  </si>
  <si>
    <t>TRANSMISOR INALAMBRICO WIRELESS</t>
  </si>
  <si>
    <t>NEST</t>
  </si>
  <si>
    <t>TERMOSTATO CON TERMINACIÓN SATINADA. PARA CONTROL DE UN ÁREA.</t>
  </si>
  <si>
    <t>T3007ES</t>
  </si>
  <si>
    <t>NETGEAR</t>
  </si>
  <si>
    <t>EXTENSOR DE RED WIFI CON SALIDA RJ45 ETHERNET</t>
  </si>
  <si>
    <t>AC750</t>
  </si>
  <si>
    <t>NEW LINE</t>
  </si>
  <si>
    <t>NEW</t>
  </si>
  <si>
    <t>REG</t>
  </si>
  <si>
    <t>REGULADOR DE VOLTAJE TRIFÁSICO DE 20kwa.</t>
  </si>
  <si>
    <t>RN_TRIACS</t>
  </si>
  <si>
    <t>REGULADOR DE VOLTAJE TRIFÁSICO DE 20kwa, CON CONMUTACIÓN DE 4 PASOS MEDIANTE TRIACKS.</t>
  </si>
  <si>
    <t>NEWWELL</t>
  </si>
  <si>
    <t>FUENTE PARA CINTA LED DE 30 AMPERIOS</t>
  </si>
  <si>
    <t>NW30</t>
  </si>
  <si>
    <t>NEXT</t>
  </si>
  <si>
    <t>LYNX301</t>
  </si>
  <si>
    <t>ANTENA DE COMUNICACIÓN 5G</t>
  </si>
  <si>
    <t>NEXXT</t>
  </si>
  <si>
    <t>ROLLO DE CABLE UTP CAT6 POR 303 METROS.</t>
  </si>
  <si>
    <t>NEXXT_CAT6</t>
  </si>
  <si>
    <t>PLACA SENCILLA PARA JACK</t>
  </si>
  <si>
    <t>LANFACEX1</t>
  </si>
  <si>
    <t>NEXXT_6A</t>
  </si>
  <si>
    <t>NEXXT_6AM</t>
  </si>
  <si>
    <t xml:space="preserve">METRO DE ALAMBRE AWG 2X18, PARA TRANSMISIÓN DE BUS DE DATOS. </t>
  </si>
  <si>
    <t>RED18</t>
  </si>
  <si>
    <t>ROUTER INALÁMBRICO DE 300MHz</t>
  </si>
  <si>
    <t>NEXXT2</t>
  </si>
  <si>
    <t>NILL</t>
  </si>
  <si>
    <t xml:space="preserve">TUBO LED DE 5 PIES, 24W, 3000K. </t>
  </si>
  <si>
    <t>ZTSS</t>
  </si>
  <si>
    <t>NIPPON</t>
  </si>
  <si>
    <t>TRANSFORMADOR MAGNÉTICO PARA CARGAS ATENUABLES A 12 VOLTIOS.</t>
  </si>
  <si>
    <t>MAG12V</t>
  </si>
  <si>
    <t>NORTH BAYOU</t>
  </si>
  <si>
    <t>L600</t>
  </si>
  <si>
    <t>SOPORTE PARA TV DE 70"</t>
  </si>
  <si>
    <t>NOVEY</t>
  </si>
  <si>
    <t>FOTOCELDA DE CONMUTACIÓN A 220VAC</t>
  </si>
  <si>
    <t>J1033020</t>
  </si>
  <si>
    <t>NUOL</t>
  </si>
  <si>
    <t>NUOLT_7284</t>
  </si>
  <si>
    <t>UPS INTERACTIVA DE 6KVA</t>
  </si>
  <si>
    <t>NUVO</t>
  </si>
  <si>
    <t>NUV</t>
  </si>
  <si>
    <t>PUNTOS DE ACCESO INALÁMBRICO PARA INTEGRACIÓN DE EQUIPOS INALÁMBRICOS</t>
  </si>
  <si>
    <t>NV_GW100R1_NA</t>
  </si>
  <si>
    <t>$140.00</t>
  </si>
  <si>
    <t>HUB PARA MANEJO DE 6 FUENTES CON SINTONIZADOR FM.</t>
  </si>
  <si>
    <t>NV_RVM</t>
  </si>
  <si>
    <t>$450.00</t>
  </si>
  <si>
    <t>FILTRO PARA TRANSMISIÓN DE DATOS A TRAVÉS DE LA LÍNEA ELÉCTRICA.</t>
  </si>
  <si>
    <t>NV_RVFIL</t>
  </si>
  <si>
    <t>$40.00</t>
  </si>
  <si>
    <t>HERRAMIENTA PARA ANÁLISIS DE RED.</t>
  </si>
  <si>
    <t>NV_RVSAT</t>
  </si>
  <si>
    <t>$309.00</t>
  </si>
  <si>
    <t>CABLE SERIAL RS-232</t>
  </si>
  <si>
    <t>NV_A4DRS232</t>
  </si>
  <si>
    <t>$13.00</t>
  </si>
  <si>
    <t>HERRAMIENTA PARA GRABADO DE SEÑALES IR.</t>
  </si>
  <si>
    <t>NV_LRC1</t>
  </si>
  <si>
    <t>$22.00</t>
  </si>
  <si>
    <t>CONECTOR PARA SERVICIO SIRIUS</t>
  </si>
  <si>
    <t>NV_SCH1</t>
  </si>
  <si>
    <t>$60.00</t>
  </si>
  <si>
    <t>ANTENA PARA SINTONIZADOR</t>
  </si>
  <si>
    <t>NV_T2ANT_DK</t>
  </si>
  <si>
    <t>$47.00</t>
  </si>
  <si>
    <t>HUB ALL PORT PARA SISTEMA SIMPLEASE</t>
  </si>
  <si>
    <t>NV_A4DAP_DC</t>
  </si>
  <si>
    <t>$28.00</t>
  </si>
  <si>
    <t>INTERRUPTOR DE FUENTE LOCAL</t>
  </si>
  <si>
    <t>NV_LSI5</t>
  </si>
  <si>
    <t>$39.00</t>
  </si>
  <si>
    <t>TESTER PARA CABLES CAT 5</t>
  </si>
  <si>
    <t>NV_AWT1</t>
  </si>
  <si>
    <t>$51.00</t>
  </si>
  <si>
    <t>HUB PARA SISTEMAS ESSENTIA</t>
  </si>
  <si>
    <t>NV_E6GMAP_DC</t>
  </si>
  <si>
    <t>$37.00</t>
  </si>
  <si>
    <t>HUB PARA EXPANDER DE SISTEMA ESSENTIA</t>
  </si>
  <si>
    <t>NV_E6GXAP_DC</t>
  </si>
  <si>
    <t>PUERTO EZ PARA SISTEMAS GRAND CONCERTO</t>
  </si>
  <si>
    <t>NV_I8GEZP</t>
  </si>
  <si>
    <t>$32.00</t>
  </si>
  <si>
    <t>BISEL PARA TECLADO GRAND CONCERTO NEGRO</t>
  </si>
  <si>
    <t>NV_WPM_2GB</t>
  </si>
  <si>
    <t>$11.00</t>
  </si>
  <si>
    <t>BISEL PARA TECLADO GRAND CONCERTO BRANCO</t>
  </si>
  <si>
    <t>NV_WPM_2GW</t>
  </si>
  <si>
    <t>BISEL PARA TECLADO GRAND CONCERTO SATÍN CROMO</t>
  </si>
  <si>
    <t>NV_WPM_2SC</t>
  </si>
  <si>
    <t>BISEL PARA TECLADO GRAND CONCERTO SATÍN NICKEL</t>
  </si>
  <si>
    <t>NV_WPM_2SN</t>
  </si>
  <si>
    <t>BISEL PARA TECLADO GRAND CONCERTO SATÍN CROMO POLICHADO</t>
  </si>
  <si>
    <t>NV_WPM_2PC</t>
  </si>
  <si>
    <t>BARQUET PARA PARLANTE DE TECHO DE 6.5 PULGADAS</t>
  </si>
  <si>
    <t>NV_BK6C</t>
  </si>
  <si>
    <t>BARQUET PARA PARLANTE DE PARED DE 6.5 PULGADAS</t>
  </si>
  <si>
    <t>NV_BK6I</t>
  </si>
  <si>
    <t>BARQUET PARA PARLANTE DE TECHO DE 8 PULGADAS</t>
  </si>
  <si>
    <t>NV_BK8C</t>
  </si>
  <si>
    <t>BARQUET PARA PARLANTE DE PARED DE 8 PULGADAS</t>
  </si>
  <si>
    <t>NV_BK8I</t>
  </si>
  <si>
    <t>BARQUET PARA PARLANTE DE PARED ESTÉREO DE 6.5 PULGADAS</t>
  </si>
  <si>
    <t>NV_BK6CS</t>
  </si>
  <si>
    <t>ESTACIÓN PARA GRABACIÓN DE COMANDOS IR</t>
  </si>
  <si>
    <t>NV_I8DLS</t>
  </si>
  <si>
    <t>$173.00</t>
  </si>
  <si>
    <t>DISPLAY MINI CONTADOR</t>
  </si>
  <si>
    <t>NV_GMD</t>
  </si>
  <si>
    <t>$210.00</t>
  </si>
  <si>
    <t>CAJA METALIZA PARA DISPLAY DE  COLORES</t>
  </si>
  <si>
    <t>NV_CTP36_MWB</t>
  </si>
  <si>
    <t>OREJAS PARA SOPORTE DE AMPLIFICADOR EN RACK</t>
  </si>
  <si>
    <t>NV_REM</t>
  </si>
  <si>
    <t>$20.00</t>
  </si>
  <si>
    <t>NV_REM1U</t>
  </si>
  <si>
    <t>UN SOPORTE DOBLE Y DOS SOPORTES SENCILLOS PARA RACK</t>
  </si>
  <si>
    <t>NV_RM3U</t>
  </si>
  <si>
    <t>$17.00</t>
  </si>
  <si>
    <t>INTERFACE PARA MUTE DE SISTEMAS MULTIROOM</t>
  </si>
  <si>
    <t>NV_MI1</t>
  </si>
  <si>
    <t>INTERRUPTOR PASIVO PARA FUENTE LOCAL</t>
  </si>
  <si>
    <t>NV_LSI24</t>
  </si>
  <si>
    <t>CABLE CATEGORÍA 5 DE UN PIE DE LARGO</t>
  </si>
  <si>
    <t>NV_NC</t>
  </si>
  <si>
    <t>$10.00</t>
  </si>
  <si>
    <t>CABLE CATEGORÍA 5 DE 10 PIES DE LARGO</t>
  </si>
  <si>
    <t>NV_NC1</t>
  </si>
  <si>
    <t>CAJA UNIVERSAL TIPO J</t>
  </si>
  <si>
    <t>NV_UJB1</t>
  </si>
  <si>
    <t>$7.00</t>
  </si>
  <si>
    <t>CAJA UNIVERSAL DE 2 GANG</t>
  </si>
  <si>
    <t>NV_UJB2</t>
  </si>
  <si>
    <t>$8.00</t>
  </si>
  <si>
    <t>PROCESADOR INALÁMBRICO DE CUARENTA VATIOS.</t>
  </si>
  <si>
    <t>NV_P100_NA</t>
  </si>
  <si>
    <t>PROCESADOR INALÁMBRICO EN ESTÉREO DE CUARENTA VATIOS PARA CONTROL DESDE DISPOSITIVOS MAC Y ANDROID.</t>
  </si>
  <si>
    <t>PROCESADOR INALÁMBRICO EN ESTÉREO DE 120 VATIOS.</t>
  </si>
  <si>
    <t>NV_P200_NA</t>
  </si>
  <si>
    <t>PROCESADOR INALÁMBRICO EN ESTÉREO DE 120 VATIOS PARA CONTROL DESDE DISPOSITIVOS MAC Y ANDROID.</t>
  </si>
  <si>
    <t>AMPLIFICADOR DE 3 CANALES EN ESTÉREO CON SALIDAS DE 40 VATIOS.</t>
  </si>
  <si>
    <t>NV_P3100_NA</t>
  </si>
  <si>
    <t>AMPLIFICADOR DE 3 CANALES EN ESTÉREO CON SALIDAS DE 40 VATIOS PARA CONTROL DESDE DISPOSITIVOS MAC O ANDROID.</t>
  </si>
  <si>
    <t>SISTEMA AMPLIFICADO DE 4 ZONAS, 40 VATIOS POR CANAL.</t>
  </si>
  <si>
    <t>NV_A4DS_DC</t>
  </si>
  <si>
    <t>SISTEMA AMPLIFICADO DE 4 ZONAS, 40 VATIOS POR CANAL, PARA CONTROL DE 4 FUENTES DESDE TECLADO ALFA NUMÉRICO. INCLUYE 4 TECLADOS DE CONTROL.</t>
  </si>
  <si>
    <t>NV_A4D_DC</t>
  </si>
  <si>
    <t>SISTEMA AMPLIFICADO DE 4 ZONAS, 40 VATIOS POR CANAL, PARA CONTROL DE 4 FUENTES DESDE TECLADO ALFA NUMÉRICO. NO INCLUYE 4 TECLADOS DE CONTROL.</t>
  </si>
  <si>
    <t>SISTEMA MULTIROOM DE AUDIO PARA 8 ZONAS, 6 AMPLIFICADAS CON SALIDA A 40 VATIOS.</t>
  </si>
  <si>
    <t>NV_I8GMS</t>
  </si>
  <si>
    <t>SISTEMA MULTIROOM DE AUDIO PARA 8 ZONAS, 6 AMPLIFICADAS CON SALIDA A 40 VATIOS. INCLUYE 6 TECLADOS PARA CONTROL DESDE PARED CON DISPLAY OLED.</t>
  </si>
  <si>
    <t>$1,649.00</t>
  </si>
  <si>
    <t>SISTEMA MULTIROOM DE AUDIO PARA 8 ZONAS.</t>
  </si>
  <si>
    <t>NV_I8GM</t>
  </si>
  <si>
    <t>SISTEMA MULTIROOM DE AUDIO PARA 8 ZONAS, 6 AMPLIFICADAS CON SALIDA A 40 VATIOS. NO INCLUYE TECLADOS.</t>
  </si>
  <si>
    <t>$1,049.00</t>
  </si>
  <si>
    <t>SISTEMA DE EXPANSIÓN PARA 8 ZONAS ADICIONALES.</t>
  </si>
  <si>
    <t>NV_I8GX</t>
  </si>
  <si>
    <t>SISTEMA DE EXPANSIÓN PARA 8 ZONAS ADICIONALES, 6 AMPLIFICADAS CON SALIDA A 40 VATIOS. NO INCLUYE TECLADOS.</t>
  </si>
  <si>
    <t xml:space="preserve">AMPLIFICADOR ESTÉREO DE 50 VATIOS. </t>
  </si>
  <si>
    <t>NV_RVZA50S</t>
  </si>
  <si>
    <t>AMPLIFICADOR ESTÉREO DE 50 VATIOS. CON RECEPCIÓN DE DATOS A TRAVÉS DE LA LÍNEA ELÉCTRICA.</t>
  </si>
  <si>
    <t>AMPLIFICADOR ESTÉREO DE 50 VATIOS.</t>
  </si>
  <si>
    <t>NV_RVZAF50S</t>
  </si>
  <si>
    <t>SISTEMA MULTIROOM DE AUDIO PARA 6 ZONAS.</t>
  </si>
  <si>
    <t>NV_E6GM_DC</t>
  </si>
  <si>
    <t>SISTEMA MULTIROOM DE AUDIO PARA 6 ZONAS, SALIDA A 40 VATIOS. NO INCLUYE TECLADOS.</t>
  </si>
  <si>
    <t>$614.00</t>
  </si>
  <si>
    <t>SISTEMA MULTIROOM DE AUDIO PARA 6 ZONAS ADICIONALES DE MULTIROOM.</t>
  </si>
  <si>
    <t>NV_E6GX_DC</t>
  </si>
  <si>
    <t>SISTEMA MULTIROOM DE AUDIO PARA 6 ZONAS ADICIONALES DE MULTIROOM, SALIDA A 40 VATIOS. NO INCLUYE TECLADOS.</t>
  </si>
  <si>
    <t>AMPLIFICADOR DIGITAL DE DOS CANALES A 120 VATIOS PARA ALTAVOCES DE 4 U 8 OHM.</t>
  </si>
  <si>
    <t>NV_D2120</t>
  </si>
  <si>
    <t>$209.00</t>
  </si>
  <si>
    <t>AMPLIFICADOR DIGITAL DE CUATRO CANALES A 60 VATIOS PARA ALTAVOCES DE 4 U 8 OHM.</t>
  </si>
  <si>
    <t>NV_D460</t>
  </si>
  <si>
    <t>AMPLIFICADO LOCAL DE 40 VATIOS</t>
  </si>
  <si>
    <t>NV_LSA40S</t>
  </si>
  <si>
    <t>$61.00</t>
  </si>
  <si>
    <t>NV_LSA40</t>
  </si>
  <si>
    <t>$56.00</t>
  </si>
  <si>
    <t>AMPLIFICADO LOCAL DE 40 VATIOS CON HUB DE DISTRIBUCIÓN</t>
  </si>
  <si>
    <t>NV_LSA40PDS</t>
  </si>
  <si>
    <t>$76.00</t>
  </si>
  <si>
    <t>AMPLIFICADO LOCAL DE 40 VATIOS PARA INSTALACIÓN EN PARED</t>
  </si>
  <si>
    <t>NV_WA40W_DC</t>
  </si>
  <si>
    <t>$129.00</t>
  </si>
  <si>
    <t>NV_WA40W_AMP_DC</t>
  </si>
  <si>
    <t>$79.00</t>
  </si>
  <si>
    <t>INTERFAZ DE CONTROL INALÁMBRICA DE 4.3" PARA SISTEMA DE AUDIO INALÁMBRICO.</t>
  </si>
  <si>
    <t>NV_CR100_NA</t>
  </si>
  <si>
    <t>$228.00</t>
  </si>
  <si>
    <t>TECLADO ALFA NUMÉRICO PARA SISTEMA SIMPLEASE</t>
  </si>
  <si>
    <t>NV_A4DKP_DC</t>
  </si>
  <si>
    <t>TECLADO CON PANTALLA OLED DE UNA PULGADA PARA CONTROL CON SISTEMAS ESSENTIA.</t>
  </si>
  <si>
    <t>NV_E6GCP_DC</t>
  </si>
  <si>
    <t>TECLADO CON PANTALLA OLED DE UNA PULGADA PARA CONTROL CON SISTEMAS ESSENTIA Y GRAND CONCERTO.</t>
  </si>
  <si>
    <t>$104.00</t>
  </si>
  <si>
    <t>TECLADO CON PANTALLA OLED DE 2.7 PULGADAS PARA CONTROL CON SISTEMAS ESSENTIA.</t>
  </si>
  <si>
    <t>NV_I8GCP</t>
  </si>
  <si>
    <t>TECLADO CON PANTALLA OLED DE 2.7 PULGADAS PARA CONTROL CON SISTEMAS ESSENTIA Y GRAND CONCERTO.</t>
  </si>
  <si>
    <t>$146.00</t>
  </si>
  <si>
    <t>TECLADO CON 4 PANTALLAS OLED DE 2.7 PULGADAS PARA CONTROL CON SISTEMAS ESSENTIA.</t>
  </si>
  <si>
    <t>NV_I8GCP_4PK</t>
  </si>
  <si>
    <t>TECLADO CON 4 PANTALLAS OLED DE 2.7 PULGADAS PARA CONTROL CON SISTEMAS ESSENTIA Y GRAND CONCERTO.</t>
  </si>
  <si>
    <t>$500.00</t>
  </si>
  <si>
    <t>TECLADO A COLOR DE 3.6 PULGADAS PARA CONTROL CON SISTEMAS ESSENTIA.</t>
  </si>
  <si>
    <t>NV_CTP36_V2</t>
  </si>
  <si>
    <t>TECLADO A COLOR DE 3.6 PULGADAS PARA CONTROL CON SISTEMAS ESSENTIA Y GRAND CONCERTO.</t>
  </si>
  <si>
    <t>$394.00</t>
  </si>
  <si>
    <t>CONTROL REMOTO IR PARA SISTEMA GRAND CONCERTO Y ESSENTIA.</t>
  </si>
  <si>
    <t>NV_GRC1</t>
  </si>
  <si>
    <t>CONTROL REMOTO PARA TUNER.</t>
  </si>
  <si>
    <t>NV_T2RC4</t>
  </si>
  <si>
    <t>$16.00</t>
  </si>
  <si>
    <t>CONTROL REMOTO PARA AMPLIFICADOR LOCAL</t>
  </si>
  <si>
    <t>NV_WA40W_RC</t>
  </si>
  <si>
    <t>SISTEMA MULTIROOM DE AUDIO PARA EXPANSIÓN DE 8 ZONAS ADICIONALES.</t>
  </si>
  <si>
    <t>NV_I8GXS</t>
  </si>
  <si>
    <t>SISTEMA MULTIROOM DE AUDIO PARA EXPANSIÓN DE 8 ZONAS ADICIONALES, 6 AMPLIFICADAS CON SALIDA A 40 VATIOS. INCLUYE 6 TECLADOS PARA CONTROL DESDE PARED CON DISPLAY OLED.</t>
  </si>
  <si>
    <t>$1,575.00</t>
  </si>
  <si>
    <t>PAQUETE PARA ZONAS 6 Y 7 DE EQUIPO GRAN CONCERTO.</t>
  </si>
  <si>
    <t>NV_I8GZPK_D2120</t>
  </si>
  <si>
    <t>PAQUETE PARA ZONAS 6 Y 7 DE EQUIPO GRAN CONCERTO. INCLUYE AMPLIFICADOR DE 120 VATIOS Y TECLADO OLED.</t>
  </si>
  <si>
    <t>$335.00</t>
  </si>
  <si>
    <t>SISTEMA MULTIROOM DE AUDIO PARA 6 ZONAS, SALIDA A 40 VATIOS.</t>
  </si>
  <si>
    <t>NV_E6GMS_DC</t>
  </si>
  <si>
    <t>SISTEMA MULTIROOM DE AUDIO PARA 6 ZONAS, SALIDA A 40 VATIOS. INCLUYE 6 TECLADOS PARA CONTROL DESDE PARED CON DISPLAY OLED DE UNA PULGADA.</t>
  </si>
  <si>
    <t>$971.00</t>
  </si>
  <si>
    <t>SISTEMA MULTIROOM DE AUDIO PARA EXPANSIÓN DE 6 ZONAS ADICIONALES.</t>
  </si>
  <si>
    <t>NV_E6GXS_DC</t>
  </si>
  <si>
    <t>SISTEMA MULTIROOM DE AUDIO PARA EXPANSIÓN DE 6 ZONAS ADICIONALES, SALIDA A 40 VATIOS. INCLUYE 6 TECLADOS PARA CONTROL DESDE PARED CON DISPLAY OLED DE UNA PULGADA.</t>
  </si>
  <si>
    <t>$961.00</t>
  </si>
  <si>
    <t>KIT DE 4 TECLADOS CON PANTALLA OLED DE UNA PULGADA.</t>
  </si>
  <si>
    <t>NV_E6GCP_DC_4PK</t>
  </si>
  <si>
    <t>KIT DE 4 TECLADOS CON PANTALLA OLED DE UNA PULGADA PARA CONTROL CON SISTEMAS ESSENTIA Y GRAND CONCERTO.</t>
  </si>
  <si>
    <t>$332.00</t>
  </si>
  <si>
    <t>SER</t>
  </si>
  <si>
    <t>SERVIDOR DE AUDIO DE 4 SALIDAS CON 320 GIGAS DE CAPACIDAD.</t>
  </si>
  <si>
    <t>NV_MPS4</t>
  </si>
  <si>
    <t>SERVIDOR DE AUDIO DE 4 SALIDAS CON 320 GIGAS DE CAPACIDAD. SALIDA EN SIMULTANEA DE 4 CANALES.</t>
  </si>
  <si>
    <t>$1,154.00</t>
  </si>
  <si>
    <t>SERVIDOR DE AUDIO DE 4 SALIDAS CON 500 GIGAS DE CAPACIDAD.</t>
  </si>
  <si>
    <t>NV_MPS4_E</t>
  </si>
  <si>
    <t>SERVIDOR DE AUDIO DE 4 SALIDAS CON 500 GIGAS DE CAPACIDAD. SALIDA EN SIMULTANEA DE 4 CANALES.</t>
  </si>
  <si>
    <t>$1,679.00</t>
  </si>
  <si>
    <t>BASE PARA CONEXIÓN DE IPOD Y TRANSMISIÓN DE DATOS A TRAVÉS DE LÍNEA ELÉCTRICA.</t>
  </si>
  <si>
    <t>NV_RVIPD</t>
  </si>
  <si>
    <t>BASE PARA CONEXIÓN DE IPOD Y TRANSMISIÓN DE DATOS A TRAVÉS DE LA LÍNEA ELÉCTRICA.</t>
  </si>
  <si>
    <t>$70.00</t>
  </si>
  <si>
    <t>BASE PARA INTERCONEXIÓN DE IPOD CON SISTEMAS ESSENTIA Y GRAND CONCERTO.</t>
  </si>
  <si>
    <t>NV_RIPS</t>
  </si>
  <si>
    <t>BASE PARA INTERCONEXIÓN DE IPOD CON SISTEMAS ESSENTIA Y GRAND CONCERTO. NO INCLUYE IPOD.</t>
  </si>
  <si>
    <t>$142.00</t>
  </si>
  <si>
    <t>BASE PARA INTERCONEXIÓN DE IPOD CON SUJECIÓN A PARED CON SISTEMAS ESSENTIA.</t>
  </si>
  <si>
    <t>NV_WMIPS_DC</t>
  </si>
  <si>
    <t>BASE PARA INTERCONEXIÓN DE IPOD CON SUJECIÓN A PARED CON SISTEMAS ESSENTIA Y GRAND CONCERTO. NO INCLUYE IPOD.</t>
  </si>
  <si>
    <t>SINTONIZADOR DUAL DE EMISORAS FM</t>
  </si>
  <si>
    <t>NV_T2SIR</t>
  </si>
  <si>
    <t>$284.00</t>
  </si>
  <si>
    <t>ALTAVOZ DE CUATRO PULGADAS PARA MONTAJE EN PARED</t>
  </si>
  <si>
    <t>NV_WA40W_SPK</t>
  </si>
  <si>
    <t>PARLANTE ESTÉREO DE 7 PULGADAS PARA INSTALACIÓN EN TECHO</t>
  </si>
  <si>
    <t>NV_SP7IS</t>
  </si>
  <si>
    <t>ALTAVOZ CIRCULAR DE 6.5 PULGADAS EN KEPLAR. IMPEDANCIA DE 8 OHM.</t>
  </si>
  <si>
    <t>NV_AP26C</t>
  </si>
  <si>
    <t>ALTAVOZ CIRCULAR DE 6.5 PULGADAS EN KEPLAR. IMPEDANCIA DE 8 OHM,  POTENCIA DE 100 VATIOS.</t>
  </si>
  <si>
    <t>ALTAVOZ CIRCULAR DE 8 PULGADAS EN KEPLAR. IMPEDANCIA DE 8 OHM.</t>
  </si>
  <si>
    <t>NV_AP28C</t>
  </si>
  <si>
    <t>ALTAVOZ CIRCULAR DE 8 PULGADAS EN KEPLAR. IMPEDANCIA DE 8 OHM,  POTENCIA DE 100 VATIOS.</t>
  </si>
  <si>
    <t>ALTAVOZ CIRCULAR ESTÉREO DE 6.5 PULGADAS EN KEPLAR. IMPEDANCIA DE 8 OHM.</t>
  </si>
  <si>
    <t>NV_AP26CS</t>
  </si>
  <si>
    <t>ALTAVOZ CIRCULAR ESTÉREO DE 6.5 PULGADAS EN KEPLAR. IMPEDANCIA DE 8 OHM,  POTENCIA DE 100 VATIOS.</t>
  </si>
  <si>
    <t>ALTAVOZ RECTANGULAR DE 6.5 PULGADAS EN KEPLAR. IMPEDANCIA DE 8 OHM.</t>
  </si>
  <si>
    <t>NV_AP26I</t>
  </si>
  <si>
    <t>ALTAVOZ RECTANGULAR DE 6.5 PULGADAS EN KEPLAR. IMPEDANCIA DE 8 OHM,  POTENCIA DE 100 VATIOS.</t>
  </si>
  <si>
    <t>ALTAVOZ RECTANGULAR DE 8 PULGADAS EN KEPLAR. IMPEDANCIA DE 8 OHM.</t>
  </si>
  <si>
    <t>NV_AP28I</t>
  </si>
  <si>
    <t>ALTAVOZ RECTANGULAR DE 8 PULGADAS EN KEPLAR. IMPEDANCIA DE 8 OHM,  POTENCIA DE 100 VATIOS.</t>
  </si>
  <si>
    <t>ALTAVOZ CIRCULAR DE 6.5 PULGADAS EN KEPLAR PARA INSTALACIÓN EN EXTERIORES.</t>
  </si>
  <si>
    <t>NV_AP26OB</t>
  </si>
  <si>
    <t>ALTAVOZ CIRCULAR DE 6.5 PULGADAS EN KEPLAR PARA INSTALACIÓN EN EXTERIORES, RESISTENTE AL AGUA. IMPEDANCIA DE 8 OHM,  POTENCIA DE 100 VATIOS.  COLOR NEGRO.</t>
  </si>
  <si>
    <t>NV_AP26OW</t>
  </si>
  <si>
    <t>ALTAVOZ CIRCULAR DE 6.5 PULGADAS EN KEPLAR PARA INSTALACIÓN EN EXTERIORES, RESISTENTE AL AGUA. IMPEDANCIA DE 8 OHM,  POTENCIA DE 100 VATIOS. COLOR BLANCO.</t>
  </si>
  <si>
    <t>ALTAVOZ CIRCULAR DE 6.5 PULGADAS . IMPEDANCIA DE 8 OHM,  POTENCIA DE 50 VATIOS.</t>
  </si>
  <si>
    <t>NV_AP16C</t>
  </si>
  <si>
    <t>ALTAVOZ CIRCULAR DE 8 PULGADAS. IMPEDANCIA DE 8 OHM,  POTENCIA DE 50 VATIOS.</t>
  </si>
  <si>
    <t>NV_AP18C</t>
  </si>
  <si>
    <t>ALTAVOZ CIRCULAR ESTÉREO DE 6.5 PULGADAS. IMPEDANCIA DE 8 OHM.</t>
  </si>
  <si>
    <t>NV_AP16CS</t>
  </si>
  <si>
    <t>ALTAVOZ CIRCULAR ESTÉREO DE 6.5 PULGADAS. IMPEDANCIA DE 8 OHM,  POTENCIA DE 50 VATIOS.</t>
  </si>
  <si>
    <t>ALTAVOZ RECTANGULAR DE 6.5 PULGADAS. IMPEDANCIA DE 8 OHM.</t>
  </si>
  <si>
    <t>NV_AP16I</t>
  </si>
  <si>
    <t>ALTAVOZ RECTANGULAR DE 6.5 PULGADAS. IMPEDANCIA DE 8 OHM,  POTENCIA DE 50 VATIOS.</t>
  </si>
  <si>
    <t>ALTAVOZ RECTANGULAR DE 8 PULGADAS. IMPEDANCIA DE 8 OHM,  POTENCIA DE 50 VATIOS.</t>
  </si>
  <si>
    <t>NV_AP18I</t>
  </si>
  <si>
    <t>ALTAVOZ CIRCULAR DE 6.5 PULGADAS PARA INSTALACIÓN EN EXTERIORES.</t>
  </si>
  <si>
    <t>NV_AP16OB</t>
  </si>
  <si>
    <t>ALTAVOZ CIRCULAR DE 6.5 PULGADAS PARA INSTALACIÓN EN EXTERIORES, RESISTENTE AL AGUA. IMPEDANCIA DE 8 OHM,  POTENCIA DE 50 VATIOS.  COLOR NEGRO.</t>
  </si>
  <si>
    <t>NV_AP16OW</t>
  </si>
  <si>
    <t>ALTAVOZ CIRCULAR DE 6.5 PULGADAS PARA INSTALACIÓN EN EXTERIORES, RESISTENTE AL AGUA. IMPEDANCIA DE 8 OHM,  POTENCIA DE 50 VATIOS. COLOR BLANCO.</t>
  </si>
  <si>
    <t>ALTAVOZ PARA EXTERIOR EN COLOR GRANITO CON APARIENCIA TIPO ROCA.</t>
  </si>
  <si>
    <t>NV_AP16RG</t>
  </si>
  <si>
    <t>ALTAVOZ PARA EXTERIOR EN COLOR GRANITO CON APARIENCIA TIPO ROCA, MEMBRANA ACÚSTICA DE 6.5 PULGADAS. POTENCIA DE 50 VATIOS, IMPEDANCIA DE 8 OHM.</t>
  </si>
  <si>
    <t>ALTAVOZ PARA EXTERIOR EN COLOR GRIS CON APARIENCIA TIPO ROCA.</t>
  </si>
  <si>
    <t>NV_AP16RS</t>
  </si>
  <si>
    <t>ALTAVOZ PARA EXTERIOR EN COLOR GRIS CON APARIENCIA TIPO ROCA, MEMBRANA ACÚSTICA DE 6.5 PULGADAS. POTENCIA DE 50 VATIOS, IMPEDANCIA DE 8 OHM.</t>
  </si>
  <si>
    <t>NV_AP18RG</t>
  </si>
  <si>
    <t>ALTAVOZ PARA EXTERIOR EN COLOR GRANITO CON APARIENCIA TIPO ROCA, MEMBRANA ACÚSTICA DE 8 PULGADAS. POTENCIA DE 50 VATIOS, IMPEDANCIA DE 8 OHM.</t>
  </si>
  <si>
    <t>NV_AP18RS</t>
  </si>
  <si>
    <t>ALTAVOZ PARA EXTERIOR EN COLOR GRIS CON APARIENCIA TIPO ROCA, MEMBRANA ACÚSTICA DE 8 PULGADAS. POTENCIA DE 50 VATIOS, IMPEDANCIA DE 8 OHM.</t>
  </si>
  <si>
    <t>TECLADO PARA CONTROL DE VOLUMEN Y SELECCIÓN DE FUENTE.</t>
  </si>
  <si>
    <t>NV_P10_WH</t>
  </si>
  <si>
    <t>PUERTO DE CONEXIÓN ALL PORT CABLE</t>
  </si>
  <si>
    <t>TARJETA DE AMPLIFICACIÓN DE ZONA DE 80 VATIOS.</t>
  </si>
  <si>
    <t>NVI8ZONEAMP16</t>
  </si>
  <si>
    <t>TARJETA DE AMPLIFICACIÓN DE ZONA DE 80 VATIOS PARA REEMPLAZO EN EQUIPOS GRAND CONCERTO.</t>
  </si>
  <si>
    <t>BARRA DE SONIDO CON COMUNICACIÓN WIFI, ENTRADAS ÓPTICA Y ANÁLOGA</t>
  </si>
  <si>
    <t>P500</t>
  </si>
  <si>
    <t xml:space="preserve">ALTAVOCES DE EXTERIOR NEGROS DE 100 VATIOS. </t>
  </si>
  <si>
    <t>NV_6OD6_BK</t>
  </si>
  <si>
    <t>SISTEMA AMPLIFICACIÓN DE 6 ZONAS EXPANDIBLE A 8.</t>
  </si>
  <si>
    <t>SISTEMA AMPLIFICACIÓN DE 6 ZONAS EXPANDIBLE A 8. CON 6 TECLADOS DE CONTROL, ENTRADA HASTA 6 FUENTES DIFERENTES.</t>
  </si>
  <si>
    <t>FUENTE DE ALIMENTACIÓN 24 VOLTIOS DIFERENCIALES PARA SISTEMA ESSENTIA.</t>
  </si>
  <si>
    <t>NVE6GPWRSPLY</t>
  </si>
  <si>
    <t>PARLANTES RECTANGULARES DE 6.5"</t>
  </si>
  <si>
    <t>NV_6IW6</t>
  </si>
  <si>
    <t>NV_P3500_NA</t>
  </si>
  <si>
    <t xml:space="preserve">AMPLIFICADOR DE 3 ZONAS DE ALTO DESEMPENO: 200W POR ZONA. </t>
  </si>
  <si>
    <t>NV_2IC6</t>
  </si>
  <si>
    <t>PARLANTE DE 8OHM, 6.5", 50W RMS, SENCIBILIDAD 86dB.</t>
  </si>
  <si>
    <t>NV_2IC6_ANG</t>
  </si>
  <si>
    <t>NV_2IC6_DVC</t>
  </si>
  <si>
    <t>PARLANTE DE 8OHM CON DOS TWEETERS, 6.5", 50W RMS, SENCIBILIDAD 86dB.</t>
  </si>
  <si>
    <t>NV_2IC8</t>
  </si>
  <si>
    <t>PARLANTE DE 8OHM, 8", 50W RMS, SENCIBILIDAD 86dB.</t>
  </si>
  <si>
    <t>NV_2IC8_ANG</t>
  </si>
  <si>
    <t>NV_2IW6</t>
  </si>
  <si>
    <t>NV_2IW5_LCR</t>
  </si>
  <si>
    <t>PARLANTE DE 8OHM, 5.25", 50W RMS, SENCIBILIDAD 86dB.</t>
  </si>
  <si>
    <t>NV_4IC6</t>
  </si>
  <si>
    <t>PARLANTE DE 8OHM, 6.5", 75W RMS, SENCIBILIDAD 88dB.</t>
  </si>
  <si>
    <t>NV_4IC6_ANG</t>
  </si>
  <si>
    <t>NV_4IC6_DVC</t>
  </si>
  <si>
    <t>PARLANTE DE 8OHM CON DOS TWEETERS, 6.5", 75W RMS, SENCIBILIDAD 88dB.</t>
  </si>
  <si>
    <t>NV_4IC8</t>
  </si>
  <si>
    <t>PARLANTE DE 8OHM, 8", 75W RMS, SENCIBILIDAD 88dB.</t>
  </si>
  <si>
    <t>NV_4IW6</t>
  </si>
  <si>
    <t>NV_4IW5_LCR</t>
  </si>
  <si>
    <t>PARLANTE DE 8OHM, 5.25", 75W RMS, SENCIBILIDAD 88dB.</t>
  </si>
  <si>
    <t>NV_6IC6</t>
  </si>
  <si>
    <t>PARLANTE DE 8OHM, 6.5", 100W RMS, SENCIBILIDAD 89dB.</t>
  </si>
  <si>
    <t>NV_6IC6_ANG</t>
  </si>
  <si>
    <t>NV_6IC8</t>
  </si>
  <si>
    <t>PARLANTE DE 8OHM, 8", 100W RMS, SENCIBILIDAD 89dB.</t>
  </si>
  <si>
    <t>NV_6IC8_ANG</t>
  </si>
  <si>
    <t>NV_6IW6_LCR</t>
  </si>
  <si>
    <t>PARLANTE DE 8OHM, 5.25", 100W RMS, SENCIBILIDAD 89dB.</t>
  </si>
  <si>
    <t>NV_6OD6_DVC_BK</t>
  </si>
  <si>
    <t>PARLANTE DE EXTERIOR EN ESTEREO, 8 OHM, 6.5", 60W.</t>
  </si>
  <si>
    <t>NV_P4300_NA</t>
  </si>
  <si>
    <t xml:space="preserve">AMPLIFICADOR DE 3 ZONAS, IMPEDANCIA SELECCIONABLE, 110W POR ZONA. </t>
  </si>
  <si>
    <t>NVI8GRC1</t>
  </si>
  <si>
    <t>CONTROL REMOTO INFRA ROJO PARA MANEJO DE TECLADOS NUVO.</t>
  </si>
  <si>
    <t>https://www.homecontrols.com/NuVo-Handheld-Remote-Control-NVI8GRC1</t>
  </si>
  <si>
    <t>NV_P5200</t>
  </si>
  <si>
    <t>AMPLIFICADOR CON STREAMING DE 3 ZONAS, CADA UNA DE 200W</t>
  </si>
  <si>
    <t>NVP5050NA</t>
  </si>
  <si>
    <t>AMPLIFICADOR DE 3 CANALES EN ESTÉREO CON SALIDAS DE 50 VATIOS PARA CONTROL DESDE DISPOSITIVOS MAC O ANDROID.</t>
  </si>
  <si>
    <t>ALTAVOZ CIRCULAR DE 50W</t>
  </si>
  <si>
    <t>ALTAVOZ CIRCULAR DE 100W</t>
  </si>
  <si>
    <t>ALTAVOZ RECTANGULAR DE 100W</t>
  </si>
  <si>
    <t>OBSIDIAN</t>
  </si>
  <si>
    <t>CONSOLA TOUCH PARA CONTROL DE ILUMINACION DMX</t>
  </si>
  <si>
    <t>NX_TOUCH</t>
  </si>
  <si>
    <t>NODO DE DOS PUERTOS DMX ALIMENTADO POR USB.</t>
  </si>
  <si>
    <t>NX_DMX</t>
  </si>
  <si>
    <t>NODO DE DOS PUERTOS DMX ALIMENTADO POR USB, PERMITE CONTROL POR SOFTWARE O COMPLEMENTOS DE LA SERIE ONYX</t>
  </si>
  <si>
    <t>OMNIMOUNT</t>
  </si>
  <si>
    <t>OM</t>
  </si>
  <si>
    <t>SOPORTE UNIVERSAL FIJO DE TECHO PARA PROYECTOR MEDIANO.</t>
  </si>
  <si>
    <t>3N1_PJT</t>
  </si>
  <si>
    <t>PJT40</t>
  </si>
  <si>
    <t>SOPORTE ESTÁTICO PARA TV ENTRE 37" Y 90".</t>
  </si>
  <si>
    <t>CI175F</t>
  </si>
  <si>
    <t>SOPORTE TIPO GANCHO PARA TV 13"-26".</t>
  </si>
  <si>
    <t>OMF</t>
  </si>
  <si>
    <t>SOPORTE DE DOBLE CODO PARA TV ENTRE 47 Y 80". MARCA OMNIMOUNT.</t>
  </si>
  <si>
    <t>OE150FM</t>
  </si>
  <si>
    <t>SOPORTE PARA IPAD MINI</t>
  </si>
  <si>
    <t>IPAD_GEN</t>
  </si>
  <si>
    <t>SOPORTE FIJO DE PARED PARA TV ENTRE 52" Y 90". SOPORTA EQUIPOS HASTA 200 LIBRAS.</t>
  </si>
  <si>
    <t>OE200F</t>
  </si>
  <si>
    <t>SOPORTE FIJO DE TECHO PARA TV ENTRE 37" Y 65". SOPORTA EQUIPOS HASTA 57.6Kg.</t>
  </si>
  <si>
    <t>SCM125</t>
  </si>
  <si>
    <t>EXTENSOR PARA SOPORTE</t>
  </si>
  <si>
    <t>NPT</t>
  </si>
  <si>
    <t>ONE NOTE</t>
  </si>
  <si>
    <t>T6_C_86</t>
  </si>
  <si>
    <t>OPS</t>
  </si>
  <si>
    <t>ONKYO</t>
  </si>
  <si>
    <t>REPRODUCTOR DE CD DE ALTA CALIDAD: 192 kHz/24-Bit DAC</t>
  </si>
  <si>
    <t>C_7030</t>
  </si>
  <si>
    <t>PROCESADOR DE AUDIO Y VIDEO CON SALIDAS DE 140W, 4K, ENTRADA USB</t>
  </si>
  <si>
    <t>TX_SR353</t>
  </si>
  <si>
    <t>PROCESADOR DE AUDIO Y VIDEO CON SALIDAS DE 80W, 4K, ENTRADA USB</t>
  </si>
  <si>
    <t>TX_8140</t>
  </si>
  <si>
    <t>SUBWOOFER DE 230W, Y CONTROL DE CROSSOVER.</t>
  </si>
  <si>
    <t>SKW204</t>
  </si>
  <si>
    <t>OPTOMA</t>
  </si>
  <si>
    <t>OPT</t>
  </si>
  <si>
    <t>PROYECTOR RESOLUCIÓN FULL HD 1080P. CONTRASTE 25.000:1.</t>
  </si>
  <si>
    <t>HD26</t>
  </si>
  <si>
    <t>PROYECTOR RESOLUCIÓN FULL HD 1080P. CONTRASTE 25.000:1, FULL 3D, 2 ENTRADAS HDMI, FORMATO 16:9.</t>
  </si>
  <si>
    <t>PROYECTOR FULL HD 1080P, 3000 LUMENS.</t>
  </si>
  <si>
    <t>HD29DARBEE</t>
  </si>
  <si>
    <t>Full HD 1080p, 1920 x 1080 resolution, 3000 lumens, 23,000:1 contrast, sRGB, 8000 Hr. Lamp Life, Black Chassis, 2x HDMI - Digital Connectivity, MHL, VESA 3D Sync Port, Powered USB (5V, 1.5Amp), 10W Audio, Audio Out, 12V Out, 5.5 lbs., Warranty: 1-Year Limited Parts and Labor, 90 days lamp warranty</t>
  </si>
  <si>
    <t>PROYECTOR RESOLUCIÓN 4K UHD, 2400 ANSI LUMENS.</t>
  </si>
  <si>
    <t>UHD50</t>
  </si>
  <si>
    <t xml:space="preserve">PROYECTOR RESOLUCIÓN 4K UHD, 2400 ANSI LUMENS, CONTRASTE: 500,000:1, RJ45, RS232C. </t>
  </si>
  <si>
    <t>HD243X</t>
  </si>
  <si>
    <t>PROYECTOR 1080P, 3300 LUMENS. ENTRADA HDMI.</t>
  </si>
  <si>
    <t>UHZ65LV</t>
  </si>
  <si>
    <t>ZK507_W</t>
  </si>
  <si>
    <t>PROYECTOR LASER 4K DE 5000 LUMENS</t>
  </si>
  <si>
    <t>UHD38</t>
  </si>
  <si>
    <t>4K UHD, 4000 LUMENS, LAMP LIGHT SOURCE,1.5 ~1.66 THROW RATIO, 8.6 LBS 2X HDMI 2.0 (HDCP2.2), VGA IN, AUDIO IN, AUDIO OUT, S/PDIF OUT, USB POWER, RS232, 12V TRIGGER, 1  YEAR  LIMITED PARTS AND LABOR WARRANTY ON THE PROJECTOR, 90 DAYS LAMP WARRANTY</t>
  </si>
  <si>
    <t>ORBIT</t>
  </si>
  <si>
    <t>TOMA ELÉCTRICA PARA PISO</t>
  </si>
  <si>
    <t>FLB_D_BR</t>
  </si>
  <si>
    <t>https://www.amazon.com/Orbit-Industries-FLB-D-BR-Receptacle-Adjustable/dp/B0084ID00M/ref=sr_1_5?ie=UTF8&amp;qid=1524737976&amp;sr=8-5&amp;keywords=in-floor+gang</t>
  </si>
  <si>
    <t>ORTRONICS</t>
  </si>
  <si>
    <t>ORT</t>
  </si>
  <si>
    <t>RED</t>
  </si>
  <si>
    <t>Face plate blanco marfil doble.</t>
  </si>
  <si>
    <t>L40300548</t>
  </si>
  <si>
    <t>Face plate blanco marfil sencillo.</t>
  </si>
  <si>
    <t>L40300549</t>
  </si>
  <si>
    <t>Trac Jack, C6, T568A/B, azul.</t>
  </si>
  <si>
    <t>TJ600_36</t>
  </si>
  <si>
    <t>Trac Jack, C6, T568A/B, rojo.</t>
  </si>
  <si>
    <t>TJ600_42</t>
  </si>
  <si>
    <t>Patch cord 6 3 ft (1 metro) azul.</t>
  </si>
  <si>
    <t>SPC603_06</t>
  </si>
  <si>
    <t>Patch cord 6 5 ft (1.5 metros) azul. Paquete de 10 unidades.</t>
  </si>
  <si>
    <t>SPC605_06</t>
  </si>
  <si>
    <t>Patch cord 6 7 ft (2,1 metros) azul.</t>
  </si>
  <si>
    <t>SPC607_06</t>
  </si>
  <si>
    <t>Caja de 305m de cable UTP 4 pares cat 6 , PVC, azul, tipo CMR.</t>
  </si>
  <si>
    <t>101UU6R_06</t>
  </si>
  <si>
    <t>Caja de 305m de cable UTP 4 pares cat 6, azul, tipo LSZH.</t>
  </si>
  <si>
    <t>L032754</t>
  </si>
  <si>
    <t>Patch panel 24 puertos cat 6.</t>
  </si>
  <si>
    <t>PHD66U24</t>
  </si>
  <si>
    <t>Patch panel 48 puertos cat 6.</t>
  </si>
  <si>
    <t>PHD66U48</t>
  </si>
  <si>
    <t>Organizador doble con tapa.</t>
  </si>
  <si>
    <t>L808044549</t>
  </si>
  <si>
    <t>Rack Estándar EIA, altura 7', 44U , color negro</t>
  </si>
  <si>
    <t>L19_84_T2SDB</t>
  </si>
  <si>
    <t>Organizador para Rack EIA 4" Ancho</t>
  </si>
  <si>
    <t>SVMS704</t>
  </si>
  <si>
    <t>Gabinete 26U 24"w*26"D*48"H</t>
  </si>
  <si>
    <t>MMW262426P_B</t>
  </si>
  <si>
    <t>Mutitoma con cable de 1.8m, 8 salidas, con supresor de 13kA.</t>
  </si>
  <si>
    <t>R8BZ</t>
  </si>
  <si>
    <t>Mutitoma de 8 salidas, con cable de 1.8m, con supresor de 13kA.</t>
  </si>
  <si>
    <t>L2008BCS20R</t>
  </si>
  <si>
    <t>Mutitoma de 12 salidas con cable de 1.8m, con supresor de 13kA.</t>
  </si>
  <si>
    <t>L7712BCS20R</t>
  </si>
  <si>
    <t>KIT DE PUESTA A TIERRA.</t>
  </si>
  <si>
    <t>GB2X12TGBKIT</t>
  </si>
  <si>
    <t>KIT DE PUESTA A TIERRA, INCLUYE: BARRAJE GB2X12TGB, 6 BORNERAS CALIBRE 6, 3 BORNERAS CALIBRE 2, UNA BORNERA 2/0, UNA BORNERA 4/0, 12 TORNILLOS EN ACERO, 12 ARANDELAS DE SEGURIDAD, 12 TUERCAS, 6 TORNILLOS 3/8" CON ARANDELA Y TUERCAS EN ACERO INOXIDABLE.</t>
  </si>
  <si>
    <t>SISTEMA DE PUESTA A TIERRA.</t>
  </si>
  <si>
    <t>GBH19KIT</t>
  </si>
  <si>
    <t>SISTEMA DE PUESTA A TIERRA, INCLUYE: BARRAJE HORIZONTAL, UNA PLACA DE EMPALME, AISLADORES DELRIN, TORNILLOS HEXAGONALES, TORNILLOS DE BRONCE, ARANDELAS Y TERMINALES.</t>
  </si>
  <si>
    <t>CANALETA PLÁSTICA CON HABITÁCULO PARA POTENCIA Y DATOS, FORMATO DE 10cm X 5cm.</t>
  </si>
  <si>
    <t>L10X5</t>
  </si>
  <si>
    <t>MARCO UNIVERSAL PARA EQUIPOS ELECTRICOS.</t>
  </si>
  <si>
    <t>L010916</t>
  </si>
  <si>
    <t>OSRAM</t>
  </si>
  <si>
    <t>DRIVER DE 50 VATIOS PARA CONTROL DE CARGAS LED DALÍ.</t>
  </si>
  <si>
    <t>OT50DALI</t>
  </si>
  <si>
    <t>DRIVER DE 50 VATIOS PARA CONTROL DE CARGAS LED CON COMUNICACIÓN MEDIANTE BUS DE DATOS DALÍ.</t>
  </si>
  <si>
    <t>BALASTRO DIMERIZABLE 2X28 DALÍ</t>
  </si>
  <si>
    <t>O4630938074</t>
  </si>
  <si>
    <t>TARJETA DE ILUMINACIÓN LED DE 1.12 METROS.</t>
  </si>
  <si>
    <t>PREVALET4000</t>
  </si>
  <si>
    <t>TARJETA DE ILUMINACIÓN LED DE 1.12 METROS COLOR NEUTRO DE 4.000K. POSIBILIDAD DE DIMERIZACIÓN CON DRIVER.</t>
  </si>
  <si>
    <t>DRIVER PARA MANEJO DE CARGAS LED CON 0-10V.</t>
  </si>
  <si>
    <t>OT50W</t>
  </si>
  <si>
    <t>DRIVER PARA MANEJO DE CARGAS LED CON 0-10V, PROGRAMABLE ENTRE 400 Y 1400 AMPERIOS</t>
  </si>
  <si>
    <t>DRIVER PARA MANEJO DE CARGAS LED CON 0-10V</t>
  </si>
  <si>
    <t>OT30W</t>
  </si>
  <si>
    <t>BALASTRO PARA 4 TUBOS DE 17 VATIOS.</t>
  </si>
  <si>
    <t>BAL417</t>
  </si>
  <si>
    <t>TUBO FLUORESCENTE DE 17 VATIOS</t>
  </si>
  <si>
    <t>F17</t>
  </si>
  <si>
    <t>TUBO FLUORESCENTE DE 28 VATIOS</t>
  </si>
  <si>
    <t>F28</t>
  </si>
  <si>
    <t>BOMBILLA HALÓGENA DIMERIZABLE DE 100W</t>
  </si>
  <si>
    <t>PK30D</t>
  </si>
  <si>
    <t>CINTA LED 12V, IP65, 25.000 HORAS DE VIDA ÚTIL ESPERADA. 6500K, 700LmxMetro</t>
  </si>
  <si>
    <t>O_7014765</t>
  </si>
  <si>
    <t>CINTA LED 24V, IP65, 35.000 HORAS DE VIDA ÚTIL ESPERADA.</t>
  </si>
  <si>
    <t>O_7014700</t>
  </si>
  <si>
    <t>CINTA LED 24V, IP65, 35.000 HORAS DE VIDA ÚTIL ESPERADA. 6500K, 142Lm/W, 655LmxMetro</t>
  </si>
  <si>
    <t>DRIVER PARA CINTA 12V DE 60 VATIOS</t>
  </si>
  <si>
    <t>OT60</t>
  </si>
  <si>
    <t>FUENTE DE ALIMENTACIÓN CON CONTROL 0-10V DE 96 VATIOS.</t>
  </si>
  <si>
    <t>OT96</t>
  </si>
  <si>
    <t>CINTA LED DE 24V, 4.6WxM, ROLLO DE 5 METROS, 3000K. 142lm/w</t>
  </si>
  <si>
    <t>VF600_G3_830_05</t>
  </si>
  <si>
    <t>ROLLO DE CINTA LED DE 5 METROS, 690Lm/W. 4000K, 24VDC.</t>
  </si>
  <si>
    <t>VF600_G3_840_05_23W_24V</t>
  </si>
  <si>
    <t>FUENTE DE ALIMENTACIÓN DE 96 VATIOS ATENUABLE 0-10</t>
  </si>
  <si>
    <t>CINTA LED DE 12VDC, 4000K. 3500Lm</t>
  </si>
  <si>
    <t>FLEXOD_12V_700_840_K</t>
  </si>
  <si>
    <t>FUENTE NO ATENUABLE DE 120 VATIOS.</t>
  </si>
  <si>
    <t>OT120</t>
  </si>
  <si>
    <t>DRIVER PARA MANEJO DE CARGAS LED CON 0-10V, PROGRAMABLE HASTA 85 VATIOS.</t>
  </si>
  <si>
    <t>OT85W</t>
  </si>
  <si>
    <t>LD015D_CA03548_15</t>
  </si>
  <si>
    <t>DLRGL124OSR</t>
  </si>
  <si>
    <t>REGLETA LED DE 50W, 8.000 LUMENS, TEMPERATURA 4K.</t>
  </si>
  <si>
    <t>OT80W</t>
  </si>
  <si>
    <t>DRIVER PARA MANEJO DE CARGAS LED CON 0-10V, PROGRAMABLE HASTA 80 VATIOS.</t>
  </si>
  <si>
    <t>VF1500_G3_840_05</t>
  </si>
  <si>
    <t>CINTA LED DE 11.5W POR METRO, 24V, 3000K. ROLLO POR 5 METROS.</t>
  </si>
  <si>
    <t>ED_COIN_50</t>
  </si>
  <si>
    <t>KIT DE DRIVER Y LUMINARIA CHIP ON BOARD ATENUABLE 0-10. FLUJO LUMINICO DE 1400 LUMENS</t>
  </si>
  <si>
    <t>OXA</t>
  </si>
  <si>
    <t>SISTEMA DE ALARMA PARA MONITOREO A TRÁVEZ DE RED WIFI</t>
  </si>
  <si>
    <t>PAC</t>
  </si>
  <si>
    <t>CONVERTIDOR DE IMPEDANCIAS PARA SALIDA DE AMPLIFICADORES</t>
  </si>
  <si>
    <t>SNI_35</t>
  </si>
  <si>
    <t>PANAMAX</t>
  </si>
  <si>
    <t>UPS DE 600 VA, 360 VATIOS, 2 UNIDADES DE RACK.</t>
  </si>
  <si>
    <t>MX5102</t>
  </si>
  <si>
    <t>UPS DE 600 VA, 360 VATIOS, 2 UNIDADES DE RACK, SUMINISTRA HASTA 12 AMPERIOS. ALIMENTACIÓN 120V, 60Hz.</t>
  </si>
  <si>
    <t>UPS DE 1000VA, 360 VATIOS, 2 UNIDADES DE RACK.</t>
  </si>
  <si>
    <t>MB1000</t>
  </si>
  <si>
    <t>UPS DE 1000VA, 360 VATIOS, 2 UNIDADES DE RACK, SUMINISTRA HASTA 12 AMPERIOS. ALIMENTACIÓN 120V, 60Hz.</t>
  </si>
  <si>
    <t>UPS DE 11 SALIDAS, CARGA USB Y DISPLAY DE SALIDA</t>
  </si>
  <si>
    <t>M5400_PM</t>
  </si>
  <si>
    <t>PANASONIC</t>
  </si>
  <si>
    <t>TELÉFONO PANASONIC PARA CITÓFONO</t>
  </si>
  <si>
    <t>PA500</t>
  </si>
  <si>
    <t>BLU-RAY FULL HD CON SALIDA HDMI Y LECTOR USB</t>
  </si>
  <si>
    <t>DMP_BD94</t>
  </si>
  <si>
    <t>PT_VW540U</t>
  </si>
  <si>
    <t>PROYECTOR WXGA (1280X800), 5500 LUMENS, CONTRASTE 16.000:1</t>
  </si>
  <si>
    <t>PT-VMW50U</t>
  </si>
  <si>
    <t xml:space="preserve">PROYECTOR LASER WXGA DE 5000 LUMENS, </t>
  </si>
  <si>
    <t>PT_LW375U</t>
  </si>
  <si>
    <t>PROYECTOR CON CONTRASTE 16.000:1, 3600 LUMENS, RESOLUCION HD (1.280x800)</t>
  </si>
  <si>
    <t>PT_VMZ50U</t>
  </si>
  <si>
    <t>PROYECTOR LASER WUXGA (1920 x 1200), 5000 LUMENS, CONTRASTE 3.000.000 A 1,HDMI x 2, 2 VGA. GARANTIA DE 3 AÑOS.</t>
  </si>
  <si>
    <t>PROYECTOR WXGA DE 3600 LUMENS</t>
  </si>
  <si>
    <t>PANDUIT</t>
  </si>
  <si>
    <t>TERMINAL EN OJO DE PONCHAR PARA CABLE AWG 4/0</t>
  </si>
  <si>
    <t>TER_AWG_4_0</t>
  </si>
  <si>
    <t>TERMINAL EN OJO DE PONCHAR PARA CABLE AWG 1/0</t>
  </si>
  <si>
    <t>TER_AWG_1_0</t>
  </si>
  <si>
    <t>TERMINAL EN OJO DE PONCHAR PARA CABLE AWG 2</t>
  </si>
  <si>
    <t>TER_AWG_2</t>
  </si>
  <si>
    <t>TERMINAL EN OJO DE PONCHAR PARA CABLE AWG 4</t>
  </si>
  <si>
    <t>TER_AWG_4</t>
  </si>
  <si>
    <t>TERMINAL EN OJO DE PONCHAR PARA CABLE AWG 6</t>
  </si>
  <si>
    <t>TER_AWG_6</t>
  </si>
  <si>
    <t>TERMINAL EN OJO DE PONCHAR PARA CABLE AWG 8</t>
  </si>
  <si>
    <t>TER_AWG_8</t>
  </si>
  <si>
    <t>PANELROCK</t>
  </si>
  <si>
    <t>CANECA DE MASILLA</t>
  </si>
  <si>
    <t>MASILLA</t>
  </si>
  <si>
    <t>PANORAMA</t>
  </si>
  <si>
    <t>PANO_001_DR</t>
  </si>
  <si>
    <t>SISTEMA DE CORTINAS MANUALES A MEDIDA, APTO DIEGO REYES</t>
  </si>
  <si>
    <t>PANORAMA_FRN</t>
  </si>
  <si>
    <t>KIT DE CORTINAS A MEDIDA PROYECTO ROJAS NIVIA</t>
  </si>
  <si>
    <t>PAVCO</t>
  </si>
  <si>
    <t>CAJA 2400 EN PVC</t>
  </si>
  <si>
    <t>PVC_2400</t>
  </si>
  <si>
    <t>CURVA PARA TUBO PVC DE 3/4 DE PULGADA</t>
  </si>
  <si>
    <t>PVC_CUR0.75</t>
  </si>
  <si>
    <t>PG</t>
  </si>
  <si>
    <t>P3V_123A</t>
  </si>
  <si>
    <t>PILA DE 3V 123A</t>
  </si>
  <si>
    <t>PHILIPS</t>
  </si>
  <si>
    <t>BALASTO ELECTRÓNICO T5, 2X28.</t>
  </si>
  <si>
    <t>PHI002</t>
  </si>
  <si>
    <t>TUBO T5 28W 865 ESSENTIAL</t>
  </si>
  <si>
    <t>PHI006</t>
  </si>
  <si>
    <t>PHI</t>
  </si>
  <si>
    <t>BALASTO ELECTRÓNICO PARA TUBO T8, 2X32.</t>
  </si>
  <si>
    <t>IOP_2P32_HL_N</t>
  </si>
  <si>
    <t>BALASTO ELECTRÓNICO PARA TUBO T8, 2X32, FACTOR DE BALASTO DE 1.18. MARCA: PHILIPS</t>
  </si>
  <si>
    <t>BALA ATENUABLE GU10 EN COLOR BLANCO CÁLIDO.</t>
  </si>
  <si>
    <t>GU10LED6W</t>
  </si>
  <si>
    <t>REFLECTOR RGB DE 80 VATIOS.</t>
  </si>
  <si>
    <t>GRAZE MX</t>
  </si>
  <si>
    <t>REFLECTOR RGB DE 80 VATIOS CON ANGULO DE APERTURA DE 10 Y 60 GRADOS, LARGO DE 4FT.</t>
  </si>
  <si>
    <t>CABLE TIPO JUMPER DE INTERCONEXIÓN DE 10 PIES</t>
  </si>
  <si>
    <t>GRA10</t>
  </si>
  <si>
    <t>GRA50</t>
  </si>
  <si>
    <t>FUENTE DE ALIMENTACIÓN Y DATOS PARA EQUIPOS COLOR KINETICS</t>
  </si>
  <si>
    <t>PRO_PHI</t>
  </si>
  <si>
    <t>IPLAYER3</t>
  </si>
  <si>
    <t>CARDAN PARA UNA BOMBILLA AR111.</t>
  </si>
  <si>
    <t>ILCAR01</t>
  </si>
  <si>
    <t>LUMINARIA HERMÉTICA PARA TUBO T8 2X32.</t>
  </si>
  <si>
    <t>IL2X32</t>
  </si>
  <si>
    <t>LED AR111 DIMERIZABLE DE 15 VATIOS</t>
  </si>
  <si>
    <t>P064PHI007</t>
  </si>
  <si>
    <t>BOMBILLO LED ATENUABLE 5W 12V, 3000K, BIPIN.</t>
  </si>
  <si>
    <t>PHI5W</t>
  </si>
  <si>
    <t>LUMINARIA LED DE 6W, REEMPLAZO DE HALÓGENO 50W. CONECTOR GU10, LUZ CÁLIDA 3000K.</t>
  </si>
  <si>
    <t>P929001266441</t>
  </si>
  <si>
    <t>LED CÁLIDO DE 2700K, MR16, 5 VATIOS.</t>
  </si>
  <si>
    <t>ESSENTIAL2700K</t>
  </si>
  <si>
    <t>BALASTRO T5 PARA 2 TUBOS DE 28 VATIOS</t>
  </si>
  <si>
    <t>BAL2X28</t>
  </si>
  <si>
    <t>TUBO LED PARA REEMPLAZO DE LUMINARIA T8.</t>
  </si>
  <si>
    <t>P453613</t>
  </si>
  <si>
    <t>TUBO LED PARA REEMPLAZO DE LUMINARIA T8, 12 VATIOS. VIDA ÚTIL ESPERADA DE 5 AÑOS.</t>
  </si>
  <si>
    <t>BOMBILLA LED ATENUABLE 2700K, 10.5W, 800 LUMEN.</t>
  </si>
  <si>
    <t>P433276</t>
  </si>
  <si>
    <t>BOMBILLA LED ATENUABLE 2700K, 10.5W, 800 LUMEN, REMPLAZO DE LUMINARIAS FLUORESCENTES COMPACTAS O INCANDESCENTES.</t>
  </si>
  <si>
    <t>LUMINARIA LED TIPO VELA ATENUABLE, 7W, 2700K.</t>
  </si>
  <si>
    <t>P458653</t>
  </si>
  <si>
    <t>DRIVER PARA CARGAS 0-10</t>
  </si>
  <si>
    <t>X1075C200V054XPT1</t>
  </si>
  <si>
    <t>BOMBILLA LED DE 5W, 2700K, 12V, 400Lm.</t>
  </si>
  <si>
    <t>ESSENTIAL5</t>
  </si>
  <si>
    <t>BOMBILLA LED DE 7W, 2700K, 12V, 500Lm. ATENUABLE.</t>
  </si>
  <si>
    <t>MASTER36D</t>
  </si>
  <si>
    <t>JW_1300_B90</t>
  </si>
  <si>
    <t>BALASTO BATERIA PARA TUBOS T5 Y T8</t>
  </si>
  <si>
    <t>https://www.amazon.com/-/es/ELECTRIC-B90-Balasto-Fluorescente-Emergencia/dp/B006IU6XBQ/ref=sr_1_24?__mk_es_US=%C3%85M%C3%85%C5%BD%C3%95%C3%91&amp;dchild=1&amp;keywords=bodine&amp;qid=1614903025&amp;s=hi&amp;sr=1-24</t>
  </si>
  <si>
    <t>650C_B100</t>
  </si>
  <si>
    <t>BALASTO BATERIA PARA PLAFON COMPACTP</t>
  </si>
  <si>
    <t>https://www.amazon.com/-/es/Bodine-B100-emergencia-Funciona-compacto/dp/B01LX5SOPY/ref=sr_1_5?__mk_es_US=%C3%85M%C3%85%C5%BD%C3%95%C3%91&amp;dchild=1&amp;keywords=bodine&amp;qid=1614903567&amp;s=hi&amp;sr=1-5</t>
  </si>
  <si>
    <t>LE_154_IEBN_B413</t>
  </si>
  <si>
    <t>BALASTO BATERIA PARA TUBOS COMPACTOS</t>
  </si>
  <si>
    <t>https://www.amazon.com/-/es/Bodine-B413-lastre-emergencia-625-l%C3%BAmenes-2-Pin/dp/B00JMCHNXY/ref=sr_1_85?__mk_es_US=%C3%85M%C3%85%C5%BD%C3%95%C3%91&amp;dchild=1&amp;keywords=bodine&amp;qid=1614903904&amp;s=hi&amp;sr=1-85</t>
  </si>
  <si>
    <t>LR1815D_75H45D</t>
  </si>
  <si>
    <t>T5_28W840</t>
  </si>
  <si>
    <t>TUBO T5 28W 840</t>
  </si>
  <si>
    <t>T5LDR4F25</t>
  </si>
  <si>
    <t>TUBO T5 ATENUABLE</t>
  </si>
  <si>
    <t>T554W840</t>
  </si>
  <si>
    <t>TUBO T5 ATENUABLE DE 54W</t>
  </si>
  <si>
    <t>CF26W3000_4000K</t>
  </si>
  <si>
    <t>BOMBILLA FLUORESCENTE COMPACTA DE 26W</t>
  </si>
  <si>
    <t>CF32W3000_4000K</t>
  </si>
  <si>
    <t>BOMBILLA FLUORESCENTE COMPACTA DE 32W</t>
  </si>
  <si>
    <t>CF42W3000_4000K</t>
  </si>
  <si>
    <t>BOMBILLA FLUORESCENTE COMPACTA DE 42W</t>
  </si>
  <si>
    <t>RGLD5658</t>
  </si>
  <si>
    <t>REGLETA LED 56Cm 3000K CON FLUJO LUMINICO PROGRAMABLE Y ATENUABLE.</t>
  </si>
  <si>
    <t>PHILMORE</t>
  </si>
  <si>
    <t>FACEPLATE 3.5mm y XLR</t>
  </si>
  <si>
    <t>P7533</t>
  </si>
  <si>
    <t>PIONEER</t>
  </si>
  <si>
    <t>PROCESADOR DE AV 4K DE 9.2 CANALES, 215 VATIOS.</t>
  </si>
  <si>
    <t>VSX_LX504</t>
  </si>
  <si>
    <t xml:space="preserve">PROCESADOR DE AV 4K DE 9.2 CANALES, 215 VATIOS, COMPATIBLE CON EQUIPAMIENTO SONOS. </t>
  </si>
  <si>
    <t>PROCESADOR DE AV 4K DE 9.2 CANALES, 185 VATIOS.</t>
  </si>
  <si>
    <t>VSX_LX304</t>
  </si>
  <si>
    <t xml:space="preserve">PROCESADOR DE AV 4K DE 9.2 CANALES, 185 VATIOS, COMPATIBLE CON EQUIPAMIENTO SONOS. </t>
  </si>
  <si>
    <t>VSX_LX104</t>
  </si>
  <si>
    <t>PROCESADOR DE AV 5.1 DE 80W, AIRPLAY, STREAMING VIA APP. 4K READY.</t>
  </si>
  <si>
    <t xml:space="preserve">PROCESADOR DE AV 4K DE 7.1 CANALES, 80 VATIOS, COMPATIBLE CON EQUIPAMIENTO SONOS. </t>
  </si>
  <si>
    <t>PLANET</t>
  </si>
  <si>
    <t>FGSD1011HP_1</t>
  </si>
  <si>
    <t>SWITCH PoE DE 8 PUESTOS INDUSTROAL FAST ETHERNET</t>
  </si>
  <si>
    <t>GSD_604HP</t>
  </si>
  <si>
    <t>SWITCH PoE DE 4 PUERTOS CON LINK DE COMUNICACIÓN. VELOCIDAD 10/100/1000.</t>
  </si>
  <si>
    <t>PLASTIMEC</t>
  </si>
  <si>
    <t>PVC_SCH40_0.75</t>
  </si>
  <si>
    <t>TUBO PVC GRIS DE ALTA DENSIDAD 3/4". TUBO DE 3M.</t>
  </si>
  <si>
    <t>POLYCOM</t>
  </si>
  <si>
    <t>INSTALACIÓN DE EQUIPOS EN SALA</t>
  </si>
  <si>
    <t>CMK_1001_34221742</t>
  </si>
  <si>
    <t>VIDEO CONFERENCIA 720P.</t>
  </si>
  <si>
    <t>P7200_65340_034</t>
  </si>
  <si>
    <t xml:space="preserve">VIDEO CONFERENCIA RealPresence Group 310-720p: Group 310 HD codec, EagleEyeIV-4x camera, mic array, univ. remote, NTSC/PAL. Cables: 1 HDMI 1.8m, 1 CAT 5E LAN 3.6m, 1 HDCI digital 3m, Power: MEX and CARIB - Type B, NEMA 5-15. Includes 1 yr premier srvc. </t>
  </si>
  <si>
    <t>POWEST</t>
  </si>
  <si>
    <t>UPS DE 750VA, 360 VATIOS. CON SOFTWARE DE MONITOREO POR USB</t>
  </si>
  <si>
    <t>MICRONET750</t>
  </si>
  <si>
    <t>UPS DE 2000VA, 360 VATIOS. CON SOFTWARE DE MONITOREO POR USB</t>
  </si>
  <si>
    <t>MICRONET2000</t>
  </si>
  <si>
    <t>NUOLT_7283</t>
  </si>
  <si>
    <t xml:space="preserve">UPS ONLINE DE 3000VA, </t>
  </si>
  <si>
    <t>NUIMN_7278</t>
  </si>
  <si>
    <t>UPS INTERACTIVA DE 3000VA</t>
  </si>
  <si>
    <t>PROAUDIO</t>
  </si>
  <si>
    <t>DJ_200BT</t>
  </si>
  <si>
    <t>CONSOLA DE MEZCLA DE DOS CANALES</t>
  </si>
  <si>
    <t>PROCABLE</t>
  </si>
  <si>
    <t>CBL</t>
  </si>
  <si>
    <t>METRO DE ALAMBRE CERTIFICADO CALIBRE AWG 6.</t>
  </si>
  <si>
    <t>ALAMBRE CERTIFICADO AWG 12, ROLLO POR 100 METROS</t>
  </si>
  <si>
    <t>PRO12</t>
  </si>
  <si>
    <t>ROLLO POR 300 METROS DE CABLE TRENZADO AWG12</t>
  </si>
  <si>
    <t>CT312</t>
  </si>
  <si>
    <t>ROLLO DE 100 METROS DE ALAMBRE AWG18</t>
  </si>
  <si>
    <t>AWG18R</t>
  </si>
  <si>
    <t>METRO DE CABLE ENCAUCHETADO 3X16. MARCA PROCABLE.</t>
  </si>
  <si>
    <t>PRO3X16</t>
  </si>
  <si>
    <t>METRO DE CABLE ENCAUCHETADO DE 4 HILOS AWG 18.</t>
  </si>
  <si>
    <t>PRO4X18</t>
  </si>
  <si>
    <t>METRO DE CABLE ENCAUCHETADO 3X18. MARCA PROCABLE.</t>
  </si>
  <si>
    <t>PRO3X18</t>
  </si>
  <si>
    <t>METRO DE CABLE AWG 6x4 ENCAUCHETADO</t>
  </si>
  <si>
    <t>GEN4X6M</t>
  </si>
  <si>
    <t>METRO DE CABLE ENCAUCHETADO 2X14. MARCA PROCABLE.</t>
  </si>
  <si>
    <t>PRO2X14</t>
  </si>
  <si>
    <t>AWG0M</t>
  </si>
  <si>
    <t>METRO DE CABLE DESNUDO AWG4</t>
  </si>
  <si>
    <t>AWG4D</t>
  </si>
  <si>
    <t>METRO DE CABLE ENCAUCHETADO 3X14. MARCA PROCABLE.</t>
  </si>
  <si>
    <t>PRO3X14</t>
  </si>
  <si>
    <t>METRO DE CABLE ENCAUCHETADO 2X10. MARCA PROCABLE.</t>
  </si>
  <si>
    <t>PRO2X10</t>
  </si>
  <si>
    <t>METRO DE ALAMBRE CERTIFICADO CALIBRE AWG 12.</t>
  </si>
  <si>
    <t>AWG12M</t>
  </si>
  <si>
    <t>CABLE ASCR #2</t>
  </si>
  <si>
    <t>ASCR2</t>
  </si>
  <si>
    <t>PROEL</t>
  </si>
  <si>
    <t>EXT_XLR_09</t>
  </si>
  <si>
    <t>EXTENSION XLR DE 90CM</t>
  </si>
  <si>
    <t>PROELECTRICOS</t>
  </si>
  <si>
    <t>CAJA ELÉCTRICA DE PASO</t>
  </si>
  <si>
    <t>CP25X25X10</t>
  </si>
  <si>
    <t>3231E04061</t>
  </si>
  <si>
    <t>CAJA ELÉCTRICA CON RIEL DIN DE 18 ESPACIOS</t>
  </si>
  <si>
    <t>PVC_5800_PRO</t>
  </si>
  <si>
    <t>CAJA GRIS, DE ALTA DENSIDAD PVC 5800</t>
  </si>
  <si>
    <t>PVC_TC5800_PRO</t>
  </si>
  <si>
    <t>TAPA GRIS, DE ALTA DENSIDAD PVC 5800</t>
  </si>
  <si>
    <t>PVC_2400_PRO</t>
  </si>
  <si>
    <t>CAJA GRIS, DE ALTA DENSIDAD PVC 2400</t>
  </si>
  <si>
    <t>PVC_TC2400_PRO</t>
  </si>
  <si>
    <t>TAPA GRIS, DE ALTA DENSIDAD PVC 2400</t>
  </si>
  <si>
    <t>PROKEY</t>
  </si>
  <si>
    <t>1346LNSMN</t>
  </si>
  <si>
    <t>LLAVERO DE PROXIMIDAD</t>
  </si>
  <si>
    <t>PRUEBA</t>
  </si>
  <si>
    <t>RACK DE 19" Y ALTURA 1.5 METROS EN FORMATO ABIERTO</t>
  </si>
  <si>
    <t>2RS19150</t>
  </si>
  <si>
    <t>PYLE</t>
  </si>
  <si>
    <t>SISTEMA DE MICROFONÍA INALÁMBRICA CON 4 MICRÓFONOS CUELLO DE GANSO INALÁMBRICOS.</t>
  </si>
  <si>
    <t>PDWM4700</t>
  </si>
  <si>
    <t>SISTEMA DE MICROFONÍA INALÁMBRICA CON 4 MICRÓFONOS CUELLO DE GANSO INALÁMBRICOS A BATERÍA Y MEZCLADOR DE MONTAJE EN RACK.</t>
  </si>
  <si>
    <t>MEZCLADOR DE SEÑALES PREAMPLIFICADAS.</t>
  </si>
  <si>
    <t>PAD30MXUBT</t>
  </si>
  <si>
    <t>MEZCLADOR DE SEÑALES PREAMPLIFICADAS Y DESBALANCEADAS DE 3 CANALES CON SALIDA PREAMPLIFICADA.</t>
  </si>
  <si>
    <t>AMPLIFICADOR DE 100 W PARA PARLANTES DE 2, 4, 6 y 8 OHM.</t>
  </si>
  <si>
    <t>PFA400U</t>
  </si>
  <si>
    <t>AMPLIFICADOR DE 100 W PARA PARLANTES DE 2, 4, 6 y 8 OHM. LECTOR DE MEMORIA MP3. ENTRADA AUXILIAR.</t>
  </si>
  <si>
    <t>AMPLIFICADOR DE DOS CANALES DE 300W CON ENTRADA DE MICRÓFONO.</t>
  </si>
  <si>
    <t>PFA600BU</t>
  </si>
  <si>
    <t>AMPLIFICADOR DE DOS CANALES DE 300W CON ENTRADA DE MICRÓFONO, MANDO IR, ENTRADAS USB Y BLUETOOTH</t>
  </si>
  <si>
    <t>MICRÓFONO CUELLO DE GANZO CON CONDENSADOR</t>
  </si>
  <si>
    <t>PDMIKC5</t>
  </si>
  <si>
    <t>PTA44BT</t>
  </si>
  <si>
    <t>AMPLIFICADOR WIRELESS DE 4 CANALES ESTEREO CON BLUETOOTH, FM Y ENTRADAS AUXILIARES. POTENCIA DE 500W.</t>
  </si>
  <si>
    <t>OKL_T1</t>
  </si>
  <si>
    <t>CAMARA DE DOCUMENTOS USB</t>
  </si>
  <si>
    <t>https://articulo.mercadolibre.com.co/MCO-612178473-camara-usb-para-documentos-_JM#position=3&amp;search_layout=stack&amp;type=item&amp;tracking_id=1d6e9904-9433-4adb-9a30-6cb6e4c06645</t>
  </si>
  <si>
    <t>QPCOM</t>
  </si>
  <si>
    <t>PATCH CORE CATEGORÍA 6 DE UN METRO COLOR BLANCO.</t>
  </si>
  <si>
    <t>QP60150G</t>
  </si>
  <si>
    <t>PATCH CORE CATEGORÍA 6 DE TRES METROS COLOR BLANCO.</t>
  </si>
  <si>
    <t>QP60325G</t>
  </si>
  <si>
    <t>PATCH CORE DE 1 METRO CATEGORÍA 6A.</t>
  </si>
  <si>
    <t>QP6A0140A</t>
  </si>
  <si>
    <t>PATCH CORE CATEGORÍA 6A DE 3 METROS</t>
  </si>
  <si>
    <t>QP6A0320A</t>
  </si>
  <si>
    <t>ORGANIZADOR DE 2U TIPO DUCTO</t>
  </si>
  <si>
    <t>QP_CO312A2</t>
  </si>
  <si>
    <t>PATCH CORE CATEGORÍA 6A DE 0.5 METROS</t>
  </si>
  <si>
    <t>PU8204</t>
  </si>
  <si>
    <t>PATCH CORE DE 1 METRO CATEGORÍA 6</t>
  </si>
  <si>
    <t>QP_60150A</t>
  </si>
  <si>
    <t>PATCH CORE DE 5 METROS CATEGORÍA 6A.</t>
  </si>
  <si>
    <t>QP6A0520A</t>
  </si>
  <si>
    <t>QSC</t>
  </si>
  <si>
    <t>CORE_8_FLEX</t>
  </si>
  <si>
    <t>PROCESADOR QSC DSP</t>
  </si>
  <si>
    <t>SLDAN_16_P</t>
  </si>
  <si>
    <t>LICENCIA QSC DANTE PARA CORE</t>
  </si>
  <si>
    <t>SL_QUD_8N_P</t>
  </si>
  <si>
    <t>LICENCIA QSC UCI PARA CORE</t>
  </si>
  <si>
    <t>SL_QSE_8N_P</t>
  </si>
  <si>
    <t>QUEST</t>
  </si>
  <si>
    <t>QUE</t>
  </si>
  <si>
    <t>GABINETE DE PISO TIPO RACK, FORMATO DE 19", 20 UNIDADES DE RACK.</t>
  </si>
  <si>
    <t>DYNAMIC_20</t>
  </si>
  <si>
    <t>GABINETE METÁLICO DE 1.8 METROS DE ALTURA, 1 METRO DE PROFUNDIDAD .</t>
  </si>
  <si>
    <t>Q180</t>
  </si>
  <si>
    <t>GABINETE METÁLICO DE 1.8 METROS DE ALTURA, 1 METRO DE PROFUNDIDAD EN FORMATO DE 19", EN COLOR NEGRO.</t>
  </si>
  <si>
    <t>ORGANIZADOR DOBLE DE DOS UNIDADES DE RACK</t>
  </si>
  <si>
    <t>DH_4511</t>
  </si>
  <si>
    <t>MULTITOMA VERTICAL PROTEGIDA 15 AMPERIOS</t>
  </si>
  <si>
    <t>MV_4840</t>
  </si>
  <si>
    <t>GABINETE DE PISO, DINAMYC 6FT X27,5"X39" 40RMS CON PUERTA EN REJILLA.</t>
  </si>
  <si>
    <t>GF2395</t>
  </si>
  <si>
    <t>CANALETA DE ORGANIZACIÓN VERTICAL DE 1.8 METROS</t>
  </si>
  <si>
    <t>OV_4526</t>
  </si>
  <si>
    <t>ORGANIZADOR DOBLE HORIZONTAL DE 19".</t>
  </si>
  <si>
    <t>OH_4511</t>
  </si>
  <si>
    <t>MULTITOMA VERTICAL PROTEGIDA 15 AMPERIOS, 20 PUNTOS.</t>
  </si>
  <si>
    <t>MULTITOMA GRADO HOSPITALARIO DE 12 TOMAS</t>
  </si>
  <si>
    <t>QMUL12</t>
  </si>
  <si>
    <t>RACK DE EQUIPOS TIPO GABINETE DE 20 UNIDADES</t>
  </si>
  <si>
    <t>Q20</t>
  </si>
  <si>
    <t>GABINETE DE PISO DE 3.5Ft, PARA SERVIDOR</t>
  </si>
  <si>
    <t>GF_2485</t>
  </si>
  <si>
    <t>KIT DE VENTILACIÓN DOBLE</t>
  </si>
  <si>
    <t>KP_4729</t>
  </si>
  <si>
    <t>GABINETE PARA SERVIDOR CERRADO DE 2.1 METROS DE ALTO.</t>
  </si>
  <si>
    <t>GF_2486K</t>
  </si>
  <si>
    <t>GABINETE PARA SERVIDOR CERRADO DE 2.1 METROS DE ALTO, 42 UNIDADES DE RACK, FONDO DE 106CM.</t>
  </si>
  <si>
    <t>GC_2696</t>
  </si>
  <si>
    <t>GABINETE DE 5U CON PUERTA EN VIDRIO</t>
  </si>
  <si>
    <t>Q_MT8</t>
  </si>
  <si>
    <t>MULTITOMA PROTEGIDA CON 8 SALIDAS</t>
  </si>
  <si>
    <t>Tiene 10 salidas</t>
  </si>
  <si>
    <t>QWERTOUY</t>
  </si>
  <si>
    <t>DTK</t>
  </si>
  <si>
    <t>EXTRACTOR DE AUDIO POR USB</t>
  </si>
  <si>
    <t>https://www.amazon.com/-/es/QWERTOUY-convertidor-adaptador-auriculares-escritorio/dp/B0834XQJ1B/ref=sr_1_11?__mk_es_US=%C3%85M%C3%85%C5%BD%C3%95%C3%91&amp;dchild=1&amp;keywords=usb+audio&amp;qid=1625093038&amp;sr=8-11</t>
  </si>
  <si>
    <t>RATWELL</t>
  </si>
  <si>
    <t>CAJA RATWELL 2400</t>
  </si>
  <si>
    <t>EMT_R2400</t>
  </si>
  <si>
    <t>TAPA CIEGA PARA CAJA RATWELL</t>
  </si>
  <si>
    <t>EMT_TC_R</t>
  </si>
  <si>
    <t>RBH</t>
  </si>
  <si>
    <t>CAC</t>
  </si>
  <si>
    <t>CONTROLADOR DE ACCESO PARA DOS PUERTAS, INCLUYE DOS LECTORAS RF.</t>
  </si>
  <si>
    <t>IRC_2000_FR360N</t>
  </si>
  <si>
    <t>CONTROLADOR DE ACCESO PARA DOS PUERTAS, INCLUYE DOS LECTORAS RF, GABINETE TRANSFORMADOR Y FUENTE.</t>
  </si>
  <si>
    <t>TAR</t>
  </si>
  <si>
    <t>TARJETA RF ID.</t>
  </si>
  <si>
    <t>AW_PROXLING_GR</t>
  </si>
  <si>
    <t>MÓDULO PARA TRANSMISIÓN DE SEÑALES INALÁMBRICO</t>
  </si>
  <si>
    <t>RBH_TR_2</t>
  </si>
  <si>
    <t>REJIBAND</t>
  </si>
  <si>
    <t>REJILLA PORTA CABLE DE 50X300mm.</t>
  </si>
  <si>
    <t>REJ50</t>
  </si>
  <si>
    <t>REJILLA PORTA CABLE DE 40X300mm.</t>
  </si>
  <si>
    <t>REJ40</t>
  </si>
  <si>
    <t>REJILLA PORTA CABLE DE 30X300mm.</t>
  </si>
  <si>
    <t>REJ30</t>
  </si>
  <si>
    <t>RGB</t>
  </si>
  <si>
    <t>SYLVANIA</t>
  </si>
  <si>
    <t>BALASTO ELECTRÓNICO F48/T12 860/841, 120V. CERTIFICACIÓN RETILAP.</t>
  </si>
  <si>
    <t>P93236_19</t>
  </si>
  <si>
    <t>DRIVER PARA LED DE 350m AMPERIOS, CAPACIDAD HASTA 8 VATIOS.</t>
  </si>
  <si>
    <t>LD_CU3536AF</t>
  </si>
  <si>
    <t>FLU</t>
  </si>
  <si>
    <t xml:space="preserve">TUBO  40 W LUZ DÍA PHILIPS </t>
  </si>
  <si>
    <t>TL_E40W_865</t>
  </si>
  <si>
    <t>TUBO SLIM 39W T12-48", 6500K SYLVANIA.</t>
  </si>
  <si>
    <t xml:space="preserve">F48T12_DLP </t>
  </si>
  <si>
    <t>LÁMPARA ATENUABLE EN CONFIGURACIÓN LED DE 3000K. 14 VATIOS. DIFUSOR A 60 GRADOS.</t>
  </si>
  <si>
    <t>LD_C14</t>
  </si>
  <si>
    <t>BALA ATENUABLE 12 VATIOS LED.</t>
  </si>
  <si>
    <t>LED_12B</t>
  </si>
  <si>
    <t>PANEL ATENUABLE 0-10V, ALIMENTACIÓN A 110V. 48 VATIOS, 4200 LUMENS.</t>
  </si>
  <si>
    <t>LED_48P</t>
  </si>
  <si>
    <t>LÁMPARA TIPO PANEL ATENUABLE 0-10, TEMPERATURA 3000-6000K, 7 VATIOS.</t>
  </si>
  <si>
    <t>LED_DIM_7</t>
  </si>
  <si>
    <t>LÁMPARA TIPO PANEL ATENUABLE 0-10, TEMPERATURA 3000-6000K, 10 VATIOS.</t>
  </si>
  <si>
    <t>LED_DIM_10</t>
  </si>
  <si>
    <t>LED_DIM_12</t>
  </si>
  <si>
    <t>LED_DIM_18</t>
  </si>
  <si>
    <t>TUBO LED VIDRIO T8 6500K SYLVANIA.</t>
  </si>
  <si>
    <t>P33780_36</t>
  </si>
  <si>
    <t>RHINOK</t>
  </si>
  <si>
    <t>RHI</t>
  </si>
  <si>
    <t>LUMINARIA DE EXTERIORES PARA POSTE, LED DE 30 VATIOS, 2700 LUMENS.</t>
  </si>
  <si>
    <t>RHI30W</t>
  </si>
  <si>
    <t>RING</t>
  </si>
  <si>
    <t>RING3DB</t>
  </si>
  <si>
    <t>TIMBRE DOORBELL 3 DE RING CON CAMARA 1080P</t>
  </si>
  <si>
    <t>RING_CHIME</t>
  </si>
  <si>
    <t>BOCINA INALAMBRICA DE TIMBRE</t>
  </si>
  <si>
    <t>DORBELL_3</t>
  </si>
  <si>
    <t>TIMBRE CON CAMARA 1080P</t>
  </si>
  <si>
    <t>RIO</t>
  </si>
  <si>
    <t>BALA INYECTADA PLÁSTICA TIPO GIRO</t>
  </si>
  <si>
    <t>DL_316JH</t>
  </si>
  <si>
    <t>SPOT BLANCO PARA RIEL, LUMINARIA GU10.</t>
  </si>
  <si>
    <t>TR022</t>
  </si>
  <si>
    <t>BALA HALÓGENA INYECTADA RECESADA BLANCA</t>
  </si>
  <si>
    <t>DL343JH</t>
  </si>
  <si>
    <t>RITEAV</t>
  </si>
  <si>
    <t>RRCA</t>
  </si>
  <si>
    <t>PLACA DE PARED CON UN CONECTOR RCA</t>
  </si>
  <si>
    <t>https://www.amazon.com/-/es/riteav-Puerto-subwoofer-decorativos-Blanco/dp/B00F6O922W/ref=sr_1_11?__mk_es_US=%C3%85M%C3%85%C5%BD%C3%95%C3%91&amp;crid=1IE5HM9QFSKWT&amp;dchild=1&amp;keywords=subwoofer+plate&amp;qid=1628504599&amp;sprefix=placa+pared+subwoofer%2Caps%2C262&amp;sr=8-11</t>
  </si>
  <si>
    <t>ROSSLARE</t>
  </si>
  <si>
    <t>ROS</t>
  </si>
  <si>
    <t>CONTROLADORA PARA DOS PUNTOS DE ACCESO</t>
  </si>
  <si>
    <t>AC215_IP</t>
  </si>
  <si>
    <t>LECTORA DE PROXIMIDAD</t>
  </si>
  <si>
    <t>AY_KR12B</t>
  </si>
  <si>
    <t>BOTÓN DE SALIDA TOUCH CON TRANSMISOR INALÁMBRICO</t>
  </si>
  <si>
    <t>SWITCHK2</t>
  </si>
  <si>
    <t>BATERÍA 12V</t>
  </si>
  <si>
    <t>BAT_1275</t>
  </si>
  <si>
    <t>KIR DE 25 TARJETAS PROGRAMABLES</t>
  </si>
  <si>
    <t>UVS_26A_3000</t>
  </si>
  <si>
    <t>RUSSOUND</t>
  </si>
  <si>
    <t>RUS</t>
  </si>
  <si>
    <t>AMPLIFICADOR DE 16 CANALES, SALIDA ENTRE 50 Y 80 VATIOS POR CANAL.</t>
  </si>
  <si>
    <t>D1650</t>
  </si>
  <si>
    <t>AMPLIFICADOR DE 16 CANALES, SALIDA ENTRE 50 Y 80 VATIOS POR CANAL, PARA ALTAVOCES DE 4 U 8 OHM RESPECTIVAMENTE.</t>
  </si>
  <si>
    <t>AMPLIFICADOR DE 8 CANALES, SALIDA ENTRE 50 Y 80 VATIOS POR CANAL.</t>
  </si>
  <si>
    <t>D850</t>
  </si>
  <si>
    <t>AMPLIFICADOR DE 8 CANALES, SALIDA ENTRE 50 Y 80 VATIOS POR CANAL, PARA ALTAVOCES DE 4 U 8 OHM RESPECTIVAMENTE.</t>
  </si>
  <si>
    <t>AMPLIFICADOR DE 2 CANALES, SALIDA DE 75 POR CANAL, PARA ALTAVOCES DE 4 U 8 OHM.</t>
  </si>
  <si>
    <t>P75</t>
  </si>
  <si>
    <t>AJUSTADOR DE VOLUMEN DE PERILLA</t>
  </si>
  <si>
    <t>ALT_126R</t>
  </si>
  <si>
    <t>AMPLIFICADOR DE 2 CANALES A 125 VATIOS.</t>
  </si>
  <si>
    <t>P125</t>
  </si>
  <si>
    <t>BLOQUE DE CONEXIÓN PARA ALTAVOCES</t>
  </si>
  <si>
    <t>EZB_8</t>
  </si>
  <si>
    <t>SELECTOR DE FUENTE DE MONTAJE EN PARED.</t>
  </si>
  <si>
    <t>AB_1.2</t>
  </si>
  <si>
    <t xml:space="preserve">ALTAVOZ EN POLIPROPILENO DE 8 OHM. 50-20KHz. </t>
  </si>
  <si>
    <t>IC_610</t>
  </si>
  <si>
    <t>IC_610T</t>
  </si>
  <si>
    <t>AMPLIFICADOR EN ESTÉREO DE 30W, SALIDA PARA 4 PARLANTES Y SUB WOOFER.</t>
  </si>
  <si>
    <t>TVA2.1</t>
  </si>
  <si>
    <t>AMPLIFICADOR EN ESTÉREO DE 30W, CON IR LEARNING Y SALIDA PARA 4 PARLANTES Y SUB WOOFER.</t>
  </si>
  <si>
    <t>AMPLIFICADOR DE 300W A LÍNEA DE 70V, CON ENTRADA USB Y STREAMING.</t>
  </si>
  <si>
    <t>XZONE70V</t>
  </si>
  <si>
    <t>AMPLIFICADOR DE 300W A LÍNEA DE 70V, CON ENTRADA USB Y STREAMING DE AUDIO CON SPOTIFY, TUNEIN, ENTRE OTROS.</t>
  </si>
  <si>
    <t>PARLANTE DE SOBRE PONER DE LA SERIE 3165-532894, 6.5", 150W, 8 OHM.</t>
  </si>
  <si>
    <t>R5B65</t>
  </si>
  <si>
    <t>PARLANTE DE EXTERIOR TIPO ROCA DE 8"</t>
  </si>
  <si>
    <t>R3165_533464</t>
  </si>
  <si>
    <t>ACOPLADOR DE IMPEDANCIAS PARA PARLANTES</t>
  </si>
  <si>
    <t>SS_4.2</t>
  </si>
  <si>
    <t>ALTAVOZ RECTANGULAR DE INCRUSTAR.</t>
  </si>
  <si>
    <t>IW_620</t>
  </si>
  <si>
    <t>ALTAVOZ RECTANGULAR DE INCRUSTAR, TWEETER DE UNA PULGADA Y MEMBRANA DE 6.5W. POTENCIA 5-100W</t>
  </si>
  <si>
    <t>ALTAVOZ DE SOBREPONER A 8OHM, MANEJO DE POTENCIA HASTA 100W.</t>
  </si>
  <si>
    <t>R5B55</t>
  </si>
  <si>
    <t>MCA_66</t>
  </si>
  <si>
    <t>MULTIROOM DE AUDIO DE 6 ZONAS, CON SALIDAS A 20W Y DOS SALIDAS DE LINEA.</t>
  </si>
  <si>
    <t>KT2_66</t>
  </si>
  <si>
    <t>KIT CON MULTIROOM DE AUDIO DE 6 ZONAS, CON SALIDAS A 20W Y DOS SALIDAS DE LINEA. INCLUYE 6 TECLADOS,  MDK-66</t>
  </si>
  <si>
    <t>MBX_AMP</t>
  </si>
  <si>
    <t>AMPLIFICADOR ESTEREO DE 2 CANALES A 50 VATIOS. SALIDA PARA SUBWOOFER Y ENTRADA OPTICA.</t>
  </si>
  <si>
    <t>MIXAMP_60</t>
  </si>
  <si>
    <t>CORE_16_IC</t>
  </si>
  <si>
    <t>ALTAVOZ DE 75W RMS, MEMBRANA DE 6". IMPEDANCIA DE 8OHM.</t>
  </si>
  <si>
    <t>SAMSUNG</t>
  </si>
  <si>
    <t>BLU-RAY 4K CON LECTOR DE VIDEO USB</t>
  </si>
  <si>
    <t>BD_H6500</t>
  </si>
  <si>
    <t>TELEVISOR 4K DE 58", CON ENTRA DA USB Y HDMI. INCLUYE TDT.</t>
  </si>
  <si>
    <t>S58MU6120</t>
  </si>
  <si>
    <t>SAM</t>
  </si>
  <si>
    <t>LOC</t>
  </si>
  <si>
    <t>CHAPA BIOMÉTRICA CON RECONOCIMIENTO DE HUELLA DIGITAL.</t>
  </si>
  <si>
    <t>SHS_5230</t>
  </si>
  <si>
    <t>CHAPA BIOMÉTRICA CON RECONOCIMIENTO DE HUELLA DIGITAL, ALIMENTACIÓN A 6VDC, INCLUYE REGISTRO DE 100 HUELLAS, POSIBILIDAD DE INTEGRACIÓN DE CONTROL REMOTO ADICIONAL. MARCA: SAMSUNG</t>
  </si>
  <si>
    <t>MONITOR INDUSTRIAL DE 46", FHD 1920x1080. CONTROL RS-232. ENTRADA HDMI Y RGB.</t>
  </si>
  <si>
    <t>UE46D</t>
  </si>
  <si>
    <t>CERRADURA TOUCH SCREEN, ACEPTA 20 TARJETAS RFID Y UNA CLAVE.</t>
  </si>
  <si>
    <t>SHS_2320XMK</t>
  </si>
  <si>
    <t>CERRADURA TOUCH SCREEN, ACEPTA 20 TARJETAS RFID Y UNA CLAVE. DÍGITOS ALEATORIOS DE PROTECCIÓN.</t>
  </si>
  <si>
    <t>SHS_0505</t>
  </si>
  <si>
    <t>CERRADURA TOUCH SCREEN, ACEPTA 20 TARJETAS RFID Y UNA CLAVE. DÍGITOS ALEATORIOS DE PROTECCIÓN. MECANISMO CON DOBLE PASADOR DE SEGURIDAD. KIT PARA PUERTA DE 40-60MM.</t>
  </si>
  <si>
    <t>CERRADURA TOUCH SCREEN CON LECTOR DE HUELLA.</t>
  </si>
  <si>
    <t>SHS_H705</t>
  </si>
  <si>
    <t>CERRADURA TOUCH SCREEN CON LECTOR DE HUELLA, ACEPTA HASTA 100 HUELLAS, INGRESO CON CLAVE NUMÉRICA, CLAVE DE DÍGITOS ALEATORIOS DE PROTECCIÓN. LLAVES DE EMERGENCIA. MECANISMO CON DOBLE PASADOR DE SEGURIDAD. KIT PARA PUERTA DE 40-60MM.</t>
  </si>
  <si>
    <t xml:space="preserve">RESOLUCIÓN DE 1920X1080, CONTRASTE 5000:1, ENTRADA HDMI. </t>
  </si>
  <si>
    <t>DC32E</t>
  </si>
  <si>
    <t xml:space="preserve">PANEL LED DE 46", RESOLUCIÓN 1920X1080 (16:9), BRILLO 450NIT, CONTRASTE 3500:1.
</t>
  </si>
  <si>
    <t>UD46E_C</t>
  </si>
  <si>
    <t xml:space="preserve">PANEL LED DE 46", RESOLUCIÓN 1920X1080 (16:9), BRILLO 450NIT, CONTRASTE 3500:1, PARA USO HASTA 24 HORAS POR DÍA, BISEL DE 5.5mm, SOPORTA UHD (ULTRA HIGHT DEFINITION) EN VIDEO WALL. ENTRADAS ANALOG D-SUB, DVI-D, HDMIx2, DISPLAY PORT, RS232C, RJ45, USB. SALIDAS: AUDIO MINI JACK, RS232C. GARANTÍA 3 AÑOS. NO REQUIERE EQUIPO EXTERNO PARA MANEJO DE VIDEO WALL.
</t>
  </si>
  <si>
    <t>UD46E_B</t>
  </si>
  <si>
    <t xml:space="preserve">PANEL LED DE 46", RESOLUCIÓN 1920X1080 (16:9), BRILLO 450NIT, CONTRASTE 3500:1, PARA USO HASTA 24 HORAS POR DÍA, BISEL DE 3.5mm, SOPORTA UHD (ULTRA HIGHT DEFINITION) EN VIDEO WALL. ENTRADAS ANALOG D-SUB, DVI-D, HDMIx2, DISPLAY PORT, RS232C, RJ45, USB. SALIDAS: AUDIO MINI JACK, RS232C. GARANTÍA 3 AÑOS. NO REQUIERE EQUIPO EXTERNO PARA MANEJO DE VIDEO WALL.
</t>
  </si>
  <si>
    <t>PANEL LED DE 46", RESOLUCIÓN 1920X1080 (16:9), BRILLO 450NIT, CONTRASTE 3500:1, PARA USO HASTA 16 HORAS POR DÍA, BISEL DE 11mm, SOPORTA UHD (ULTRA HIGHT DEFINITION) EN VIDEO WALL. ENTRADAS ANALOG D-SUB, DVI-D, HDMIx2, DISPLAY PORT, RS232C, RJ45, USB. SALIDAS: AUDIO MINI JACK, RS232C. GARANTÍA 3 AÑOS. NO REQUIERE EQUIPO EXTERNO PARA MANEJO DE VIDEO WALL.</t>
  </si>
  <si>
    <t>SOPORTE DE VIDEO WALL CON AJUSTADOR. ESPECIAL PARA MONITORES SAMSUNG.</t>
  </si>
  <si>
    <t>WMN_46VD</t>
  </si>
  <si>
    <t>WMN4675MD</t>
  </si>
  <si>
    <t>MONITOR INDUSTRIAL PAR USO DE 16 HORAS, ENTRADAS DVI, HDMI Y USB.</t>
  </si>
  <si>
    <t>LH75EDEPLGC</t>
  </si>
  <si>
    <t>MONITOR INDUSTRIAL PAR USO DE 16 HORAS, ENTRADAS DVI, HDMI Y USB. CONTROL EXTERIOR MEDIANTE PROTOCOLO RS232. RESOLUCIÓN DE 1920X1080.</t>
  </si>
  <si>
    <t>MINICOMPONENTE DE 20 VATIOS, ENTRADA USB Y REPRODUCTOR DE DISCO COMPACTO.</t>
  </si>
  <si>
    <t>MM_J320</t>
  </si>
  <si>
    <t>CONTROL REMOTO SOLO PARA CERRADURAS DE INCRUSTAR</t>
  </si>
  <si>
    <t>SHS_DARCX01</t>
  </si>
  <si>
    <t>MODULO INALÁMBRICO RECEPTOR SE INSTALA EN LA CERRADURA DE INCRUSTAR</t>
  </si>
  <si>
    <t>SHS_AST200</t>
  </si>
  <si>
    <t>TEATRO EN CASA SAMSUNG.</t>
  </si>
  <si>
    <t>HT_J4500</t>
  </si>
  <si>
    <t>CERRADURA TOUCH SCREEN, ACEPTA HASTA 70 USUARIOS.</t>
  </si>
  <si>
    <t>SHS_3321XMK</t>
  </si>
  <si>
    <t>CERRADURA TOUCH SCREEN, ACEPTA HASTA 70 USUARIOS USANDO TARJETAS RFID (13.56 MHz) Y CLAVE. DÍGITOS ALEATORIOS DE PROTECCIÓN, LLAVES DE SEGURIDAD. MECANISMO INTERNO TIPO PASADOR CERRADURA TUBULAR.</t>
  </si>
  <si>
    <t>TELEVISOR DE 65", RESOLUCIÓN 4K, AV, Puerto HDMI.</t>
  </si>
  <si>
    <t>TV65RU7100</t>
  </si>
  <si>
    <t>TELEVISOR DE 65", RESOLUCIÓN 4K, AV, Puerto HDMI, Puerto LAN/Ethernet, Puerto USB, Puerto Y/Pb/Pr</t>
  </si>
  <si>
    <t>TELEVISOR DE 75", RESOLUCIÓN 4K, AV, Puerto HDMI.</t>
  </si>
  <si>
    <t>TV75RU7100</t>
  </si>
  <si>
    <t>TELEVISOR DE 75", RESOLUCIÓN 4K, AV, Puerto HDMI, Puerto LAN/Ethernet, Puerto USB, Puerto Y/Pb/Pr</t>
  </si>
  <si>
    <t>TELEVISOR DE 55", RESOLUCIÓN 4K, AV, Puerto HDMI.</t>
  </si>
  <si>
    <t>TV55RU7300</t>
  </si>
  <si>
    <t>TELEVISOR DE 55", RESOLUCIÓN 4K, AV, Puerto HDMI, Puerto LAN/Ethernet, Puerto USB, Puerto Y/Pb/Pr</t>
  </si>
  <si>
    <t>TELEVISOR DE 58", RESOLUCIÓN 4K, AV, Puerto HDMI.</t>
  </si>
  <si>
    <t>TV58RU7100</t>
  </si>
  <si>
    <t>TELEVISOR DE 58", RESOLUCIÓN 4K, AV, Puerto HDMI, Puerto LAN/Ethernet, Puerto USB, Puerto Y/Pb/Pr</t>
  </si>
  <si>
    <t>LICENCIA DE MAGIC INFO</t>
  </si>
  <si>
    <t>BW_MIP40PA</t>
  </si>
  <si>
    <t>QM85F</t>
  </si>
  <si>
    <t>MONITOR RESOLUCIÓN 4K, DE 500 NIT, DE 85". GARANTIA DE 3 AÑOS.</t>
  </si>
  <si>
    <t>QLEDFRAME65</t>
  </si>
  <si>
    <t>TELEVISOR DE 65", RESOLUCIÓN 4K, AV, Puerto HDMI, Puerto LAN/Ethernet, Puerto USB, Puerto Y/Pb/Pr. REPRODUCCION DE ARTE</t>
  </si>
  <si>
    <t>75TU7000</t>
  </si>
  <si>
    <t xml:space="preserve">TV PLANO DE 75" CON RESOLUCION 4K </t>
  </si>
  <si>
    <t>HW_T550</t>
  </si>
  <si>
    <t>BARRA DE SONIDO DE 200W RMS CON SUBWOOFER, CONECTIVIDAD BLUETOOTH Y OPTICO</t>
  </si>
  <si>
    <t>SAMSUNG-LG</t>
  </si>
  <si>
    <t>MONITOR 4K DE 500 NIT, ENTRADAS DVI, HDMI Y USB.</t>
  </si>
  <si>
    <t>QM55R</t>
  </si>
  <si>
    <t>SASSIM</t>
  </si>
  <si>
    <t>CONTACTOR DE 25 AMPERIOS CON BOBINA A 220VAC.</t>
  </si>
  <si>
    <t>CH25A220</t>
  </si>
  <si>
    <t>SAT</t>
  </si>
  <si>
    <t>IMPRESORA DE TRANSFERENCIA TÉRMICA</t>
  </si>
  <si>
    <t>SAT_478</t>
  </si>
  <si>
    <t>IX1519 J1900</t>
  </si>
  <si>
    <t>AT Soluciones POS diseñadas exclusivamente a su medida. Agilice, optimice y renueve de forma eficaz
sus procesos, brindando la experiencia que sus empleados necesitan y sus clientes desean.
Diseñamos nuestra serie IXS que permite la combinación perfecta entre versatilidad y Economia para su
empresa (Equipo ligero). La serie IXS ofrece pantallas táctiles de 14.6 pulgadas (4: 3),Resolucion 1024 x
768, vida util de la pantalla 25.000 Horas, Multi-Touch 10Points. un diseño de vidrio de borde a borde que
soporta salpicaduras de agua, gracias a su IP54 soporta ambientes ligeros de retail, Utilidades de
aplicaciones Web, programas locales, entre otros. Procesador Intel® j1900.</t>
  </si>
  <si>
    <t>POS_USB_LAN</t>
  </si>
  <si>
    <t>Impresora digital termica IMPRESIÓN DE CÓDIGOS: 1D, ANCHO: 80ML, VELOCIDAD: 160MM/SEG, RESOLUCIÓN: 180DPI, VIDA: 1.500.000 CORTES, CONEXION: USB, AUTOCORTADORA.</t>
  </si>
  <si>
    <t>SCHNEIDER</t>
  </si>
  <si>
    <t>CAJA ELÉCTRICA DE PASO 15X15X10CM.</t>
  </si>
  <si>
    <t>ZA000625010</t>
  </si>
  <si>
    <t>BREAKER TRIFÁSICO DE 63 AMPERIOS, CURVA DE DISPARO CLASE C.</t>
  </si>
  <si>
    <t>EZ9F56363</t>
  </si>
  <si>
    <t>BREAKER BIPOLAR DE 63 AMPERIOS</t>
  </si>
  <si>
    <t>MO_14_63</t>
  </si>
  <si>
    <t>TABLERO ELÉCTRICO PARA 6 CIRCUITOS</t>
  </si>
  <si>
    <t>ZA000611015</t>
  </si>
  <si>
    <t>PACHA DE CORTE TRIPOLAR DE 32 AMPERIOS</t>
  </si>
  <si>
    <t>PAC32</t>
  </si>
  <si>
    <t>BREAKER DE CORTE DE 32A</t>
  </si>
  <si>
    <t>BSX32</t>
  </si>
  <si>
    <t>BREAKER DE CORTE DE 63 AMPERIOS</t>
  </si>
  <si>
    <t>BSX63</t>
  </si>
  <si>
    <t>TOTALIZADOR DE 150 AMPERIOS</t>
  </si>
  <si>
    <t>TE_NG150</t>
  </si>
  <si>
    <t>BREAKER DE 3X40 AMPERIOS</t>
  </si>
  <si>
    <t>TE_C60N</t>
  </si>
  <si>
    <t>BREAKER RIEL DE 40 AMPERIOS</t>
  </si>
  <si>
    <t>TE_IDPN40</t>
  </si>
  <si>
    <t>COFRE TIPO GABINETE CERTIFICADO DE 1.2x0.8x.3M</t>
  </si>
  <si>
    <t>TE_CO120_8</t>
  </si>
  <si>
    <t>SCH</t>
  </si>
  <si>
    <t>BREAKER  TERMOMAG IC60N 1P 10A ACTI9</t>
  </si>
  <si>
    <t>A9F74110</t>
  </si>
  <si>
    <t>BREAKER  1X6AMP.IC60N SCHNEIDER</t>
  </si>
  <si>
    <t>A9F74106</t>
  </si>
  <si>
    <t>BREAKER  RIEL 2P-6A IC60 SCHNEIDER</t>
  </si>
  <si>
    <t>A9F74206</t>
  </si>
  <si>
    <t>BREAKER  RIEL MONOP.1X2 AMP AC</t>
  </si>
  <si>
    <t>A9F74102</t>
  </si>
  <si>
    <t>BREAKER  RIEL 1X3A IC60N</t>
  </si>
  <si>
    <t>A9F74103</t>
  </si>
  <si>
    <t>BREAKER   RIEL 1X16AM IC60N SCHNEIDER</t>
  </si>
  <si>
    <t>A9F74116</t>
  </si>
  <si>
    <t>INTER. AUTOMAT.  C60H-DC 2P 6A C 500Vdc</t>
  </si>
  <si>
    <t>MGN61526</t>
  </si>
  <si>
    <t>BREAKER ENCHUFABLE DE 2 X 20 AMPERIOS.</t>
  </si>
  <si>
    <t>B2X20E</t>
  </si>
  <si>
    <t>BREAKER ENCHUFABLE DE 2 X 60 AMPERIOS.</t>
  </si>
  <si>
    <t>B2X60E</t>
  </si>
  <si>
    <t>TOTALIZADOR DE 100 AMPERIOS</t>
  </si>
  <si>
    <t>TE_NG100</t>
  </si>
  <si>
    <t>TOMA CORRIENTE DOBLE EN COLOR BLANCO</t>
  </si>
  <si>
    <t>MWD130317544</t>
  </si>
  <si>
    <t>EZC100B30100</t>
  </si>
  <si>
    <t>BREAKER TRIFASICO INDUSTRIAL ENCHUFABLE DE 100 AMPERIOS 3X100</t>
  </si>
  <si>
    <t>SCREEN_PAINT</t>
  </si>
  <si>
    <t>PINTURA ESTÁNDAR EN COLOR BLANCO PARA PROYECCIÓN DE IMAGEN.</t>
  </si>
  <si>
    <t>ULTRAHD</t>
  </si>
  <si>
    <t>PINTURA ESTÁNDAR EN COLOR BLANCO PARA PROYECCIÓN DE IMAGEN. APLICACIÓN EN DOS PAPAS PARA 4 METROS CUADRADOS.</t>
  </si>
  <si>
    <t>SCREENBEAM</t>
  </si>
  <si>
    <t>SBWD1100P</t>
  </si>
  <si>
    <t>EQUIPO DE PRESENTACION INALAMBRICA 4K CON SALIDA HDMI, COMPATIBLE CON WINDOWS MIRRORING. RED LAN Y WIRELESS.</t>
  </si>
  <si>
    <t>https://www.newegg.com/p/pl?d=sbwd1100</t>
  </si>
  <si>
    <t>https://www.amazon.com/Actiontec-Screenbeam-1100-Superior-Wirel/dp/B07R3FQX2L/ref=sr_1_1?dchild=1&amp;keywords=sbwd1100&amp;qid=1599351094&amp;sr=8-1</t>
  </si>
  <si>
    <t>SEAGATE</t>
  </si>
  <si>
    <t>DISCO DURO DE 4 TB SATA III CON 5400 RPM</t>
  </si>
  <si>
    <t>DD4TB</t>
  </si>
  <si>
    <t>SECO_LARM</t>
  </si>
  <si>
    <t>E931S35RRQ</t>
  </si>
  <si>
    <t>BARRERA FOTOELECTRICA DE HASTA 11 METROS DE ALCANCE</t>
  </si>
  <si>
    <t>SEGUR</t>
  </si>
  <si>
    <t>ELECTRO IMÁN REDONDO DE 350 LIBRAS</t>
  </si>
  <si>
    <t>EI350</t>
  </si>
  <si>
    <t>SEISMIC</t>
  </si>
  <si>
    <t>SEI</t>
  </si>
  <si>
    <t>CONECTOR DE PARED XLR</t>
  </si>
  <si>
    <t>SA_PLATE5</t>
  </si>
  <si>
    <t>SERRALUNGA</t>
  </si>
  <si>
    <t>ATMOSFERA_600</t>
  </si>
  <si>
    <t>LUMINARIA IP67 DE 71 CM DE DIAMETRO CON COLOR CALIDO.</t>
  </si>
  <si>
    <t>ATMOSFERA_CONTROL</t>
  </si>
  <si>
    <t>CONTROL REMOTO PARA CAMBIO DE ILUMINACION RGB</t>
  </si>
  <si>
    <t>SEVERTSON</t>
  </si>
  <si>
    <t>EPM.5</t>
  </si>
  <si>
    <t>ASCENSOR PARA PROYECTOR DE HASTA 20KG, Y MEDIDA 48cm x 41cm. VIAJE DE BRAZO DE 13 A 52cm.</t>
  </si>
  <si>
    <t>GE169135MW</t>
  </si>
  <si>
    <t>TELON MOTORIZADO FORMATO 16:9 DE 135"</t>
  </si>
  <si>
    <t>SEWELL</t>
  </si>
  <si>
    <t>SEW</t>
  </si>
  <si>
    <t>PAS</t>
  </si>
  <si>
    <t>PASS TRUE 4 EMISORES PARA SEÑALES IR.</t>
  </si>
  <si>
    <t>SW_29309</t>
  </si>
  <si>
    <t>TRANSMISOR DE SEÑALES DE AUDIO ESTÉREO POR CAT5.</t>
  </si>
  <si>
    <t>SOUNDLINK</t>
  </si>
  <si>
    <t>SEYMOUR</t>
  </si>
  <si>
    <t>PANTALLA FIJA ACÚSTICAMENTE INVISIBLE, FORMATO 16:9 DE 152".</t>
  </si>
  <si>
    <t>F140XS</t>
  </si>
  <si>
    <t>SFIRE</t>
  </si>
  <si>
    <t>SF100482I</t>
  </si>
  <si>
    <t>DETECTOR DE CORTINA</t>
  </si>
  <si>
    <t>SHARP</t>
  </si>
  <si>
    <t>SH</t>
  </si>
  <si>
    <t>TVL</t>
  </si>
  <si>
    <t>TELEVISOR CON TECNOLOGÍA LED, RESOLUCIÓN 1080P. 90 PULGADAS.</t>
  </si>
  <si>
    <t>LC_90LE657U</t>
  </si>
  <si>
    <t>SHNEIDER</t>
  </si>
  <si>
    <t>CAJA PLÁSTICA PARA DERIVACIÓN.</t>
  </si>
  <si>
    <t>CD10X10</t>
  </si>
  <si>
    <t>SHURE</t>
  </si>
  <si>
    <t>MICRÓFONO INALÁMBRICO DE DIADEMA</t>
  </si>
  <si>
    <t>BLX14R_MX53</t>
  </si>
  <si>
    <t>MICRÓFONO CUELLO DE GANSO CON CONEXIÓN PROTOCOLO DANTE</t>
  </si>
  <si>
    <t>MX412</t>
  </si>
  <si>
    <t>MXN5W_C</t>
  </si>
  <si>
    <t>PARLANTE CO COMUNICACIÓN DANTE</t>
  </si>
  <si>
    <t>A_MXN5_TB</t>
  </si>
  <si>
    <t>SOPORTE DE TECHO PARA PARLANTE</t>
  </si>
  <si>
    <t>MXA310B</t>
  </si>
  <si>
    <t>MICROFONO ARRAY SHURE COLOR NEGRO</t>
  </si>
  <si>
    <t>ANIUSBMATRIX</t>
  </si>
  <si>
    <t>INTERFAZ DE AUDIO SHURE USB</t>
  </si>
  <si>
    <t>SICOLED</t>
  </si>
  <si>
    <t>CAR2GU10</t>
  </si>
  <si>
    <t>MINI CARDAN PARA DOS BOMBILLAS GU10 CON MARCO BLANCO</t>
  </si>
  <si>
    <t>PANEL LED OPALIZADO CON TERMINACIÓN EN POLÍMERO.</t>
  </si>
  <si>
    <t>FDL6_018_AW_W_01</t>
  </si>
  <si>
    <t>PANEL LED OPALIZADO CON TERMINACIÓN EN POLÍMERO. 18 VATIOS, DIÁMETRO: 175mm, PROFUNDIDAD: 29mm, 1370 LUMENS, ALIMENTACIÓN MEDIANTE DRIVER INCLUIDO A 120/240VAC.</t>
  </si>
  <si>
    <t>TEC</t>
  </si>
  <si>
    <t xml:space="preserve">CINTA LED DE 9.6 VATIOS POR METRO, A 12 VOLTIOS. IP64, </t>
  </si>
  <si>
    <t>SCTWF5</t>
  </si>
  <si>
    <t>LUMINARIA DE EMPOTRAR LED, NO ATENUABLE, EN COLOR CÁLIDO.</t>
  </si>
  <si>
    <t>RL4932</t>
  </si>
  <si>
    <t>LUMINARIA DE EMPOTRAR LED, NO ATENUABLE, EN COLOR CÁLIDO. CUERPO DE ALUMINIO, CONSUMO DE 36 VATIOS.</t>
  </si>
  <si>
    <t>PANEL LED ATENUABLE DE 18W, COLOR 6500K.</t>
  </si>
  <si>
    <t>PAN18W6500</t>
  </si>
  <si>
    <t>PANEL LED ATENUABLE DE 18W, COLOR 3000K.</t>
  </si>
  <si>
    <t>PAN18W3000</t>
  </si>
  <si>
    <t>LUMINARIA TIPO PANEL LED ATENUABLE. TEMPERATURA 5000K, POTENCIA 35W.</t>
  </si>
  <si>
    <t>SC6060</t>
  </si>
  <si>
    <t>SC19.2</t>
  </si>
  <si>
    <t>METRO DE CINTA LED DE ALTA DENSIDAD DE 19.2W POR METRO. 3000K</t>
  </si>
  <si>
    <t>SIKA</t>
  </si>
  <si>
    <t>TUBO DE SELLADOR SIKA NEGRO</t>
  </si>
  <si>
    <t>SIKAN</t>
  </si>
  <si>
    <t>TUBO DE SILICONA FRÍA ANTI HONGO</t>
  </si>
  <si>
    <t>SILICONAFRIA</t>
  </si>
  <si>
    <t>P23748_36</t>
  </si>
  <si>
    <t>TUBO FLUORESCENTE GERMICIDA 2G11 DE 38W.</t>
  </si>
  <si>
    <t>P27906_36</t>
  </si>
  <si>
    <t>LUMINARIA HIGH BAY DE 100W. 40.000 HORAS DE VIDA, 6000K, 12.000 Lm.</t>
  </si>
  <si>
    <t>SIM2</t>
  </si>
  <si>
    <t>TV TIPO PROYECTOR LASER 4K.</t>
  </si>
  <si>
    <t>SIM2XTV</t>
  </si>
  <si>
    <t>TV TIPO PROYECTOR LASER 4K DE TIRO ULTRA CORTO HASTA 110"</t>
  </si>
  <si>
    <t>NERO_4S</t>
  </si>
  <si>
    <t>PROYECTOR 4K DE 6000 LUMENS</t>
  </si>
  <si>
    <t>CRYSTAL_4</t>
  </si>
  <si>
    <t>PROYECTOR 4K DE 2200 LUMENS</t>
  </si>
  <si>
    <t>NERO4S</t>
  </si>
  <si>
    <t>PROYECTOR RESOLUCION 4K HDR (3840x2160), 6.000 LUMENS</t>
  </si>
  <si>
    <t>CRYSTAL_4_SH</t>
  </si>
  <si>
    <t>PROYECTOR DE 3600 LUMENS, RESOLUCION 4K.</t>
  </si>
  <si>
    <t>SISMICA</t>
  </si>
  <si>
    <t>CONECTOR HEMBRA 1/4 PARA MICRÓFONO</t>
  </si>
  <si>
    <t>FP1_4</t>
  </si>
  <si>
    <t>SISMIK</t>
  </si>
  <si>
    <t>P622MW</t>
  </si>
  <si>
    <t>https://www.amazon.com/dp/B07LCXT72M/ref=sspa_dk_detail_5?psc=1&amp;pd_rd_i=B07LCXT72M&amp;spLa=ZW5jcnlwdGVkUXVhbGlmaWVyPUEyQUdVMFYwMVI4QklQJmVuY3J5cHRlZElkPUEwNjQzMTAyNkNCOVdWQVpBMFJIJmVuY3J5cHRlZEFkSWQ9QTAyNjE2MzYyS0FJNkJNS05LSEpJJndpZGdldE5hbWU9c3BfZGV0YWlsJmFjdGlvbj1jbGlja1JlZGlyZWN0JmRvTm90TG9nQ2xpY2s9dHJ1https://www.amazon.com/dp/B07LCXT72M/ref=sspa_dk_detail_5?psc=1&amp;pd_rd_i=B07LCXT72M&amp;spLa=ZW5jcnlwdGVkUXVhbGlmaWVyPUEyQUdVMFYwMVI4QklQJmVuY3J5cHRlZElkPUEwNjQzMTAyNkNCOVdWQVpBMFJIJmVuY3J5cHRlZEFkSWQ9QTAyNjE2MzYyS0FJNkJNS05LSEpJJndpZGdldE5hbWU9c3BfZGV0YWlsJmFjdGlvbj1jbGlja1JlZGlyZWN0JmRvTm90TG9nQ2xpY2s9dHJ1ZQ==</t>
  </si>
  <si>
    <t>SKANDISC</t>
  </si>
  <si>
    <t>SD128</t>
  </si>
  <si>
    <t>MEMORIA SD 128GB</t>
  </si>
  <si>
    <t>SMART</t>
  </si>
  <si>
    <t>REFLECTOR CON PANEL SOLAR, 150W, 11000 LM, DURACIÓN DE ENCENDIDO 8-12 HORAS.</t>
  </si>
  <si>
    <t>SL150</t>
  </si>
  <si>
    <t>REFLECTOR CON PANEL SOLAR, 150W, 11000 LM, DURACIÓN DE ENCENDIDO 8-12 HORAS. IP65. 6500K. GARANTÍA. 1 AÑO. VIDA ÚTIL ESPERADA DE 00.000 HORAS.</t>
  </si>
  <si>
    <t>REFLECTOR CON PANEL SOLAR, 100W, 7500 LM.</t>
  </si>
  <si>
    <t>SL100</t>
  </si>
  <si>
    <t>REFLECTOR CON PANEL SOLAR, 100W, 7500 LM, DURACIÓN DE ENCENDIDO 8-12 HORAS. IP65. 6500K. GARANTÍA. 1 AÑO. VIDA ÚTIL ESPERADA DE 00.000 HORAS.</t>
  </si>
  <si>
    <t>REFLECTOR CON PANEL SOLAR, 200W, 15000 LM, DURACIÓN DE ENCENDIDO 8-12 HORAS.</t>
  </si>
  <si>
    <t>SL200</t>
  </si>
  <si>
    <t>REFLECTOR CON PANEL SOLAR, 200W, 15000 LM, DURACIÓN DE ENCENDIDO 8-12 HORAS. IP65. 6500K. GARANTÍA. 1 AÑO. VIDA ÚTIL ESPERADA DE 00.000 HORAS.</t>
  </si>
  <si>
    <t>SMART DIGITAL</t>
  </si>
  <si>
    <t>PTC20</t>
  </si>
  <si>
    <t>EXTENSION ACTIVA USB DE 20 METROS</t>
  </si>
  <si>
    <t>https://www.amazon.com/PTC-Meters-Extension-Repeater-Supports/dp/B0040IASMS/ref=sr_1_10?dchild=1&amp;keywords=usb+active+cable&amp;qid=1604790951&amp;refinements=p_72%3A1248879011%2Cp_n_feature_keywords_three_browse-bin%3A7070225011&amp;rnid=5462369011&amp;s=pc&amp;sr=1-10</t>
  </si>
  <si>
    <t>https://articulo.mercadolibre.com.co/MCO-515708370-extension-usb-activa-20-metros-sin-perdida-de-senal-calidad-_JM#position=2&amp;type=item&amp;tracking_id=2a8f51cc-25cc-4ff5-807c-cade92c66c67</t>
  </si>
  <si>
    <t>SMSL</t>
  </si>
  <si>
    <t>SMS</t>
  </si>
  <si>
    <t>AMPLIFICADOR MINI 2X20W.</t>
  </si>
  <si>
    <t>SA_36A_PRO</t>
  </si>
  <si>
    <t>SOLARBEAM</t>
  </si>
  <si>
    <t>SOL</t>
  </si>
  <si>
    <t>MAY</t>
  </si>
  <si>
    <t>TORRE CON UN ARREGLO INFRA ROJO, PANEL SOLAR Y RADIO DE COMUNICACIÓN.</t>
  </si>
  <si>
    <t>SB101R45</t>
  </si>
  <si>
    <t>BASES PARA ANCLAJES.</t>
  </si>
  <si>
    <t>SB_BMLD</t>
  </si>
  <si>
    <t>RECEPTOR DE ARREGLO DE RADIO LINEAL.</t>
  </si>
  <si>
    <t>SBLR16_KIT</t>
  </si>
  <si>
    <t>SOLIDVIEW</t>
  </si>
  <si>
    <t>SP_209_LM</t>
  </si>
  <si>
    <t>SOPORTE PARA TV DE HASTA 65"</t>
  </si>
  <si>
    <t>CABLE HDMI DE 20 METROS</t>
  </si>
  <si>
    <t>HDMI20_M</t>
  </si>
  <si>
    <t>CABLE HDMI DE 10 METROS</t>
  </si>
  <si>
    <t>HDMI10_M</t>
  </si>
  <si>
    <t>CABLE HDMI DE 90 CM.</t>
  </si>
  <si>
    <t>HDMI_09_M</t>
  </si>
  <si>
    <t>HDMI_1.8_M</t>
  </si>
  <si>
    <t>CAJA DE CONEXIÓN A MESA CON SALIDA HDMI, VGA, DOS TOMAS, USB, UN RJ45.</t>
  </si>
  <si>
    <t>MI_1025</t>
  </si>
  <si>
    <t>TELÓN FORMATO 16:9, CON MOTOR SILENCIOSO. 2.34X1.32M, 106 PULGADAS EN DIAGONAL.</t>
  </si>
  <si>
    <t>TL_178</t>
  </si>
  <si>
    <t>EXTENDER HDMI POR UTP CAT5 O SUPERIOR, ALCANZA HASTA 55 METROS 1080P.</t>
  </si>
  <si>
    <t>PS_691</t>
  </si>
  <si>
    <t>PLACA DE ALUMINIO DE UN GANG CON CONECTOR HDMI, VGA Y 3.5MM.</t>
  </si>
  <si>
    <t>MI_411</t>
  </si>
  <si>
    <t>SOPORTE UNIVERSAL CON EXTENSIÓN ENTRE 1M Y 1.8M EN COLOR BLANCO.</t>
  </si>
  <si>
    <t>SP_221_SZ</t>
  </si>
  <si>
    <t>4.06M DE ANCHO, ALTO 3.05M. CONTROL REMOTO POR RADIO FRECUENCIA.</t>
  </si>
  <si>
    <t>TL_117</t>
  </si>
  <si>
    <t>SPLITTER ACTIVO 1080P HASTA 60 METROS DE DISTANCIA. GARANTÍA DE 2 AÑOS.</t>
  </si>
  <si>
    <t>PS_675</t>
  </si>
  <si>
    <t>EXTENDER ACTIVO 1080P HASTA 60 METROS DE DISTANCIA. GARANTÍA DE 2 AÑOS.</t>
  </si>
  <si>
    <t>SPLITTER HDMI DE 1X8, RESOLUCIÓN DE HASTA 4K. GARANTÍA DE 2 AÑOS</t>
  </si>
  <si>
    <t>PS2002</t>
  </si>
  <si>
    <t>TELÓN MOTORIZADO DE 120" EN FORMATO 16:9</t>
  </si>
  <si>
    <t>TL_185_EX</t>
  </si>
  <si>
    <t>TL_177</t>
  </si>
  <si>
    <t>PANTALLA MOTORIZADA CON MOTOR SILENCIOSO, DIMENSIONES: 2,20 x 1,25 , 100" DIAGONAL. FORMATO 16:9.CONTROL REMOTO RF.</t>
  </si>
  <si>
    <t>MI_402</t>
  </si>
  <si>
    <t>WALL PLATE HDMI CON EXTENSOR</t>
  </si>
  <si>
    <t>PS_488</t>
  </si>
  <si>
    <t>CONVERSOR DE VGA A HDMI</t>
  </si>
  <si>
    <t>PS_293</t>
  </si>
  <si>
    <t>SPLITTER DE 4 SALIDAS HDMI 4K</t>
  </si>
  <si>
    <t>CB_307</t>
  </si>
  <si>
    <t>CABLE DISPLAY PORT DE 1.8 METROS</t>
  </si>
  <si>
    <t>margen</t>
  </si>
  <si>
    <t>SP_218_LM</t>
  </si>
  <si>
    <t>SOPORTE PARA TV ENTRE 32" y 70", DE DOBLE CODO.</t>
  </si>
  <si>
    <t>PS_292</t>
  </si>
  <si>
    <t>SPLITTER DE 2 SALIDAS HDMI 4K</t>
  </si>
  <si>
    <t>-PROG_-BLANCO</t>
  </si>
  <si>
    <t>SP_226</t>
  </si>
  <si>
    <t>ASCENSOR DE ESTRUCTURA LIVIANA DE 60x60x14cm. CAPACIDAD DE CARGA DE 25Kg.</t>
  </si>
  <si>
    <t>TL_1010</t>
  </si>
  <si>
    <t>PANTALLA TENSIONADA CON CONTROL DE CONTACTO SECO O CONTROL. DESPLAZAMIENTO SUAVE ANTI BLOQUEO. 120" FORMATO 16:9, 3 METROS DE ANCHO 1.68METROS DE ALTURA.</t>
  </si>
  <si>
    <t>SP_227</t>
  </si>
  <si>
    <t>ASCENSOR CON ALTURA DE CERRADO: 19 CM, DIMENSIONES: 59,5 cm x 59,5 cm, LONGITUD DE DESPLAZAMIENTO DE 1m CAPACIDAD DE CARGA DE 25 Kg.</t>
  </si>
  <si>
    <t>OPT15</t>
  </si>
  <si>
    <t>CABLE OPTICO DE 15 METROS</t>
  </si>
  <si>
    <t>OPT4.5</t>
  </si>
  <si>
    <t>CABLE OPTICO DE 4.5 METROS</t>
  </si>
  <si>
    <t>CB_549</t>
  </si>
  <si>
    <t>CABLE PARA ALTA O BAJA FERCUENCIA RCA DE 1.8M</t>
  </si>
  <si>
    <t>TL_151</t>
  </si>
  <si>
    <t>TELON ELECTRICO EN FORMATO 4:3 DE 203x152cm</t>
  </si>
  <si>
    <t>PS_680</t>
  </si>
  <si>
    <t>TRANSMISOR EXTENDER USB 2.0</t>
  </si>
  <si>
    <t>CABLE HDMI DE 15 METROS PARA RESOLUCION 4K</t>
  </si>
  <si>
    <t>TL_188_EX</t>
  </si>
  <si>
    <t>TL_184_EX</t>
  </si>
  <si>
    <t>PS_684</t>
  </si>
  <si>
    <t>TRANSMISOR DE VIDEO 2K POR UTP CAT6</t>
  </si>
  <si>
    <t>CB_807_ZC</t>
  </si>
  <si>
    <t>CABLE HDMI DE 30 METROS CON TRANSMISION OPTICA</t>
  </si>
  <si>
    <t>MI_1036</t>
  </si>
  <si>
    <t>GROMET DE MESA CON PUERTO PARA CORRIENTE, RJ45, USB Y HDMI.</t>
  </si>
  <si>
    <t>ASCENSOR DE ESTRUCTURA LIVIANA DE 60x60x14cm. CAPACIDAD DE CARGA DE 20Kg.</t>
  </si>
  <si>
    <t>DK202</t>
  </si>
  <si>
    <t>CONVERSOR DE AUDIO ANALOGO A DIGITAL</t>
  </si>
  <si>
    <t>AM_AF_430</t>
  </si>
  <si>
    <t>EXTENSION ACTIVA DE USB DE 15 METROS</t>
  </si>
  <si>
    <t>SP_215_LM</t>
  </si>
  <si>
    <t>SOPORTE PARA MONITOR DE HASTA 27".</t>
  </si>
  <si>
    <t>TL_1020</t>
  </si>
  <si>
    <t>TELON ELECTRICO TENSIONADO EN FORMATO 16:10, MEDIDAS DE 2.95m x 1.84m.</t>
  </si>
  <si>
    <t>SP_214_LM</t>
  </si>
  <si>
    <t>SOPORTE PARA MONITOR MOVIL</t>
  </si>
  <si>
    <t>TL_203</t>
  </si>
  <si>
    <t>TELON ELECTRICO EN FORMATO 16:10 3.23 Y DE 2.01m DE ANCHO</t>
  </si>
  <si>
    <t>MI_606</t>
  </si>
  <si>
    <t>FACEPLATE JACK DE 6 UNIDADES</t>
  </si>
  <si>
    <t>MI_513</t>
  </si>
  <si>
    <t>JACK PARA CABLE HDMI</t>
  </si>
  <si>
    <t>MI_559</t>
  </si>
  <si>
    <t>JACK PARA CABLE USB</t>
  </si>
  <si>
    <t>TELON ELECTRICO FORMATO 16:10 DE 137", MEDIDAS: 295m X 1.85m</t>
  </si>
  <si>
    <t>PS_713</t>
  </si>
  <si>
    <t>EXTENDER HDMI CON SDID HASTA 50 METROS</t>
  </si>
  <si>
    <t>TL_1007</t>
  </si>
  <si>
    <t>TELON MOTORIZADO FORMATO 16:9 DE 2.04m x 1.17m.</t>
  </si>
  <si>
    <t>SOLTEC</t>
  </si>
  <si>
    <t>TITAN 6</t>
  </si>
  <si>
    <t>SONOS</t>
  </si>
  <si>
    <t>SON</t>
  </si>
  <si>
    <t>BARRA DE SONIDO PARA INTEGRACIÓN DE SISTEMA SONOS Y TV.</t>
  </si>
  <si>
    <t>PLAYBAR</t>
  </si>
  <si>
    <t>BARRA DE SONIDO PARA INTEGRACIÓN DE SISTEMA SONOS Y TV, CON CALIDAD DIGITAL, ENTRADA ÓPTICA.</t>
  </si>
  <si>
    <t>SISTEMA CON 5 ALTAVOCES ALIMENTADOS POR AMPLIFICADOR CLASE D.</t>
  </si>
  <si>
    <t>PLAY5N</t>
  </si>
  <si>
    <t>PLAY5W</t>
  </si>
  <si>
    <t>SISTEMA CON 3 ALTAVOCES ALIMENTADOS POR AMPLIFICADOR CLASE D.</t>
  </si>
  <si>
    <t>PLAY3N</t>
  </si>
  <si>
    <t>PLAY3W</t>
  </si>
  <si>
    <t>SISTEMA CON 1 ALTAVOZ ALIMENTADOS POR AMPLIFICADOR CLASE D.</t>
  </si>
  <si>
    <t>PLAY1N</t>
  </si>
  <si>
    <t>PLAY1W</t>
  </si>
  <si>
    <t>AMPLIFICADOR INALAMBRICO CON 2 SALIDAS DE 55 VATIOS.</t>
  </si>
  <si>
    <t>CONNECT_AMP</t>
  </si>
  <si>
    <t>RECEPTOR INALAMBRICO PARA INTEGRACION CON AMPLIFICADOR EXTERNO. COLOR BLANCO.</t>
  </si>
  <si>
    <t xml:space="preserve">CONNECT  </t>
  </si>
  <si>
    <t>HUB PARA CONEXIÓN INALÁMBRICA DEL SISTEMA.</t>
  </si>
  <si>
    <t>BRIDGE</t>
  </si>
  <si>
    <t>MULTIPLICADOR DE ALCANCE DE SEÑAL.</t>
  </si>
  <si>
    <t>BOOST</t>
  </si>
  <si>
    <t>SUBWOOFER INALÁMBRICO PARA REPRODUCCIÓN DE BAJAS FRECUENCIAS.</t>
  </si>
  <si>
    <t>SUBWOOFER INALÁMBRICO PARA REPRODUCCIÓN DE BAJAS FRECUENCIAS. COMPATIBLE CON AMPLIFICADOR SONOS DE LA SERIE PLAYBAR O PLAY.</t>
  </si>
  <si>
    <t>SOPORTE DE PARED PARA PLAYBAR SONOS.</t>
  </si>
  <si>
    <t>PLAYBAR_WMK</t>
  </si>
  <si>
    <t>SOPORTE PARA AMPLIFICADOR DE LA Serie PLAY:3. COLOR NEGRO.</t>
  </si>
  <si>
    <t>WC_BLACK</t>
  </si>
  <si>
    <t>SISTEMA DE TEATRO TODO EN UNO PARA BASE DE TV, COLOR BLANCO.</t>
  </si>
  <si>
    <t>PLAYBASE_W</t>
  </si>
  <si>
    <t>ONE_B</t>
  </si>
  <si>
    <t>PARLANTE TONO EN UNO CON CONECTIVIDAD WIFI Y UN TWEETER.</t>
  </si>
  <si>
    <t>SONY</t>
  </si>
  <si>
    <t>REPRODUCTOR DE BLU-RAY CON LECTOR DE MP3</t>
  </si>
  <si>
    <t>BDP_S1500</t>
  </si>
  <si>
    <t>HDR_CX405</t>
  </si>
  <si>
    <t>CAMARA DE VIDEO MANUAL CON SALIDA HDMI EN RESOLUCION 1080P</t>
  </si>
  <si>
    <t>SOUND TECH</t>
  </si>
  <si>
    <t>SISTEMA DE MICRÓFONOS OMNIDIRECCIONALES CON CONEXIÓN DAISY CHAIN.</t>
  </si>
  <si>
    <t>CM_100</t>
  </si>
  <si>
    <t>SOUNDCRAFT</t>
  </si>
  <si>
    <t>MEZCLADO DE AUDIO DE 6 CANALES, DOS CANALES ESTÉREO.</t>
  </si>
  <si>
    <t>EPM6</t>
  </si>
  <si>
    <t>12MTK</t>
  </si>
  <si>
    <t>MIXER DE 12 CANALES XLR, CON ENTRADA Y SALIDA AUXILIAR</t>
  </si>
  <si>
    <t>SOUNDKRAFT</t>
  </si>
  <si>
    <t>MEZCLADO DE 8 CANALES XLR</t>
  </si>
  <si>
    <t>SPACECRAFT</t>
  </si>
  <si>
    <t>LUMINARIA DE SOBRE PONER EN MURO CON lED CÁLIDO DE 5 VATIOS</t>
  </si>
  <si>
    <t>LSKN100AW</t>
  </si>
  <si>
    <t>SPEAKERKRAFT</t>
  </si>
  <si>
    <t>CRS6_ZERO</t>
  </si>
  <si>
    <t>ALTAVOZ DE 100W, 6.5", 8 OHM.</t>
  </si>
  <si>
    <t>SPECTRONIC</t>
  </si>
  <si>
    <t>REGULADOR DE VOLTAJE CONMUTADO POR TRIACS</t>
  </si>
  <si>
    <t>S4E080M</t>
  </si>
  <si>
    <t>SPEED</t>
  </si>
  <si>
    <t>SP24_JACK</t>
  </si>
  <si>
    <t>HERRAJE PARA JACK 6A</t>
  </si>
  <si>
    <t>SP_J6A</t>
  </si>
  <si>
    <t>JACK CATEGORIA 6A METALICO CERTIFICADO</t>
  </si>
  <si>
    <t>STAND</t>
  </si>
  <si>
    <t>LUMINARIA STIL LED LINEAL CUADRADA.</t>
  </si>
  <si>
    <t>STAND1250</t>
  </si>
  <si>
    <t>LUMINARIA STIL LED LINEAL CUADRADA, DE 8cm X 120cm. ACABADO DEL CHASIS EN COLOR ALUMINIO. CHIP SAMSUNG. 50 MIL HORAS DE VIDA ÚTIL, 50W, 6500K. 4150 LUMENS. 3 ANOS DE GARANTÍA.</t>
  </si>
  <si>
    <t>LUMINARIA ATENUABLE DE 18 VATIOS ULTRA PLANA TIPO PANEL LED ATENUABLE.</t>
  </si>
  <si>
    <t>STIL18A</t>
  </si>
  <si>
    <t>STAR</t>
  </si>
  <si>
    <t>CLC20417</t>
  </si>
  <si>
    <t>METRO DE SINTA LED DE ALTO FLUJO ULTRA COMPACTA</t>
  </si>
  <si>
    <t>STARTECH</t>
  </si>
  <si>
    <t>VSEDIDHD</t>
  </si>
  <si>
    <t>EMULADOR EDID PARA PANTALLAS HDMI</t>
  </si>
  <si>
    <t>https://www.amazon.com/-/es/StarTech-com-VSEDIDDVI-Ghosting-Emulador-Negro/dp/B01FJYUEC0/ref=sr_1_4?__mk_es_US=%C3%85M%C3%85%C5%BD%C3%95%C3%91&amp;dchild=1&amp;keywords=edid&amp;qid=1600230959&amp;sr=8-4</t>
  </si>
  <si>
    <t>STEREN</t>
  </si>
  <si>
    <t>MEZCLADORA DE 3 CANALES</t>
  </si>
  <si>
    <t>MIX_135</t>
  </si>
  <si>
    <t>MICRÓFONO INALÁMBRICO DE MANO VHF</t>
  </si>
  <si>
    <t>WR_040</t>
  </si>
  <si>
    <t>ALTAVOCES DE EMPOTRAR 2 VÍAS 240 VATIOS.</t>
  </si>
  <si>
    <t>SPK_620</t>
  </si>
  <si>
    <t>STE</t>
  </si>
  <si>
    <t>CABLE RCA A ESTÉREO 3.5MM, 1.8 METROS.</t>
  </si>
  <si>
    <t>S284_050</t>
  </si>
  <si>
    <t>CONVERSOR VGA A HDMI. SOPORTA RESOLUCIONES 1080P.</t>
  </si>
  <si>
    <t>S208_144</t>
  </si>
  <si>
    <t>TRANSMISOR ACTIVO DE HASTA 100 METROS POR UTP.</t>
  </si>
  <si>
    <t>COM_325</t>
  </si>
  <si>
    <t>TRANSMISOR PASIVO POR UTP HASTA 27 METROS.</t>
  </si>
  <si>
    <t>S208_110</t>
  </si>
  <si>
    <t>BOS_302</t>
  </si>
  <si>
    <t>EXTENSOR DE HASTA 40 METROS POR UTP DE SEÑALES 1080P.</t>
  </si>
  <si>
    <t>S208_187</t>
  </si>
  <si>
    <t>TRANSMISOR ACTIVO DE HDMI POR UTP HASTA 60 METROS.</t>
  </si>
  <si>
    <t>S208_115</t>
  </si>
  <si>
    <t>STI</t>
  </si>
  <si>
    <t>SS_2109EX_ES</t>
  </si>
  <si>
    <t>BOTON PARA SALIDA DE EMERGENCIA</t>
  </si>
  <si>
    <t>STIL</t>
  </si>
  <si>
    <t>LUMINARIA LED DE 50 VATIOS, 6500K, CON CHASIS DE ALUMINIO. ON/OFF.</t>
  </si>
  <si>
    <t>STIL_50</t>
  </si>
  <si>
    <t>PLAT28</t>
  </si>
  <si>
    <t>LUMINARIA LINEAL DE BANO EN MURO DE 28W IP65</t>
  </si>
  <si>
    <t>SUPER</t>
  </si>
  <si>
    <t>ARANDELA 3/8"</t>
  </si>
  <si>
    <t>ARAN38</t>
  </si>
  <si>
    <t>TUERCA 3/8"</t>
  </si>
  <si>
    <t>TUER38</t>
  </si>
  <si>
    <t>SUPER7</t>
  </si>
  <si>
    <t>TORNILLERÍA PARA LA INSTALACIÓN</t>
  </si>
  <si>
    <t>TORNILLERIA</t>
  </si>
  <si>
    <t>SUPREMA</t>
  </si>
  <si>
    <t>BEW_2_OAP</t>
  </si>
  <si>
    <t>LECTOR PARA TARJETAS HID MULTICLASS Y LECTOR BIOMETRICO DE HUELLA, COMUNICACIÓN WIEGAN.</t>
  </si>
  <si>
    <t>SURLINK</t>
  </si>
  <si>
    <t>SUR</t>
  </si>
  <si>
    <t>ORGANIZADOR DE RACK DE UNIDAD DE RACK</t>
  </si>
  <si>
    <t>ORG1</t>
  </si>
  <si>
    <t>TUERCA TIPO CANASTILLA DE RACK</t>
  </si>
  <si>
    <t>JACK CATEGORÍA 5E</t>
  </si>
  <si>
    <t>LANBLUE5</t>
  </si>
  <si>
    <t>PATCH CORE DE 0.5 METROS CATEGORÍA 6</t>
  </si>
  <si>
    <t>SLU6PC242AS</t>
  </si>
  <si>
    <t>ORG2</t>
  </si>
  <si>
    <t>ORGANIZADOR DE DOS UNIDADES DE RACK.</t>
  </si>
  <si>
    <t>DRIVER DE ATENUACIÓN DE FASE ADAPTATIVA</t>
  </si>
  <si>
    <t>P26440_36</t>
  </si>
  <si>
    <t>BOMBILLA ATENUABLE TIPO LED CON CONECTOR GU10.</t>
  </si>
  <si>
    <t>GU10.6.5</t>
  </si>
  <si>
    <t>BOMBILLA ATENUABLE TIPO LED CON CONECTOR GU10, INCLUYE CONECTORES. CONSUMO DE 6.5W, VIDA ESPERADA DE 25.000 HORAS, COLOR MEDIO CÁLIDO 3000K.</t>
  </si>
  <si>
    <t>SYL</t>
  </si>
  <si>
    <t>TUBO FLUORESCENTE DE 28 VATIOS, 4100K. MARCA SYLVANIA.</t>
  </si>
  <si>
    <t>SYLT528</t>
  </si>
  <si>
    <t>BOMBILLA LED ATENUABLE DE 9 VATIOS, REEMPLAZA BOMBILLA INCANDESCENTE DE 60 VATIOS.</t>
  </si>
  <si>
    <t>LED11A19</t>
  </si>
  <si>
    <t>BOMBILLA LED ATENUABLE DE 9 VATIOS, REEMPLAZA BOMBILLA INCANDESCENTE DE 60 VATIOS. COLOR CÁLIDO. MARCA: SYLVANIA.</t>
  </si>
  <si>
    <t>LAMPARA DE EMERGENCIA LED</t>
  </si>
  <si>
    <t>LED4W</t>
  </si>
  <si>
    <t>PANEL LINEAL LED DE 32W</t>
  </si>
  <si>
    <t>P26774_(MATERIAL)</t>
  </si>
  <si>
    <t>BOMBILLA METAL HALIDE DE 250VATIOS</t>
  </si>
  <si>
    <t>MH250W</t>
  </si>
  <si>
    <t>LUMINARIA TIPO REJILLA CON DOS TUBOS 2X18W</t>
  </si>
  <si>
    <t>SYL2X18REJ</t>
  </si>
  <si>
    <t>LUMINARIA CONTINUUM LED DE DISENO ANGOSTO. DE SOBREPONER. 28W, 1980 LUMENS.</t>
  </si>
  <si>
    <t>P37241</t>
  </si>
  <si>
    <t>LUMINARIA CONTINUUM LED DE DISENO ANGOSTO. DE SOBREPONER. 28W, 1980 LUMENS, TEMPERATURA 3000K.</t>
  </si>
  <si>
    <t>LUMINARIA TIPO PANEL LED RECESADA DE 30 VATIOS, TEMPERATURA 4000K. MULTIVOLTAJE.</t>
  </si>
  <si>
    <t>P26829</t>
  </si>
  <si>
    <t>PANEL LED de 60x60 PARA INCRUSTAR. POTENCIA DE 40 VATIOS.</t>
  </si>
  <si>
    <t>P27085_41</t>
  </si>
  <si>
    <t>PANEL LED de 60x60 PARA INCRUSTAR. POTENCIA DE 40 VATIOS. TEMPERATURA DE COLOR: 4.000K.</t>
  </si>
  <si>
    <t>LED BALA CROWN, OPERACIÓN MULTIVOLTAJE, DIÁMETRO DE 6.3"</t>
  </si>
  <si>
    <t>P26816_36</t>
  </si>
  <si>
    <t xml:space="preserve">LED BALA CROWN, OPERACIÓN MULTIVOLTAJE, DIÁMETRO DE 6.3", 15W, TEMPERATURA DE COLOR: 4.000K. </t>
  </si>
  <si>
    <t>LUMINARIA DOWN LIGHT DIRECCIONABLE TIPO CARDAN DE 15 VATIOS</t>
  </si>
  <si>
    <t>P27352_36</t>
  </si>
  <si>
    <t>LUMINARIA DE 15 VATIOS, TEMPERATURA DE COLOR: 4.000K.</t>
  </si>
  <si>
    <t>P26827</t>
  </si>
  <si>
    <t>LUMINARIA DE 15 VATIOS, TEMPERATURA DE COLOR: 4.000K. VIDA ÚTIL ESTIMADA DE 50.000 HORAS.</t>
  </si>
  <si>
    <t>BATERÍA PARA LUMINARIA LED, POTENCIA DE CARGA DE 5W, POTENCIA DE SALIDA DE 60W.</t>
  </si>
  <si>
    <t>P26120</t>
  </si>
  <si>
    <t>BALA LED RECESADA DE 20W, TEMPERATURA 4.000K.</t>
  </si>
  <si>
    <t>P26828_36</t>
  </si>
  <si>
    <t>LAMPARA LED DE EXTERIOR EN POSTE CON KIT SOLAR.</t>
  </si>
  <si>
    <t>P27239</t>
  </si>
  <si>
    <t>LUMINARIA DIMERIZABLE DE 1.2 METROS, 4000K. REGLETA LED DE 40W, 4000K.</t>
  </si>
  <si>
    <t>CONTINUUM_DIM</t>
  </si>
  <si>
    <t>LUMINARIA TUBO LED FORMATO T8 CON SENSOR DE PRESENCIA INCORPORADO.</t>
  </si>
  <si>
    <t>P27400_33</t>
  </si>
  <si>
    <t>LUMINARIA TUBO LED FORMATO T8 CON SENSOR DE PRESENCIA INCORPORADO. 18W, FLUJO DE 1600 LM.</t>
  </si>
  <si>
    <t xml:space="preserve">CINTA LED DE 48 VATIOS, 720 LUMENS POR METROS. </t>
  </si>
  <si>
    <t>P26455_36</t>
  </si>
  <si>
    <t>CINTA LED 5 METROS 48 VATIOS IP42</t>
  </si>
  <si>
    <t>LUMINARIA LED DE MONTAJE EN PARED WALL PACK.</t>
  </si>
  <si>
    <t>P27387</t>
  </si>
  <si>
    <t>LUMINARIA HERMÉTICA DE 50W, 4000K, 4500 LUMENS DE FLUJO LUMÍNICO.</t>
  </si>
  <si>
    <t xml:space="preserve">P27371_36 </t>
  </si>
  <si>
    <t>ILUMINACION HIGH BAY DE ALTO FLUJO PARA GRANDES SUPERFICIES. 110W Y 14.300Lm.</t>
  </si>
  <si>
    <t>P27405_36</t>
  </si>
  <si>
    <t>LAMPARA LED DE EXTERIOR DE 40 VATIOS.</t>
  </si>
  <si>
    <t>P27383</t>
  </si>
  <si>
    <t xml:space="preserve">TUBO LED T5 DE 25 VATIOS, 6500K. </t>
  </si>
  <si>
    <t>P27607_3</t>
  </si>
  <si>
    <t>TUBO LED T8 DE 9 VATIOS, 6500K.</t>
  </si>
  <si>
    <t>P25137_33</t>
  </si>
  <si>
    <t>PANEL LED 60X60 DE 40 VATIOS, 4000K.</t>
  </si>
  <si>
    <t>P27264_41</t>
  </si>
  <si>
    <t>LUMINARIA LED TIPO BATTEN DE 6500K, 14 VATIOS, 1200 LUMENS.</t>
  </si>
  <si>
    <t>P24562_36</t>
  </si>
  <si>
    <t>PANEL LED 6500K DE 12 VATIOS. 720 LUMENS, 100-277VAC.</t>
  </si>
  <si>
    <t>P24337_30</t>
  </si>
  <si>
    <t>PANEL LED 6500K DE 18 VATIOS. 1250 LUMENS, 100-277VAC.</t>
  </si>
  <si>
    <t>P24338_33</t>
  </si>
  <si>
    <t>PANEL LED MULTIVOLTAJE DE 4000K, 12 VATIOS, VIDA ÚTIL DE 30.000 HORAS.</t>
  </si>
  <si>
    <t>P26816_36_4K</t>
  </si>
  <si>
    <t>BOMBILLA LED GU10 DE 6 VATIOS 3000K, DIMERIZABLE</t>
  </si>
  <si>
    <t>P27669_19</t>
  </si>
  <si>
    <t>BOMBILLA LED GU10 DE 7 VATIOS 3000K, DIMERIZABLE</t>
  </si>
  <si>
    <t>LUMINARIA HERMÉTICA DE 50W, 6500K, IP65. 4500Lm.</t>
  </si>
  <si>
    <t>P24359</t>
  </si>
  <si>
    <t>LED HERMÉTICA DE 20W, 6500K, 1800Lm.</t>
  </si>
  <si>
    <t>P24358</t>
  </si>
  <si>
    <t>LED DE EMERGENCIA TIPO APLIQUE DE 4W, 6000K, 300Lm.</t>
  </si>
  <si>
    <t>P26848</t>
  </si>
  <si>
    <t>REFLECTOR LED DE 200W, MULTIVOLTAJE 20000 Lm. 5000K.</t>
  </si>
  <si>
    <t>P26570</t>
  </si>
  <si>
    <t>REFLECTOR LED DE 150W, MULTIVOLTAJE 15000 Lm. 5000K.</t>
  </si>
  <si>
    <t>P26569</t>
  </si>
  <si>
    <t>REFLECTOR LED DE 120W, MULTIVOLTAJE 12000 Lm. 5000K</t>
  </si>
  <si>
    <t>P26568</t>
  </si>
  <si>
    <t xml:space="preserve">LED HIGH BAY DE 150W, 5700K, MULTIVOLTAJE, 18.700Lm. </t>
  </si>
  <si>
    <t>P27079</t>
  </si>
  <si>
    <t xml:space="preserve">LED HIGH BAY DE 100W, 5700K, MULTIVOLTAJE, 13.000Lm. </t>
  </si>
  <si>
    <t>PANEL LED 60x60 40W. MULTIVOLTAJE, 6000K, 3600Lm.</t>
  </si>
  <si>
    <t>P26994</t>
  </si>
  <si>
    <t>LUMINARIA LED DE 50W, 6500K, 5500Lm. MULTIVOLTAJE.</t>
  </si>
  <si>
    <t>P26632</t>
  </si>
  <si>
    <t>LUMINARIA DE EXTERIOR DE 50W. MULTIVOLTAJE, 4000K. 6000Lm.</t>
  </si>
  <si>
    <t>P27384</t>
  </si>
  <si>
    <t>PANEL LED DE INCRUSTAR 18W, MULTIVOLTAJE, 1250Lm.</t>
  </si>
  <si>
    <t>P24629</t>
  </si>
  <si>
    <t>LUMINARIA TIPO BALA DE 12W, 4000K, 1030Lm. 20 HORAS.</t>
  </si>
  <si>
    <t>P26793</t>
  </si>
  <si>
    <t>P26793_C</t>
  </si>
  <si>
    <t>LUMINARIA TIPO BALA DE 12W, 4000K, 1030Lm. 20 HORAS. CON CILINDRO PARA SOBREPONER O DESCOLGAR</t>
  </si>
  <si>
    <t>LUMINARIA TIPO BALA LED DE 15W, 4000K, 1200Lm. 20.000 HORAS.</t>
  </si>
  <si>
    <t>P26816</t>
  </si>
  <si>
    <t>LED BALA 8W, 4000K, 680Lm. 20.000 HORAS.</t>
  </si>
  <si>
    <t>P26791</t>
  </si>
  <si>
    <t>LED HERMÉTICA DE 2X18 VATIOS. IP65, 6500K, 2300Lm.</t>
  </si>
  <si>
    <t>P37438</t>
  </si>
  <si>
    <t>LUMINARIA CON CILINDRO PARA SOBREPONER GU10.</t>
  </si>
  <si>
    <t>DL343NAL_C</t>
  </si>
  <si>
    <t>LUMINARIA HIGH BAY DE 5700K, 13000 Lm, 100W. 50.000 HORAS.</t>
  </si>
  <si>
    <t>P27078</t>
  </si>
  <si>
    <t>WALL PACK 4000K, 5400 Lm, IP65 72W.</t>
  </si>
  <si>
    <t>P27388</t>
  </si>
  <si>
    <t>LUMINARIA POSTE DE EXTERIOR 120W, 14.400Lm.</t>
  </si>
  <si>
    <t>P27494</t>
  </si>
  <si>
    <t>PANEL DE 24 VATIOS CON PANEL SOLAR INCORPORADO</t>
  </si>
  <si>
    <t>P27239_36</t>
  </si>
  <si>
    <t>LUMINARIA PAR 30 DE 18W, 1100 LUMENS.</t>
  </si>
  <si>
    <t>P26834_20</t>
  </si>
  <si>
    <t>LED REFLECTOR DE 50 VATIOS</t>
  </si>
  <si>
    <t>P26728_36</t>
  </si>
  <si>
    <t>LED REFLECTOR DE 100 VATIOS</t>
  </si>
  <si>
    <t>P24200_36</t>
  </si>
  <si>
    <t>LED REFLECTOR DE 20 VATIOS</t>
  </si>
  <si>
    <t>P26147_36</t>
  </si>
  <si>
    <t>LUMINARIA TIPO PANEL LED RECESADA DE 30 VATIOS.</t>
  </si>
  <si>
    <t>P26829C</t>
  </si>
  <si>
    <t>LUMINARIA TIPO PANEL LED RECESADA DE 30 VATIOS, TEMPERATURA 4000K. MULTIVOLTAJE. PARA DESCOLGAR EN CILINDRO</t>
  </si>
  <si>
    <t>LUMINARIA HERMÉTICA DE 32W, 4000K, 2300 LUMENS.</t>
  </si>
  <si>
    <t>P37510</t>
  </si>
  <si>
    <t>LUMINARIA LED HERMÉTICA 4000K MULTIVOLTAGE CON REGLETA LED, 3500 Lumens.</t>
  </si>
  <si>
    <t>P27370_36</t>
  </si>
  <si>
    <t>LUMINARIA DE EMERGENCIA DE 4.5W, MULTIVOLTAJE, 170 LUMENS.</t>
  </si>
  <si>
    <t>P26784_36</t>
  </si>
  <si>
    <t>LUMINARIA DE EMERGENCIA DE 4.5W, MULTIVOLTAJE, 170 LUMENS, AUTONOMÍA MÍNIMA DE 90 MINUTOS.</t>
  </si>
  <si>
    <t>LUMINARIA DE EMERGENCIA DIRECCIONABLE DE 2.4W, MULTIVOLTAJE.</t>
  </si>
  <si>
    <t>P26931_20</t>
  </si>
  <si>
    <t>LUMINARIA DE EMERGENCIA DIRECCIONABLE DE 2.4W, MULTIVOLTAJE, 180 LUMENS, AUTONOMÍA MÍNIMA DE 90 MINUTOS.</t>
  </si>
  <si>
    <t>LED BALA 20W NW MV JÚPITER, 4000K 2200 LUMENS.</t>
  </si>
  <si>
    <t>LUMINARIA DOWNLIGHT DE 3W, 6000K 120 LM MULTIVOLTAJE.</t>
  </si>
  <si>
    <t>P27529_19</t>
  </si>
  <si>
    <t>LUMINARIA PAR 30, TEMPERATURA 2700K 900 LUMENS 35 GRADOS DE APERTURA.</t>
  </si>
  <si>
    <t>P26833_33</t>
  </si>
  <si>
    <t>LUMINARIA PAR 30, TEMPERATURA 2700K 750 LUMENS 25 GRADOS DE APERTURA.</t>
  </si>
  <si>
    <t>P26835_33</t>
  </si>
  <si>
    <t>BOMBILLA GU10 DE 6W, 6500K MULTIVOLTAJE DE 490 Lm</t>
  </si>
  <si>
    <t>P27668_19</t>
  </si>
  <si>
    <t xml:space="preserve">LUMINARIA HERMÉTICA DE 50W, 4000K, ATENUABLE 0-10, 5000LM. </t>
  </si>
  <si>
    <t>P27374_36</t>
  </si>
  <si>
    <t>PANEL MULTIVOLTAJE DE 6W, 3000K, 220 Lm.</t>
  </si>
  <si>
    <t>P26865_19</t>
  </si>
  <si>
    <t>LED BALA 15W NW MV JÚPITER, 3000K 1600 LUMENS.</t>
  </si>
  <si>
    <t>P27931_36</t>
  </si>
  <si>
    <t>LUMINARIA IP65 CÁLIDA 3000K DE 9W, 630LM, MULTIVOLTAJE, DIÁMETRO DE 6.2CM.</t>
  </si>
  <si>
    <t>P26521_36</t>
  </si>
  <si>
    <t>LUMINARIA IP65 CÁLIDA 3000K DE 9W, 630LM, MULTIVOLTAJE, DIÁMETRO DE 6.2CM, HUECO DE APERTURA DE 3.9CM, PROFUNDIDAD 6.3CM.</t>
  </si>
  <si>
    <t>BOMBILLA LED CÁLIDA 3.000K, MULTIVOLTAJE, GU10. 450LM, 6W.</t>
  </si>
  <si>
    <t>P27667_19</t>
  </si>
  <si>
    <t>BOMBILLA LED CÁLIDA 3.000K, MULTIVOLTAJE, GU10. 450LM, 6W. VIDA ÚTIL DE 15.000 HORAS</t>
  </si>
  <si>
    <t>LUMINARIA LED HIGHBAY 150W, MULTIVOLTAJE DE 18700 LUMENS. 5700K.</t>
  </si>
  <si>
    <t>P28030_36</t>
  </si>
  <si>
    <t>LUMINARIA LED HERMÉTICA MULTIVOLTAJE, 6500K, 3500 LM. IP65. 40W.</t>
  </si>
  <si>
    <t>P24307_36</t>
  </si>
  <si>
    <t>LED TIPO APLIQUE DE 18 VATIOS, MULTIVOLTAJE, 1260LM.</t>
  </si>
  <si>
    <t>P27277_39</t>
  </si>
  <si>
    <t>DRIVER MULTIVOLTAJE DE 700mA, CON SALIDA EN VOLTAJE DE 3-17VDC.</t>
  </si>
  <si>
    <t>SLT12_700IF_2</t>
  </si>
  <si>
    <t>PANEL LED DE 60X60, LUZ NEUTRA, FLUJO LUMÍNICO DE 4000Lm</t>
  </si>
  <si>
    <t>P28395_36</t>
  </si>
  <si>
    <t>PANEL LED DE 60X60, LUZ NEUTRA, FLUJO LUMÍNICO DE 3200Lm</t>
  </si>
  <si>
    <t>P27930_41</t>
  </si>
  <si>
    <t>PANEL DE 30X120 DIMERIZABLE 40W, 3200LM 4000K</t>
  </si>
  <si>
    <t xml:space="preserve">P37393_36 </t>
  </si>
  <si>
    <t>LED DE EMERGENCIA DE SEÑALIZACIÓN AVISO DE SALIDA</t>
  </si>
  <si>
    <t>P33718_19</t>
  </si>
  <si>
    <t>LED DE EMERGENCIA R1 2X1.6W, AUTONOMÍA DE 90 MINUTOS.</t>
  </si>
  <si>
    <t>P28757_39</t>
  </si>
  <si>
    <t>P23342_39</t>
  </si>
  <si>
    <t>P44456</t>
  </si>
  <si>
    <t>LED DE INCRUSTAR EN PISO MULTIVOLTAGE DE 9W, IP65, 800 LUMENS</t>
  </si>
  <si>
    <t>P28393_36</t>
  </si>
  <si>
    <t>LED DE INCRUSTAR EN PISO MULTIVOLTAGE DE 20W, IP65, 1400 LUMENS</t>
  </si>
  <si>
    <t>P26959_36</t>
  </si>
  <si>
    <t>PANEL LED DE INCRUSTAR 9W, 4000K. 490Lm.</t>
  </si>
  <si>
    <t>P24616_12</t>
  </si>
  <si>
    <t>P23695_36</t>
  </si>
  <si>
    <t>LAMPARA GERMICIDA UV BATTEN 30 VATIOS.</t>
  </si>
  <si>
    <t>P23696_36</t>
  </si>
  <si>
    <t>LAMPARA GERMICIDA UV MESA 38 VATIOS.</t>
  </si>
  <si>
    <t xml:space="preserve">P23697_36 </t>
  </si>
  <si>
    <t>LAMPARA GERMICIDA UV PRO 100 VATIOS.</t>
  </si>
  <si>
    <t>P24628_12</t>
  </si>
  <si>
    <t>PANEL LED DE INCRUSTAR 12W, 4000K, MULTIVOLTAJE 750LM.</t>
  </si>
  <si>
    <t>P24337_12</t>
  </si>
  <si>
    <t>PANEL LED DE INCRUSTAR 12W, 6500K, MULTIVOLTAJE 750LM.</t>
  </si>
  <si>
    <t>P27181_36</t>
  </si>
  <si>
    <t>PANEL 18W DE SOBREPONER 6000K</t>
  </si>
  <si>
    <t>P27619_19</t>
  </si>
  <si>
    <t>BOMBILLA LED 7W, E27, 6500K</t>
  </si>
  <si>
    <t>P25454_16</t>
  </si>
  <si>
    <t>LUMINARIA DE EMERGENCIA 110 LM, 4.5W.</t>
  </si>
  <si>
    <t>P28374_36</t>
  </si>
  <si>
    <t>LUMINARIA HERMETICA DE 36W, MULTIVOLTAJE, 3240Lm.</t>
  </si>
  <si>
    <t>P27994_19</t>
  </si>
  <si>
    <t>LUMINARIA LED GLOBO DE 4W, TEMPERATURA 2.200K, 350Lm.</t>
  </si>
  <si>
    <t>P28027_22</t>
  </si>
  <si>
    <t>LUMINARIA E27 MULTIVOLTAJE, E27, 3.000K, MULTIVOLTAJE.</t>
  </si>
  <si>
    <t>P23261_36</t>
  </si>
  <si>
    <t>REFLECTOR DE 3000K, MULTIVOLTAJE, 2400 LM.</t>
  </si>
  <si>
    <t>P28392_36</t>
  </si>
  <si>
    <t>LED DE PISO DE 3W, IP65, 190Lm, 3000K.</t>
  </si>
  <si>
    <t>P27247_36</t>
  </si>
  <si>
    <t>LED BALA 20W 3000K</t>
  </si>
  <si>
    <t>P27906</t>
  </si>
  <si>
    <t>LUMINARIA LED HIGH BAY DE 100W.</t>
  </si>
  <si>
    <t>P23323_36</t>
  </si>
  <si>
    <t>LUMINARIA DE PISO IP65, 9W, 3000K, 720LM.</t>
  </si>
  <si>
    <t>PANEL LED DE 12W, 4000K</t>
  </si>
  <si>
    <t>LUMINARIA DE PISO IP65, 9 VATIOS. LUZ CALIDA 3.000K, 800 LUMENS.</t>
  </si>
  <si>
    <t>P27180_36</t>
  </si>
  <si>
    <t>PANEL LED DE 18W 6500K, 1170 LUMENS.</t>
  </si>
  <si>
    <t>P28760_20</t>
  </si>
  <si>
    <t>LED DE EMERGENCIA DE 2W, MULTIVOLTAKE, 2X100 LUMENS.</t>
  </si>
  <si>
    <t>P23462_36</t>
  </si>
  <si>
    <t>LUMINARIA HERMETICA 2X18W, 6500K, 2080 LUMENS.</t>
  </si>
  <si>
    <t>P23332_36</t>
  </si>
  <si>
    <t>LED DECO PISO DE 3W</t>
  </si>
  <si>
    <t>P24337_19</t>
  </si>
  <si>
    <t>PANEL LED REDONDO DE INCRUSTAR, 12W, 6500K, 750Lm, MULTIVOLTAGE.</t>
  </si>
  <si>
    <t>P23485_39</t>
  </si>
  <si>
    <t>PANEL RECTANGULAR DE 30x120Cm. 36W, 6500k, 3200Lm, MULTIVOLTAJE.</t>
  </si>
  <si>
    <t>P26774_19</t>
  </si>
  <si>
    <t>LUMINARIA LED LINEAL DE 32W, 6000K, 2400Lm, MULTIVOLTAJE</t>
  </si>
  <si>
    <t>BOMBILLA GU10, 6000K, 6W, MULTIVOLTAGE 490Lm.</t>
  </si>
  <si>
    <t>BOMBILLA LED GU10 DE 6W, 3000K, 490 LUMNES.</t>
  </si>
  <si>
    <t>P27915_41</t>
  </si>
  <si>
    <t>PANEL LED DE 30X120, 40W, 4000K, 3200Lm</t>
  </si>
  <si>
    <t>P26829_36</t>
  </si>
  <si>
    <t>PANEL REDONDO DE ALTO FLUJO, 4000K, MULTIVOLTAJE, 30W, 3300Lm.</t>
  </si>
  <si>
    <t>P23348_41</t>
  </si>
  <si>
    <t>PANEL LED 4000K, 40W. 50.000 HORAS DE VIDA UTIL.</t>
  </si>
  <si>
    <t>P23353_36</t>
  </si>
  <si>
    <t>WALLPACK DE 50W, 5280 LM, IP65, 4000K.</t>
  </si>
  <si>
    <t>P23352_36</t>
  </si>
  <si>
    <t>WALLPACK DE 30W, 3290 LM, IP65, 4000K.</t>
  </si>
  <si>
    <t>P23535_36</t>
  </si>
  <si>
    <t>KIT SOLAR DE 30W CON BATERIA DE LITIO, 2600 LM.</t>
  </si>
  <si>
    <t>P27479_36</t>
  </si>
  <si>
    <t>LED TORTUGA DE 12W, 960 LM.</t>
  </si>
  <si>
    <t>P27383_36</t>
  </si>
  <si>
    <t>LUMINARIA LED DE LUZ NEUTRA PARA POSTE EXTERIOR DE 40W. 5400 LUMENS.</t>
  </si>
  <si>
    <t>P27900_3</t>
  </si>
  <si>
    <t>TUBO LED DE 18W T8 DL 100-240.</t>
  </si>
  <si>
    <t>P26291_36</t>
  </si>
  <si>
    <t>SOCKET G13 PARA TUBO T8</t>
  </si>
  <si>
    <t>P37648_80</t>
  </si>
  <si>
    <t>LUMINARIA HERMETICA PARA TUBO T8</t>
  </si>
  <si>
    <t>P38065_36</t>
  </si>
  <si>
    <t>ILUMINACION LETRERO SALIDA COLOR VERDE, 8LM</t>
  </si>
  <si>
    <t>P23589_33</t>
  </si>
  <si>
    <t>PANEL LED DE SOBREPONER 18W, 6500K, 23CM DE DIAMETRO. MULTIVOLTAJE.</t>
  </si>
  <si>
    <t>P23347_41</t>
  </si>
  <si>
    <t>PANEL LED 60X60 DE 40W DE ALTA EFICIENCIA, 4000 LUMENS, MULTIVOLTAJE, 6500K.</t>
  </si>
  <si>
    <t>P24358_36</t>
  </si>
  <si>
    <t>LED HERMETICA DE 20W, CON STRIP LED, 6500K, 2100 LM. MULTIVOLTAJE.</t>
  </si>
  <si>
    <t>P27908_36</t>
  </si>
  <si>
    <t>LUMINARIA HIGHT BAY DE 1500W, 6000K, MULTIVOLTAJE 18.000 LM.</t>
  </si>
  <si>
    <t>P24616_19</t>
  </si>
  <si>
    <t>PANEL LED REDONDO 4000K, 490Lm, 9W.</t>
  </si>
  <si>
    <t>P28306_36</t>
  </si>
  <si>
    <t>LUMINARIA DE EMERGENCIA DE 3W DOWNLIAGHT, 170 LUMENS.</t>
  </si>
  <si>
    <t>P23165_36</t>
  </si>
  <si>
    <t>BOMBILLA 20 CALIDA FLAT PARA ROSETA E27</t>
  </si>
  <si>
    <t>SYSTEM SENSOR</t>
  </si>
  <si>
    <t>SENSOR DE HUMO Y TEMPERATURA DE DOS HILOS.</t>
  </si>
  <si>
    <t>2WTB</t>
  </si>
  <si>
    <t>SENSOR DE HUMO Y TEMPERATURA DE DOS HILOS COMPATIBLE CON EQUIPOS DE LA SERIE OMNI</t>
  </si>
  <si>
    <t>SYSTEM_SENSOR</t>
  </si>
  <si>
    <t>SYS</t>
  </si>
  <si>
    <t>SENSOR DE HUMO FOTO ELÉCTRICO Y DETECTOR TÉRMICO A 135 GRADOS.</t>
  </si>
  <si>
    <t>2WT_B</t>
  </si>
  <si>
    <t>LUMINARIA DE 8W, TEMPERATURA 4000K, FLUJO LUMINOSO DE 680 LUMENS.</t>
  </si>
  <si>
    <t>TASCAM</t>
  </si>
  <si>
    <t>VS_R264</t>
  </si>
  <si>
    <t>GRABADOR DE AUDIO Y VIDEO POR HDMI</t>
  </si>
  <si>
    <t>TBAXO</t>
  </si>
  <si>
    <t>TB52S</t>
  </si>
  <si>
    <t>KIT DE 8 MICROFONOS UHF DE DIADEMA CON RECEPTOR</t>
  </si>
  <si>
    <t>https://www.amazon.com/-/es/micr%C3%B3fono-inal%C3%A1mbrico-Bodypacks-auriculares-conferencia/dp/B07YHFC1VM/ref=sr_1_8?__mk_es_US=%C3%85M%C3%85%C5%BD%C3%95%C3%91&amp;dchild=1&amp;keywords=diadema+uhf&amp;qid=1625181052&amp;sr=8-8</t>
  </si>
  <si>
    <t>TCI</t>
  </si>
  <si>
    <t>DRIVER PARA CARGAS LED CON ATENUACIÓN 0-10 Y AJUSTABLE PARA CARGAS HASTA DE 50W.</t>
  </si>
  <si>
    <t>TCI01040W</t>
  </si>
  <si>
    <t>DRIVER DE HASTA 50 VATIOS CONFIGURABLE.</t>
  </si>
  <si>
    <t>TCI50W</t>
  </si>
  <si>
    <t xml:space="preserve">TECHCONNECT </t>
  </si>
  <si>
    <t>AMPLIFICADOR DE 30 VATIOS PARA 4 ENTRADAS ESTÉREO Y SALIDA PRE AMPLIFICADA.</t>
  </si>
  <si>
    <t>AV_1700</t>
  </si>
  <si>
    <t>AMPLIFICADOR DE 30 VATIOS PARA 4 ENTRADAS ESTÉREO Y SALIDA PRE AMPLIFICADA. INCLUYE CONTROL IR.</t>
  </si>
  <si>
    <t>ALTAVOCES A TECHO DE 30W.</t>
  </si>
  <si>
    <t>CS_1600</t>
  </si>
  <si>
    <t>TECHMAN</t>
  </si>
  <si>
    <t>CABLE DE 1.8 METROS CONVERSOR DE VGA A HDMI</t>
  </si>
  <si>
    <t>CA_924_6</t>
  </si>
  <si>
    <t>TECLASTAR</t>
  </si>
  <si>
    <t>MODAPAR_0</t>
  </si>
  <si>
    <t>MODULO DE TECLADO TECLA STAR</t>
  </si>
  <si>
    <t>MODULO DE INTERRUPTOR SENCILLO</t>
  </si>
  <si>
    <t>TECNOLITE</t>
  </si>
  <si>
    <t>LEDRIEL_D</t>
  </si>
  <si>
    <t>RIEL PARA CINTA LED 5050 CON DINTEL</t>
  </si>
  <si>
    <t>POSTE EN ALUMINIO CON PINTURA ELECTRO ESTÁTICA NEGRA. BOMBILLA LED.</t>
  </si>
  <si>
    <t>H410N</t>
  </si>
  <si>
    <t>POSTE EN ACERO INOXIDABLE. BOMBILLA LED.</t>
  </si>
  <si>
    <t>H410CR</t>
  </si>
  <si>
    <t>H450S</t>
  </si>
  <si>
    <t>HLED205</t>
  </si>
  <si>
    <t>LUMINARIA TIPO CARDAN DOBLE RECESADA CON FONDO NEGRO, PINTURA ELECTROESTÁTICA.</t>
  </si>
  <si>
    <t>YDLED_365_2</t>
  </si>
  <si>
    <t>MODULO PARA ATENUACIÓN DE CINTA LED</t>
  </si>
  <si>
    <t>DIM TRI</t>
  </si>
  <si>
    <t>FUENTE DE ALIMENTACIÓN A 12V.</t>
  </si>
  <si>
    <t>PS12.5</t>
  </si>
  <si>
    <t xml:space="preserve">LUMINARIA LED EN ACERO SATINADO COLOR BLANCO CÁLIDO DE 3000K. </t>
  </si>
  <si>
    <t>TLLED_2030</t>
  </si>
  <si>
    <t>LUMINARIA RECESADA INYECTADA EN COLOR BLANCO, CON BOMBILLA LED ATENUABLE A 110V.</t>
  </si>
  <si>
    <t>TL_55</t>
  </si>
  <si>
    <t>LUMINARIA RECESADA INYECTADA EN COLOR BLANCO, CON BOMBILLA LED ATENUABLE A
110V, TECNO-LITE. INCLUYE LUMINARIA LED MR16 COLOR CÁLIDO DE 3000K, 6.5 VATIOS.</t>
  </si>
  <si>
    <t>BALA DE PISO EN ACERO INOXIDABLE PARA BOMBILLA GU10.</t>
  </si>
  <si>
    <t>H_600S</t>
  </si>
  <si>
    <t>POSTE DE SOBREPONER EN ACERO INOXIDABLE</t>
  </si>
  <si>
    <t>HLED_205</t>
  </si>
  <si>
    <t>CARDAN PARA DOS LUMINARIA AR111, CON PINTURA ELECTROESTÁTICA.</t>
  </si>
  <si>
    <t xml:space="preserve">YDLED_365_2
</t>
  </si>
  <si>
    <t>CARDAN PARA DOS LUMINARIA AR111, CON PINTURA ELECTROESTÁTICA, INCLUYE BOMBILLAS LED ATENUABLES.</t>
  </si>
  <si>
    <t>CARDAN PARA UNA LUMINARIA AR111, CON PINTURA ELECTROESTÁTICA.</t>
  </si>
  <si>
    <t>YDLED_365</t>
  </si>
  <si>
    <t>CARDAN PARA UNA LUMINARIA AR111, CON PINTURA ELECTROESTÁTICA, INCLUYE BOMBILLAS LED ATENUABLES.</t>
  </si>
  <si>
    <t>LUMINARIA PARA EXTERIOR DE 18 VATIOS, 69 LUMENS DIRECCIONABLE.</t>
  </si>
  <si>
    <t>HLED_180</t>
  </si>
  <si>
    <t>LUMINARIA CILÍNDRICA DE EXTERIORES, EN ACERO SATINADO. CONSUMO DE 40 VATIOS.</t>
  </si>
  <si>
    <t>H_1075</t>
  </si>
  <si>
    <t>LUMINARIA DE EXTERIOR IP65 DE 30 VATIOS, 2700 LUMENS. 5700K.</t>
  </si>
  <si>
    <t>ECO_01</t>
  </si>
  <si>
    <t xml:space="preserve">LUMINARIA DE EXTERIOR IP65 DE 60 VATIOS, 5400 LUMENS. </t>
  </si>
  <si>
    <t>ECO_02</t>
  </si>
  <si>
    <t>LAMPARA REFLECTOR DIRECCIONABLE DE 3 VATIOS, IP65. 3000K, 150LM.</t>
  </si>
  <si>
    <t>HLED_773</t>
  </si>
  <si>
    <t>APLIQUE PARA EXTERIOR LED DE 11 VATIOS.</t>
  </si>
  <si>
    <t>HLED_1201</t>
  </si>
  <si>
    <t>APLIQUE DE 6 VATIOS PARA INTERIORES</t>
  </si>
  <si>
    <t>HLED_841</t>
  </si>
  <si>
    <t>RIEL ENERGIZADO DE DOS METROS PARA LUMINARIAS</t>
  </si>
  <si>
    <t>YS200</t>
  </si>
  <si>
    <t>UNIÓN PARA ENERGIZADO DE RIEL</t>
  </si>
  <si>
    <t>YSI</t>
  </si>
  <si>
    <t>LUMINARIA GUÍA PARA EXTERIORES</t>
  </si>
  <si>
    <t>HLED_920</t>
  </si>
  <si>
    <t>BALA HALÓGENA INYECTADA RECESADA REDONDA.</t>
  </si>
  <si>
    <t>DL343NAL</t>
  </si>
  <si>
    <t>LUMINARIA DE PISO DE 9W.</t>
  </si>
  <si>
    <t>HLED_1800</t>
  </si>
  <si>
    <t>APLIQUE BLANCO DIRECCIONABLE</t>
  </si>
  <si>
    <t>YSN_368</t>
  </si>
  <si>
    <t>CARDAN BLANCO PARA LUMINARIA AR111, 20.5CM DE DIÁMETRO.</t>
  </si>
  <si>
    <t>TEC01</t>
  </si>
  <si>
    <t>BALA HERMÉTICA MINI DE 2 VATIOS</t>
  </si>
  <si>
    <t>HLED_64S_2W</t>
  </si>
  <si>
    <t>CARDAN REDONDO EN COLOR BLANCO</t>
  </si>
  <si>
    <t>YD_510</t>
  </si>
  <si>
    <t>APLIQUE SATINADO DIRECCIONABLE</t>
  </si>
  <si>
    <t>YSN_368S</t>
  </si>
  <si>
    <t>CARDAN BLANCO CUADRADO EN FORMATO AR111</t>
  </si>
  <si>
    <t>YD_500_1_B</t>
  </si>
  <si>
    <t>HLED_125</t>
  </si>
  <si>
    <t>LÁMPARA RECESADA PARA LUMINARIA GU10</t>
  </si>
  <si>
    <t>YD_451</t>
  </si>
  <si>
    <t>LÁMPARA DESCOLGADA PARA BOMBILLA E27</t>
  </si>
  <si>
    <t>CTL_1701</t>
  </si>
  <si>
    <t>LUMINARIA DE SOBREPONER CUADRADA</t>
  </si>
  <si>
    <t>HLED_1201G</t>
  </si>
  <si>
    <t>LUMINARIA NEGRA DE SUSPENSIÓN CON CHIP ON BOARD, 25W, 1800 LUMENS.</t>
  </si>
  <si>
    <t>CTLLED_005_30_N</t>
  </si>
  <si>
    <t>LUMINARIA NEGRA DE SUSPENSIÓN CON CHIP ON BOARD, 25W, 1800 LUMENS. TEMPERATURA DE COLOR 3000K.</t>
  </si>
  <si>
    <t>LUMINARIA DECORATIVA EN COBRE DE SUSPENSIÓN PARA BOMBILLA E27</t>
  </si>
  <si>
    <t>CTL_6121_CO</t>
  </si>
  <si>
    <t>LUMINARIA PARA CONEXIÓN DE BOMBILLAS H27</t>
  </si>
  <si>
    <t>YD_1500_B</t>
  </si>
  <si>
    <t>CTL_8035</t>
  </si>
  <si>
    <t>LUMINARIA DECORATIVA DE SOBRE PONER</t>
  </si>
  <si>
    <t>PTL_2030</t>
  </si>
  <si>
    <t>LUMINARIA DE SOBREPONER REEMPLAZO TORTUGA</t>
  </si>
  <si>
    <t>H_1130</t>
  </si>
  <si>
    <t>LUMINARIA PARA DOS BOMBILLAS E27</t>
  </si>
  <si>
    <t>YD_4000</t>
  </si>
  <si>
    <t>CONTROLADOR RGB, PARA PROGRAMACIÓN DE SECUENCIAS DE 7 COLORES.</t>
  </si>
  <si>
    <t>H_520_36W</t>
  </si>
  <si>
    <t>CONTROLADOR RGB, PARA PROGRAMACIÓN DE SECUENCIAS DE 7 COLORES. HASTA 12 LUMINARIAS.</t>
  </si>
  <si>
    <t>LUMINARIA BOMBILLA LED RGB DE 3 VATIOS, PROTECCIÓN IP 68.</t>
  </si>
  <si>
    <t>H_520_3W_RGB</t>
  </si>
  <si>
    <t>LUMINARIA EMPOTRADA TIPO LED GUÍA DE 0.6 VATIOS, IP65.</t>
  </si>
  <si>
    <t>HLED_910_S</t>
  </si>
  <si>
    <t>H_930_B</t>
  </si>
  <si>
    <t>SPOT PARA RIEL EN FORMATO GU10</t>
  </si>
  <si>
    <t>YSN_367</t>
  </si>
  <si>
    <t>BOMBILLA LED CON ROSCA E27 ATENUABLE, LUZ CÁLIDA 3000k. POTENCIA 10W.</t>
  </si>
  <si>
    <t>A19D_LED_001_30</t>
  </si>
  <si>
    <t>BOMBILLA LED CON ROSCA E27 ATENUABLE, LUZ CÁLIDA 3000k. POTENCIA 10W, APERTURA DE 60 GRADOS.</t>
  </si>
  <si>
    <t>CARDAN PEQUEÑO PARA LUMINARIA DOBLE MR16, COLOR BLANCO.</t>
  </si>
  <si>
    <t>YD_400_2_B</t>
  </si>
  <si>
    <t>LUMINARIA TIPO CAMPANA EN ACERO CROMADO</t>
  </si>
  <si>
    <t>CTL_8215_CR</t>
  </si>
  <si>
    <t>LUMINARIA EN ALUMINIO PARA PARED EN COLOR BLANCO. NO DIMERIZABLE.</t>
  </si>
  <si>
    <t>TLLED_402_7W_30B</t>
  </si>
  <si>
    <t>LUMINARIA EN ALUMINIO PARA PARED EN COLOR BLANCO. NO DIMERIZABLE. LUZ CÁLIDA, 450 LUMENS.</t>
  </si>
  <si>
    <t>TLLED_405_10W_30B</t>
  </si>
  <si>
    <t>LUMINARIA EN ALUMINIO PARA PARED EN COLOR BLANCO. NO DIMERIZABLE. LUZ CÁLIDA, 10W.</t>
  </si>
  <si>
    <t>LUMINARIA PARA PARED EN COLOR BLANCO. NO DIMERIZABLE. LUZ CÁLIDA, 5.5W.</t>
  </si>
  <si>
    <t>TLLED_401_5.5W_30B</t>
  </si>
  <si>
    <t>LUMINARIA EN ALUMINIO PARA PARED EN COLOR BLANCO. NO DIMERIZABLE. LUZ CÁLIDA, 5.5W.</t>
  </si>
  <si>
    <t>LUMINARIA HERMÉTICA PARA ZONA HÚMEDA</t>
  </si>
  <si>
    <t>10YD101MVB</t>
  </si>
  <si>
    <t>LUMINARIA ESCUALIZABLE LED CÁLIDA DE 10 VATIOS</t>
  </si>
  <si>
    <t>HLED_1178_30_G</t>
  </si>
  <si>
    <t>LUMINARIA DE EXTERIOR GRIS DE 6.5 VATIOS</t>
  </si>
  <si>
    <t>HLED_412_30</t>
  </si>
  <si>
    <t>LUMINARIA DE CHIP INTEGRADO PARA EXTERIORES EN COLOR NEGRO</t>
  </si>
  <si>
    <t>HLED_371</t>
  </si>
  <si>
    <t>LUMINARIA BLANCA PARA EXTERIORES CON CHIP INTEGRADO DE 7.5 VATIOS.</t>
  </si>
  <si>
    <t>HLED_401</t>
  </si>
  <si>
    <t>CARDAN PEQUEÑO PARA LUMINARIA TRIPLE MR16, COLOR BLANCO.</t>
  </si>
  <si>
    <t>YD_400_3_B</t>
  </si>
  <si>
    <t>LUMINARIA DECORATIVA EN ALUMINIO Y CRISTAL OPALIZADO PARA LUMINARIA E27.</t>
  </si>
  <si>
    <t>TL_2028_S</t>
  </si>
  <si>
    <t>LUMINARIA DECORATIVA EN ALUMINIO ANODIZADO Y CRISTAL OPALIZADO PARA LUMINARIA E27.</t>
  </si>
  <si>
    <t>LUMINARIA OPALIZADA DE CUERPO EN CRISTAL, COLOR BLANCO, PARA BOMBILLA E27.</t>
  </si>
  <si>
    <t>TL_6020_OP</t>
  </si>
  <si>
    <t>LUMINARIA OPALIZADA DE CUERPO EN CRISTAL, COLOR ÁMBAR, PARA BOMBILLA E27.</t>
  </si>
  <si>
    <t>TL_6020_AM</t>
  </si>
  <si>
    <t>LUMINARIA TIPO CARDAN PARA DOS BOMBILLAS AR111</t>
  </si>
  <si>
    <t>YD_700_2_N</t>
  </si>
  <si>
    <t>LUMINARIA CHIP ON BOARD DE 6.5 VATIOS. LUZ CÁLIDA. ESCUALIZABLE. EN COLOR NEGRO.</t>
  </si>
  <si>
    <t>YSNLED_007_30_B</t>
  </si>
  <si>
    <t>LUMINARIA CHIP ON BOARD DE 6.5 VATIOS. LUZ CÁLIDA. ESCUALIZABLE. EN COLOR BLANCO.</t>
  </si>
  <si>
    <t>LUMINARIA DECORATIVA DE DESCOLGAR PARA BOMBILLA E27.</t>
  </si>
  <si>
    <t>CTL_8173</t>
  </si>
  <si>
    <t>LUMINARIA RECESADA CON BORDE LIGERO PARA LUMINARIA EN FORMATO MR-16.</t>
  </si>
  <si>
    <t>YD_221_B</t>
  </si>
  <si>
    <t>LUMINARIA CILÍNDRICA ESCUALIZABLE, 24W, ILUMINACIÓN CÁLIDA 3.000K.</t>
  </si>
  <si>
    <t>PTLLED_209_24_30B</t>
  </si>
  <si>
    <t>LUMINARIA CILÍNDRICA ESCUALIZABLE, 24W, ILUMINACIÓN CÁLIDA 3.000K. DRIVER INCLUIDO. MULTIVOLTAJE.</t>
  </si>
  <si>
    <t>CTL_1940</t>
  </si>
  <si>
    <t>LUMINARIA BORDER LESS PARA BOMBILLA RECESADA GU10</t>
  </si>
  <si>
    <t>YD_440</t>
  </si>
  <si>
    <t>LAMPARA REFLECTOR DIRECCIONABLE DE 6 VATIOS, IP65. 3000K, 150LM.</t>
  </si>
  <si>
    <t>HLED_776</t>
  </si>
  <si>
    <t>LUMINARIA DE SOBRE PONER LED DE 35 VATIOS, MULTIVOLTAJE. 25.000 HORAS.</t>
  </si>
  <si>
    <t>FLCP_LED_001_B</t>
  </si>
  <si>
    <t>LUMINARIA DECORATIVA CON VIDRIO OPALIZADO PARA BOMBILLA E27</t>
  </si>
  <si>
    <t>TL_8520_S</t>
  </si>
  <si>
    <t>LUMINARIA LED DE INTEMPERIE. SALIDA LUMINA 360°, 6W.</t>
  </si>
  <si>
    <t>HLED_941</t>
  </si>
  <si>
    <t>LUMINARIA LED DE INTEMPERIE. SALIDA LUMINA 360°, 6W, 120 LUMENS, 3000K, 100-240VAC.</t>
  </si>
  <si>
    <t>LUMINARIA LED HIGH POWER DE 13W, 1100 LUMENS, ATENUABLE, 100-127VAC. 3000K.</t>
  </si>
  <si>
    <t>YDLEDD_004_30</t>
  </si>
  <si>
    <t>LUMINARIA LED HIGH POWER DE 13W, 1100 LUMENS, ATENUABLE, 100-127VAC. 4000K.</t>
  </si>
  <si>
    <t>YDLEDD_004_40</t>
  </si>
  <si>
    <t>REFLECTOR CHIP ON BOARD 15W, 1000 LUMENS. TEMPERATURA 3000K.</t>
  </si>
  <si>
    <t>YSNLED_015_B</t>
  </si>
  <si>
    <t>REFLECTOR CHIP ON BOARD 14.5W, 1200 LUMENS. TEMPERATURA 3000K.</t>
  </si>
  <si>
    <t>YSNLED_013_B</t>
  </si>
  <si>
    <t>LUMINARIA TIPO APLIQUE DE EXTERIOR EN COLOR NEGRO. LUZ CÁLIDA, 500 LUMENS. 9.5W.</t>
  </si>
  <si>
    <t>HLED_847_30_G</t>
  </si>
  <si>
    <t>LUMINARIA DECORATIVA INDUSTRIAL VINTAGE</t>
  </si>
  <si>
    <t>CTL_8212_PL</t>
  </si>
  <si>
    <t>LUMINARIA TIPO CARDAN DOBLE PARA BOMBILLAS GU10</t>
  </si>
  <si>
    <t>YD_400_2</t>
  </si>
  <si>
    <t>SPOT EN RIEL PARA LUMINARIA GU10</t>
  </si>
  <si>
    <t>YSN_367L</t>
  </si>
  <si>
    <t>REFLECTOR CON ROSCA E27 PARA LUMINARIA PAR 30</t>
  </si>
  <si>
    <t>YS_397</t>
  </si>
  <si>
    <t>LUMINARIA PAR 30 DE 10W CÁLIDA</t>
  </si>
  <si>
    <t>PAR30_LED_001_30</t>
  </si>
  <si>
    <t>LUMINARIA LED HIGH POWER DE 25W, 2300 LUMENS, ATENUABLE, 100-127VAC. 3000K.</t>
  </si>
  <si>
    <t>YDLEDD_005_30</t>
  </si>
  <si>
    <t>LUMINARIA LED HIGH POWER DE 25W, 2300 LUMENS, ATENUABLE, 100-127VAC. 4000K.</t>
  </si>
  <si>
    <t>YDLEDD_005_40</t>
  </si>
  <si>
    <t>LUMINARIA LED HIGH POWER DE 35W, 3300 LUMENS, ATENUABLE, 100-127VAC. 3000K.</t>
  </si>
  <si>
    <t>YDLEDD_006_30</t>
  </si>
  <si>
    <t>LUMINARIA LED HIGH POWER DE 35W, 3300 LUMENS, ATENUABLE, 100-127VAC. 4000K.</t>
  </si>
  <si>
    <t>YDLEDD_006_40</t>
  </si>
  <si>
    <t>LUMINARIA DE EMPOTRAR DE 10W, 3000K MULTIVOLTAJE, 800 LUMENS, 20.000 HORAS.</t>
  </si>
  <si>
    <t>HLED_651_30</t>
  </si>
  <si>
    <t>LUMINARIA DE EMPOTRAR DE 9W, 3000K MULTIVOLTAJE, 280 LUMENS, 20.000 HORAS.</t>
  </si>
  <si>
    <t>HLED_961_30</t>
  </si>
  <si>
    <t>LUMINARIA DECORATIVA DE SOBREPONER, LUMINARIA INTERIOR CON BOMBILLA E27.</t>
  </si>
  <si>
    <t>PTL_1940</t>
  </si>
  <si>
    <t xml:space="preserve">LUMINARIA CILÍNDRICA DESCOLGADA DE 3W, 210 LUMENS.
</t>
  </si>
  <si>
    <t>CTLLED_152</t>
  </si>
  <si>
    <t xml:space="preserve">LUMINARIA CILÍNDRICA DESCOLGADA DE 3W, 210 LUMENS, COLOR NEGRO O BLANCO. LUZ CÁLIDA, 110-240VAC.
</t>
  </si>
  <si>
    <t xml:space="preserve">LUMINARIA DE EMPOTRAR EN PISO, 9W, 280 LUMENS, 3000K, 20.000 HORAS DE VIDA. </t>
  </si>
  <si>
    <t>LUMINARIA DE EXTERIOR EN ALUMINIO GRIS, MULTIVOLTAGE.</t>
  </si>
  <si>
    <t>HLED_407_G</t>
  </si>
  <si>
    <t>LUMINARIA DE EXTERIOR EN ALUMINIO GRIS, MULTIVOLTAGE, 9.7W, 500 LUMENS LUZ CÁLIDA 3000K</t>
  </si>
  <si>
    <t>BOMBILLA AR111 ATENUABLE CON CONECTOR GU10, 3000K 850 LUMENS.</t>
  </si>
  <si>
    <t>AR111BVDLED17W</t>
  </si>
  <si>
    <t>LUMINARIA DE INTERIOR CON BORDE RECESADO PARA BOMBILLA GU10</t>
  </si>
  <si>
    <t>YD_450</t>
  </si>
  <si>
    <t>LUMINARIA DE LECTURA DE 3.8W, 100LM, 3000K MULTIVOLTAJE.</t>
  </si>
  <si>
    <t>TLLED_008</t>
  </si>
  <si>
    <t>BOMBILLA LED ATENUABLE GU10 PARA FORMATO MR16 LUZ NEUTRA 4000K, 7W, 600Lm.</t>
  </si>
  <si>
    <t>GU10D_LED_001_40</t>
  </si>
  <si>
    <t>LUMINARIA RECESADA EMPOTRADA EN TECHO CON INTERIOR NEGRO.</t>
  </si>
  <si>
    <t>YDR_003</t>
  </si>
  <si>
    <t>LUMINARIA RECESADA EMPOTRADA EN TECHO CON INTERIOR NEGRO DE BAJO DESLUMBRAMIENTO Y FORMATO MR16. ANCHO DE 9CM Y HUECO DE APERTURA DE 6.6CM</t>
  </si>
  <si>
    <t>LUMINARIA RECESADA EMPOTRADA EN TECHO DE BORDE DELGADO PARA BOMBILLA MR16.</t>
  </si>
  <si>
    <t>YDR_002</t>
  </si>
  <si>
    <t>LUMINARIA RECESADA EMPOTRADA EN TECHO DE BORDE DELGADO PARA BOMBILLA MR16. ANCHO DE 8.5CM Y HUECO DE APERTURA DE 7.2CM</t>
  </si>
  <si>
    <t>LUMINARIA DE SOBREPONER MULTIVOLTAJE PARA EXTERIOR DE 9W, 800LM, MULTIVOLTAJE.</t>
  </si>
  <si>
    <t>PTLLED_1110_40</t>
  </si>
  <si>
    <t>LUMINARIA DE SOBREPONER MULTIVOLTAJE PARA EXTERIOR DE 9W, 800LM, MULTIVOLTAJE, VIDA ÚTIL ESPERADA DE 20.000 HORAS. ANGULO DE APERTURA DE 115 GRADOS, IP65. LUZ NEUTRA DE 4.000K.</t>
  </si>
  <si>
    <t>LUMINARIA GUÍA PARA EXTERIORES, IP65 CON DIFUSIÓN DE 365 GRADOS, 50LM. MULTIVOLTAGE DE 1W.</t>
  </si>
  <si>
    <t>HLED_940_1W_30_S</t>
  </si>
  <si>
    <t>LUMINARIA GUÍA PARA EXTERIORES, IP65 CON DIFUSIÓN DE 365 GRADOS, 50LM. MULTIVOLTAGE DE 1W, VIDA ÚTIL ESTIMADA DE 15.000 HORAS. HUECO DE APERTURA DE 7.6CM, DIÁMETRO DE 9CM, PROFUNDIDAD DE 10.5CM Y LEVANTAMIENTO DE 1.8CM.</t>
  </si>
  <si>
    <t>LUMINARIA TIPO APLIQUE SATINADO CON ILUMINACIÓN ARRIBA Y ABAJO, 9W.</t>
  </si>
  <si>
    <t>HLED_1105</t>
  </si>
  <si>
    <t>LUMINARIA TIPO APLIQUE SATINADO CON ILUMINACIÓN ARRIBA Y ABAJO, 9W, LUZ CÁLIDA DE 3.000K, MULTIVOLTAJE 600LM.</t>
  </si>
  <si>
    <t>LUMINARIA IP65 CÁLIDA 3000K DE 5W, 150LM, MULTIVOLTAJE, DIÁMETRO DE 6.2CM.</t>
  </si>
  <si>
    <t>HLED_640_5W_S</t>
  </si>
  <si>
    <t>LUMINARIA IP65 CÁLIDA 3000K DE 5W, 150LM, MULTIVOLTAJE, DIÁMETRO DE 6.2CM, HUECO DE APERTURA DE 3.9CM, PROFUNDIDAD 6.3CM.</t>
  </si>
  <si>
    <t>LUMINARIA TIPO CARDAN PARA UNA BOMBILLA AR111</t>
  </si>
  <si>
    <t>YD_700_1_N</t>
  </si>
  <si>
    <t>RIEL DE UN METRO PARA SPOT EN COLOR NEGRO</t>
  </si>
  <si>
    <t>YS_100_N</t>
  </si>
  <si>
    <t>REFLECTOR CHIP ON BOARDNEGRO DE 15W, 1000 LUMENS. TEMPERATURA 3000K.</t>
  </si>
  <si>
    <t>YSNLED_015_N</t>
  </si>
  <si>
    <t>BOMBILLA LED DE 6W CÁLIDA: 3.000K, VIDA ÚTIL DE 15.000 HORAS, FORMATO GU10.</t>
  </si>
  <si>
    <t>GU10L_LED_001_30</t>
  </si>
  <si>
    <t>LUMINARIA GUÍA EN COLOR GRIS, 2.5W, MULTIVOLTAJE. DIÁMETRO DE 9CM. 3000K.</t>
  </si>
  <si>
    <t>HLED_916_30</t>
  </si>
  <si>
    <t>LUMINARIA DECORATIVA TIPO APLIQUE, MULTI VOLTAJE, 315 LUMENS. 5.5W, CÁLIDA.</t>
  </si>
  <si>
    <t>TLLED_407</t>
  </si>
  <si>
    <t>LUMINARIA NEGRO MATE DE 315LM, MULTIVOLTAJE. LUZ CÁLIDA 3000K.</t>
  </si>
  <si>
    <t>TTLED_407_30_N</t>
  </si>
  <si>
    <t>LUMINARIA DE EMPOTRAR 3000K CHIP ON BOARD. 9W, 650Lm. DIÁMETRO DE 8.3Cm.</t>
  </si>
  <si>
    <t>YDLEDR_005_30</t>
  </si>
  <si>
    <t>BOMBILLA GU10 DIMERIZABLE CÁLIDA 3000K. 600Lm, 7W.</t>
  </si>
  <si>
    <t>GU10D_LED_001_30</t>
  </si>
  <si>
    <t>BOMBILLA GU10 DIMERIZABLE CÁLIDA 3000K. 550Lm, 6W.</t>
  </si>
  <si>
    <t>LUMINARIA DECORATIVA DE VIDRIO REF: APODIS</t>
  </si>
  <si>
    <t>20CTL8183MVCH</t>
  </si>
  <si>
    <t>LUMINARIA DECORATIVA DE VIDRIO REF: LAOS</t>
  </si>
  <si>
    <t>60CTL8176MVC</t>
  </si>
  <si>
    <t>LUMINARIA DE EMPOTRAR PARA BOMBILLA PAR 20.</t>
  </si>
  <si>
    <t>H_605_N</t>
  </si>
  <si>
    <t>LUMINARIA DE EMPOTRAR PARA BOMBILLA PAR 38.</t>
  </si>
  <si>
    <t>H_625_N</t>
  </si>
  <si>
    <t>BOMBILLA PAR 38, 6500K, 13W, 1250 LUMENS</t>
  </si>
  <si>
    <t>13PAR38LED65MV25</t>
  </si>
  <si>
    <t>BOMBILLA PAR 20, 6500K, 6W, 500 LUMENS</t>
  </si>
  <si>
    <t>PAR20_LED_001_65</t>
  </si>
  <si>
    <t>REFLECTOR DE ESTACA 12W, 760LM</t>
  </si>
  <si>
    <t>12HLED751MV30N</t>
  </si>
  <si>
    <t>APLIQUE DE EXTERIOR, 3000K, 600LM, 8W.</t>
  </si>
  <si>
    <t>8HLED1180MV30N</t>
  </si>
  <si>
    <t>YSN_368L_B</t>
  </si>
  <si>
    <t>SPOT DE SOBREPONER EN COLOR BLANCO</t>
  </si>
  <si>
    <t>H_505_N</t>
  </si>
  <si>
    <t>REFLECTOR DE SOBREPONER PARA EXTERIORES, SOPORTA BOMBILLA GU10</t>
  </si>
  <si>
    <t>PTLLED_012_65</t>
  </si>
  <si>
    <t>LUMINARIA AUSTRAL CON  LED INTEGRADO DE 12W. MULTIVOLTAJE, 800 LM 6500K</t>
  </si>
  <si>
    <t>YDLED_154_40_B</t>
  </si>
  <si>
    <t>LUMINARIA INTEGRADA DE 5.5W, MULTIVOLTAJE, 450LM, 4000K.</t>
  </si>
  <si>
    <t>18PTLLEDR30MVB</t>
  </si>
  <si>
    <t>PANEL LED 18W SOBREPONER, 3000K.</t>
  </si>
  <si>
    <t>YS_200_N</t>
  </si>
  <si>
    <t>RIEL PARA SPOT DE 2 METROS DE LARGO EN COLOR NEGRO</t>
  </si>
  <si>
    <t>H_715_N</t>
  </si>
  <si>
    <t>LUMINARIA TIPO HASTA EN FIBRA DE VIDRIO PARA BOMBILLA PAR 20.</t>
  </si>
  <si>
    <t>6PAR20LED30MV25</t>
  </si>
  <si>
    <t xml:space="preserve">LUMINARIA PAR 20, 3000K DE 6W, </t>
  </si>
  <si>
    <t>HLED_645_2W_S</t>
  </si>
  <si>
    <t>BALA LED DE INCRUSTAR, 3000K SATINADA. 2W.</t>
  </si>
  <si>
    <t>CTL_7432_N</t>
  </si>
  <si>
    <t>LUMINARIA DECORATIVA DESCOLGADA EN NEGRO</t>
  </si>
  <si>
    <t>3YDLED3161MV30N</t>
  </si>
  <si>
    <t>MINI CARDAN DE EMPOTRAR EN COLOR NEGRO, 3W, 3000K</t>
  </si>
  <si>
    <t>6YDLED3162MV30B</t>
  </si>
  <si>
    <t>CARDAN DOBLE DE EMPOTRAR EN COLOR BLANCO, 6W, 3000K.</t>
  </si>
  <si>
    <t>HLED_907</t>
  </si>
  <si>
    <t>APLIQUE DE MURO CON LED INTEGRADO 3000K</t>
  </si>
  <si>
    <t>HLED_1052</t>
  </si>
  <si>
    <t>APLIQUE DE 15W, 3000K, LED INTEGRADO IP65.</t>
  </si>
  <si>
    <t>28HLED413V30S</t>
  </si>
  <si>
    <t>APLIQUE PARA EXTERIOR LED 28W. 3000K 2100 LUMENS</t>
  </si>
  <si>
    <t>20HLED763MV30N</t>
  </si>
  <si>
    <t>LUMINARIA TIPO REFLECTOR DE 20W, 1740 LUMENS, 3000K. IP65</t>
  </si>
  <si>
    <t>15DAR111LED30V24</t>
  </si>
  <si>
    <t>LUMINARIA LED DE 15W, 1350 LUMENS. 24 GRADOS DE APERTURA.</t>
  </si>
  <si>
    <t>20DYSNLED010V30B</t>
  </si>
  <si>
    <t>LUMINARIA CUADRADA DIMERIZABLE DE SOBREPONER, 3000K, 1800 LUMENS.</t>
  </si>
  <si>
    <t>TLLED_007</t>
  </si>
  <si>
    <t>LUMINARIA DE LECTURA DE 3.5W, 100LM, 3000K MULTIVOLTAJE.</t>
  </si>
  <si>
    <t>TLLED_2050_N</t>
  </si>
  <si>
    <t>LUMINARIA DE LECTURA DE ESTRUCTURA FIJA, 3.4W, 15.000 HORAS, 3.000K.</t>
  </si>
  <si>
    <t>HLED_1174_30_G</t>
  </si>
  <si>
    <t>LUMINARIA DECORATIVA DE APLIQUE, 10W 3000K</t>
  </si>
  <si>
    <t>6PTLLEDR65MVB</t>
  </si>
  <si>
    <t>PANEL LED DE 6W 6500K</t>
  </si>
  <si>
    <t>18PTLLEDR65MVB</t>
  </si>
  <si>
    <t>PANEL LED DE 18W 6500K</t>
  </si>
  <si>
    <t>10HLED947V30G</t>
  </si>
  <si>
    <t>APLIQUE DECORATIVO DE EXTERIOR 10W, 600 LUMENS</t>
  </si>
  <si>
    <t>7YSNLED005MV30N</t>
  </si>
  <si>
    <t>SPOT DIRECCIONABLE PARA RIEL CHIP ON BOARD. 7W, 3000K.</t>
  </si>
  <si>
    <t>60YS390MVN</t>
  </si>
  <si>
    <t>SPOT DIRECCIONABLE PARA RIEL PARA BOMBILLA AR111</t>
  </si>
  <si>
    <t>SN_367L_N</t>
  </si>
  <si>
    <t>SPOT DIRECCIONABLE PARA RIEL PARA BOMBILLA GU10</t>
  </si>
  <si>
    <t>7YDLED3163MV30B</t>
  </si>
  <si>
    <t>CARDAN TRIPLE DE EMPOTRAR EN COLOR BLANCO, 7W, 3000K.</t>
  </si>
  <si>
    <t>3YDLED3161MV30B</t>
  </si>
  <si>
    <t>MINI CARDAN DE EMPOTRAR EN COLOR BLANCO, 3W, 3000K</t>
  </si>
  <si>
    <t>H_520_3W_30</t>
  </si>
  <si>
    <t>LUMINARIA LED DE 3 VATIOS, 3000K, PROTECCIÓN IP 68. 150 LUMENS.</t>
  </si>
  <si>
    <t>09HLED431MV30N</t>
  </si>
  <si>
    <t>LUMINARIA TIPO POSTE DE EXTERIOR, 9W, 349 LUMENS.</t>
  </si>
  <si>
    <t>HLED004_N_30</t>
  </si>
  <si>
    <t>LUMINARIA IP65 DE SOBREPONER, 3000K, 810 LUMENS.</t>
  </si>
  <si>
    <t>H_3423_BA</t>
  </si>
  <si>
    <t>LUMINARIA DE EXTERIOR TIPO FAROL MULTIVOLTAJE DE 30W</t>
  </si>
  <si>
    <t>7LVCLED005MV30N</t>
  </si>
  <si>
    <t>SPOT DE SONREPONER 3000K CON LED INTEGRADO</t>
  </si>
  <si>
    <t>16DYDLED012VSCC</t>
  </si>
  <si>
    <t>BALA LED ATENUABLE 16W DE TEMPERATURA DE COLOR CONFIGURABLE. 18CM DE DIAMETRO. 1480 LUMENS.</t>
  </si>
  <si>
    <t>20DYDLED012VSCC</t>
  </si>
  <si>
    <t>BALA LED ATENUABLE 20W DE TEMPERATURA DE COLOR CONFIGURABLE. 24CM DE DIAMETRO. 2060 LUMENS.</t>
  </si>
  <si>
    <t>LUMINARIA A PRUEBA DE VAPOR EN COLOR BLANCO</t>
  </si>
  <si>
    <t>SPOT DIRECCIONABLE PARA FOCO AR111</t>
  </si>
  <si>
    <t>20H1175MVS</t>
  </si>
  <si>
    <t>LUMINARIA DECORATIVA PARA EXTERIOR CON BOMBILLA E27</t>
  </si>
  <si>
    <t>LUMINARIA A PRUEBA DE VAPOR PARA BOMBILLA GU10</t>
  </si>
  <si>
    <t>20CTL3303MVN</t>
  </si>
  <si>
    <t>YS_I_N</t>
  </si>
  <si>
    <t>ACCESORIO SPOT RIEL EN COLOR NEGRO</t>
  </si>
  <si>
    <t>20DYSNLED009V30B</t>
  </si>
  <si>
    <t>LUMINARIA DIMERIZABLE LUZ CALIDA 20W</t>
  </si>
  <si>
    <t>CTLLED_152_30_N</t>
  </si>
  <si>
    <t xml:space="preserve">LUMINARIA CILÍNDRICA DESCOLGADA DE 3W, 210 LUMENS, COLOR NEGRO. LUZ CÁLIDA, 110-240VAC.
</t>
  </si>
  <si>
    <t>0YDC002MVN</t>
  </si>
  <si>
    <t>LUMINARIA RECESADA EN FORMATO CUADRADO PARA BOMBILLA GU10. COLOR NEGRO.</t>
  </si>
  <si>
    <t>MINI CARDAN NO DIMERIZABLE, LUZ CALIDA EN COLOR NEGRO</t>
  </si>
  <si>
    <t>ETLLED_002_30_B</t>
  </si>
  <si>
    <t>LUMINARIA DE CORTESIA DE 3W, LUZ CALIDA 3000K. COLOR BLANCO 125Lm</t>
  </si>
  <si>
    <t>YS_397_B</t>
  </si>
  <si>
    <t>SPOT PARA BOMBILLA PAR 30 EN COLOR BLANCO</t>
  </si>
  <si>
    <t>8PAR30LED40MV25</t>
  </si>
  <si>
    <t>LUMINARIA PAR 30 DE 8.5W, 900 LUMENS. 4000K. APERTURA DE 25°.</t>
  </si>
  <si>
    <t>10DPAR30LED30V40</t>
  </si>
  <si>
    <t>LUMINARIA PAR 30 DE 10W ATENUABLE, 800 LUMENS. 3000K. APERTURA DE 40°.</t>
  </si>
  <si>
    <t>YS100</t>
  </si>
  <si>
    <t>RIEL ENERGIZADO DE UN METRO PARA LUMINARIAS</t>
  </si>
  <si>
    <t>YS_398_B</t>
  </si>
  <si>
    <t>SPOT RIEL DE SOBREPONER</t>
  </si>
  <si>
    <t>20YD510MVBE27</t>
  </si>
  <si>
    <t>CARDAN PARA BOMBILLA PAR 30</t>
  </si>
  <si>
    <t>20CTL8194MVCO</t>
  </si>
  <si>
    <t>LUMINARIA DE INTERIOR COLGANTE COLOR CRISTAL COBRE</t>
  </si>
  <si>
    <t>20YD5001MVBE27</t>
  </si>
  <si>
    <t>CARDAN CUADRADO BLANCO PARA BOMBILLA PAR 30</t>
  </si>
  <si>
    <t>7LVCLED005MV30B</t>
  </si>
  <si>
    <t>SPOT DE SOBREPONER COLOR CALIDO. 7W. CHIP INTEGRADO.</t>
  </si>
  <si>
    <t>YSNLED_007_30_N</t>
  </si>
  <si>
    <t>20TLLED408MV30N</t>
  </si>
  <si>
    <t>APLIQUE CALIDO EN COLOR NEGRO.FLUJO DE 1100 LUMENS</t>
  </si>
  <si>
    <t>LQ_LED_002_30</t>
  </si>
  <si>
    <t>REFLECTOR DE EXTERIOR COLOR CALIDO. 20W, 1600LUMENS.</t>
  </si>
  <si>
    <t>TELEMECHANIC</t>
  </si>
  <si>
    <t>BREAKER ENCHUFABLE DE 3X63A</t>
  </si>
  <si>
    <t>PAC63</t>
  </si>
  <si>
    <t>TENDA</t>
  </si>
  <si>
    <t>ROUTER INALÁMBRICO</t>
  </si>
  <si>
    <t>N300</t>
  </si>
  <si>
    <t>SWITCH DE 8 PUERTOS 10/100</t>
  </si>
  <si>
    <t>SWT8PT</t>
  </si>
  <si>
    <t>SWITCH POE GIGA ETHERNET DE 24 PUERTOS, 250 VATIOS.</t>
  </si>
  <si>
    <t>TEF1126P_24_250W</t>
  </si>
  <si>
    <t>SWITCH DE DATOS 10/100/1000 DE 16 PUERTOS PARA MONTAJE EN RACK</t>
  </si>
  <si>
    <t>TEG1016D</t>
  </si>
  <si>
    <t>TEG1024D</t>
  </si>
  <si>
    <t>SWITCH DE DATOS GIGA ETHERNET DE 24 PUERTOS</t>
  </si>
  <si>
    <t>TEG1109P_8</t>
  </si>
  <si>
    <t>SWITCH DE DATOS GIGA CON 8 PUERTOS PoE</t>
  </si>
  <si>
    <t>POE30G_AT</t>
  </si>
  <si>
    <t>INYECTOR PoE DE 30W</t>
  </si>
  <si>
    <t>TENSOFLEX</t>
  </si>
  <si>
    <t>TEN_3X9.65</t>
  </si>
  <si>
    <t>SOPORTE_TEN</t>
  </si>
  <si>
    <t>METRO CUADRADO DE TENSOFLEX</t>
  </si>
  <si>
    <t>TENSO7X3</t>
  </si>
  <si>
    <t>TENSO6.2X2.05</t>
  </si>
  <si>
    <t>TELA DE TENSOFLEX INSTALADA DE TAMAÑO APROXIMADO DE 2X4 METROS.</t>
  </si>
  <si>
    <t>TENSO2X4</t>
  </si>
  <si>
    <t>TELA DE TENSOFLEX INSTALADA DE TAMAÑO APROXIMADO DE 6.02 X 2.05 METROS.</t>
  </si>
  <si>
    <t>TEN_PRIN_105_51</t>
  </si>
  <si>
    <t>TENSOFLEX IMPRESO EN MEDIDAS DE 105cm x 51cm.</t>
  </si>
  <si>
    <t>TENSO_3.8</t>
  </si>
  <si>
    <t>ARO DE TENSOFLEX DE 3.8M DE DIAMETRO, ESPESOR DE 10 A 15CM EN ESTRUCTURA SUMINISTRADA POR TERCEROS</t>
  </si>
  <si>
    <t>TERNDNET</t>
  </si>
  <si>
    <t>MODULO PARA TRANSMISIÓN SPF CON FIBRA MULTIMODO</t>
  </si>
  <si>
    <t>TEG_MGBSX</t>
  </si>
  <si>
    <t>TRANSMISOR ACTIVO POR FIBRA</t>
  </si>
  <si>
    <t>MINI_GBIC</t>
  </si>
  <si>
    <t>CHASIS PARA ALOJAMIENTO DE TARJETAS</t>
  </si>
  <si>
    <t>TFC_1600</t>
  </si>
  <si>
    <t>TESA</t>
  </si>
  <si>
    <t>CINTA DUCTO TIPO INDUSTRIA POR 50 METROS</t>
  </si>
  <si>
    <t>CG48X50</t>
  </si>
  <si>
    <t>TESIRA</t>
  </si>
  <si>
    <t>TESIRA_FORTE_DAN_CI</t>
  </si>
  <si>
    <t>PROCESADOR DE AUDIO CON ENTRADA DE 8 CANALES ANALOGOS, 8 SALIDAS ANALOGAS Y 32 CANALES DIGITALES DANTE.</t>
  </si>
  <si>
    <t>THERMALTEK</t>
  </si>
  <si>
    <t>VENTILADOR ULTRA SILENCIOSO CON ASPA DE 120mm.</t>
  </si>
  <si>
    <t>RIING12</t>
  </si>
  <si>
    <t>TILL</t>
  </si>
  <si>
    <t>PIN2004</t>
  </si>
  <si>
    <t>PINZA AMPERIMETRICA</t>
  </si>
  <si>
    <t>TOSHIBA</t>
  </si>
  <si>
    <t>DISCO DURO DE 3 TERAS</t>
  </si>
  <si>
    <t>3TBT</t>
  </si>
  <si>
    <t>TP_LINK</t>
  </si>
  <si>
    <t>TPL</t>
  </si>
  <si>
    <t>ROUTER DOBLE ANTENA DE 300 MBPS, CANAL N, PROTOCOLO 802.11B/G.</t>
  </si>
  <si>
    <t>TL_WR841N</t>
  </si>
  <si>
    <t xml:space="preserve">FUENTE DE ALIMENTACIÓN POE DE 15.4W, CON VELOCIDAD GIGABIT. </t>
  </si>
  <si>
    <t>TI_POE_150S</t>
  </si>
  <si>
    <t>ROUTER INALÁMBRICO 300MBPS, 4 PUERTOS ETHERNET</t>
  </si>
  <si>
    <t>TL_WR940N</t>
  </si>
  <si>
    <t>ROUTER INALÁMBRICO DE 2 ANTENAS</t>
  </si>
  <si>
    <t>TI_WR840_N</t>
  </si>
  <si>
    <t>ROUTER INALÁMBRICO DE 3 ANTENAS</t>
  </si>
  <si>
    <t>TI_WR940N</t>
  </si>
  <si>
    <t>SWITCH DE DATOS GIGA ETHERNET DE 8 PUERTOS</t>
  </si>
  <si>
    <t>TL_SG1008D</t>
  </si>
  <si>
    <t>ROUTER INALÁMBRICO DE LARGO ALCANCE</t>
  </si>
  <si>
    <t>TL-WR941HP</t>
  </si>
  <si>
    <t>ADAPTADOR USB WIRELESS</t>
  </si>
  <si>
    <t>TRANSMISOR DE RED POR LÍNEA ELÉCTRICA</t>
  </si>
  <si>
    <t>AV200</t>
  </si>
  <si>
    <t>SWITCH GIGA ETHERNET CON 48 PUERTOS PoE.</t>
  </si>
  <si>
    <t>T1600G_52PS</t>
  </si>
  <si>
    <t>SWITCH DE DATOS DE 5 PUERTOS 10/100</t>
  </si>
  <si>
    <t>SF1005D</t>
  </si>
  <si>
    <t>MC210CS</t>
  </si>
  <si>
    <t>CONVERTIDOR DE MEDIO A FIBRA OPTICA MONOPUNTO</t>
  </si>
  <si>
    <t>TL_SG1005D</t>
  </si>
  <si>
    <t>SWITCH GIGA DE 5 PUERTOS</t>
  </si>
  <si>
    <t>TL_WA850RE</t>
  </si>
  <si>
    <t>PUNTO DE ACCESO INALAMBRICO</t>
  </si>
  <si>
    <t>TL_SG1024D</t>
  </si>
  <si>
    <t>SWITCH GIGA DE 24 PUERTOS PARA MONTAJE EN RACK</t>
  </si>
  <si>
    <t>TL_SG1218MPE</t>
  </si>
  <si>
    <t>SWITCH GIGA ETHERNET DE 16 PUERTOS PoE. CON DOS RANURAS SFP.</t>
  </si>
  <si>
    <t>LS1005G</t>
  </si>
  <si>
    <t>SWITCH GIGA ETHERNET DE 5 PUERTOS</t>
  </si>
  <si>
    <t>TL_R470T</t>
  </si>
  <si>
    <t>ROUTER ALAMBRICO DE BANDA ANCHA MULTI WAN</t>
  </si>
  <si>
    <t>TL_SG108E</t>
  </si>
  <si>
    <t>SWITCH DE DATOS GIGA ETHERNET DE 8 PUERTOS CON PROTOCOLO DE STREAMING PARA VIDEO</t>
  </si>
  <si>
    <t>TL_SG1016PE</t>
  </si>
  <si>
    <t xml:space="preserve">SWITCH PoE DE 16 PUERTOS GIGA ETHERNET. </t>
  </si>
  <si>
    <t>A6</t>
  </si>
  <si>
    <t>ROUTER CON VELOCIDAD GIGA ETHERNET</t>
  </si>
  <si>
    <t>UH400</t>
  </si>
  <si>
    <t>HUB USB 3.0 DE 4 PUERTOS</t>
  </si>
  <si>
    <t>SWITCH DE ALTA VELOCIDAD GIGA ETHERNET DE 24 PUERTOS NO ADMINISTRABLE</t>
  </si>
  <si>
    <t>TL_SG105E</t>
  </si>
  <si>
    <t>SWITCH DE DATOS GIGA ETHERNET DE 5 PUERTOS</t>
  </si>
  <si>
    <t>TL_SG2428P</t>
  </si>
  <si>
    <t>SWITCH DE DATOS PoE DE 24 PUERTOS 10/100/1000. ADMINISTRABLE</t>
  </si>
  <si>
    <t>MCXXCS</t>
  </si>
  <si>
    <t>CONVERSOR DE MEDIO 10/100/1000</t>
  </si>
  <si>
    <t>TLP</t>
  </si>
  <si>
    <t>SWITCH DE DATOS 10/100/1000 BASE T DE 24 PUERTOS, Y ALIMENTACIÓN PoE.</t>
  </si>
  <si>
    <t>TL_SG3424P</t>
  </si>
  <si>
    <t>SWITCH DE DATOS 10/100/1000 BASE T DE 16 PUERTOS.</t>
  </si>
  <si>
    <t>TL_SG1016D</t>
  </si>
  <si>
    <t>SWITCH DE DATOS 10/100 BASE T DE 8 PUERTOS, 4 PoE..</t>
  </si>
  <si>
    <t>TI_SF1080P</t>
  </si>
  <si>
    <t>PATCH CORE DE 3 METROS CAT 5E.</t>
  </si>
  <si>
    <t>PC3M</t>
  </si>
  <si>
    <t>UNIÓN RJ45 CATEGORÍA 5</t>
  </si>
  <si>
    <t>RJ45U</t>
  </si>
  <si>
    <t>PATCHCORE DE 90 METROS CATEGORÍA 6</t>
  </si>
  <si>
    <t>PC9M</t>
  </si>
  <si>
    <t>SWITCH DE 8 PUERTOS DE ALTA VELOCIDAD 10/100/1000 PoE.</t>
  </si>
  <si>
    <t>TL_SG1008PE</t>
  </si>
  <si>
    <t>TRAULUX</t>
  </si>
  <si>
    <t>TELÓN ELÉCTRICO CON CONTROL REMOTO EN FORMATO CUADRADO DE 2.38M.</t>
  </si>
  <si>
    <t>TLP240F</t>
  </si>
  <si>
    <t>SOPORTE DE TECHO PARA TV HASTA 65", 50Kg DE PESO. EN COLOR NEGRO.</t>
  </si>
  <si>
    <t>PLB_CE448</t>
  </si>
  <si>
    <t>SOPORTE DE PISO PARA TV HASTA 55</t>
  </si>
  <si>
    <t>FS01G</t>
  </si>
  <si>
    <t>TELÓN ELÉCTRICO MOTORIZADO EN FORMATO CUADRADO DE 3.2 METROS DE ANCHO.</t>
  </si>
  <si>
    <t>TRA320</t>
  </si>
  <si>
    <t>SOPORTE FIJO PARA PROYECTOR EN COLOR PLATA. CAPACIDAD HASTA 10Kg</t>
  </si>
  <si>
    <t>SOPORTE PARA TV HASTA 70Kg. FIJO DE PARED.</t>
  </si>
  <si>
    <t>PLB_35M</t>
  </si>
  <si>
    <t>SOPORTE DESPLEGABLE PARA PROYECTOR CON CAPACIDAD DE 17 KGR.</t>
  </si>
  <si>
    <t>TLA_SIMLIFT100</t>
  </si>
  <si>
    <t>SOPORTE DESPLEGABLE PARA PROYECTOR CON CAPACIDAD DE 17 KGR. ANCHO DE 32.5CM X 34.5CM.</t>
  </si>
  <si>
    <t>SOPORTE PARA VIDEO WALL UNIVERSAL PARA PANTALLAS ENTRE 35" Y 70"</t>
  </si>
  <si>
    <t>LVW02</t>
  </si>
  <si>
    <t>MONITOR INDUSTRIAL DE 55 PULGADAS DE ESPESOR 5mm.</t>
  </si>
  <si>
    <t>VW_55A150DS</t>
  </si>
  <si>
    <t xml:space="preserve">SOPORTE DE TECHO PARA TV DE HASTA 55" EN COLOR NEGRO. </t>
  </si>
  <si>
    <t>PLB_CE944_01L</t>
  </si>
  <si>
    <t>TLV_CPL860</t>
  </si>
  <si>
    <t>ASCENSOR DE 36x30x18cm. CAPACIDAD DE CARGA DE 14Kg.</t>
  </si>
  <si>
    <t>TRAUTECH</t>
  </si>
  <si>
    <t>SPLITTER ACTIVO 2K/4K HASTA 60 METROS DE DISTANCIA. GARANTÍA DE UN AÑO.</t>
  </si>
  <si>
    <t>TEH40E</t>
  </si>
  <si>
    <t>SPLITTER 2K/4KHDMI DE 1X8, RESOLUCIÓN DE HASTA 1080P, GARANTÍA DE 1 AÑO.</t>
  </si>
  <si>
    <t>THS318EDIDV2</t>
  </si>
  <si>
    <t>TRENDNET</t>
  </si>
  <si>
    <t>SWITCH DE DATOS 10/100/1000 DE 8 PUERTOS.</t>
  </si>
  <si>
    <t>TEG_S81G</t>
  </si>
  <si>
    <t>SWITCH ETHERNET GIGA DE 24 PUERTOS</t>
  </si>
  <si>
    <t>TEG240SW</t>
  </si>
  <si>
    <t>SWITCH DE DATOS ETHERNET CON VELOCIDAD GIGA ETHERNET, DE MONTAJE EN RACK</t>
  </si>
  <si>
    <t>TEG_S16G</t>
  </si>
  <si>
    <t>SWITCH POE GIGA ETHERNET DE 10 PUERTOS.</t>
  </si>
  <si>
    <t>TPE_1020WS</t>
  </si>
  <si>
    <t>TRANSMISOR ETHERNET POR LÍNEA ELÉCTRICA.</t>
  </si>
  <si>
    <t>TPL_406E2K</t>
  </si>
  <si>
    <t>CONVERSOR DE SERIAL A USB</t>
  </si>
  <si>
    <t>TU_S9</t>
  </si>
  <si>
    <t>TEW_829DRU</t>
  </si>
  <si>
    <t xml:space="preserve">ROUTER CON DOBLE WAN Y 8 PUERTOS LAN. </t>
  </si>
  <si>
    <t>TRIPP_LITE</t>
  </si>
  <si>
    <t>RBC62_1U_UPC</t>
  </si>
  <si>
    <t>BATENIA DE REEMPLAZO PARA UPS SMART500</t>
  </si>
  <si>
    <t>TRIPPLITE</t>
  </si>
  <si>
    <t>UPS DE 500VA, PARA MONTAJE EN RACK.</t>
  </si>
  <si>
    <t>SMART500RT1U</t>
  </si>
  <si>
    <t>TRULINK</t>
  </si>
  <si>
    <t>T40477</t>
  </si>
  <si>
    <t>TRANSMISOR 1080P POR CABLE UTP HASTA 60 METROS</t>
  </si>
  <si>
    <t>T40385</t>
  </si>
  <si>
    <t>CONECTOR HDMI DE PARED</t>
  </si>
  <si>
    <t>UBIQUITI</t>
  </si>
  <si>
    <t>ACCESS POINT DE LARGO ALCANCE EN DOS BANDAS.</t>
  </si>
  <si>
    <t>UBIQUITI_LR</t>
  </si>
  <si>
    <t>ACCESS POINT DE LARGO ALCANCE EN DOS BANDAS, POSIBILIDAD DE CONFIGURACIÓN MAESTRO ESCLAVO.</t>
  </si>
  <si>
    <t>ACCESS POINT OMNI DIRECCIONAL CON GESTOR DE COMUNICACIÓN.</t>
  </si>
  <si>
    <t>UAP_LR</t>
  </si>
  <si>
    <t xml:space="preserve">ACCESS POINT DE DOBLE FRECUENCIA, DE LARGO ALCANCE Y ROAMING. </t>
  </si>
  <si>
    <t>UAP_AC_LR</t>
  </si>
  <si>
    <t>SWITCH CON ALIMENTADORES PoE DE 48 PUERTOS.</t>
  </si>
  <si>
    <t xml:space="preserve">US_48_750W </t>
  </si>
  <si>
    <t>INYECTOR PoE de 24 VATIOS</t>
  </si>
  <si>
    <t>POE_24_24W</t>
  </si>
  <si>
    <t>UBIQUITI_AC_LITE</t>
  </si>
  <si>
    <t>ACCESS POINT DE LARGO ALCANCE EN DOS BANDAS, POSIBILIDAD
DE CONFIGURACIÓN MAESTRO ESCLAVO.</t>
  </si>
  <si>
    <t>UAP_AC_M</t>
  </si>
  <si>
    <t>ACCESS POINT PARA EXTERIORES CON MANEJO DE HASTA 100 USUARIOS</t>
  </si>
  <si>
    <t>ER_4</t>
  </si>
  <si>
    <t>ROUTER GIGA DE 4 PUERTOS ALAMBRICO CON ALIMENTACION INTERNA</t>
  </si>
  <si>
    <t>ES_24_LITE</t>
  </si>
  <si>
    <t>SWITCH ADMINISTRABLE CON 24 PUERTOS 24 GIGA, 2 PUERTOS SPF Y SERIAL PARA CONSOLA.</t>
  </si>
  <si>
    <t>USG</t>
  </si>
  <si>
    <t>ROUTER DE ALTA VELOCIDAD</t>
  </si>
  <si>
    <t>UNIFI_6_LITE</t>
  </si>
  <si>
    <t>ACCESS POINT DOBLE BANDA DE ALTA VELOCIDAD</t>
  </si>
  <si>
    <t>https://store.ui.com/products/unifi-6-long-range-access-point</t>
  </si>
  <si>
    <t>USG_PRO_4</t>
  </si>
  <si>
    <t>ROUTER DE GIGABIT CON DOS ENTRADAS WAN Y CAPACIDAD DE CONEXIÓN EN FIBRA Y RJ45.</t>
  </si>
  <si>
    <t>UDUKE</t>
  </si>
  <si>
    <t>T_IN_U</t>
  </si>
  <si>
    <t xml:space="preserve">TOMA CON INTERRUPTOR </t>
  </si>
  <si>
    <t>UGREEN</t>
  </si>
  <si>
    <t>CONVERSOR DE HDMI A VGA</t>
  </si>
  <si>
    <t>HDMITOVGA</t>
  </si>
  <si>
    <t>ULTRASYNC</t>
  </si>
  <si>
    <t>PANEL DE 64 ZONAS CON MONITOREO MEDIANTE APP.</t>
  </si>
  <si>
    <t>IN_ZW_6400</t>
  </si>
  <si>
    <t>IN_60_670_95R</t>
  </si>
  <si>
    <t xml:space="preserve">SENSOR INALÁMBRICO DE PRESENCIA PIR. </t>
  </si>
  <si>
    <t>IN_60_807_95R</t>
  </si>
  <si>
    <t>CÁMARA IP DE ALTA RESOLUCIÓN (1280x960), ANTIVANDÁLICA, IP68.</t>
  </si>
  <si>
    <t>TVW_3120</t>
  </si>
  <si>
    <t>SENSOR INALÁMBRICO DE VENTANA</t>
  </si>
  <si>
    <t>IN_60_362N_10</t>
  </si>
  <si>
    <t>TXE231</t>
  </si>
  <si>
    <t>SENSOR MAGNETICO CON ENTRADA DE CONTACTO SECO</t>
  </si>
  <si>
    <t>ZW096A02</t>
  </si>
  <si>
    <t>MOUDLO ON/OFF Z-WAVE AEOTEC SALIDA AC MAX 15A USB 1,5A</t>
  </si>
  <si>
    <t>UNIVERSAL</t>
  </si>
  <si>
    <t>REGLETA LED DE 29CM, FLUJO LUMÍNICO DEPENDIENTE DE DRIVER DE 12W</t>
  </si>
  <si>
    <t>UNV6000K29</t>
  </si>
  <si>
    <t>FUENTE DE 12V PARA LED 500mA</t>
  </si>
  <si>
    <t>PS12</t>
  </si>
  <si>
    <t>URC</t>
  </si>
  <si>
    <t>PROCESADOR PARA CONTROL DE DISPOSITIVOS CON UN RELÉ.</t>
  </si>
  <si>
    <t>MRX_8</t>
  </si>
  <si>
    <t>PROCESADOR PARA CONTROL DE DISPOSITIVOS CON UN RELÉ, 6 PUERTOS IR Y DOS PUERTOS RS-232.</t>
  </si>
  <si>
    <t>PANTALLA TÁCTIL DE 7" CON INTERFAZ GRAFICA ESTÁNDAR,  Y BASE DE CARGA.</t>
  </si>
  <si>
    <t>TDC_7100</t>
  </si>
  <si>
    <t>PANTALLA DE COLOR DE 2 PULGADAS. MARCACIONES PERSONALIZADAS.</t>
  </si>
  <si>
    <t>TRC_820</t>
  </si>
  <si>
    <t>PANTALLA DE COLOR DE 2 PULGADAS. MARCACIONES PERSONALIZADAS. COMPATIBLE CON PROCESADORES MRX. CONEXIÓN VÍA WIFI.</t>
  </si>
  <si>
    <t>SENSOR DE AUDIO</t>
  </si>
  <si>
    <t>SEN_AUD</t>
  </si>
  <si>
    <t>KP_4000</t>
  </si>
  <si>
    <t>PANTALLA TACTIL URC</t>
  </si>
  <si>
    <t>VANCO</t>
  </si>
  <si>
    <t>120621X</t>
  </si>
  <si>
    <t>VARIOS</t>
  </si>
  <si>
    <t>MATERIALES PARA INSTALACIÓN</t>
  </si>
  <si>
    <t>K_MATERIALES</t>
  </si>
  <si>
    <t>VCP</t>
  </si>
  <si>
    <t>RELEVOS  DE 11 PINES 24 VDC VRPL11-24VDC</t>
  </si>
  <si>
    <t>REV0013</t>
  </si>
  <si>
    <t>VIBIA</t>
  </si>
  <si>
    <t>BRISA4635</t>
  </si>
  <si>
    <t>LUMINARIA DECORATIVA DE EXTERIOR CON 589 LUMENS.</t>
  </si>
  <si>
    <t>BAMBOO4812</t>
  </si>
  <si>
    <t>LUMINARIA DE EXTERIOR MULTIVOLTAGE DE 420 LUMENS</t>
  </si>
  <si>
    <t>MERIDIANO4710</t>
  </si>
  <si>
    <t>ASIENTO DECORATIVO DE 390 LUMENS</t>
  </si>
  <si>
    <t>LUMINARIA TIPO LED PLATE DE 13.5W, ESTRUCTURA DE ACERO Y DIFUSOR DE POLICARBONATO.</t>
  </si>
  <si>
    <t>VIC TSING</t>
  </si>
  <si>
    <t>VS1_VC38BVT_VD</t>
  </si>
  <si>
    <t>VICTURE</t>
  </si>
  <si>
    <t>VICTURE1080</t>
  </si>
  <si>
    <t>CAMA WEB CON ANGULO DE 110 GRADOS, 1080P</t>
  </si>
  <si>
    <t>VIDA_UTIL</t>
  </si>
  <si>
    <t>LUMINARIA OBOIDE DE 90cm DE DIÁMETRO CON BOMBILLA PAR 38 CÁLIDA DIMERIZABLE.</t>
  </si>
  <si>
    <t>GEMMA4</t>
  </si>
  <si>
    <t>LUMINARIA OVOIDE DE 60cm DE DIÁMETRO CON BOMBILLA PAR 38 CÁLIDA DIMERIZABLE.</t>
  </si>
  <si>
    <t>GEMMA3</t>
  </si>
  <si>
    <t>GEMMA6MIM</t>
  </si>
  <si>
    <t>LUMINARIA DECORATIVA CON BOLBILLA E27. 60CM DE DIAMETRO.</t>
  </si>
  <si>
    <t>CALISTO_3B</t>
  </si>
  <si>
    <t>LUMINARIA DECORATIVA TIPO CALISTO.</t>
  </si>
  <si>
    <t>CRATER_3</t>
  </si>
  <si>
    <t>LUMINARIA DECORATIVA TIPO CRATER</t>
  </si>
  <si>
    <t>VIEWHD</t>
  </si>
  <si>
    <t>SPLITTER SELECTOR HDMI DE 4 ENTRADAS POR 2 SALIDAS.</t>
  </si>
  <si>
    <t>VHD_PRO4X2I</t>
  </si>
  <si>
    <t>VIEWSONIC</t>
  </si>
  <si>
    <t>VIE</t>
  </si>
  <si>
    <t>TV DE 22 PULGADAS CON ENTRADAS HDMI, USB Y ANALÓGICAS. DIMENSIONES: 16cm x 43cm.</t>
  </si>
  <si>
    <t>VT2216_L</t>
  </si>
  <si>
    <t>VINTAGE</t>
  </si>
  <si>
    <t>SOCKET NEGRO PARA BOMBILLA E27 VINTAGE</t>
  </si>
  <si>
    <t>S27VINTA</t>
  </si>
  <si>
    <t>VIVITEK</t>
  </si>
  <si>
    <t>PROYECTOR FULL HD DE 4700 LUMENS, FORMATO 16:9.</t>
  </si>
  <si>
    <t>D5190HD</t>
  </si>
  <si>
    <t>PROYECTOR WXGA (1280X800), 4500 LUMENS, ENTRADAS HDMI Y VGA.</t>
  </si>
  <si>
    <t>DW868</t>
  </si>
  <si>
    <t>PROYECTOR FULL HD EN FORMATO 16:9, 4200 LUMENS. ENTRADAS VGA Y HDMI.</t>
  </si>
  <si>
    <t>D966HD</t>
  </si>
  <si>
    <t>PROYECTOR FULL HD EN FORMATO 16:9, 4200 LUMENS. ENTRADAS VGA Y HDMI. PUERTO RS-232.</t>
  </si>
  <si>
    <t>PROYECTOR WUXGA FULL HD DE 4500 LUMENS, ENTRADAS HDMI Y VGA.</t>
  </si>
  <si>
    <t>DH833</t>
  </si>
  <si>
    <t>PROYECTOR WUXGA FULL HD DE 4500 LUMENS, ENTRADAS HDMI Y VGA. CONTROL RS-232, CONTRASTE 15000:1.</t>
  </si>
  <si>
    <t>VIV</t>
  </si>
  <si>
    <t>PROYECTOR DE ALTA DEFINICIÓN 1080P.4500 LUMENS, TECNOLOGÍA DLP.</t>
  </si>
  <si>
    <t>PROYECTOR DE ALTA DEFINICIÓN 1080P.4500 LUMENS, CONTRASTE 10.000/1, TECNOLOGÍA DLP. RESOLUCIÓN NATIVA 16:9 COMPATIBLE CON 4:3.</t>
  </si>
  <si>
    <t>PROYECTOR DE ALTA DEFINICIÓN, CONTRASTE 3000:1, FORMATO 16:10.</t>
  </si>
  <si>
    <t>DW6035</t>
  </si>
  <si>
    <t>PROYECTOR DE ALTA DEFINICIÓN, CONTRASTE 3000:1, FORMATO 16:10, DVI-D, VGA-In, VGA-Out, BNC, Audio-In x3, RS-232, RJ45, PESO 17kg, 2000h/2500h LENTES OPCIONALES NO INCLUIDOS.</t>
  </si>
  <si>
    <t>PROYECTOR DE ALTA DEFINICIÓN, CONTRASTE 3000:1, FORMATO 4:3.</t>
  </si>
  <si>
    <t>DX6831</t>
  </si>
  <si>
    <t>PROYECTOR DE ALTA DEFINICIÓN, CONTRASTE 3000:1, FORMATO 4:3, 8.000 LUMENS, FULL HD, MEDIDAS: 24cm X 51cm X 54cm. DURACIÓN ESTIMADA DE LAMPARA 2000 HORAS. HDMI 1.4.</t>
  </si>
  <si>
    <t>LEN</t>
  </si>
  <si>
    <t>LENTE PARA REPRODUCCIÓN ULTRA CORTA.</t>
  </si>
  <si>
    <t>D88_UST01</t>
  </si>
  <si>
    <t>LAMPARA DE REEMPLAZO PARA PROYECTOR DX6831, 2000 HORAS DE DURACIÓN ESTIMADA</t>
  </si>
  <si>
    <t>V3797802500_SVK</t>
  </si>
  <si>
    <t>PROYECTOR DE 5100 LUMENS ANSI, CON ENTRADAS HDMI, VGA Y DVI.</t>
  </si>
  <si>
    <t>DW3321</t>
  </si>
  <si>
    <t>PROYECTOR DE 5100 LUMENS ANSI, CON ENTRADAS HDMI, VGA Y DVI, CONTROL POR PUERTO SERIE. RESOLUCIÓN WXGA (1280X800)</t>
  </si>
  <si>
    <t>PROYECTOR DE 7000 LUMENS ANSI, CON ENTRADAS HDMI, VGA Y DVI.</t>
  </si>
  <si>
    <t>DW6851</t>
  </si>
  <si>
    <t>PROYECTOR DE 7000 LUMENS ANSI, CON ENTRADAS HDMI, VGA Y DVI, CONTROL POR PUERTO SERIE. RESOLUCIÓN WXGA (1280X800)</t>
  </si>
  <si>
    <t>PROYECTOR FULL HD DE 3500 LUMENS, CONTROL RS-232 Y CONTRASTE 15.000:1.</t>
  </si>
  <si>
    <t>DH913</t>
  </si>
  <si>
    <t>PROYECTOR DE 3500 LUMENS, RESOLUCIÓN XGA, ENTRADA HDMI Y VGA.</t>
  </si>
  <si>
    <t>DX813</t>
  </si>
  <si>
    <t>H1186</t>
  </si>
  <si>
    <t>PROYECTOR DE 2000 LUMENS CON RESOLUCION HASTA WUXGA (1920 x 1200), CONTRASTE 50.000:1</t>
  </si>
  <si>
    <t>VIVO</t>
  </si>
  <si>
    <t>SOPORTE MOTORIZADO ANGULAR PARA MONTAJE ENTECHO, PARA TV DE HASTA 55".</t>
  </si>
  <si>
    <t>MOUNT_E_FD55</t>
  </si>
  <si>
    <t>SOPORTE DE PIE PARA AMPLIFICADORES PLAY 1 O PLAY 3</t>
  </si>
  <si>
    <t>STAND_SP04H</t>
  </si>
  <si>
    <t>VOIPRED</t>
  </si>
  <si>
    <t>GPX1610</t>
  </si>
  <si>
    <t>TELÉFONO IP BASADO EN LINUX, Y TECLAS PROGRAMABLES</t>
  </si>
  <si>
    <t>GXP2130</t>
  </si>
  <si>
    <t>TELÉFONO IP BASADO EN LINUX CON CONEXIÓN A 3 LÍNEAS, CONFERENCIA DE VOZ DE 5 LÍNEAS.</t>
  </si>
  <si>
    <t>VU</t>
  </si>
  <si>
    <t>AQT</t>
  </si>
  <si>
    <t>LÁMPARA DE TECHO.PANTALLA DE MIMBRE TEJIDA + 1 MT DE CABLE TEJIDO GRADUABLE + PLAFÓN ALUMINIO PINTADO PARA ENSAMBLE A TECHO. SOCKET PARA ROSCA E27. MEDIDA PANTALLA EN CMS : Ø40 X 50 ALTURA</t>
  </si>
  <si>
    <t>PO2PN</t>
  </si>
  <si>
    <t>vu</t>
  </si>
  <si>
    <t>APCA1AN</t>
  </si>
  <si>
    <t>APLIQUE DE PARED O TECHO TIPO BURBUJA OPALIZADO</t>
  </si>
  <si>
    <t>VULOVA</t>
  </si>
  <si>
    <t>CB_765</t>
  </si>
  <si>
    <t>WATTSTOPER</t>
  </si>
  <si>
    <t>WAT</t>
  </si>
  <si>
    <t>SENSOR DE PRESENCIA INFRA ROJO CON RELÉ A 120V.</t>
  </si>
  <si>
    <t>CI_355</t>
  </si>
  <si>
    <t>WD</t>
  </si>
  <si>
    <t>DIS</t>
  </si>
  <si>
    <t>DISCO DURO TIPO SATA DE 4GB MARCA WESTERN DIGITAL</t>
  </si>
  <si>
    <t>WD40EFRX</t>
  </si>
  <si>
    <t>DISCO DURO DE 2TB.</t>
  </si>
  <si>
    <t>WD20PURZ</t>
  </si>
  <si>
    <t>DISCO DURO DE DOS TERA</t>
  </si>
  <si>
    <t>WE PRESENT</t>
  </si>
  <si>
    <t>BOTONERA DE SELECCIÓN PARA EQUIPO WE PRESENT</t>
  </si>
  <si>
    <t>SHAREPOD</t>
  </si>
  <si>
    <t>WELLONG</t>
  </si>
  <si>
    <t>W20USB2</t>
  </si>
  <si>
    <t>TOMA CORRIENTE DE PISO CON CONECTORES USB</t>
  </si>
  <si>
    <t>WEPRESENT</t>
  </si>
  <si>
    <t>WEP</t>
  </si>
  <si>
    <t>PROCESADOR PARA TRANSMISIÓN INALÁMBRICA DE VIDEO STREAMING HD.</t>
  </si>
  <si>
    <t>WIPG_2000</t>
  </si>
  <si>
    <t>PROCESADOR PARA TRANSMISIÓN INALÁMBRICA DE SEÑALES, INCLUYENDO VIDEO STREAMING HD. INCLUYE MEMORIA USB PARA INTERCONEXIÓN DIRECTA CON COMPUTADORES. TRABAJA BAJO PLATAFORMA WINDOWS Y ANDROID. DISTRIBUCIÓN DE UNO A VARIOS DISPOSITIVOS.</t>
  </si>
  <si>
    <t>PROCESADOR PARA TRANSMISIÓN INALÁMBRICA DE SEÑALES.</t>
  </si>
  <si>
    <t>WIPG_1500</t>
  </si>
  <si>
    <t>PROCESADOR PARA TRANSMISIÓN INALÁMBRICA DE SEÑALES, SALIDA HDMI 1080P PARA PRESENTACIONES. INCLUYE MEMORIA USB PARA INTERCONEXIÓN DIRECTA CON COMPUTADORES. TRABAJA BAJO PLATAFORMA WINDOWS Y ANDROID.</t>
  </si>
  <si>
    <t>WIPG_1600</t>
  </si>
  <si>
    <t>WESTERN DIGITAL</t>
  </si>
  <si>
    <t>WINDOWS</t>
  </si>
  <si>
    <t>LICENCIA DE WINDOWS 10 PRO, PARA PC.</t>
  </si>
  <si>
    <t>WIN10</t>
  </si>
  <si>
    <t>W10PRO</t>
  </si>
  <si>
    <t>FKG_00001</t>
  </si>
  <si>
    <t>MICROSOFT SURFACE PROPROCESADOR INTEL I7, 8GB RAM, 256GB SSD, 12.3 PULGADAS.SISTEMA OPERACIONAL: WINDOWS 10 PRO.</t>
  </si>
  <si>
    <t>WIREMOLD</t>
  </si>
  <si>
    <t>CAJA DE ACERO PARA PISO</t>
  </si>
  <si>
    <t>RFB4_SS</t>
  </si>
  <si>
    <t>TAPA PARA CAJA RFB4</t>
  </si>
  <si>
    <t>FPBTCAL</t>
  </si>
  <si>
    <t>RFB_4TK0_SS</t>
  </si>
  <si>
    <t>MODULO PARA JACK DE CAJA WIREMOLD</t>
  </si>
  <si>
    <t>RFB_B_SS</t>
  </si>
  <si>
    <t>MODULO CIEGO DE CAJAS WIREMOLD</t>
  </si>
  <si>
    <t>XENON</t>
  </si>
  <si>
    <t>LECTOR DE CÓDIGO DE BARRAS DE DOS DIMENSIONES</t>
  </si>
  <si>
    <t>X1900</t>
  </si>
  <si>
    <t>XTS</t>
  </si>
  <si>
    <t>CÁMARA TIPO DOMO IR DE 600TVL, ANÁLOGA.</t>
  </si>
  <si>
    <t>MDVPIR600_36</t>
  </si>
  <si>
    <t>ADAPTADOR PARA TRANSMISIÓN POR BNC</t>
  </si>
  <si>
    <t>UTPBALUM</t>
  </si>
  <si>
    <t>YALE</t>
  </si>
  <si>
    <t>YAL</t>
  </si>
  <si>
    <t>DL</t>
  </si>
  <si>
    <t>CHAPA CON MANIJA Y PANTALLA NUMÉRICA RETRO ILUMINADA.</t>
  </si>
  <si>
    <t>Y9032</t>
  </si>
  <si>
    <t>Y8898</t>
  </si>
  <si>
    <t>CHAPA CON MANIJA Y PANTALLA NUMÉRICA RETRO ILUMINADA, MANEJO DE HASTA 20 TARJETAS RF, INSTALACIÓN EN PUERTAS ENTRE 40 Y 90MM.</t>
  </si>
  <si>
    <t>MODULO PARA INTEGRACIÓN POR RADIOFRECUENCIA A CONTROL REMOTO.</t>
  </si>
  <si>
    <t>Y8934</t>
  </si>
  <si>
    <t>CONTROL POR RADIO FRECUENCIA PARA CHAPA YALE.</t>
  </si>
  <si>
    <t>Y9084</t>
  </si>
  <si>
    <t>CHAPA CON APERTURA DE HASTA 20 HUELLAS.</t>
  </si>
  <si>
    <t>Y8932</t>
  </si>
  <si>
    <t>CHAPA CON APERTURA DE HASTA 20 HUELLAS, UN CÓDIGO DE USUARIO Y APERTURA CON LLAVE.</t>
  </si>
  <si>
    <t>CHAPA CON 25 CÓDIGOS DE USUARIO Y OPCIÓN DE APERTURA CON LLAVE.</t>
  </si>
  <si>
    <t>Y9022</t>
  </si>
  <si>
    <t>CHAPA CON TECLADO ILUMINADO PARA MANEJO DE 10 CLAVES.</t>
  </si>
  <si>
    <t>Y9096</t>
  </si>
  <si>
    <t>CHAPA CON TECLADO ILUMINADO PARA MANEJO DE 10 CLAVES, PUERTAS DE 30 A 45MM. CIERRE AUTOMÁTICO.</t>
  </si>
  <si>
    <t>CHAPA DE CLAVE DIGITAL, CAPACIDAD HASTA 20 TARJETAS RF.</t>
  </si>
  <si>
    <t>Y9095</t>
  </si>
  <si>
    <t>CHAPA DE CLAVE DIGITAL, CAPACIDAD HASTA 20 TARJETAS RF, CON UN CÓDIGO DE USUARIO, PUERTAS DE 38 A 55MM. CÓDIGO OCULTO, ALARMA DE INTRUSIÓN.</t>
  </si>
  <si>
    <t>CAJA DE SEGURIDAD CON TECLADO DIGITAL DE FÁCIL PROGRAMACIÓN, CIERRE ELECTRÓNICO.</t>
  </si>
  <si>
    <t>YSV_200_DB1</t>
  </si>
  <si>
    <t>CAJA DE SEGURIDAD CON TECLADO DIGITAL DE FÁCIL PROGRAMACIÓN, CIERRE ELECTRÓNICO, BLOQUEO AUTOMÁTICO, DIMENSIONES: 20X31X20. MARCA YALE. NO INCLUYE INSTALACIÓN.</t>
  </si>
  <si>
    <t>CHAPA BIOMÉTRICA CON 20 HUELLAS DACTILARES.</t>
  </si>
  <si>
    <t>YMF40</t>
  </si>
  <si>
    <t>CHAPA BIOMÉTRICA CON 20 HUELLAS DACTILARES, 30 CÓDIGOS DE ACCESO Y 2 LLAVES DE EMERGENCIA.</t>
  </si>
  <si>
    <t>YMF40_HUB</t>
  </si>
  <si>
    <t>CHAPA BIOMÉTRICA CON 20 HUELLAS DACTILARES, 30 CÓDIGOS DE ACCESO Y 2 LLAVES DE EMERGENCIA. INCLUYE HUB PARA INTEGRACIÓN POR APLICACIÓN.</t>
  </si>
  <si>
    <t>MODULO DE INTEGRACIÓN ZIGBEE PARA CERRADURA YMF</t>
  </si>
  <si>
    <t>YL_00110743</t>
  </si>
  <si>
    <t>YAMAHA</t>
  </si>
  <si>
    <t>AMPLIFICADOR DE DOS CANALES CON CONTROL REMOTO Y BLUETOOTH.</t>
  </si>
  <si>
    <t>RS202</t>
  </si>
  <si>
    <t>AMPLIFICADOR DE DOS CANALES CON CONTROL REMOTO Y BLUETOOTH, SINTONIZADOR AM/FM Y 100 VATIOS POR CANAL.</t>
  </si>
  <si>
    <t>RX_V485</t>
  </si>
  <si>
    <t>PROCESADOR DE AUDIO Y VIDEO DE 5.2 CANALES, 4K, 140W POR CANAL, Bluetooth®. STREAMING DE MUSICA.</t>
  </si>
  <si>
    <t>YANGDONG</t>
  </si>
  <si>
    <t>GDE11MS</t>
  </si>
  <si>
    <t xml:space="preserve">PLANTA ELECTRICA DE 10KVA CON TRANSFERENCIA AUTOMATICA INCLUIDA. </t>
  </si>
  <si>
    <t>YUP</t>
  </si>
  <si>
    <t>MATRIZ HDMI 8X8 RESOLUCIÓN 4K. CONTROL RS-232.</t>
  </si>
  <si>
    <t>M8X8</t>
  </si>
  <si>
    <t>https://www.monoprice.com/product?p_id=24180#QuestionsandAnswers</t>
  </si>
  <si>
    <t>MATRIZ HDMI 4X4 RESOLUCIÓN 4K. CONTROL RS-232.</t>
  </si>
  <si>
    <t>M4X4</t>
  </si>
  <si>
    <t>ZEBRA</t>
  </si>
  <si>
    <t>ZEB</t>
  </si>
  <si>
    <t>TAL</t>
  </si>
  <si>
    <t>BARRERA VEHICULAR DE 3 METROS</t>
  </si>
  <si>
    <t>ZBV_3M</t>
  </si>
  <si>
    <t>ZKTECO</t>
  </si>
  <si>
    <t>BOTÓN DE SALIDA NO TOUCH PARA CONTROL DE ACCESO</t>
  </si>
  <si>
    <t>K1_1</t>
  </si>
  <si>
    <t>ENROLLADOR USB</t>
  </si>
  <si>
    <t>ZK4500</t>
  </si>
  <si>
    <t>PANEL CENTRAL PARA CUATRO PUERTAS TCP/IP O RS 485, 3000 HUELLAS.</t>
  </si>
  <si>
    <t>ZK</t>
  </si>
  <si>
    <t xml:space="preserve">PANEL CENTRAL PARA CUATRO PUERTAS TCP/IP O RS 485, 3000 HUELLAS, 30,000 TARJETAS Y 100,000 EVENTOS, FUNCIONA COMO PANEL ADICIONAL DE INTERFAZ DE LUCES, ALARMAS, PANELES DE DETECCIÓN, DISPOSITIVOS DE CIERRE O APERTURA  </t>
  </si>
  <si>
    <t>KIT FUENTE ALIMENTACIÓN 3 AMPERIOS CON BATERÍA 12V 7 AMP-TRANSFORMADOR-CAJA</t>
  </si>
  <si>
    <t>ST2406</t>
  </si>
  <si>
    <t>CAJA METÁLICA DE 30 X 25 CMS</t>
  </si>
  <si>
    <t>CAJA</t>
  </si>
  <si>
    <t xml:space="preserve">LECTOR ESCLAVO POR HUELLA O TARJETA </t>
  </si>
  <si>
    <t>FR1200</t>
  </si>
  <si>
    <t>BOTÓN DE EMERGENCIA</t>
  </si>
  <si>
    <t>ACCEZ</t>
  </si>
  <si>
    <t>KIT DE ELECTROIMÁN DE 600 LIBRAS CON SOPORTE, BUZZER, ANTI REMANENTE</t>
  </si>
  <si>
    <t>SCD-600</t>
  </si>
  <si>
    <t>TARJETA DE PROXIMIDAD ID O TAG DE RADIOFRECUENCIA</t>
  </si>
  <si>
    <t>ID</t>
  </si>
  <si>
    <t>BRAZO HIDRÁULICO PARA MÁXIMO 90 KILOS</t>
  </si>
  <si>
    <t>CONTACTO MAGNÉTICO SENCILLO</t>
  </si>
  <si>
    <t>SM200Q</t>
  </si>
  <si>
    <t>CONTROLADORA PARA CONTROL DE ACCESO DE HASTA 2 PUESTAS.</t>
  </si>
  <si>
    <t>INBIO_260</t>
  </si>
  <si>
    <t>CONTROLADORA PARA CONTROL DE ACCESO DE HASTA 2 PUESTAS. REGISTRO DE 3.000 HUELLAS Y MANEJO MEDIANTE SOFTWARE.</t>
  </si>
  <si>
    <t>GABINETE PARA CONTROLADORA INBIO</t>
  </si>
  <si>
    <t>GAB260</t>
  </si>
  <si>
    <t>SOFTWARE PARA GESTIÓN DE CONTROL DE ACCESO.</t>
  </si>
  <si>
    <t>ZKBIOSECURITY</t>
  </si>
  <si>
    <t>STICKER PARA INSTALACIÓN EN TARJETA RF EXISTENTE</t>
  </si>
  <si>
    <t>PROX125</t>
  </si>
  <si>
    <t>CONTROLADORA PARA 4 PUERTAS, SISTEMA DE GESTIÓN DE ACCESO DE 20.000 HUELLAS.</t>
  </si>
  <si>
    <t>INBIO460PRO</t>
  </si>
  <si>
    <t>CONTROLADORA PARA 4 PUERTAS, SISTEMA DE GESTIÓN DE ACCESO DE 20.000 HUELLAS, 60.000 TARJETAS.</t>
  </si>
  <si>
    <t>ELECTROIMÁN DE 270Kg DE PRESIÓN</t>
  </si>
  <si>
    <t>AL280</t>
  </si>
  <si>
    <t>SOPORTE EN UN METÁLICO PARA CANTO DE PUERTA DE VIDRIO.</t>
  </si>
  <si>
    <t>AL280PU</t>
  </si>
  <si>
    <t>SOPORTE EN L METÁLICO PARA SUJECIÓN DE ELECTROIMÁN</t>
  </si>
  <si>
    <t>AL280PL</t>
  </si>
  <si>
    <t>ENROLLADOR DE HUELLA POR USB</t>
  </si>
  <si>
    <t>SLK20R</t>
  </si>
  <si>
    <t>CONTROLADOR DE ACCESO DE 2 PUERTAS CON GABINETE</t>
  </si>
  <si>
    <t>INBIO260PROBOX</t>
  </si>
  <si>
    <t>CONTROLADOR DE 2 PUERTAS CON PANEL Y FUENTE DE ALIMENTACIÓN.</t>
  </si>
  <si>
    <t>FR1500</t>
  </si>
  <si>
    <t>LECTOR ESCLAVO POR HUELLA O TARJETA HID ICLASS</t>
  </si>
  <si>
    <t>FR1500ICLASS</t>
  </si>
  <si>
    <t>LECTOR MIXTO DE HUELLA Y TARJETA ICLASS</t>
  </si>
  <si>
    <t>LICENCIA MODULO DE VISITAS SOFTWARE ZKTeco</t>
  </si>
  <si>
    <t>ZKBS_VIS_P1</t>
  </si>
  <si>
    <t>LECTOR DE CEDULAS COLOMBIANAS PARA MONTAJE EN TORNIQUETE O SOBREPUESTA</t>
  </si>
  <si>
    <t>SCN2</t>
  </si>
  <si>
    <t>CONVERSOR DE RS232 A WIEGAND</t>
  </si>
  <si>
    <t>HDC09</t>
  </si>
  <si>
    <t>TERMINAL DE CONTROL DE TIEMPO CON CONEXIÓN WIFI, INGRESO POR HUELLA O TECLADO.</t>
  </si>
  <si>
    <t>WL10</t>
  </si>
  <si>
    <t>TERMINAL DE CONTROL DE TIEMPO CON CONEXIÓN WIFI, INGRESO POR HUELLA O TECLADO. POSIBILIDAD DE DESCARGA DE REPORTES POR USB.</t>
  </si>
  <si>
    <t>TS2000PRO</t>
  </si>
  <si>
    <t>TORNIQUETE MULTIVOLATJE SIN LECTOR NI CONTROLADORA.</t>
  </si>
  <si>
    <t>SF400</t>
  </si>
  <si>
    <t>TERMINAL TIMER CON CONTROL DE HUELLA Y/O TARJETA RF. PANTALLA TOUCH DE 2.8", Capacidad PARA 5000 TARJETAS, 1500 HUELLAS. COMUNICACIÓN TCP/IP. POSIBILIDAD DE INTEGRACION DE BOTON DE SALIDA Y MODULOS ESCLAVOS.</t>
  </si>
  <si>
    <t>LM1802</t>
  </si>
  <si>
    <t>ELECTROIMAN DE 180KG DE FUERZA.</t>
  </si>
  <si>
    <t>LMB280Z</t>
  </si>
  <si>
    <t>ZOPORTE EN Z PARA ELECTROIMAN</t>
  </si>
  <si>
    <t>CERRADURA PARA HOTEL COLOR NEGRO CON LECTOR PARA TARJETAS MIFARE SENTIDO IZQUIERDO</t>
  </si>
  <si>
    <t>ENERGYSAVERMF</t>
  </si>
  <si>
    <t>INTERRUPTOR PARA AHORRO DE ENERGIA SOLO PARA TARJETAS MIFARE 16 127.381,50 2.038.104,0</t>
  </si>
  <si>
    <t>ZKBS_HOTEL_P25</t>
  </si>
  <si>
    <t>LICENCIA ZKBIOSECURITY MODULO HOTEL HASTA 25 CERRADURAS</t>
  </si>
  <si>
    <t>INTERRUPTOR DE AHORRO DE ENERGIA PARA TARJETAS MIFARE</t>
  </si>
  <si>
    <t>TL100</t>
  </si>
  <si>
    <t>CHAPA BIOMETRICA CON APERTURA DE HUELLA, CLAVE Y TARJETA.</t>
  </si>
  <si>
    <t>TSA_12</t>
  </si>
  <si>
    <t>ADAPTADOR PARA MODULO DE LECTOR DE TARJETAS</t>
  </si>
  <si>
    <t>ZKBS_VIS_P5</t>
  </si>
  <si>
    <t>LICENCIA PARA 5 ENTRADAS EN MODULO DE VISITANTES</t>
  </si>
  <si>
    <t>TS1000PRO</t>
  </si>
  <si>
    <t>TORNIQUETE DE ENTRADA/SALIDA SIN PROCESADORES</t>
  </si>
  <si>
    <t>AL20DBR</t>
  </si>
  <si>
    <t>CHAPA DIGITAL CON HUELLA Y CONTROL NUMERICO PARA 100 USUARIOS</t>
  </si>
  <si>
    <t>AL20DBL</t>
  </si>
  <si>
    <t>CHAPA BIOMETRICA CON APERTURA DE HUELLA Y CLAVE.</t>
  </si>
  <si>
    <t>FR_1500_WP</t>
  </si>
  <si>
    <t>LECTOR DE TARJETA Y HUELA PARA EXTERIOR</t>
  </si>
  <si>
    <t>SOMFY</t>
  </si>
  <si>
    <t>RTS</t>
  </si>
  <si>
    <t>INTERFAZ DE CONTACTO SECO PARA INTEGRACION DE CORTINAS SOMFY</t>
  </si>
  <si>
    <t>CUSTOM_F</t>
  </si>
  <si>
    <t>MUEBLE A MEDIDA PARA EQUIPO DE AUDIO Y VIDEO</t>
  </si>
  <si>
    <t>ACC_MO_009</t>
  </si>
  <si>
    <t>MI_1038</t>
  </si>
  <si>
    <t>GROMMET DE CONEXIÓN CON UNA ENTRADA VGA, HDMI, DATOS Y CORRIENTE</t>
  </si>
  <si>
    <t>ZC_BOB</t>
  </si>
  <si>
    <t>HUB DE INTEGRACION DE TECLADOS</t>
  </si>
  <si>
    <t>K_PROG_AMX</t>
  </si>
  <si>
    <t>JORNADA DE VISITA TÉCNICA PARA AJUSTES DE PROGRAMACIÓN DE AMX, BACK UP, AUMENTO DE FIRMWARE O AJUSTES GENERALES.</t>
  </si>
  <si>
    <t>K_PROG_CA</t>
  </si>
  <si>
    <t>PROGRAMACION DE SISTEMA DE CONTROL DE ACCESO, INCLUYE VISITA DE CONFIGURACION Y UNA JORNADA EN SITIO PARA CAPACITACION DEL USO DEL SISTEMA</t>
  </si>
  <si>
    <t>SM01_DONGLE</t>
  </si>
  <si>
    <t>TRANSMISOR POR USB DE SENALES DE VIDEO HD.</t>
  </si>
  <si>
    <t>FOCAL</t>
  </si>
  <si>
    <t>SUB_AIR</t>
  </si>
  <si>
    <t>SUBWOOFER ACTIVO INALAMBRICO DE 150W, MEMBRANA DE 8".</t>
  </si>
  <si>
    <t>SUB_DOME</t>
  </si>
  <si>
    <t>SUBWOOFER DE 100W CON MEMBRANA ACUSTICA DE 8".</t>
  </si>
  <si>
    <t>K_INST_SUB</t>
  </si>
  <si>
    <t>INSTALACION DE SUBWOOFER EN SITIO. INCLUYE CALIBRACION CON SISTEMA DE AUDIO EN CASO DE QUE EL SISTEMA LO PERMITA.</t>
  </si>
  <si>
    <t>MA30</t>
  </si>
  <si>
    <t>AMPLIFICADOR CON SELECTOR DE ENTRADA, THD &lt;0.5%</t>
  </si>
  <si>
    <t>AMPLIFICADOR DE DOS CANALES DE 50W, SALIDA PARA SUBWOOFER Y SALIDA Y ENTRADA OPTICA.</t>
  </si>
  <si>
    <t>SONOS_AMP</t>
  </si>
  <si>
    <t>AMPLIFICADOR DE UNA ZONA CON 125W POR CANAL</t>
  </si>
  <si>
    <t>DH_XVR5432L_I2</t>
  </si>
  <si>
    <t>DVR ANALOGO DE 32 CANALES, CAPACIDAD PARA 4 DISCOS SATA HASTA 10Tb.</t>
  </si>
  <si>
    <t>DHI_NVR4802_8P_4KS2_L</t>
  </si>
  <si>
    <t>NVR CON ALIMENTACION PoE PARA 8 CAMARAS, CAPACIDAD PARA DOS DISCOS DUROS</t>
  </si>
  <si>
    <t>K_MAN_COPEY</t>
  </si>
  <si>
    <t>JORNADA DE MANTENIMIENTO, REVISION DE CONEXIONES SALA COPEY</t>
  </si>
  <si>
    <t>K_MAN_CARACOLI</t>
  </si>
  <si>
    <t>JORNADA DE MANTENIMIENTO, REVISION DE CONEXIONES SALA CARACOLI</t>
  </si>
  <si>
    <t>PS_7166</t>
  </si>
  <si>
    <t>RECEPTOR DE VIDEO HDBASET CON RESOLUCIÓN 4K</t>
  </si>
  <si>
    <t>DS_7216HUHI_K2</t>
  </si>
  <si>
    <t>DVR DE 16 CANALES CON DECODIFICACION H265 HASTA DE 5MP</t>
  </si>
  <si>
    <t>ST6000VX0003</t>
  </si>
  <si>
    <t>DISCO DURO DE 6 TERAS OPTIMIZADO PARA VIDEO VIGILANCIA</t>
  </si>
  <si>
    <t>GIDERWELL</t>
  </si>
  <si>
    <t>GI300</t>
  </si>
  <si>
    <t>CABLE FIBRA OPTICA DE 300 FILAMENTOS, DE 6.5 PIES DE LARGO.</t>
  </si>
  <si>
    <t>https://www.amazon.com/-/es/GIDERWEL-pulgadas-pl%C3%A1stico-cualquier-conductor/dp/B07W1P2C8W/ref=sr_1_20?__mk_es_US=%C3%85M%C3%85%C5%BD%C3%95%C3%91&amp;dchild=1&amp;keywords=fiber+optic+lights+filament&amp;qid=1633482904&amp;sr=8-20</t>
  </si>
  <si>
    <t>HW_NW_KP_S2_E</t>
  </si>
  <si>
    <t>TECLADO LÍNEA ALISSE CON DOS COLUMNAS Y GRABADO PERSONALIZADO</t>
  </si>
  <si>
    <t>HW_QS_B_S1</t>
  </si>
  <si>
    <t>UNIDAD BASE PARA TECLADO ALISSE</t>
  </si>
  <si>
    <t>EBB_1_SQ</t>
  </si>
  <si>
    <t>KIT DE ADAPTACIÓN PARA CAJA GANGBOX 10x10</t>
  </si>
  <si>
    <t>K_INST_REF_TRIM</t>
  </si>
  <si>
    <t>INSTALACION DE REFLECTOR EN SOPORTE TRIMLESS</t>
  </si>
  <si>
    <t>K_INST_ACC_RIEL</t>
  </si>
  <si>
    <t>INSTALACION DE ACCESORIO LUMINICO EN RIEL</t>
  </si>
  <si>
    <t>K_ING_PLANOS_LIGHT</t>
  </si>
  <si>
    <t>ELABORACION DE PLANOS AS BUILT DE ILUMINACION Y SISTEMA DE CONTROL, INCLUYE UBICACIÓN DE DRIVERS.</t>
  </si>
  <si>
    <t xml:space="preserve">NVP5200NA           </t>
  </si>
  <si>
    <t>AMPLIFICADOR DE 3 CANALES EN ESTÉREO CON SALIDAS DE 200 VATIOS PARA CONTROL DESDE DISPOSITIVOS MAC O ANDROID.</t>
  </si>
  <si>
    <t>PRO_10SW_LS</t>
  </si>
  <si>
    <t>SUBWOOFER DE EMPOTRAR CON MEMBRANA DE 10". 200W.</t>
  </si>
  <si>
    <t>ALTAVOCES E ESTACA CON MEMBRANA DE 6.5"</t>
  </si>
  <si>
    <t>ORIGIN</t>
  </si>
  <si>
    <t>OS57</t>
  </si>
  <si>
    <t>ALTAVOCES DE EXTERIORES CON MEMBRANA DE 5.25", AMPLIFICADOR DE HASTA 70W. DIMENSIONES: (182 x 172 x 266mm)</t>
  </si>
  <si>
    <t>NVSUBAMP200NA</t>
  </si>
  <si>
    <t>AMPLIFICADOR DE 200W PARA SUBWOOFER</t>
  </si>
  <si>
    <t>CINEMA_600</t>
  </si>
  <si>
    <t>BARRA DE SONIDO 3.1 DE 600W, CON SUBWOOFER DE 10". BLUETOOTH Y ENTRADA OPTICA.</t>
  </si>
  <si>
    <t>PRO_180RPC</t>
  </si>
  <si>
    <t>ALTAVOCES DE 8", MANEJO DE POTENCIA DE 50W, 8 OHM.  RESPUESTA EN FRECUENCIA: 52Hz - 23kHz +/- 3dB</t>
  </si>
  <si>
    <t>PRO_160RPC</t>
  </si>
  <si>
    <t>ALTAVOCES DE 6.5", MANEJO DE POTENCIA DE 50W, 8 OHM.  RESPUESTA EN FRECUENCIA: 56Hz - 23kHz +/- 3dB</t>
  </si>
  <si>
    <t>_SB_EC5T528JUNV2</t>
  </si>
  <si>
    <t>INSTALACIÓN DE SUMINISTRO DE BALASTO LUTRON EC5, T5 DE 28Wx2.</t>
  </si>
  <si>
    <t>_SB_EC5T554JUNV2</t>
  </si>
  <si>
    <t>INSTALACIÓN DE SUMINISTRO DE BALASTO LUTRON EC5, T5 DE 54Wx2.</t>
  </si>
  <si>
    <t>_SB_EHDT528MU210</t>
  </si>
  <si>
    <t>INSTALACIÓN DE SUMINISTRO DE BALASTO LUTRON EHD, T5 DE 28Wx2.</t>
  </si>
  <si>
    <t>_SB_EHDT554MU110</t>
  </si>
  <si>
    <t>INSTALACIÓN DE SUMINISTRO DE BALASTO LUTRON EHD, T5 DE 54Wx1.</t>
  </si>
  <si>
    <t>_SB_EHDT554MU210</t>
  </si>
  <si>
    <t>INSTALACIÓN DE SUMINISTRO DE BALASTO LUTRON EHD, T5 DE 54Wx2.</t>
  </si>
  <si>
    <t>DH_XVR7216HE_4KL_I</t>
  </si>
  <si>
    <t>CA600P</t>
  </si>
  <si>
    <t>PEDESTAL DE PISO PARA ALTAVOCSE CAMBRRIDE</t>
  </si>
  <si>
    <t>RN602</t>
  </si>
  <si>
    <t>AMPLIFICADOR DE AUDIO DE 100W POR CANAL, SALIDA PARA SUB, ENTRADA OPTICA Y STREAMING DE AUDIO.</t>
  </si>
  <si>
    <t>C5</t>
  </si>
  <si>
    <t>ALTAVOZ DE 5 1/4” woofer + 5 1/4 slave/ 1”, MANEJO DE POTENCIA DE 100W.</t>
  </si>
  <si>
    <t>FYNE</t>
  </si>
  <si>
    <t>F303</t>
  </si>
  <si>
    <t>ALTAVOCES DE MANEJO DE HASTA 150W. 8OHM, ALTA FIDELIDAD. MANEJO ENFERCUENCIA ENTER 32 y  28KHz.</t>
  </si>
  <si>
    <t>F502</t>
  </si>
  <si>
    <t>ALTAVOCES DE MANEJO DE HASTA 180W. 8OHM, ALTA FIDELIDAD. MANEJO ENFERCUENCIA ENTER 30 y  34KHz.</t>
  </si>
  <si>
    <t>EVO150</t>
  </si>
  <si>
    <t>AMPLIFICADOR TODO EN UNO DE 150W, ALTA FIDELIDAD. STREAMING SPOTIFY, TIDAL, OTROS.</t>
  </si>
  <si>
    <t>TL_115_EX</t>
  </si>
  <si>
    <t>TELON MOTORIZADO FORMATO 1:1, ANCHO DE 2.44M</t>
  </si>
  <si>
    <t>INTEGRA</t>
  </si>
  <si>
    <t>DSX_3</t>
  </si>
  <si>
    <t>PROCESADOR DE AUDIO Y VIDEO ULTRA DELGADO, STREAMING DE AUDIO, 80W POR CANAL</t>
  </si>
  <si>
    <t>K_ACTUA_AP</t>
  </si>
  <si>
    <t>ACTUALIZACIÓN DE ACCESS POINT CON FIRMWARE RECIENTE Y REVISIÓN DE CONEXIONES</t>
  </si>
  <si>
    <t>VPL_PHZ50</t>
  </si>
  <si>
    <t>PROYECTOR LASER DE 5.000 LUMENS, TIEMPO ESTIMADO DE LUMINARIA DE 20.000 HORAS. RESOLUCIÓN DE 1920x1200. ENTRADAS HDMI.</t>
  </si>
  <si>
    <t>PROYECTOR 4K DE 4000 LUMENS, CON ENTRADAS HDMI (2), VGA Y PUERTO DE CONTROL RS232</t>
  </si>
  <si>
    <t>NP_PE506UL</t>
  </si>
  <si>
    <t>XI180C125V200BSF1</t>
  </si>
  <si>
    <t>DRIVER ELECTRONICO ATENUABLE DE 0-10. PROGRAMABLE, CAPACIDAD DE 180W.</t>
  </si>
  <si>
    <t>TERMO</t>
  </si>
  <si>
    <t>RELE CON TERMOSTATO PARA MANEJO DE CARGAS HASTA POR UN AMPERIO.</t>
  </si>
  <si>
    <t>_SB_LRF2_OKLB_P</t>
  </si>
  <si>
    <t>INSTALACIÓN DE SUMINISTRO SENSOR DE OCUPACIÓN Y DESOCUPACIÓN INALÁMBRICO PARA MONTAJE EN ESQUINAS, CON COBERTURA DE 90 GRADOS.</t>
  </si>
  <si>
    <t>ALCA</t>
  </si>
  <si>
    <t>P2032</t>
  </si>
  <si>
    <t>PILAS 3V, FORMATO 2032</t>
  </si>
  <si>
    <t>TL_609</t>
  </si>
  <si>
    <t>PANTALLA DE PROYECCION FIJA PARA ESCRITURA Y PROYECCION SIMULTANEA</t>
  </si>
  <si>
    <t>P25452_36</t>
  </si>
  <si>
    <t>LED PANEL SQBCK 36W NW UNV 50H</t>
  </si>
  <si>
    <t>LED PANEL RC 40W NW 100-277V</t>
  </si>
  <si>
    <t>LUT-SEN-9</t>
  </si>
  <si>
    <t>MWFPSIRWHCPN3100</t>
  </si>
  <si>
    <t>SENSOR DE LUZ CABLEADO ECOSYSTEM CON RECEPTOR INFRA ROJO.</t>
  </si>
  <si>
    <t>CROBAT</t>
  </si>
  <si>
    <t>LUMINARIA DE LECTURA DE 3.8W, EN POLICARBONATO Y ACERO, TEMPERATURA 3000K, MULTIVOLTAJE.</t>
  </si>
  <si>
    <t>DR36W</t>
  </si>
  <si>
    <t>FUENTE DE ALIMENTACIÓN 12V A 36 W.</t>
  </si>
  <si>
    <t>SONOFF</t>
  </si>
  <si>
    <t>SNZB_01</t>
  </si>
  <si>
    <t>INTERRUPTOR ZIGBEE PARA CARGAS HASTA 5 AMPERIOS</t>
  </si>
  <si>
    <t>YRD226</t>
  </si>
  <si>
    <t>CERRADURA CON MODULO DE INTEGRACION ZWAVE</t>
  </si>
  <si>
    <t>ORVIBO</t>
  </si>
  <si>
    <t>S2</t>
  </si>
  <si>
    <t>CERRADURA CON INTEGRACION WIFI, ZIGBEE, CLAVE, HUELLA Y TARJETA.</t>
  </si>
  <si>
    <t>UC_CK</t>
  </si>
  <si>
    <t>CONTROLADORA DE ACCESS POINT CON MANEJO REMOTO DE SOPORTE EN LA NUBE</t>
  </si>
  <si>
    <t>U6_LR</t>
  </si>
  <si>
    <t>PUNTO DE ACCESO CON TECNOLOGIA WIFI 6 MIMO, DOBLE BANDA, LARGO ALCANCE.</t>
  </si>
  <si>
    <t>NHD_COVER_CONCRETE_3</t>
  </si>
  <si>
    <t>MASCARA DECORATIVA PARA PUNTO DE ACCESO EN ESTILO CONCRETO, 3 UNIDADES.</t>
  </si>
  <si>
    <t>NGBP_6014</t>
  </si>
  <si>
    <t>GABINETE METALICO DE 20U CON PROFUNDIDA DE 80CM.</t>
  </si>
  <si>
    <t>MIDDLE_ATLANTIC</t>
  </si>
  <si>
    <t>SOPORTE PARA 6 AMPLIFICADORES SONOS</t>
  </si>
  <si>
    <t>LUXE_CASE_MINI_4</t>
  </si>
  <si>
    <t>CASE PARA IPAD MINI EN COLOR NEGRO PLATA O BLANCO</t>
  </si>
  <si>
    <t>LUXE_BASE</t>
  </si>
  <si>
    <t>BASE PARA CARGA Y PEDESTAL DE CASE LUXE</t>
  </si>
  <si>
    <t>EXT_USB2.0_LR</t>
  </si>
  <si>
    <t>EXTENDER DE USB 2.0 POR UTP HASTA 100 METROS</t>
  </si>
  <si>
    <t>TL_1009</t>
  </si>
  <si>
    <t>TELON ELECTRICO TENSIONADO FORMATO 16:9</t>
  </si>
  <si>
    <t>EVA_TEN_B</t>
  </si>
  <si>
    <t>TELON ELECTRICO MOTORIZADO FORMATO 16:9, 120", GANANCIA 1.0.</t>
  </si>
  <si>
    <t>TL_1019_GV</t>
  </si>
  <si>
    <t>TELON TENSIONADO FORMATO 16:10 DE 123"</t>
  </si>
  <si>
    <t>AMPLIFICADOR ESTEREO DE 2 CANALES A 125 VATIOS. SALIDA PARA SUBWOOFER.</t>
  </si>
  <si>
    <t>IK_650_C_II</t>
  </si>
  <si>
    <t>KIT DE FIJACION POR 10 UNIDADES PARA PARLANTES DE TECHO.</t>
  </si>
  <si>
    <t xml:space="preserve">PROCESADOR HOMEWORKS QS LUTRON DE DOS LINK, </t>
  </si>
  <si>
    <t>HQR_3PD_1_SW</t>
  </si>
  <si>
    <t>DIMMER CON CONEXIÓN DE CLAVIJA PARA LUMINARIAS DECORATIVAS, EN COLOR BLANCO.</t>
  </si>
  <si>
    <t>HQWT_B_P4W_WH_E</t>
  </si>
  <si>
    <t>TECLADO PALLADIOM CON MARCACION PERSONALIZADA EN LASER, COLOR BLANCO.</t>
  </si>
  <si>
    <t>LQSE_2DALUNV_D</t>
  </si>
  <si>
    <t>CONTROLADOR DALI DE 2 LAZOS PARA CONTROL DESDE SISTEMA HOMEWORKS QS</t>
  </si>
  <si>
    <t>LRF_ARM</t>
  </si>
  <si>
    <t>BASE DE PARED PARA SENSOR</t>
  </si>
  <si>
    <t>K_MAN_RACK</t>
  </si>
  <si>
    <t>MANTENIMIENTO DE GABINETE O ESPACIO DE EQUIPOS. ORGANIZACIÓN DE CABLES, LIMPIEZA DE EQUIPOS Y REVISIÓN DE FUNCIONAMIENTO. INCLUYE INFORME DE HALLAZGOS O MEJORAS SUGERIDAS.</t>
  </si>
  <si>
    <t>EMT_O</t>
  </si>
  <si>
    <t>CAJA OCTAGONAL RATWELL</t>
  </si>
  <si>
    <t>EMT_R_OTC</t>
  </si>
  <si>
    <t>TAPA CIEGA PARA JACA RATWELL OCTAGONAL</t>
  </si>
  <si>
    <t>BESTA</t>
  </si>
  <si>
    <t>CABESN</t>
  </si>
  <si>
    <t>ROLLO 5 METROS DE CINTA AISLANTE NEGRA</t>
  </si>
  <si>
    <t>SIETEPRO</t>
  </si>
  <si>
    <t>TRNPB</t>
  </si>
  <si>
    <t>TORNILLO PUNTA BROCA</t>
  </si>
  <si>
    <t>TUPPER</t>
  </si>
  <si>
    <t>DT0.5</t>
  </si>
  <si>
    <t>DOBLA TUBO PARA CALIBRE DE MEDIA PULGADA</t>
  </si>
  <si>
    <t>48LUK040</t>
  </si>
  <si>
    <t>LED ECO CLÁSICA MINI 3W, 3000K, MILTIVOLTAJE.</t>
  </si>
  <si>
    <t>EXT_VINTAGE</t>
  </si>
  <si>
    <t>EXTENSIÓN VINTAGE CON CABLE NEGRO, 8 METROS PARA 20 BOMBILLAS.</t>
  </si>
  <si>
    <t>AW_650</t>
  </si>
  <si>
    <t>PARLANTE DE EXTERIOR EN COLOR NEGRO DE 85W, MEMBRANA DE 6.5" Y 8 OHM.</t>
  </si>
  <si>
    <t>05_6420_Z5_Z5</t>
  </si>
  <si>
    <t>LUMINARIA DECORATIVA DE LECTURA, 2.2W, CALIDA, 2700K. MULTIVOLTAJE.</t>
  </si>
  <si>
    <t>Y_WD82PURZ</t>
  </si>
  <si>
    <t>DISCO DURO PARA APLICACIONES DE VIDEO CONFERENCIA CON 8 TERAS DE CAPACIDAD</t>
  </si>
  <si>
    <t>K_ACOM_TEC</t>
  </si>
  <si>
    <t>ACOMPANAMIENTO TECNICO PARA SOPORTE EN EL USO DE EQUIPOS DE AUDIO Y VIDEO, JORNADA DE DOS HORAS</t>
  </si>
  <si>
    <t>K_MAN_AV</t>
  </si>
  <si>
    <t xml:space="preserve">JORNADA DE HASTA 4 HORAS EN MANTENIMIENTO DE AUDIO Y VIDEO. </t>
  </si>
  <si>
    <t>43152_LI</t>
  </si>
  <si>
    <t>HUB PARA USB 3.0 DE 4 PUERTOS</t>
  </si>
  <si>
    <t>P24628_19</t>
  </si>
  <si>
    <t>PANEL LED DE 12W DE INCRUSTAR MULTIVOLTAJE.</t>
  </si>
  <si>
    <t>ASR07</t>
  </si>
  <si>
    <t>SENSOR INFRA ROJO DE PARED.</t>
  </si>
  <si>
    <t>MBX_PRE</t>
  </si>
  <si>
    <t>PREAMPLIFICADOR DE AUDIO PARA STREAMING CON SALIDAS ANALOGAS Y OPTICAS.</t>
  </si>
  <si>
    <t>A2100</t>
  </si>
  <si>
    <t>AMPLIFICADOR DE 2 CANALES, 100W.</t>
  </si>
  <si>
    <t>SDB_4.1</t>
  </si>
  <si>
    <t>CONTROLADOR DE VOLUMEN DE 4 CANALES</t>
  </si>
  <si>
    <t>CI580V2</t>
  </si>
  <si>
    <t xml:space="preserve">AMPLIFICADOR STREAMING DE 3 ZONAS ESTEREO, </t>
  </si>
  <si>
    <t>HJS_0_FM</t>
  </si>
  <si>
    <t xml:space="preserve"> HUB INICIAL DEL ARRANCADOR, ADAPTADOR DE MONTAJE
AL RAS Y FUENTE DE ALIMENTACIÓN</t>
  </si>
  <si>
    <t>COCA30</t>
  </si>
  <si>
    <t>LUMINARIA DECORATIVA EN CONCRETO</t>
  </si>
  <si>
    <t>UDM_PRO</t>
  </si>
  <si>
    <t>DREAM MACHINE PRO 1, MANEJADOR TODO EN UNO DE AP CON SWITCH DE DATOS DE 8 PUERTOS.</t>
  </si>
  <si>
    <t>USW_LITE_16_POE</t>
  </si>
  <si>
    <t>SWITCH DE 16 PUERTOS ADMINISTRABLE, PoE. 10/100/1000.</t>
  </si>
  <si>
    <t>U6_LITE</t>
  </si>
  <si>
    <t>ASR08</t>
  </si>
  <si>
    <t>SENSOR DE PRESENCIA 180° PARA EXTERIORES</t>
  </si>
  <si>
    <t>FOR LIGHT</t>
  </si>
  <si>
    <t>PX_0353_NEG</t>
  </si>
  <si>
    <t>APLIQUE PARA EXTERIOR DE 12W EN POLICARBONATO</t>
  </si>
  <si>
    <t>TX6010011</t>
  </si>
  <si>
    <t>SENSOR DE MONOXIDO DE CARBONO WIRELESS</t>
  </si>
  <si>
    <t>HORUS</t>
  </si>
  <si>
    <t>HSCS220US</t>
  </si>
  <si>
    <t>MODULO DE RELE INALAMBRICO Z-WAVE DE 10 AMPERIOS</t>
  </si>
  <si>
    <t>K_PROG_ALARMA</t>
  </si>
  <si>
    <t>PROGRAMACION DE MODULO DE ALARMA.</t>
  </si>
  <si>
    <t>SCANDISK</t>
  </si>
  <si>
    <t>SD32</t>
  </si>
  <si>
    <t>MEMORIA SD DE 32 GIGAS</t>
  </si>
  <si>
    <t>DAX88</t>
  </si>
  <si>
    <t>MULTIROOM DE AUDIO DE 6 ZONAS, CON SALIDAS A 75W Y DOS SALIDAS DE LINEA. STREAMING DIRECTO DE AUDIO.</t>
  </si>
  <si>
    <t>AWR_650_SM</t>
  </si>
  <si>
    <t>DAX88HUB</t>
  </si>
  <si>
    <t>HUB PARA INTEGRACION DE TECLADOS</t>
  </si>
  <si>
    <t>DAX88KP</t>
  </si>
  <si>
    <t>TECLADO DE CONTROL PARA ZONA CON RECEPTOR IR</t>
  </si>
  <si>
    <t>DAX88IR</t>
  </si>
  <si>
    <t>CONTROL REMOTO IR PARA SISTEMA DAX</t>
  </si>
  <si>
    <t>ILTEC</t>
  </si>
  <si>
    <t>IT020701</t>
  </si>
  <si>
    <t xml:space="preserve">LUMINARIA CONFORT DE 60x60 3502 LUMENS, MULTIVOLTAGE, ON-OFF DE 42W. </t>
  </si>
  <si>
    <t>P24630_33</t>
  </si>
  <si>
    <t>LUINARIA DE 24W DE INCRUSTAR, PANEL LED REDONDO, 1600LM, 4000K.</t>
  </si>
  <si>
    <t>FILM</t>
  </si>
  <si>
    <t>TE21102</t>
  </si>
  <si>
    <t>TELON ELECTRICO ESTÁNDAR EN FORMATO 16:9 DE 100". (2.21mx1.24m)</t>
  </si>
  <si>
    <t>ALTAVOCES DE 8OHM, 80 VATIOS, RESPUESTA EN FERCUENCIA 55-20KHz.</t>
  </si>
  <si>
    <t>TL_1008</t>
  </si>
  <si>
    <t>TELON MOTORIZADO PREMIUM TENSIONADO FORMATO 16:9 DE 105" (2.32.1.37m)</t>
  </si>
  <si>
    <t>ELITE SCREENS</t>
  </si>
  <si>
    <t>EVA_B</t>
  </si>
  <si>
    <t>TELON TENSIONADO DE 116" EN FORMATO 16:9.</t>
  </si>
  <si>
    <t>AUDIOFLOW</t>
  </si>
  <si>
    <t>AF4</t>
  </si>
  <si>
    <t>SELECTOR DE AUDIO COMPATIBLE CON ALEXA.</t>
  </si>
  <si>
    <t>PRO120</t>
  </si>
  <si>
    <t>CINTA LED CALIDA 3000K DE 120 LED POR METRO.</t>
  </si>
  <si>
    <t>UH55F_E</t>
  </si>
  <si>
    <t>MONITOR DE VIDEO WALL PARA USO 24/7 DE 55", 700 NIT, RESOLUCION 1920x1080</t>
  </si>
  <si>
    <t>AUDIFONOS INALAMBRICOS LINEA SPORT EN COLOR PLATA</t>
  </si>
  <si>
    <t>DRAPER</t>
  </si>
  <si>
    <t>FSL_F50</t>
  </si>
  <si>
    <t>SOPORTE MOTORIZADO PARA TV DE HASTA 65"</t>
  </si>
  <si>
    <t>K_REV_PD</t>
  </si>
  <si>
    <t>REVISIÓN DE PUNTO DE DATOS CON TESTER DE RED. NO INCLUYE ACCESORIOS O REPONCHADO EN CASO DE SER REQUERIDO.</t>
  </si>
  <si>
    <t>P37789_36</t>
  </si>
  <si>
    <t>KIT SOLAR STR. URBAN 60W, DE 8460Lm, FUNCIONAMIENTO AL 100% DURANTE 12 HORAS</t>
  </si>
  <si>
    <t>P37782_36</t>
  </si>
  <si>
    <t>KIT SOLAR STR. URBAN 60WDE 8460Lm FUNCIONAMIENTO ESCALONADO DURANTE 12 HORAS.</t>
  </si>
  <si>
    <t>P37786_36</t>
  </si>
  <si>
    <t>KIT SOLAR STR. URBAN 60WDE 8100Lm FUNCIONAMIENTO AL 100% DURANTE 12 HORAS.</t>
  </si>
  <si>
    <t xml:space="preserve">P37581_36 </t>
  </si>
  <si>
    <t>KIT SOLAR STR. URBAN 60WDE 8100Lm FUNCIONAMIENTO ESCALONADO DURANTE 12 HORAS.</t>
  </si>
  <si>
    <t>ECODLV1</t>
  </si>
  <si>
    <t>MINI BALA LED DE 1W, 3000K</t>
  </si>
  <si>
    <t>PJ2_WALL_WH_L01</t>
  </si>
  <si>
    <t>KIT DE TECLADO PICON CON RAISE AND LOWER, ADAPTADOR DE PARED Y TAPA.</t>
  </si>
  <si>
    <t>MRF2S_6ND_120_WH</t>
  </si>
  <si>
    <t>ATENUADOR MAESTRO RF DE LA LINEA VIVE DE LUTRON, 150W CARGAS LED Y 600W OTRAS CARGAS.</t>
  </si>
  <si>
    <t>VIA_CONNECT2</t>
  </si>
  <si>
    <t>SISTEMA DE PRESENTACION INALAMBRICO CON SALIDA HDMI 4K.</t>
  </si>
  <si>
    <t>P710</t>
  </si>
  <si>
    <t>SISTEMA PARA CONEXIÓN DE LLAMADAS Y MICROFONO OMNI DIRECCIONAL CON CONEXIÓN BLUETOOTH</t>
  </si>
  <si>
    <t>K_A_INST_APLIQUE</t>
  </si>
  <si>
    <t>K_A_INST_CINTA</t>
  </si>
  <si>
    <t>METRO LINEAL DE INSTALACIÓN DE CINTA LED EN SUPERFICIE O PERFIL. INCLUYE PUNTOS DE SOLDADURA O INSTALACIÓN DE CONECTORES.</t>
  </si>
  <si>
    <t>K_A_INST_NEON</t>
  </si>
  <si>
    <t>METRO LINEAL DE INSTALACIÓN DE LUMINARIA NEÓN LED EN SUPERFICIE.</t>
  </si>
  <si>
    <t>K_A_INST_DESCOLADA_L</t>
  </si>
  <si>
    <t xml:space="preserve">INSTALACIÓN DE LUMINARIA DESCOLGADA LINEAL POR TRAMO DE HASTA 1.5M. NO INCLUYE OBRAS CIVILES O ADAPTACIONES NECESARIAS A TECHO, NI ACCESORIOS DE INSTALACIÓN QUE NO VENGAN CON LUMINARIA. </t>
  </si>
  <si>
    <t>K_A_INST_DESCOLADA_S</t>
  </si>
  <si>
    <t xml:space="preserve">INSTALACIÓN DE LUMINARIA DESCOLGADA FORMATO PEQUEÑO. NO INCLUYE OBRAS CIVILES O ADAPTACIONES NECESARIAS A TECHO. NI ACCESORIOS DE INSTALACIÓN QUE NO VENGAN CON LUMINARIA. </t>
  </si>
  <si>
    <t>K_A_INST_DOWN</t>
  </si>
  <si>
    <t>K_A_INST_DOWN_TRIM</t>
  </si>
  <si>
    <t>INSTALACIÓN DE BALA TRIMLESS O RECESADA SIN BORDE.</t>
  </si>
  <si>
    <t>K_A_INST_LINEAL</t>
  </si>
  <si>
    <t xml:space="preserve">INSTALACIÓN DE LUMINARIA LINEAL POR TRAMO DE HASTA 1.5M. </t>
  </si>
  <si>
    <t>K_A_INST_PERFIL_INC</t>
  </si>
  <si>
    <t>INSTALACIÓN DE PERFIL CON ANGULO DE INCLINACIÓN EN SUPERFICIE REGULAR.</t>
  </si>
  <si>
    <t>K_A_INST_PERFIL_LIN</t>
  </si>
  <si>
    <t>INSTALACIÓN DE PERFIL LINEAL EN SUPERFICIE REGULAR.</t>
  </si>
  <si>
    <t>K_A_INST_PERFIL</t>
  </si>
  <si>
    <t>INSTALACIÓN DE PERFIL SOBREPUESTO O INCRUSTADO EN SUPERFICIE PREPARADA PARA INSTALACIÓN.</t>
  </si>
  <si>
    <t>K_A_INST_PERFIL_TRIM</t>
  </si>
  <si>
    <t>INSTALACIÓN DE PERFIL TRIMLESS O SIN BORDE EN SUPERFICIE PREPARADA PARA INSTALACIÓN, SEGUIMIENTO Y COORDINACIÓN CON DRYWALL PARA TERMINADO FINAL DE PINTURA A CARGO DE TERCERO.</t>
  </si>
  <si>
    <t>K_A_INST_SPOT_RIEL</t>
  </si>
  <si>
    <t>INSTALACIÓN DE SPOT EN LUMINARIA TIPO RIEL</t>
  </si>
  <si>
    <t>K_A_INST_SPOT</t>
  </si>
  <si>
    <t>INSTALACIÓN DE LUMINARIA TIPO SPOT EN TECHO O PARED.</t>
  </si>
  <si>
    <t>HT813</t>
  </si>
  <si>
    <t>GATEWAY ANALOGICO/DIGITAL PARA UN LINEA TELEFONICA.</t>
  </si>
  <si>
    <t>GERAL</t>
  </si>
  <si>
    <t>PBXC</t>
  </si>
  <si>
    <t>PLANTA TELEFONICA VIRTUAL, TOTALMENTE BASADA EN CLOUD, SERVICIO MENSUAL.</t>
  </si>
  <si>
    <t>TELEFONO IP CON INTERCOM.</t>
  </si>
  <si>
    <t>GROMMET CON APERTURA DE 45°, ENTRADA VGA, HDMI, USB Y DE DATOS.</t>
  </si>
  <si>
    <t>INSTALACION DE GROMET EN MESA, NO INCLUYE PERFORACION DE MOBILIARIO.</t>
  </si>
  <si>
    <t>LPFP_S1_BC</t>
  </si>
  <si>
    <t xml:space="preserve">FACEPLATE DECORATIVO EN FORMATO CUADRADO </t>
  </si>
  <si>
    <t>MRF2S_8S_DV_MN</t>
  </si>
  <si>
    <t>INTERRUPTOR RF DE LA LINEA VIVE PARA CARGAS DE HASTA 8 AMPERIOS</t>
  </si>
  <si>
    <t>SC_1PS_SW</t>
  </si>
  <si>
    <t>INTERRUPTOR DE UNA VIA EN COLOR SATIN BLANCO NIEVE.</t>
  </si>
  <si>
    <t>PJ2_2B_TBL_L01</t>
  </si>
  <si>
    <t>TECLADO PICO DE DOS BOTONES CON ICONO</t>
  </si>
  <si>
    <t>PJ2_3BRL_TBL_A02</t>
  </si>
  <si>
    <t xml:space="preserve">TECLADO PICO DE 3 BOTONES CON RAISE AND LOWER. </t>
  </si>
  <si>
    <t>PJ2_4B_TBL_EL2</t>
  </si>
  <si>
    <t>TECLADO PICO CON MARCACION PERSONALIZADA DE 4 BOTONES.</t>
  </si>
  <si>
    <t>GAB_25</t>
  </si>
  <si>
    <t>GABINETE CON BORNERA Y RIEL DIM PARA ALOJAMIENTO DE HASTA 25 FUENTES TVI</t>
  </si>
  <si>
    <t xml:space="preserve">DRIVER 24DC DE 60W, 2.5A. </t>
  </si>
  <si>
    <t>https://octopart.com/hlg-60h-24-mean+well-20482623?gclid=Cj0KCQiAys2MBhDOARIsAFf1D1eQt-Y4N2H020-PCojPA6eUwkatP86vH8oq4Kv-fkXiJMOuc25x4DUaAhb9EALw_wcB</t>
  </si>
  <si>
    <t>DRIVER 24DC DE 240W, 10A. ATENUABLE 1-10VDC.</t>
  </si>
  <si>
    <t>https://octopart.com/hlg-240h-24ab-mean+well-94061781?gclid=Cj0KCQiAys2MBhDOARIsAFf1D1da_Ug-w_9mXtDpA53oau2GaQl4tcFg4KpWZn0dpHrGXnMBu4Str_IaAo9QEALw_wcB</t>
  </si>
  <si>
    <t>LVP_60_24</t>
  </si>
  <si>
    <t>DRIVER 24VDC 2.5A, 60W.</t>
  </si>
  <si>
    <t>https://www.onlinecomponents.com/en/mean-well/lpf6024-43122729.html?ref=searchads360feed&amp;utm_term=LPF-60-24&amp;gclid=Cj0KCQiAys2MBhDOARIsAFf1D1euAlnwZCPFwykFrbJs7uw8JSV805BF8pphDrI2cU4Ftu76820F6b0aAmaHEALw_wcB&amp;gclsrc=aw.ds</t>
  </si>
  <si>
    <t>LVP_100_24</t>
  </si>
  <si>
    <t>DRIVER 24VDC 4.2A, 100W.</t>
  </si>
  <si>
    <t>https://www.onlinecomponents.com/en/mean-well/lpv10024-42884734.html?ref=searchads360feed&amp;utm_term=LPV-100-24&amp;gclid=Cj0KCQiAys2MBhDOARIsAFf1D1exUUqw1mNiJ4cwR-MLG6kwOgy7k--U32Xcsls5glm1seY_USeqMrIaAl85EALw_wcB&amp;gclsrc=aw.ds</t>
  </si>
  <si>
    <t>LVP_150_24</t>
  </si>
  <si>
    <t>DRIVER 24VDC 6.3A, 100W.</t>
  </si>
  <si>
    <t>https://www.onlinecomponents.com/en/mean-well/lpv15024-47866854.html?ref=searchads360feed&amp;utm_term=LPV-150-24&amp;gclid=Cj0KCQiAys2MBhDOARIsAFf1D1dsp_ZlWa9gcuzrBj3syWY21miTgFR1q9XWitKPQtB-C1mHArCUj8saAsR6EALw_wcB&amp;gclsrc=aw.ds</t>
  </si>
  <si>
    <t>DRIVER 12VDC-24VDC 4.0A, 96W.</t>
  </si>
  <si>
    <t>https://www.onlinecomponents.com/en/mean-well/hlg100h24-43122993.html?ref=searchads360feed&amp;utm_term=HLG-100H-24&amp;gclid=Cj0KCQiAys2MBhDOARIsAFf1D1fC_RwxOqv_Sp_FABdduaXSO26s-OyCiZQXXaoLEVnmUrt-4kOSsHYaAva_EALw_wcB&amp;gclsrc=aw.ds</t>
  </si>
  <si>
    <t>DRIVER LUTRON</t>
  </si>
  <si>
    <t>DRIVER 12VDC-24VDC 6.3A, 96W.</t>
  </si>
  <si>
    <t>K_INST_4S</t>
  </si>
  <si>
    <t>INSTALACIÓN DE MODULO DE CONMUTACIÓN</t>
  </si>
  <si>
    <t>K_INST_TVI</t>
  </si>
  <si>
    <t>INSTALACIÓN DE MODULO DE ATENUACION 0-10V ECOSYSTEM/DALI</t>
  </si>
  <si>
    <t>K_PROG_TVI</t>
  </si>
  <si>
    <t>PROGRACION DE MÓDULO TVI</t>
  </si>
  <si>
    <t>K_PROG_QSM</t>
  </si>
  <si>
    <t>PROGRAMACIÓN DE MODULO QSM</t>
  </si>
  <si>
    <t>K_GES_PROY</t>
  </si>
  <si>
    <t>COORDINACIÓN Y GESTION DE PROYECTO. INCLUYE VISITA TÉCNICA DURANTE EL TIEMPO DE EJECUCIÓN DE OBRA SEGÚN CRONOGRAMAS DE HASTA UN AÑO. ASISTENCIA A COMITÉS, RESOLUCIÓN DE DUDAS Y ELABORACIÓN DE INFORMES PARA LA CORRECTA IMPLEMENTACIÓN DEL SISTEMA</t>
  </si>
  <si>
    <t>HQP7_1</t>
  </si>
  <si>
    <t xml:space="preserve">PROCESADOR HOMEWORKS QS LUTRON DE UN LINK, </t>
  </si>
  <si>
    <t>CI_580_V2</t>
  </si>
  <si>
    <t>PREAMPLIFICADOR CON 4 ZONAS DE STREAMING. CONEXIÓN ETHERNET Y ENTRADA USB.</t>
  </si>
  <si>
    <t>MONITOR</t>
  </si>
  <si>
    <t>CS140</t>
  </si>
  <si>
    <t>ALTAVOZ COMPACTO DE 4" MANEJO DE POTENCIA DE 50W. RESPUESTA EN FRECUENCIA DE 75 Hz – 30 kHz.</t>
  </si>
  <si>
    <t>CS160</t>
  </si>
  <si>
    <t>ALTAVOZ COMPACTO DE 6" MANEJO DE POTENCIA DE 70W. RESPUESTA EN FRECUENCIA DE 60 Hz – 30 kHz.</t>
  </si>
  <si>
    <t>CS180</t>
  </si>
  <si>
    <t>ALTAVOZ COMPACTO DE 8" MANEJO DE POTENCIA DE 120W. RESPUESTA EN FRECUENCIA DE 48 Hz – 30 kHz.</t>
  </si>
  <si>
    <t>IWS_10</t>
  </si>
  <si>
    <t>SUBWOOFER PASIVO DE INSTALACION EN TECHO O PARED DE 10", 150W.</t>
  </si>
  <si>
    <t>FUENTE DE PODER PARA PROCESADOR QS.</t>
  </si>
  <si>
    <t>QSPS_DH_1_75_H</t>
  </si>
  <si>
    <t>COR38</t>
  </si>
  <si>
    <t>METRO DE CORAZA AMERICANA DE 3/8"</t>
  </si>
  <si>
    <t>RSB_3</t>
  </si>
  <si>
    <t>BARRA DE SONIDO DE 56W, CON CONECTIVIDAD BLUETOOTH Y OPTICA. RESPUESTA FERCUENCIA 55Hz - 18kHz.</t>
  </si>
  <si>
    <t>RSB_8</t>
  </si>
  <si>
    <t>BARRA DE SONIDO DE 100W, CON CONECTIVIDAD BLUETOOTH, WIFI, HDMI Y OPTICA. RESPUESTA EN FERCUENCIA DE 30Hz ~ 15kHz.</t>
  </si>
  <si>
    <t>TL_300BMF</t>
  </si>
  <si>
    <t>K_INST_OLD_NUVO</t>
  </si>
  <si>
    <t>INSTALACION DE EQUIPOS EN LA INFRA ESTRUCTURA ELECTRICA DE LA CASA POR DUCTERIAS EXISTENTES.</t>
  </si>
  <si>
    <t>TL_223_EX</t>
  </si>
  <si>
    <t>TELON MANUAL DE 100" FORMATO 4:3, DE 2Mx1.5M.</t>
  </si>
  <si>
    <t>SLM_3400_C</t>
  </si>
  <si>
    <t>ALTAVOZ ULTRA COMPACTO DE 50W, 8OHM, MEMBRANA DUAL</t>
  </si>
  <si>
    <t>IC_605</t>
  </si>
  <si>
    <t>PARLANTE DE EMPOTRAR DE 80W, 8OHM, 23cm DE DIAMETRO.</t>
  </si>
  <si>
    <t>XVR_16CH</t>
  </si>
  <si>
    <t>NVR DE 16 CANALES ANALOGO.</t>
  </si>
  <si>
    <t>AC90</t>
  </si>
  <si>
    <t>DIMMER DE FASE CONTROLADO MEDIANTE PROTOCOLO DALI</t>
  </si>
  <si>
    <t>https://www.alibaba.com/product-detail/200W-DALI-incandescent-triac-dimmer-LED_60627287487.html?spm=a2700.7724857.normal_offer.d_image.32b230c4bFyGhT</t>
  </si>
  <si>
    <t>AVE_TIM</t>
  </si>
  <si>
    <t>TIMBRE TIPO PULSADOR</t>
  </si>
  <si>
    <t>LUMODERN</t>
  </si>
  <si>
    <t>KIT_GUA_LUX2</t>
  </si>
  <si>
    <t>KIT DE GUAYA DE DOS METROS CON SOCKET G4, EN TEMINACION TRANSPARENTE SILICONADA</t>
  </si>
  <si>
    <t>PVC_CUR1</t>
  </si>
  <si>
    <t>CURVA PARA TUBO PVC DE 1 PULGADA</t>
  </si>
  <si>
    <t>SWITCH DE DATOS GIGA DE 8 PUERTOS, CON CASE METALICO.</t>
  </si>
  <si>
    <t>BULB_G4</t>
  </si>
  <si>
    <t>AMPOLLETA HALPGENA EN FORMATO G4</t>
  </si>
  <si>
    <t>C1</t>
  </si>
  <si>
    <t>CERRADURA ELECTRONICA CON DETECCION DE HUELLA, RFID, CONTRASEÑA Y LLAVE. INTEGRACION POR WIFI.</t>
  </si>
  <si>
    <t>ILUMEK</t>
  </si>
  <si>
    <t>VINE27</t>
  </si>
  <si>
    <t>BOMBILLA LED LUZ CALIDA TIPO VINTAGE 7W.</t>
  </si>
  <si>
    <t>B2X50E</t>
  </si>
  <si>
    <t>BREAKER ENCHUFABLE DE 2 X 50 AMPERIOS.</t>
  </si>
  <si>
    <t>AWG8</t>
  </si>
  <si>
    <t>METRO DE CABLE AWG 8</t>
  </si>
  <si>
    <t>TER_CORA_0.5</t>
  </si>
  <si>
    <t>TERMINAL DE CORAZA DE MEDIA PULGADA PARA CORAZA AMERICANA</t>
  </si>
  <si>
    <t>CA12X12X5</t>
  </si>
  <si>
    <t>CAJA ELECTRICA DE PASO 12X12X5cm</t>
  </si>
  <si>
    <t>K_INST_TUB</t>
  </si>
  <si>
    <t>INSTALACION DE METRO LINEAL DE TUBERIA</t>
  </si>
  <si>
    <t>HQWA_KP5_DN_BL</t>
  </si>
  <si>
    <t>TECLADO SLIM DE BOTONERA NEGRA DE 7 BOTONES.</t>
  </si>
  <si>
    <t>AR_M4_DN_BLA</t>
  </si>
  <si>
    <t>KIT DE BOTONES PARA BOTONERA SLIM</t>
  </si>
  <si>
    <t>GM1BHAB</t>
  </si>
  <si>
    <t>PARLANTES DE EXTERIOR DE 8 OHM, POTENCIA DE 50W</t>
  </si>
  <si>
    <t>CAJON O MARCO MDF A MEDIDA</t>
  </si>
  <si>
    <t>RCD101BK</t>
  </si>
  <si>
    <t>INTERRUPTOR DOBLE DE COLOR NEGRO PARA CARGAS DE HASTA 15 AMPERIOS.</t>
  </si>
  <si>
    <t>NSJ6BK</t>
  </si>
  <si>
    <t>JACK CATEGORIA 6 EN COLOR NEGRO.</t>
  </si>
  <si>
    <t>NS620BK</t>
  </si>
  <si>
    <t>TAPA CIEGA EN COLOR NEGRO DE UN GANG</t>
  </si>
  <si>
    <t>NS611BK</t>
  </si>
  <si>
    <t>FACEPLATE PARA JACK SENCILLO EN COLOR NEGRO</t>
  </si>
  <si>
    <t>NS613BK</t>
  </si>
  <si>
    <t>FACEPLATE PARA JACK TRIPLE EN COLOR NEGRO</t>
  </si>
  <si>
    <t>RRD15SBKTR</t>
  </si>
  <si>
    <t>TOMACORRIENTE EN COLOR NEGRO CON CAPACIDAD DE 15 AMPERIOS.</t>
  </si>
  <si>
    <t>USB15AC5BK</t>
  </si>
  <si>
    <t>TOMACORRIENTE EN COLOR NEGRO CON CAPACIDAD DE 15 AMPERIOS. Y CARGADOR USB TIPO C DE 5 AMPERIOS.</t>
  </si>
  <si>
    <t>GFTRST15BKNL</t>
  </si>
  <si>
    <t>TOMACORRIENTE EN COLOR NEGRO CON PROTECCIÓN GFCI, LED DE INDICACION NOCTURNA Y CAPACIDAD DE 15 AMPERIOS.</t>
  </si>
  <si>
    <t>ST_RD_BL</t>
  </si>
  <si>
    <t>ATENUADOR TOUCH ACCESORIO CONMUTABLE PARA CARGAS LED HASTA 150W. EN COLOR NEGRO.</t>
  </si>
  <si>
    <t>ST_PRO_N_BL</t>
  </si>
  <si>
    <t>ATENUADOR TOUCH PARA CARGAS LED HASTA 150W. EN COLOR NEGRO.</t>
  </si>
  <si>
    <t>STCL_153M_BL</t>
  </si>
  <si>
    <t>ATENUADOR PARA CARGAS LED Y FLUORESCENTE COMPACTA HASTA 150 VATIOS.</t>
  </si>
  <si>
    <t>PRODJ</t>
  </si>
  <si>
    <t>UHV_712M</t>
  </si>
  <si>
    <t xml:space="preserve">MICROFONO INALAMBRICO DUAL DE MANO, UHF CON FERCUENCIA VARIABLE. </t>
  </si>
  <si>
    <t>SC_1PS_MN</t>
  </si>
  <si>
    <t>INTERRUPTOR SENCILLO COLOR NEGRO MATE</t>
  </si>
  <si>
    <t>MA_PRO_MN</t>
  </si>
  <si>
    <t>REGULADOR DE INTENSIDAD DE FASE SELECCIONABLE PARA CARGAS TIPO LED, ELECTRONICAS DE BAJO VOLTAJE E INCANDESCENTES HASTA 250W. COLOR NEGRO MATE.</t>
  </si>
  <si>
    <t>MSC_AD_MN</t>
  </si>
  <si>
    <t>ATENUADOR AVANZADO LINEA SUNATA PARA CARGAS LED. COLOR NEGRO MATE.</t>
  </si>
  <si>
    <t>MRF2S_6CL_MN</t>
  </si>
  <si>
    <t>DIMMER MAESTRO WIRELESS PARA CARGAS FLUORESCENTES COMPACTAS Y LED. COLOR NEGRO MATE.</t>
  </si>
  <si>
    <t>PJ2_3BRLTMN_L01</t>
  </si>
  <si>
    <t>INTERRUPTOR PICO CON MARCACION DE ILUMINACIÓN EN COLOR NEGRO MATE.</t>
  </si>
  <si>
    <t>SC_2_MN</t>
  </si>
  <si>
    <t>TAPA DECORATIVA DOBLE EN COLOR NEGRO MATE.</t>
  </si>
  <si>
    <t>SCRS_15_TR_MN</t>
  </si>
  <si>
    <t>TOMACORRIENTE CON RESISTENCIA TAMPER EN COLOR NEGRO MATE.</t>
  </si>
  <si>
    <t>SC_6P_MN</t>
  </si>
  <si>
    <t>TAPA CIEGA CON APERTURA PARA 6 JACKS.</t>
  </si>
  <si>
    <t>K_MANT_SHADE</t>
  </si>
  <si>
    <t>MANTENIMIENTO DE CORTINA.</t>
  </si>
  <si>
    <t>K_P_SPK</t>
  </si>
  <si>
    <t>MANO DE OBRA PARA PINTURA DE GRID DE PARLANTE CON AEROSOL EN COLOR BLANCO, NEGRO O CAFÉ.</t>
  </si>
  <si>
    <t>SICOLUZ</t>
  </si>
  <si>
    <t>EUROCOM_1_N</t>
  </si>
  <si>
    <t>LUMINARIA ESCUALIZABLE PARA BOMBILLA AR111, COLOR NEGRO</t>
  </si>
  <si>
    <t>EUROCOM_2_N</t>
  </si>
  <si>
    <t>LUMINARIA ESCUALIZABLE PARA DOS BOMBILLAS AR111, COLOR NEGRO</t>
  </si>
  <si>
    <t>15DAR111LED30V12</t>
  </si>
  <si>
    <t>LUMINARIA AR111 CALIDA ATENUABLE A 15W.</t>
  </si>
  <si>
    <t>DIMMER PARA CARGAS LED LINEA SUNNATA EN COLOR NEGRO.</t>
  </si>
  <si>
    <t>CARS_15_TR_BL</t>
  </si>
  <si>
    <t>TOMA CORRIENTE DE 15 AMPERIOS CON RESISTENCIA TAMPER. COLOR NEGRO.</t>
  </si>
  <si>
    <t>CX_30</t>
  </si>
  <si>
    <t>SISTEMA DE PRESENTACION INALAMBRICA CON CONECTIVIDAD PARA VIDEO CONFERENCIA</t>
  </si>
  <si>
    <t>MODENA</t>
  </si>
  <si>
    <t>HUB+</t>
  </si>
  <si>
    <t>SISTEMA DE PRESENTACION INALAMBRICO COMPATIBLE CON SISTEMAS DEVIO.</t>
  </si>
  <si>
    <t>WT01</t>
  </si>
  <si>
    <t>TRANSMISOR DOODLE DE MAXHUB PARA SISTEMAS WIRELESS
HDMI POR USB GARANTIA: 1 AÑO MARCA: MAXHUB</t>
  </si>
  <si>
    <t>ICOD</t>
  </si>
  <si>
    <t>INTERRUPTOR SENCILLO LINEA GALICA</t>
  </si>
  <si>
    <t>TTV_4</t>
  </si>
  <si>
    <t>TOMA CORRIENTE BLANCO LINEA GALICA</t>
  </si>
  <si>
    <t>BAFX</t>
  </si>
  <si>
    <t>TX55</t>
  </si>
  <si>
    <t>KIT REPETIDOR DE 3 INFRA ROJOS</t>
  </si>
  <si>
    <t>https://www.amazon.com/BAFX-Products%C2%AE-repetidor-Extensor-Est%C3%A1ndar/dp/B009ZGK6QS/ref=sr_1_2_sspa?__mk_es_US=%C3%85M%C3%85%C5%BD%C3%95%C3%91&amp;keywords=infrared%2Btransmitter&amp;qid=1639444809&amp;sr=8-2-spons&amp;spLa=ZW5jcnlwdGVkUXVhbGlmaWVyPUEyWFlGVjMxUzUzT1dUJmVuY3J5cHRlZElkPUEwNjY4NDE4MllTN0VNWlZYWEhUQyZlbmNyeXB0ZWRBZElkPUEwNTgzMTUzMk1FMEU5SDVHMVZYTSZ3aWRnZXROYW1lPXNwX2F0ZiZhY3Rpb249Y2xpY2tSZWRpcmVjdCZkb05vdExvZ0NsaWNrPXRydWU&amp;th=1</t>
  </si>
  <si>
    <t>L3DA4U1UMN_ZA070</t>
  </si>
  <si>
    <t>DRIVER ECOSYSTEM MULTIVOLTAJE ATENUACION 1%</t>
  </si>
  <si>
    <t>LDE13U1UMN_BA090</t>
  </si>
  <si>
    <t>LDE13U1UMN_TA050</t>
  </si>
  <si>
    <t>LDE13U1UMN_TA080</t>
  </si>
  <si>
    <t>LDE14U1UKN_CA090</t>
  </si>
  <si>
    <t>LDE15U1UMN_UA090</t>
  </si>
  <si>
    <t>LTEA4U1UMN_YA020</t>
  </si>
  <si>
    <t>LTEA4U1UMN_YA040</t>
  </si>
  <si>
    <t>LTEA4U1UMN_ZA080</t>
  </si>
  <si>
    <t>PEQ01UVN_2A035</t>
  </si>
  <si>
    <t>DRIVER ECOSYSTEM MULTIVOLTAJE ATENUACION 0.1%</t>
  </si>
  <si>
    <t>PEQ01UVN_2A090</t>
  </si>
  <si>
    <t>SKYDANCE</t>
  </si>
  <si>
    <t>DA4</t>
  </si>
  <si>
    <t>DIMMER MULTIVOLTAJE CON COMUNICACIÓN DALI</t>
  </si>
  <si>
    <t>DRIVER DE 24 VOLTIOS A 4.4 AMPERIOS</t>
  </si>
  <si>
    <t>DRIVER DE 24 VOLTIOS 15W</t>
  </si>
  <si>
    <t>DRIVER DE 24 VOLTIOS 25W</t>
  </si>
  <si>
    <t>DRIVER DE 24 VOLTIOS A 8.8 AMPERIOS</t>
  </si>
  <si>
    <t>YSN_367L_N</t>
  </si>
  <si>
    <t>SPOT DIRECCIONAL PARA GU10 EN COLOR NEGRO.</t>
  </si>
  <si>
    <t>SC_POWER</t>
  </si>
  <si>
    <t>KV_24030_DP2_2C_P</t>
  </si>
  <si>
    <t>FUENTE 24V 1.25 AMPERIOS</t>
  </si>
  <si>
    <t>KV_24060_DP2_2C_P</t>
  </si>
  <si>
    <t>FUENTE 24V 1.5 AMPERIOS</t>
  </si>
  <si>
    <t>KV_24100_DP2_2C_A</t>
  </si>
  <si>
    <t>FUENTE 48V 1.25 AMPERIOS</t>
  </si>
  <si>
    <t>KV_24150_DP2_2C_A</t>
  </si>
  <si>
    <t>FUENTE 12V 6.25AMPERIOS</t>
  </si>
  <si>
    <t>KVG_24100_DWS</t>
  </si>
  <si>
    <t>FUENTE 24V 4.17 AMPERIOS, ATENUABLE POR FASE.</t>
  </si>
  <si>
    <t>KVG_24150_DWS</t>
  </si>
  <si>
    <t>FUENTE 24V 6.25 AMPERIOS, ATENUABLE POR FASE.</t>
  </si>
  <si>
    <t>LPFP_S1_TAW</t>
  </si>
  <si>
    <t>FACEPLATE DECORATIVO CUADRADO EN COLOR BLANCO DE UNA VENTANA</t>
  </si>
  <si>
    <t>LPFP_S2_TAW</t>
  </si>
  <si>
    <t>FACEPLATE DECORATIVO CUADRADO EN COLOR BLANCO CON DOS VENTANAS.</t>
  </si>
  <si>
    <t>USW_LITE_8_POE</t>
  </si>
  <si>
    <t>SWITCH PoE DE 8 PUERTOS 10/100/1000</t>
  </si>
  <si>
    <t>POE_48_24W_G</t>
  </si>
  <si>
    <t>INYECTOR PoE DE 48V Y 24W.</t>
  </si>
  <si>
    <t>US_16_XG</t>
  </si>
  <si>
    <t>SWITCH GIGA ETHERNET CAPA 3. DE 16 PUERTOS.</t>
  </si>
  <si>
    <t>P27913_41</t>
  </si>
  <si>
    <t>PANEL MULTIVOLTAJE CUADRADO 60X60Cm, 6000K, 40W.</t>
  </si>
  <si>
    <t>PANEL MULTIVOLTAJE 30x120Cm, 6000K, 40W. 50.000 HORAS.</t>
  </si>
  <si>
    <t>P24339_33</t>
  </si>
  <si>
    <t>PANEL REDONDO DE INCRUSTAR DE 24W, 6000K.</t>
  </si>
  <si>
    <t>M60X60</t>
  </si>
  <si>
    <t>MARCO PARA PANEL LED DE 60X60.</t>
  </si>
  <si>
    <t>GT_HDMI</t>
  </si>
  <si>
    <t>MODULO HDMI MARCA G-TRADE</t>
  </si>
  <si>
    <t>K_ADEC</t>
  </si>
  <si>
    <t>ADECUACIÓN  DE ESTRUCTURA  EXISTENTE PARA PASO DE RED DE MEDIA TENSIÓN</t>
  </si>
  <si>
    <t>ACSR3X2</t>
  </si>
  <si>
    <t>SUMINISTRO  Y TENDIDO DE RED  DE MT EN CALIBRE 3X2 ACSR
DESDE PUNTO DE CONEXIÓN HASTA TRANSFORMADOR  EN POSTE</t>
  </si>
  <si>
    <t>P_KIT</t>
  </si>
  <si>
    <t>SUMINISTRO  E INSTALACIÓN  DE ESTRUCTURA  PARA  MONTAJE  DE TRANSFORMADOR   EN  POSTE,  INCLUYE  CRUCETAS   DE  MADERA,HERRAJERÍA         DESCARGADORES          DE        SOBRETENSIÓN, CORTACIRCUITOS,   FUSIBLES,  SISTEMA  DE  PUESTA  A  TIERRA  Y POSTE 1050 KG</t>
  </si>
  <si>
    <t>TR30KVA</t>
  </si>
  <si>
    <t>SUMINISTRO  E INSTALACIÓN  DE TRANSFORMADOR  EN ACEITE 30 KVA RELACIÓN 11,4KV / 220 V INCLUYE DPS</t>
  </si>
  <si>
    <t>BAWG0</t>
  </si>
  <si>
    <t>SUMINISTRO  E INSTALACIÓN  DE CABLE DE BAJA TENSIÓN EN AL CALIBRE 3X1/0+1/0 AWG INCLUYE BORNAS TERMINALES</t>
  </si>
  <si>
    <t>GRN_BT</t>
  </si>
  <si>
    <t>SUMINISTRO E INSTALACIÓN DE PUESTA A TIERRA EN BT INCLUYE CAJA DE INSPECCIÓN Y SOLDADURA EXOTÉRMICA</t>
  </si>
  <si>
    <t>COF_3</t>
  </si>
  <si>
    <t>SUMINISTRO    E   INSTALACIÓN    DE   COFRE    INDUSTRIAL    PARA MEDIDOR TRIFÁSICO</t>
  </si>
  <si>
    <t>DRA3X100</t>
  </si>
  <si>
    <t>SUMINISTRO  E INSTALACIÓN  DE PROTECCION  INDUSTRIAL  3X100 A</t>
  </si>
  <si>
    <t>K_TRA</t>
  </si>
  <si>
    <t>TRAMITES DE FACTIBILIDAD,  RECIBO DE OBRA Y LEGALIZACIÓN  DE CUENTA</t>
  </si>
  <si>
    <t>ROKU</t>
  </si>
  <si>
    <t>ROKU4K</t>
  </si>
  <si>
    <t>STREAMING DE VIDEO EN FORMATO 4K, PARA DIVERSAS PLATAFORMAS.</t>
  </si>
  <si>
    <t>UDM</t>
  </si>
  <si>
    <t>CONTROLADOR DREAM MACHINE, CON 4 PUERTOS ETHERNET GICA Y CONTROLADORA DE AP.</t>
  </si>
  <si>
    <t>TELON ELECTRICO 100" FORMATO 16:9 DE BORDE NEGRO</t>
  </si>
  <si>
    <t>YRD226ZB</t>
  </si>
  <si>
    <t>CERRADURA YALE PANTALLA TACTIL PARA PUERTAS DE 44-57MM COMPATIBLE CON MODULO ZWAVE INCLUIDO</t>
  </si>
  <si>
    <t>L939_001498</t>
  </si>
  <si>
    <t>SOPORTE DE TV PARA PARTE INFERIOR DE TV</t>
  </si>
  <si>
    <t>OLEV</t>
  </si>
  <si>
    <t>OTTOMANO_4030M_BR</t>
  </si>
  <si>
    <t>BARRA ILUMINADA MARRON DE 6.5M</t>
  </si>
  <si>
    <t>E</t>
  </si>
  <si>
    <t>OTTOMANO_4030_T_BR</t>
  </si>
  <si>
    <t>TAPAS DECORATIVAS DE FINALIZACION</t>
  </si>
  <si>
    <t>OTTOMANO_4030G_BR</t>
  </si>
  <si>
    <t>JUNTAS LINEALES</t>
  </si>
  <si>
    <t>F03.8605.40A</t>
  </si>
  <si>
    <t>MODULO ILUMINACION LED DE BAJO DESLUMBRAMIENTO. LED - Power LED - 2.7WW - 198lm - 3000K - CRI&gt; 90 - Beam° 33</t>
  </si>
  <si>
    <t>F03.9215.40A19</t>
  </si>
  <si>
    <t>MODULO ILUMINACION LED DE BAJO DESLUMBRAMIENTO SIN BORDE. LED - Power LED - 5.4W - 468lm - 3000K - CRI&gt; 90 - Beam° 33</t>
  </si>
  <si>
    <t>F03.9235.40A19</t>
  </si>
  <si>
    <t>MODULO ILUMINACION LED DE BAJO DESLUMBRAMIENTO SIN BORDE. LED - Power LED - 10.8W - 790lm - 3000K - CRI&gt; 90 - Beam° 33</t>
  </si>
  <si>
    <t>F03.9957.40</t>
  </si>
  <si>
    <t>MODULO ILUMINACION LED DE BAJO DESLUMBRAMIENTO. LED - LED array - 15WW - 1216lm - 3000K - CRI&gt; 90 - Beam° 51</t>
  </si>
  <si>
    <t>F05.7305.B1</t>
  </si>
  <si>
    <t>LUMINARIA LED RECESADA CHIP ON BOARD. LED - LED array - 7,3WW - 583lm - 3000K - CRI&gt; 90 - Beam° 15</t>
  </si>
  <si>
    <t>F05.7421.B1</t>
  </si>
  <si>
    <t>LUMINARIA LED RECESADA TIPO WALL WASHER, CHIP ON BOARD CON LENTE ELIPTICO. LED - LED array - 13WW - 884lm - 2700K - CRI&gt; 90 - Beam° 28</t>
  </si>
  <si>
    <t>F08.0192.00</t>
  </si>
  <si>
    <t>MARCO SUPLEMENTO PARA INSTALACION RECESADA</t>
  </si>
  <si>
    <t>F08.0510.00</t>
  </si>
  <si>
    <t>MARCO SUPLEMENTO PARA INSTALACION RECESADA FORMATO 2L.</t>
  </si>
  <si>
    <t>F08.0511.00</t>
  </si>
  <si>
    <t>MARCO SUPLEMENTO PARA INSTALACION RECESADA FORMATO 4L</t>
  </si>
  <si>
    <t>F08.9102.00</t>
  </si>
  <si>
    <t>F08.9114.00</t>
  </si>
  <si>
    <t>F09.3200.30A</t>
  </si>
  <si>
    <t>LUMINARIA DE PARED PARA SEÑALIZACION INTERIOR. LED - Top LED - 1.2WW - 4lm - 3000K - CRI&gt; 90 - Beam° 74</t>
  </si>
  <si>
    <t>F09.3201.ANA</t>
  </si>
  <si>
    <t>LUMINARIA DE PARED PARA SEÑALIZACION INTERIOR. LED - Top LED - 1.2WW - 2lm - 3000K - Beam° 72</t>
  </si>
  <si>
    <t>F09.3755.14A</t>
  </si>
  <si>
    <t>LUMINARIA SPOT RECESADA AJUSTABLE PARA INTERIOR. LED - Power LED - 6WW - 350lm - 3000K - CRI&gt; 90 - Beam° 18</t>
  </si>
  <si>
    <t>F09.3755.30A</t>
  </si>
  <si>
    <t>MCI</t>
  </si>
  <si>
    <t>7120225_70_3K</t>
  </si>
  <si>
    <t>LUMINARIA EXTERIOR EN PISO 3000K. 12V, 350mA.</t>
  </si>
  <si>
    <t>LUXYCON</t>
  </si>
  <si>
    <t>L64713</t>
  </si>
  <si>
    <t>ACCESORIO EASY EKO VOLUMETRICA
PARA RIEL MAGNETICO LON 1,14MT
3000K</t>
  </si>
  <si>
    <t>L69936</t>
  </si>
  <si>
    <t>NEVADA ALTO CONTRASTE 15 CM PARA
PERFIL RIEL MAGNETICO 3000K CHASIS
NEGRO</t>
  </si>
  <si>
    <t>L64697+L64706</t>
  </si>
  <si>
    <t>PERFIL RIEL MAGNETICO DE
INCRUSTAR TRIMLESS FIGURA "L"</t>
  </si>
  <si>
    <t>L64698</t>
  </si>
  <si>
    <t>PERFIL RIEL MAGNETICO 2,2MT PARA
INCRUSTAR TRIMLESS CHASIS NEGRO</t>
  </si>
  <si>
    <t>L69910</t>
  </si>
  <si>
    <t>SPOT COX PARA PERFIL RIEL
MAGNETICO 15W</t>
  </si>
  <si>
    <t>COOPER</t>
  </si>
  <si>
    <t>LCR2089FS1EMW</t>
  </si>
  <si>
    <t>LUMINARIA 2", CHIP ON BOARD 800 LUMENS, 5000K, MULTIVOLTAJE.</t>
  </si>
  <si>
    <t>LEDYI</t>
  </si>
  <si>
    <t>FW-AP+FW-AM+FW-MC+FW-SC</t>
  </si>
  <si>
    <t>Aluminum Profile 1m/pcs,
Aluminum Profile(23*7.4*1000mm)
- rotating mounting clip rotating
mounting clip - mounting clip
stainless steel mounting clip: 1bag
= 1 pcs bracket size:
20*15*10.5mm(L*W*H)+ 1 pcs
screw - Silicone clip Silicone clip:
Silicone</t>
  </si>
  <si>
    <t>LY480-COBW27-W24-8MM-5W-IP65H-CRI95</t>
  </si>
  <si>
    <t>COB strips, 480chip/m, DC24V,
8mm white PCB, 5w/m, 2700K,
IP65H, CRI&gt;95, IP65H - per
metrer</t>
  </si>
  <si>
    <t>LY48-FW2835W27-24-IP67-CRI95-45°</t>
  </si>
  <si>
    <t>Flexiable LED Wall Washer
2700K, IP67, CRI95, 45°</t>
  </si>
  <si>
    <t>S0612-CAPB-IP67</t>
  </si>
  <si>
    <t>IP67 Silicone end cap with hole
that cable can be out from the
bottom</t>
  </si>
  <si>
    <t>S0612-CAP-IP67</t>
  </si>
  <si>
    <t>IP67 Silicone end cap without hole</t>
  </si>
  <si>
    <t>NS-S0612-W27-10-CV</t>
  </si>
  <si>
    <t>IP67 Silicone Neon Strip - Side
view 0612</t>
  </si>
  <si>
    <t>S0612-MP</t>
  </si>
  <si>
    <t>Mounting profile</t>
  </si>
  <si>
    <t>LS-1407K</t>
  </si>
  <si>
    <t>Perfil LED de sobreponer de
aluminio difusor opal</t>
  </si>
  <si>
    <t>LY420-S1808W27-W24-10MM</t>
  </si>
  <si>
    <t>SMD1808, 420LED/M, 20W/m,
10mm PCB, DC24V, IP20, 2700K</t>
  </si>
  <si>
    <t>LY420-S1808W30-W24-10MM</t>
  </si>
  <si>
    <t>SMD1808, 420LED/M, 20W/m,
10mm PCB, DC24V, IP20, 3000K</t>
  </si>
  <si>
    <t>LS-1506B</t>
  </si>
  <si>
    <t>1 meter Alu.case,1meter Diffuser
PC cover, 1* end cap with hole,
1*end cap without
hole,2*mounting brackets,
1meter/set</t>
  </si>
  <si>
    <t>LE-3535G WHITE</t>
  </si>
  <si>
    <t>1 meter Alu.case,1meter Opal PC
cover, 1* end cap with hole, 1*end
cap without hole,2*mounting
brackets, 1meter/set</t>
  </si>
  <si>
    <t>LY-004</t>
  </si>
  <si>
    <t>5mm Bi-Spring used for LE profile
series</t>
  </si>
  <si>
    <t>MICRONET500</t>
  </si>
  <si>
    <t>UPS DE 500VA CON SUPRESOR DE PICOS Y 4 SALIDAS ELECTRICAS 110VAC.</t>
  </si>
  <si>
    <t>GAL2</t>
  </si>
  <si>
    <t>FUENTE DE ALIMENTACION POE DE 24W</t>
  </si>
  <si>
    <t>SNAP5262WS</t>
  </si>
  <si>
    <t>TOMA CORRIENTE CON SUPRESOR DE PICOS</t>
  </si>
  <si>
    <t>DH_XVR1B16_I</t>
  </si>
  <si>
    <t>NVR ANALOGO DE 16 CANALES</t>
  </si>
  <si>
    <t>CAMARA ANALOGICA 1080P CON APERTURA DE 103°</t>
  </si>
  <si>
    <t>GV_206HD</t>
  </si>
  <si>
    <t>VIDEO BALUM PARA TRANSMISION ANALOGICA</t>
  </si>
  <si>
    <t>F12V15A</t>
  </si>
  <si>
    <t>FUENTE 12V 15 AMPERIOS</t>
  </si>
  <si>
    <t>GAL_TC</t>
  </si>
  <si>
    <t>TAPA CIEGA BLANCA LINEA GALICA</t>
  </si>
  <si>
    <t>SAVANT</t>
  </si>
  <si>
    <t>IRB_1006_00</t>
  </si>
  <si>
    <t>TRANSMISOR INFRA ROJO</t>
  </si>
  <si>
    <t>PAV_SMS2001_10</t>
  </si>
  <si>
    <t>SERVIDOR DE AUDIO POR IP, PARA STREAMING POR AIR PLAY, SPOTIFY POR SALIDA OPTICA O ANALOGA.</t>
  </si>
  <si>
    <t>SSC_0012_00</t>
  </si>
  <si>
    <t>CONTROLADOR CON 6 PUERTOS INFRA ROJOS, 2 PUERTOS SERIALES Y DOS RELEVOS.</t>
  </si>
  <si>
    <t>PKG_SASWSUB1B_00</t>
  </si>
  <si>
    <t>BARRA DE SONIDO CON SUBWOOFER Y 3 CANALES, CON MANEJO DE POTENCIA DE 250W.</t>
  </si>
  <si>
    <t>YRD226_CBA_0BP</t>
  </si>
  <si>
    <t>CHAPA INTEGRADA CON ZIGBEE Y CLAVE NUMERICA DE APERTURA.</t>
  </si>
  <si>
    <t>BPLG2830</t>
  </si>
  <si>
    <t>LUMINARIA OSRAM MR16 DE 1400LM, 3000K.</t>
  </si>
  <si>
    <t>PHILLIPS</t>
  </si>
  <si>
    <t>DLX40P</t>
  </si>
  <si>
    <t>DRIVER MULTIVOLTAJE DE 350mA CON CONEXIÓN 0-10</t>
  </si>
  <si>
    <t>IPort</t>
  </si>
  <si>
    <t>IP72325</t>
  </si>
  <si>
    <t>CARCASA DE SUJECIÓN PARA IPAD VERSIÓN 11</t>
  </si>
  <si>
    <t>IP72351</t>
  </si>
  <si>
    <t>MODULO DE CARGA DE PARED</t>
  </si>
  <si>
    <t>TX_NR5100</t>
  </si>
  <si>
    <t>PROCESADOR DE AUDIO Y VIDEO DE 7.2 CANALES, 8K, 165W POR CANAL, Bluetooth®. STREAMING DE MÚSICA.</t>
  </si>
  <si>
    <t>TX_NR7100</t>
  </si>
  <si>
    <t>PROCESADOR DE AUDIO Y VIDEO DE 9.2 CANALES, 8K, 165W POR CANAL, Bluetooth®. STREAMING DE MÚSICA.</t>
  </si>
  <si>
    <t>PSS4</t>
  </si>
  <si>
    <t>SELECTOR DE PARLANTES PARA 4 CANALES</t>
  </si>
  <si>
    <t>RYMEL</t>
  </si>
  <si>
    <t>TRA50KVA</t>
  </si>
  <si>
    <t>TRANSFORMADOR BIFASICO DE 50KVA SEGU ESPECIFICACION TECNICA.</t>
  </si>
  <si>
    <t>POL12KVA</t>
  </si>
  <si>
    <t>PARARAYO POLIMERICO DE 12KVA.</t>
  </si>
  <si>
    <t>PVC_SCH_T0.75</t>
  </si>
  <si>
    <t>TERMINAL SCH 3/4"</t>
  </si>
  <si>
    <t>ALAM_DCE</t>
  </si>
  <si>
    <t>METRO DE ALAMBRE DULCE</t>
  </si>
  <si>
    <t>IR_EXT</t>
  </si>
  <si>
    <t>KIT DE EXTENDER INFRA ROJO DE 4 EMISORES.</t>
  </si>
  <si>
    <t>https://articulo.mercadolibre.com.co/MCO-610456140-cable-extensor-remoto-infrarrojo-10-pies-ir-extensor-para-ca-_JM#position=31&amp;search_layout=stack&amp;type=item&amp;tracking_id=06708315-c938-4c92-8002-a738f62ecb7f</t>
  </si>
  <si>
    <t>LY240_S1808W27_W24</t>
  </si>
  <si>
    <t xml:space="preserve">CINTA LED SMD 10MM 240LED/MT 2700K </t>
  </si>
  <si>
    <t>LS_1407K</t>
  </si>
  <si>
    <t>PERFIL LED DE SOBREPONER DE ALUMINIO DIFUSOR OPAL</t>
  </si>
  <si>
    <t>KVP_24025_TDL</t>
  </si>
  <si>
    <t>DRIVER C.V. 24V DIM TRIAC 25W</t>
  </si>
  <si>
    <t>KVP_24050_TDL</t>
  </si>
  <si>
    <t>DRIVER C.V. 24V DIM TRIAC 50W</t>
  </si>
  <si>
    <t>KVP_24060_TDL</t>
  </si>
  <si>
    <t>DRIVER C.V. 24V DIM TRIAC 60W</t>
  </si>
  <si>
    <t>LY420_S1808W35_W24</t>
  </si>
  <si>
    <t xml:space="preserve">CINTA LED SMD 10MM 420LED/MT 3500K </t>
  </si>
  <si>
    <t>KI_50350_TDL</t>
  </si>
  <si>
    <t>KI_45700_TDL</t>
  </si>
  <si>
    <t>DRIVER ATENUABLE</t>
  </si>
  <si>
    <t>LS_1715</t>
  </si>
  <si>
    <t>PERFIL LED DE ALUMINIO 
CON DIFUSOR OPAL</t>
  </si>
  <si>
    <t>KI_451050_TDL</t>
  </si>
  <si>
    <t>FM9WRCCR</t>
  </si>
  <si>
    <t>PLAFON DE TECHO LUZ GENERAL</t>
  </si>
  <si>
    <t>LY480_COBW27_W24</t>
  </si>
  <si>
    <t>CINTA LED COB 4MM 480LED/MT 2700K</t>
  </si>
  <si>
    <t>LS_1008</t>
  </si>
  <si>
    <t>PERFIL LED DE SOBREPONER DE AUMINIO DIFUSOR OPAL</t>
  </si>
  <si>
    <t>LC1616</t>
  </si>
  <si>
    <t>PERFIL LED '45GRADOS' DE ALUMINIO CON DIFUSOR OPAL</t>
  </si>
  <si>
    <t>KI_42900_TDL</t>
  </si>
  <si>
    <t>LCR2089FS27E010MW</t>
  </si>
  <si>
    <t>DOWNLIGHT D:82MM HALO LCR2</t>
  </si>
  <si>
    <t>EE182</t>
  </si>
  <si>
    <t>METRO DE CABLE PARA DETECCIÓN DE ALARMA DE INCENDIO 2X18</t>
  </si>
  <si>
    <t>PJ2_4B_GBL_P03</t>
  </si>
  <si>
    <t>TECLADO PICO CON ESCENAS DE HABITACION EN COLOR NEGRO</t>
  </si>
  <si>
    <t>RRD15B</t>
  </si>
  <si>
    <t>GFTWRST20B</t>
  </si>
  <si>
    <t>CAR_15_DDTR_BL</t>
  </si>
  <si>
    <t>TOMACORRIENTE PARA CONEXIÓN DE LAMPARAS Y MONTICULO DE SEGURIDAD EN COLOR NEGRO.</t>
  </si>
  <si>
    <t>RP_FDU_10_BR</t>
  </si>
  <si>
    <t>CLAVIJA PARA CONEXIÓN A TOMA CON MONTICULO</t>
  </si>
  <si>
    <t>USB15A5B</t>
  </si>
  <si>
    <t>TC_TRI</t>
  </si>
  <si>
    <t>TOMACORRIENTE DE CONEXIÓN TRIFASICA</t>
  </si>
  <si>
    <t>TC_BI</t>
  </si>
  <si>
    <t>TOMACORRIENTE DE CONEXIÓN BIFASICA</t>
  </si>
  <si>
    <t>41080_2EP</t>
  </si>
  <si>
    <t>FACEPLATE PARA JACK DOBLE EN COLOR NEGRO</t>
  </si>
  <si>
    <t>https://www.amazon.com/-/es/Leviton-QuickPort-placa-pared-41080-2EP/dp/B000U3E0PI/ref=sr_1_3?__mk_es_US=%C3%85M%C3%85%C5%BD%C3%95%C3%91&amp;crid=3IOEVKDFTVEEU&amp;keywords=face+plate+jack+black&amp;qid=1642683475&amp;sprefix=faceplate+jack+blac%2Caps%2C487&amp;sr=8-3</t>
  </si>
  <si>
    <t>LN7599_B</t>
  </si>
  <si>
    <t>RRD_W5BRL_BL</t>
  </si>
  <si>
    <t>TECLADO DE 5 BOTONES PARA SUBIDA Y BAJADA CON MANEJO DE ESCENAS, COLOR NEGRO.</t>
  </si>
  <si>
    <t>TELON MOTORIZADO EN FORMATO 16:9 DE 2.32 x 1.37 mts. CONTROL INFRA ROJO.</t>
  </si>
  <si>
    <t>CINEMAX_P2</t>
  </si>
  <si>
    <t>PROYECTOR 3000 LM CON DOS ENTRADAS HDMI, ULTRA CORTO.</t>
  </si>
  <si>
    <t>PROYECTOR POWER LITE LS500, 4K, ENTRADA HDMI Y RS232.</t>
  </si>
  <si>
    <t>MS_OPS6_DDV_BL</t>
  </si>
  <si>
    <t>INTERRUPTOR DOBLE CON SENSOR DE OCUPACIÓN SIN REQUERIMIENTO DE NEUTRO. CARGAS HASTA 3 AMPERIOS. COLOR NEGRO</t>
  </si>
  <si>
    <t>PJ2_4B_GBL_EL1</t>
  </si>
  <si>
    <t>GF_2197</t>
  </si>
  <si>
    <t>GABINETE MOVIL DE UN 1.1M DE ALTURA, 20U.</t>
  </si>
  <si>
    <t>CAMARA IP TIPO BALA METALICA 4MP@20FPS LENTE MOTOR. 2,7-13,5MM IP67 WDR 120DB H.265+ IR 60M 2IVS POE GARANTIA: 1
AÑO.</t>
  </si>
  <si>
    <t>12YDLED430MV30B</t>
  </si>
  <si>
    <t>PANEL LED MULTIVOLTAJE DE 4000K, 12 VATIOS, VIDA ÚTIL DE 15.000 HORAS.</t>
  </si>
  <si>
    <t>10YDR002MVB</t>
  </si>
  <si>
    <t>LUMINARIA DIRECCIONABLE EN COLOR BLANCO EN FORMATO MR16</t>
  </si>
  <si>
    <t>PTLLED_012_30</t>
  </si>
  <si>
    <t>LUMINARIA MULTIVOLTAJE 12W, 700LM. 3000K.</t>
  </si>
  <si>
    <t>16DYDLED012VSCCTB</t>
  </si>
  <si>
    <t>LUMINARIA CON SELECTOR DE TEMPERATURA DE COLOR DE 20W. 1480LM. CARCASA BLANCA.</t>
  </si>
  <si>
    <t>ESPELLA</t>
  </si>
  <si>
    <t>ESIP65</t>
  </si>
  <si>
    <t>APLIQUE IP65 PARA GU10</t>
  </si>
  <si>
    <t>KVA_40</t>
  </si>
  <si>
    <t>AMPLIFICADO DE PARED PARA ECHO AMAZON ALEZA CON SALIDA ESTEREO DE 40 VATIOS.</t>
  </si>
  <si>
    <t>AMAZON</t>
  </si>
  <si>
    <t>ECHO_DOT</t>
  </si>
  <si>
    <t>ESTACION DE CONTROL AMAZON ALEXA DE TERCERA GENERACION</t>
  </si>
  <si>
    <t>K_INST_KVA</t>
  </si>
  <si>
    <t>INSTALACION E INTEGRACION DE PARLANTES CON RED DE DATOS EXISTENTE CON SISTEMA ESTEREO.</t>
  </si>
  <si>
    <t>P23602_36</t>
  </si>
  <si>
    <t>LUMINARIA DE PISO PARA INCRUSTAR, 9W, 3000K.</t>
  </si>
  <si>
    <t>P23601_36</t>
  </si>
  <si>
    <t>LUMINARIA DE PISO PARA INCRUSTAR, 3W, 3000K.</t>
  </si>
  <si>
    <t>QLEE</t>
  </si>
  <si>
    <t>QLAR11115W</t>
  </si>
  <si>
    <t>BOMBILLA AR111 ATENUABLE CON CONECTOR GU10, 3000K 1200 LUMENS.</t>
  </si>
  <si>
    <t>https://www.amazon.com/Regulable-%C3%A1ngulo-bombilla-c%C3%A1lida-AC120V/dp/B06XVF7K87/ref=sr_1_2_sspa?__mk_es_US=%C3%85M%C3%85%C5%BD%C3%95%C3%91&amp;crid=1Y9P30INDOLAO&amp;keywords=ar111&amp;qid=1643488767&amp;sprefix=ar111%2Caps%2C321&amp;sr=8-2-spons&amp;psc=1&amp;smid=AD1QP35KGG01T&amp;spLa=ZW5jcnlwdGVkUXVhbGlmaWVyPUEzMVRHRVhXUldNSkc4JmVuY3J5cHRlZElkPUEwNDMyMDkwMUdJTk81TFFCVjc1NiZlbmNyeXB0ZWRBZElkPUEwNDg1NDgyMUFNMjk1UDc4SENSSSZ3aWRnZXROYW1lPXNwX2F0ZiZhY3Rpb249Y2xpY2tSZWRpcmVjdCZkb05vdExvZ0NsaWNrPXRydWU=</t>
  </si>
  <si>
    <t>AUDIFONOS INALAMBRICOS LINEA SPORT EN COLOR NEGRO</t>
  </si>
  <si>
    <t>PRO_250_RPW_LCR</t>
  </si>
  <si>
    <t>ALTAVOZ DE 75W, DE 8 OHM, RESPUESTA EN FERCUENCIA DE 45-23KHz.</t>
  </si>
  <si>
    <t>PRO_180_RPW</t>
  </si>
  <si>
    <t>ALTAVOZ DE 50W, DE 8 OHM, RESPUESTA EN FERCUENCIA DE 525-23KHz.</t>
  </si>
  <si>
    <t>ALTAVOZ THX CERTIFICADO, DE 150W, RESPUESTA EN FERCUENCIA DE 55-28KHz.</t>
  </si>
  <si>
    <t>CI200RS_THX</t>
  </si>
  <si>
    <t>CI200QSB_THX</t>
  </si>
  <si>
    <t>SUBWOOFER DE 6 OHM CON MANEJO EN GRECUENCIA DE 40-100Hz</t>
  </si>
  <si>
    <t>KASA500</t>
  </si>
  <si>
    <t>AMPLIFICADOR PARA SUBWOOFER DE 250W.</t>
  </si>
  <si>
    <t>W150_LCR</t>
  </si>
  <si>
    <t>ALTAVOZ CENTRAL DE 150W, 8OHM, 100W.</t>
  </si>
  <si>
    <t>W265</t>
  </si>
  <si>
    <t>ALTAVOZ DE 6.5", 65W, RESPUESTA EN FRECUENCIA DE: 55 Hz – 30 kHz</t>
  </si>
  <si>
    <t>WSS230</t>
  </si>
  <si>
    <t>ALTAVOZ DE 3", 100W, RESPUESTA EN FRECUENCIA DE: 75 Hz – 30 KHz</t>
  </si>
  <si>
    <t>DRX_3.4</t>
  </si>
  <si>
    <t>PROCESADOR DE AUDIO Y VIDEO 9.2 DE 100W, STREAMING DE AUDIO, AIRPLAY 2, GOOGLE CHOMECAST INCORPORADO. HDMI 2.1</t>
  </si>
  <si>
    <t>TX_NR6100</t>
  </si>
  <si>
    <t>PROCESADOR DE AUDIO Y VIDEO 7.2 DE 240W, STREAMING DE AUDIO, AIRPLAY 2, GOOGLE CHOMECAST INCORPORADO. THX CERRTIFICADO.</t>
  </si>
  <si>
    <t>DS_160CDT</t>
  </si>
  <si>
    <t>PARLANTE DE 6.5", RESPUESTA EN FERCUENCIA DE 77Hz - 20kHz +/- 3dB, 8 OHM, 50W.</t>
  </si>
  <si>
    <t>DS_160CSM</t>
  </si>
  <si>
    <t>PARLANTE DE 6.5", RESPUESTA EN FERCUENCIA DE 77Hz - 20kHz +/- 3dB, 8 OHM, 50W. DUAL TWEETER.</t>
  </si>
  <si>
    <t>BARRA DE SONIDO 3.1 CON SUBWOOFER CON POTENCIA DE 600W.</t>
  </si>
  <si>
    <t>COPYLINE2000</t>
  </si>
  <si>
    <t>REGULADOR DE 2000VA A 110V.</t>
  </si>
  <si>
    <t>ZHUHAI</t>
  </si>
  <si>
    <t>KVG_24030_DW</t>
  </si>
  <si>
    <t>DRIVER 24V DE 30W DE VOLTAJE CONSTANTE, CON CONTROL POR CORTE DE FASE.</t>
  </si>
  <si>
    <t>KVG_24060_ASW</t>
  </si>
  <si>
    <t>DRIVER 24V DE 60W DE VOLTAJE CONSTANTE, ON/OFF.</t>
  </si>
  <si>
    <t>TX_RZ50</t>
  </si>
  <si>
    <t>PROCESADOR DE AUDIO Y VIDEO DE 9.2 CANALES, 8K, 250 VATIOS, Bluetooth®. STREAMING DE MÚSICA.</t>
  </si>
  <si>
    <t>SPL_100SW</t>
  </si>
  <si>
    <t>SUBWOOFER DE 10", AMPLIFICADOR CLASE DE DE 200W.</t>
  </si>
  <si>
    <t>ALTAVOZ REDONDO DE 6.5", 40W. RESPUESTA EN FERCUENCIA: 57Hz - 20kHz +/- 3dB.</t>
  </si>
  <si>
    <t>HQWD_W7B_WH</t>
  </si>
  <si>
    <t>BOTONERA HOMEWORKS QS CON CONEXIÓN MEDIANTE CABLE LINK-QS</t>
  </si>
  <si>
    <t>LRF2_SSM_WH</t>
  </si>
  <si>
    <t>SENSOR DE LUZ DIA PARA SISTEMAS QUANTUM O HOMEWORKS. SUMINISTRO (PAREJA)</t>
  </si>
  <si>
    <t>K_PROG_GEN</t>
  </si>
  <si>
    <t>PROGRAMACION DE LOS EQUIPOS QUE HACEN PARTE DE ESTA PROPUESTA</t>
  </si>
  <si>
    <t>LY240_S1808W27_W24_IP65</t>
  </si>
  <si>
    <t>METRO DE CINTA LED LED SMD 10mm 240LED/mt 2700k IP65.</t>
  </si>
  <si>
    <t>METRO PERFIL LED 45 GRADOS, CONTRUCCION EN ALUMINIO CON DISFUSOR OPAL.</t>
  </si>
  <si>
    <t>KV_24060_ASW</t>
  </si>
  <si>
    <t>FUENTE DE PODER 24V, 60W</t>
  </si>
  <si>
    <t>KV_24080_DA</t>
  </si>
  <si>
    <t>FUENTE DE PODER 24V, 80W.</t>
  </si>
  <si>
    <t>KV_24100_DA</t>
  </si>
  <si>
    <t>FUENTE DE PODER 24V, 100W.</t>
  </si>
  <si>
    <t>KV_24100_ASW</t>
  </si>
  <si>
    <t>FUENTE DE PODER 24V CONSTANTES, 100W.</t>
  </si>
  <si>
    <t>LY240_S1808W_W40</t>
  </si>
  <si>
    <t xml:space="preserve">METRO DE CINTA LED SMD 10mm 240LED/mt 4000k </t>
  </si>
  <si>
    <t>LE_6725</t>
  </si>
  <si>
    <t>METRO PERFIL DE INCRUSTAR TRIMLESS SIN BORDE.</t>
  </si>
  <si>
    <t>KV_24200_DA</t>
  </si>
  <si>
    <t>FUENTE DE PODER 24V, 200W.</t>
  </si>
  <si>
    <t>KV_24030_DA</t>
  </si>
  <si>
    <t>FUENTE DE PODER 24V, 30W.</t>
  </si>
  <si>
    <t>LY120_S1808W30_W24</t>
  </si>
  <si>
    <t xml:space="preserve">METRO DE CINTA LED SMD 8mm 120LED/mt 3000k </t>
  </si>
  <si>
    <t>PERFIL LED SE SOBREPONER DE ALUMINIO DIFUSOR OPAL</t>
  </si>
  <si>
    <t>KV_24030_ASW</t>
  </si>
  <si>
    <t>KI_020_DP2</t>
  </si>
  <si>
    <t>DRIVER 400mA @ 20W</t>
  </si>
  <si>
    <t>KI_040_DP2</t>
  </si>
  <si>
    <t>DRIVER 600mA @ 40W</t>
  </si>
  <si>
    <t>F05.7301.GL</t>
  </si>
  <si>
    <t>BALA TRIMLESS</t>
  </si>
  <si>
    <t>FF08.9114.00</t>
  </si>
  <si>
    <t>F03.1256.DR</t>
  </si>
  <si>
    <t>C1 MONO SPOT CELING LARGE</t>
  </si>
  <si>
    <t>F08.0212.DR</t>
  </si>
  <si>
    <t>BASE SOBREPUESTA</t>
  </si>
  <si>
    <t>F03.9211.14ADA</t>
  </si>
  <si>
    <t>LUMINARIA DE ALTO CONTRASTE DE INCRUSTAR</t>
  </si>
  <si>
    <t>FF08.0510.00</t>
  </si>
  <si>
    <t>KIT PARA INSTALACION TRIMLESS</t>
  </si>
  <si>
    <t>F1584018</t>
  </si>
  <si>
    <t>APLIQUE DE MURO CLESSIDRA</t>
  </si>
  <si>
    <t>F09.3708.14A</t>
  </si>
  <si>
    <t>SPOT DE SOBREPONER</t>
  </si>
  <si>
    <t>13YDLED011MVBTC</t>
  </si>
  <si>
    <t>LAMPARA DOWNLIGHT LED 13W, LUZ BLANCA DINAMICA ATENUABLE.</t>
  </si>
  <si>
    <t>RIEL_5M</t>
  </si>
  <si>
    <t>RIEL MAGNETICO DE SUSPENSION</t>
  </si>
  <si>
    <t>NEVADA_15CM</t>
  </si>
  <si>
    <t>NEVADA ALTO CONTRASTE 15CM PARA RIEL MAGNÉTICO</t>
  </si>
  <si>
    <t>SPOT_COX</t>
  </si>
  <si>
    <t>SPOT COX PARA RIEL MAGNETICO</t>
  </si>
  <si>
    <t>RIEL_4M</t>
  </si>
  <si>
    <t>RIEL MAGNETICO DE SUSPENDER X 4 METROS.</t>
  </si>
  <si>
    <t>LE_7026</t>
  </si>
  <si>
    <t>METRO DE PERFIL DE INCRUSTAR CON DIFUSOR OPAL.</t>
  </si>
  <si>
    <t>LP_2016D</t>
  </si>
  <si>
    <t>METRO DE PERFIL LED DE ALUMINIO DESCOLGADO CON DIFUSOR OPAL.</t>
  </si>
  <si>
    <t>METRO DE PERFIL LED ALUMINIO CON DIFUSOR OPAL.</t>
  </si>
  <si>
    <t>METRO DE PERFIL LED A 45° EN ALUMINIO CON DIFUSOR OPAL.</t>
  </si>
  <si>
    <t>LS_1848</t>
  </si>
  <si>
    <t>METRO DE PERFIL LED UP/DOWN, EN ALUMINIO.</t>
  </si>
  <si>
    <t>LY120_S1808W30_W24_IP65</t>
  </si>
  <si>
    <t>METRO DE CINTA LED SMD 8mm 120LED/mt 2700k IP65</t>
  </si>
  <si>
    <t>METRO DE CINTA LED SMD 10mm 240LED/mt 2700k IP65</t>
  </si>
  <si>
    <t>METRO DE CINTA LED COB 4mm 480LED/mt 2700K</t>
  </si>
  <si>
    <t>LY96_S3528WW_W24</t>
  </si>
  <si>
    <t>METRO DE CINTA LED LED SMD 8mm 96LED/mt 2700k</t>
  </si>
  <si>
    <t>NS_T1212_W27</t>
  </si>
  <si>
    <t>NEON LED FLEXIBLE IP67 HIGH POWER.</t>
  </si>
  <si>
    <t>S1212_CAP_IP67</t>
  </si>
  <si>
    <t>TAPA IP67</t>
  </si>
  <si>
    <t>T1212_CAP_C</t>
  </si>
  <si>
    <t>CONECTOR IP 67</t>
  </si>
  <si>
    <t>T1212_MP</t>
  </si>
  <si>
    <t>PERFIL PARA INSTALACION DE NEON</t>
  </si>
  <si>
    <t>KV_24150_DA</t>
  </si>
  <si>
    <t>FUENTE DE PODER DE 24W, 150W.</t>
  </si>
  <si>
    <t>KI_060_DP2</t>
  </si>
  <si>
    <t>DRIVER 1200mA @ 60W</t>
  </si>
  <si>
    <t>BALA DE INCRUSTAR</t>
  </si>
  <si>
    <t>F03.9836.14ADA</t>
  </si>
  <si>
    <t>LUMINARIA DE ALTO CONTRASTE DE SOBREPONER</t>
  </si>
  <si>
    <t>30HLED764MV30N</t>
  </si>
  <si>
    <t xml:space="preserve">LUMINARIA DE SOBREPONER EN PISO O ESTACA, 30W, 2000 LM, 3000K. </t>
  </si>
  <si>
    <t>10HLED762MV30N</t>
  </si>
  <si>
    <t xml:space="preserve">LUMINARIA DE SOBREPONER EN PISO O ESTACA, 10W, 713 LM, 3000K. </t>
  </si>
  <si>
    <t>13DYDLED011VSCCTB</t>
  </si>
  <si>
    <t>BALA DE INCRUSTAR DE 13W, CON TEMPERATURA DE COLOR VARIABLE</t>
  </si>
  <si>
    <t>G_HDMI_MOD</t>
  </si>
  <si>
    <t>MODULO HDMI PARA GROMMET TIPO G</t>
  </si>
  <si>
    <t>L_PED3_BL</t>
  </si>
  <si>
    <t>PEDESTAL TRIPLE PARA TECLADO PICO EN COLOR NEGRO.</t>
  </si>
  <si>
    <t>PJ2_4B_GBL_P01</t>
  </si>
  <si>
    <t>TECLADO PICO EN COLOR NEGRO, CON 4 BOTONES Y MARCACIÓN.</t>
  </si>
  <si>
    <t>PJ2_4B_GBL_P02</t>
  </si>
  <si>
    <t>PORT</t>
  </si>
  <si>
    <t>PROCESADOR DE AUDIO POR STREAMING DIGITAL</t>
  </si>
  <si>
    <t>SONANCE</t>
  </si>
  <si>
    <t>VP_62_LCR</t>
  </si>
  <si>
    <t>ALTAVOZ DE DOBLE MEMBRANA DE 6.5", 45Hz - 20kHz ±3dB, 6 OHM. 125W.</t>
  </si>
  <si>
    <t>VP_62R_SST_SUR_TL</t>
  </si>
  <si>
    <t>ALTAVOZ DE TWEETER DUAL CON MEMBRANA DE 6.5", 45Hz - 20kHz ±3dB, 6 OHM. 125W.</t>
  </si>
  <si>
    <t>I10</t>
  </si>
  <si>
    <t>SUBWOOFER COMPACTO DE 10", RESPUESTA EN FRECUENCIA DE 300W U RESPUESTA EN FERCUENCIA: 24Hz – 250Hz +/-3dB.</t>
  </si>
  <si>
    <t>VP4SQ</t>
  </si>
  <si>
    <t>GRILLA CUADRADA EN COLOR BLANCO CON ADAPTADOR</t>
  </si>
  <si>
    <t>ARC_B</t>
  </si>
  <si>
    <t>BARRA DE SONIDO PREMIUM EN COLOR NEGRO.</t>
  </si>
  <si>
    <t>ARC_W</t>
  </si>
  <si>
    <t>BARRA DE SONIDO PREMIUM EN COLOR BLANCO</t>
  </si>
  <si>
    <t>ARC_WMK</t>
  </si>
  <si>
    <t>ACCESORIO PARA SUJECION EN PARED DE BARRA DE SONIDO.</t>
  </si>
  <si>
    <t>SUB_G3_B</t>
  </si>
  <si>
    <t>SUBWOOFER INALAMBRICO PARA SISTEMA SONOS</t>
  </si>
  <si>
    <t>AVIDGRAM</t>
  </si>
  <si>
    <t>AV5HDMI</t>
  </si>
  <si>
    <t>SELECTOR DE HDMI CON 5 ENTRADAS</t>
  </si>
  <si>
    <t>https://www.amazon.com/Conmutador-AVIDGRAM-conmutador-selector-compatible/dp/B09JYQWQPR/ref=sr_1_2_sspa?__mk_es_US=%C3%85M%C3%85%C5%BD%C3%95%C3%91&amp;crid=36G7GVL32BSLN&amp;keywords=switch+hdmi+alexa&amp;qid=1644366529&amp;refinements=p_72%3A1248879011&amp;rnid=1248877011&amp;s=electronics&amp;sprefix=switch+hdmi+alex%2Caps%2C210&amp;sr=1-2-spons&amp;psc=1&amp;spLa=ZW5jcnlwdGVkUXVhbGlmaWVyPUEyRlo5UURLRzczNzBCJmVuY3J5cHRlZElkPUEwNDE3ODk3MVRGM0VSU1dUUjhZOSZlbmNyeXB0ZWRBZElkPUEwNTE3ODc1MVFNVDBaQVlYRE1XOSZ3aWRnZXROYW1lPXNwX2F0ZiZhY3Rpb249Y2xpY2tSZWRpcmVjdCZkb05vdExvZ0NsaWNrPXRydWU=</t>
  </si>
  <si>
    <t>TAB_TENSION_100_2</t>
  </si>
  <si>
    <t>TELON TENSIONADO DE 100" CON GANANCIA 1.</t>
  </si>
  <si>
    <t>HD39HDR</t>
  </si>
  <si>
    <t>PROYECTOR DE 1920x1080P, 4000 LUMENS, 2 ENTRADAS HDMI Y CONTROL SERIAL.</t>
  </si>
  <si>
    <t>VP82R</t>
  </si>
  <si>
    <t>ALTAVOZ DE MEMBRANA DE 8", 45Hz - 20kHz ±3dB, 6 OHM. 125W.</t>
  </si>
  <si>
    <t>VP8SQ</t>
  </si>
  <si>
    <t>SGS_8.1_SYSTEM</t>
  </si>
  <si>
    <t>SISTEMA DE SONIDO CON 8 PARLANTES TIPO ESTACA DE 3.5", Y SIBWOOFER CENTRAL, POTENCIA DE 50W Y 200W RESPECTIVAMENTE. INCLUYE ETAPA DE POTENCIA.</t>
  </si>
  <si>
    <t>P23653_36</t>
  </si>
  <si>
    <t>APLIQUE DECORATIVO DE 12W, TEMPERATURA 2700K.</t>
  </si>
  <si>
    <t>APLIQUE DIRECCIONABLE 7W, 3000K.</t>
  </si>
  <si>
    <t>MA_T51_SW</t>
  </si>
  <si>
    <t>INTERRUPTOR CON TEMPORIZADOR EN COLOR BLANCO NIEVE.</t>
  </si>
  <si>
    <t>E1616</t>
  </si>
  <si>
    <t>EXTRACTOR SILENCIOSO DE FORMATO PLANO DE 16Cm X 16Cm. COLOR BLANCO.</t>
  </si>
  <si>
    <t>ABLEREX</t>
  </si>
  <si>
    <t>AB_ARPLUSRT2000</t>
  </si>
  <si>
    <t>UPS ONLINE PARA MONTAJE EN RACK DE 2KVA.</t>
  </si>
  <si>
    <t>NEXANS</t>
  </si>
  <si>
    <t>AWG12X7</t>
  </si>
  <si>
    <t>METRO DE CABLE 7 HILOS AWG 12</t>
  </si>
  <si>
    <t>LIGMAN</t>
  </si>
  <si>
    <t>JET_41</t>
  </si>
  <si>
    <t xml:space="preserve">LUMINARIA DE ALUMINIO, 20W, DE 1700Lm. </t>
  </si>
  <si>
    <t>BRISBANE_11</t>
  </si>
  <si>
    <t xml:space="preserve">LUMINARIA DE ALUMINIO, 19W, DE 1772Lm. </t>
  </si>
  <si>
    <t>AMOS_2</t>
  </si>
  <si>
    <t xml:space="preserve">LUMINARIA DE ALUMINIO, 12W, DE 1308Lm. </t>
  </si>
  <si>
    <t>F41RE112MOOP830NW</t>
  </si>
  <si>
    <t>LUMINARIA LINEAL RECESADA DE 2230Lm. 1.12 METROS DE LARGO, DIFUSOR OPAL. CONTROL ON/OFF.</t>
  </si>
  <si>
    <t>F41RE112MOOP830DW</t>
  </si>
  <si>
    <t>LUMINARIA LINEAL RECESADA DE 2230Lm. 1.12 METROS DE LARGO, DIFUSOR OPAL. CONTROL DALI.</t>
  </si>
  <si>
    <t>F41SF112MOOP830DW</t>
  </si>
  <si>
    <t>LUMINARIA LINEAL DE MONTAJE SUPERFIIAL DE 2230Lm. 1.12 METROS DE LARGO, DIFUSOR OPAL. CONTROL DALI.</t>
  </si>
  <si>
    <t>IT_100_MAX</t>
  </si>
  <si>
    <t>LUMINARIA HERMETICA EN POLICARBONATO. MULTIVOLTAJE.</t>
  </si>
  <si>
    <t>FOR_LIGHT</t>
  </si>
  <si>
    <t>PX_01_45_GRI</t>
  </si>
  <si>
    <t>LUMINARIA HERMETICA DE 15.6W, MULTIVOLTAJE EN POLICARBONATO.</t>
  </si>
  <si>
    <t>PX_0135_NEG</t>
  </si>
  <si>
    <t>ESTACA DE 8W EN POLICARBONATO PARA BOMBILLA GU10</t>
  </si>
  <si>
    <t>P27991_19</t>
  </si>
  <si>
    <t>BOMBILLA TOLEDO DE 15W, ROSCA E27, 3000K.</t>
  </si>
  <si>
    <t>PX_0379_GRI</t>
  </si>
  <si>
    <t>LUMINARIA DECORATIVA DE 11.3W, IP54</t>
  </si>
  <si>
    <t>PX_0276_BLA</t>
  </si>
  <si>
    <t>APLIQUE DE EXTERIOR IP44 MULTIVOLTAJE</t>
  </si>
  <si>
    <t>PX_0486_NEG</t>
  </si>
  <si>
    <t>LUMINARIA EXTERIOR MULTIVOLTAJE IP44</t>
  </si>
  <si>
    <t>LS_7011</t>
  </si>
  <si>
    <t>RIEL DE ALUMINIO CON DIFUSOR</t>
  </si>
  <si>
    <t>LY240_S1808W27_W24_4MM_CRI95</t>
  </si>
  <si>
    <t>LUMINARIA DE 240 LED POR METRO ULTRADELGADA</t>
  </si>
  <si>
    <t>KVD_24120_DIM</t>
  </si>
  <si>
    <t>DRIVER 24V, ATENUABLE 0-10, 5 AMPERIOS.</t>
  </si>
  <si>
    <t>KVD_24150_DIM</t>
  </si>
  <si>
    <t>DRIVER 24V, ATENUABLE 0-10, 6.25 AMPERIOS.</t>
  </si>
  <si>
    <t>KVD_24096_DIM</t>
  </si>
  <si>
    <t>DRIVER 24V, ATENUABLE 0-10, 4 AMPERIOS.</t>
  </si>
  <si>
    <t>KVD_24060_DIM</t>
  </si>
  <si>
    <t>DRIVER 24V, ATENUABLE 0-10, 2.5 AMPERIOS.</t>
  </si>
  <si>
    <t>NS_S1220_W27</t>
  </si>
  <si>
    <t>NEON IP65 DE 5W/M. OPERACIÓN A 24V.</t>
  </si>
  <si>
    <t>LY240_S1808W27_W24_10MM_CRI95</t>
  </si>
  <si>
    <t>CINTA LED DE 19.2W METRO</t>
  </si>
  <si>
    <t>RIEL EN ALUMINIO CON DIFUSOR</t>
  </si>
  <si>
    <t>LY60_BS2835WW27_W24_IP20_CRI95</t>
  </si>
  <si>
    <t>CINTA LED DE 12W METRO, 60 LED.</t>
  </si>
  <si>
    <t>LB_1018S</t>
  </si>
  <si>
    <t>RIEL CON DIFUSOR</t>
  </si>
  <si>
    <t>KVD_24080_DIM</t>
  </si>
  <si>
    <t>DRIVER 24V, ATENUABLE 0-10, 3.33 AMPERIOS.</t>
  </si>
  <si>
    <t>KVD_24100_DIM</t>
  </si>
  <si>
    <t>DRIVER 24V, ATENUABLE 0-10, 4.17 AMPERIOS.</t>
  </si>
  <si>
    <t>LY480_COBW27_W24_10MM_10W_IP20_CRI95</t>
  </si>
  <si>
    <t>CINTA LED DE 24V, 480 CHIPS POR METRO.</t>
  </si>
  <si>
    <t>LS_1707</t>
  </si>
  <si>
    <t>PERFIL DE ALUMINIO CON DIFUSOR</t>
  </si>
  <si>
    <t>KVD_24030_DIM</t>
  </si>
  <si>
    <t>DRIVER 24V, ATENUABLE 0-10, 1.25 AMPERIOS.</t>
  </si>
  <si>
    <t>LY120_S1808W27_W24_8MM_CRI95</t>
  </si>
  <si>
    <t>CINTA LED DE 9.6W, 120 LED x METRO.</t>
  </si>
  <si>
    <t>LS_0912</t>
  </si>
  <si>
    <t>PERFIL EN ALUMINIO CON DIFUSOR</t>
  </si>
  <si>
    <t>LS_1844</t>
  </si>
  <si>
    <t>LS_1012</t>
  </si>
  <si>
    <t>S1220_MP</t>
  </si>
  <si>
    <t>METRO DE RIEL EN ALUMINIO</t>
  </si>
  <si>
    <t>VP_86R</t>
  </si>
  <si>
    <t>ALTAVOZ DE 8 OHM, MANEJO DE POTENCIA DE 150W. 34Hz - 20kHz ±3dB.</t>
  </si>
  <si>
    <t>VP86R_SST_SUR</t>
  </si>
  <si>
    <t>ALTAVOZ DE 8 OHM EN ESTEREO, MANEJO DE POTENCIA DE 150W. 34Hz - 20kHz ±3dB.</t>
  </si>
  <si>
    <t>SELECTOR DE 4 ZONAS DE AUDIO PARA DOS ENTRADADS DE AMPLIFICADOR.</t>
  </si>
  <si>
    <t>RACK TIPO GABINETE DE 20U. ALTURA EXTERNA DE 10.8M, ANCHO 58CM Y PROFUNDIDAD DE 54CM.</t>
  </si>
  <si>
    <t>EC5T528MU210</t>
  </si>
  <si>
    <t>BALASTRO ELECTRONICO ATENUABLE, CON ALIMENTACION PARA SENSOR, MANEJA DOS BOMBILLAS t% DE 28W.</t>
  </si>
  <si>
    <t>TE40X60X15</t>
  </si>
  <si>
    <t>TABLERO ELECTRICO TIPO GABINETE DE 40Cm X 60Cm X 15Cm.</t>
  </si>
  <si>
    <t>https://articulo.mercadolibre.com.co/MCO-520822503-cofre-metalico-40x60x15-mv-_JM#position=23&amp;search_layout=stack&amp;type=item&amp;tracking_id=da0b51ca-0884-4b5b-b95e-cbb476ef6b1c</t>
  </si>
  <si>
    <t>HQWT_U_P4W_WH</t>
  </si>
  <si>
    <t>BOTONERA TIPO PALLADIOM DE 4 BOTONES, ALIMENTACION 24–36 VDC- 30 mA.  EN COLOR BLANCO.</t>
  </si>
  <si>
    <t>_QS_WLB</t>
  </si>
  <si>
    <t>REGLETA DE CONEXIÓN PARA LINK QS</t>
  </si>
  <si>
    <t>KIT_CORTINAS_CE</t>
  </si>
  <si>
    <t>KIT DE CORTINAS A MEDIDA PARA CASA DE CAMPO EN SUBACHOQUE DE ACUERDO CON ESPECIFICACIONES TECNICAS PREVIAMENTE PRESENTADAS.</t>
  </si>
  <si>
    <t>LDL269_WH</t>
  </si>
  <si>
    <t>LUMINARIA EN ALUMINIO ESCUALIZABLE RECESADA PARA BOMBILLA EN FORMATO GU10. COLOR BLANCO.</t>
  </si>
  <si>
    <t>LDL269_BL</t>
  </si>
  <si>
    <t>LUMINARIA EN ALUMINIO ESCUALIZABLE RECESADA PARA BOMBILLA EN FORMATO GU10. COLOR NEGRO.</t>
  </si>
  <si>
    <t>CTG</t>
  </si>
  <si>
    <t>METRO DE CABLE TEXTIL DECORATIVO EN COLOR GRIS</t>
  </si>
  <si>
    <t>CTGO</t>
  </si>
  <si>
    <t>METRO DE CABLE TEXTIL DECORATIVO EN COLOR GRIS OSCURO.</t>
  </si>
  <si>
    <t>ECO21X1.4</t>
  </si>
  <si>
    <t>LUMINARIA LINEAL LED DE 3000K, 1.4M DE LARGO. PARA CONFIGURACIÓN EN TÁNDEM. 4400 LUMENS ATENUABLE O-10. DE SOBREPONER O DESCOLGAR.</t>
  </si>
  <si>
    <t>C180</t>
  </si>
  <si>
    <t>ALTAVOZ DE ALTA FIDELIDAD DE EMPOTRAR EN TECHO CON MEMBRANA ACUSTICA DE 8".</t>
  </si>
  <si>
    <t>V_KP_1</t>
  </si>
  <si>
    <t>TECLADO AMPLIFICADOR DE 60W</t>
  </si>
  <si>
    <t>V_PS_2</t>
  </si>
  <si>
    <t>FUENTE DE PODER COMPLEMENTARIA PARA TECLADO.</t>
  </si>
  <si>
    <t>ECHO_DOT_3</t>
  </si>
  <si>
    <t>ECHO DOT DE ALEXA 3 GENERACION</t>
  </si>
  <si>
    <t>TDG</t>
  </si>
  <si>
    <t>VAIL3</t>
  </si>
  <si>
    <t>AMPLIFICADOR DE 20W PARA ECHO DOT DE AMAZON.</t>
  </si>
  <si>
    <t>TELON MOTORIZADO DE 2.21x1.24m EN FORMATO 16:9.</t>
  </si>
  <si>
    <t>TABLERO ELECTRICO TRIFASICO CON TOTALIZADOR</t>
  </si>
  <si>
    <t>TTLEG</t>
  </si>
  <si>
    <t>TOMA TELEFONICA</t>
  </si>
  <si>
    <t>SCH40_T0.75</t>
  </si>
  <si>
    <t>TERMINAL SCH 40 DE 3/4</t>
  </si>
  <si>
    <t>SCH40_T1.25</t>
  </si>
  <si>
    <t>TERMINAL SCH 40 DE 1 Y 1/4</t>
  </si>
  <si>
    <t>SCH40_T1.5</t>
  </si>
  <si>
    <t>TERMINAL SCH 40 DE 1 Y 1/2</t>
  </si>
  <si>
    <t>SCH40_CUR1.5</t>
  </si>
  <si>
    <t>CURVA SCH 40 DE 1 Y 1/5.</t>
  </si>
  <si>
    <t>SCH40_0.75</t>
  </si>
  <si>
    <t>TUBO SCH40 DE 3 METROS, CALIBRE 3/4.</t>
  </si>
  <si>
    <t>SCH40_1.25</t>
  </si>
  <si>
    <t>TUBO SCH40 DE 3 METROS, CALIBRE 1 Y 1/4.</t>
  </si>
  <si>
    <t>SCH40_1.5</t>
  </si>
  <si>
    <t>TUBO SCH40 DE 3 METROS, CALIBRE 1 Y 1/2.</t>
  </si>
  <si>
    <t>TABLERO DE 18 CIRCUITOS CON ESPACIO PARA TOTALIZADOR</t>
  </si>
  <si>
    <t>SCH40_CUR1.25</t>
  </si>
  <si>
    <t>CURVA SCH 40 DE 1 Y 1/25.</t>
  </si>
  <si>
    <t>WEG</t>
  </si>
  <si>
    <t>CP31X31X16</t>
  </si>
  <si>
    <t>CAJA DE PASO IP65 DE 31X31X15cm.</t>
  </si>
  <si>
    <t>AEROWHITE</t>
  </si>
  <si>
    <t>AEROSOL BLANCO MATE</t>
  </si>
  <si>
    <t>CAS_MOT</t>
  </si>
  <si>
    <t>CASCO PARA MOTOCICLETA</t>
  </si>
  <si>
    <t>M502</t>
  </si>
  <si>
    <t>MEZCLADOR ANALOGICO DE 4 CANALES</t>
  </si>
  <si>
    <t>RD_FP03</t>
  </si>
  <si>
    <t>FACE PLATE MODULAR DE 3 SERVICIOS</t>
  </si>
  <si>
    <t>RD_TK03</t>
  </si>
  <si>
    <t>MODULO RCA DOBLE</t>
  </si>
  <si>
    <t>CBL_MC_2160F</t>
  </si>
  <si>
    <t>SALIDA Y EN ESTEREO</t>
  </si>
  <si>
    <t>CBL_MC_2156F</t>
  </si>
  <si>
    <t>CABLE DE 1.8 METROS DE 3.5 A PLUG DE 1/4</t>
  </si>
  <si>
    <t>SW_2095</t>
  </si>
  <si>
    <t>BANANA MACHO DE TORNILLO</t>
  </si>
  <si>
    <t>SCH40_2</t>
  </si>
  <si>
    <t>TUBO SCH40 DE 3 METROS, CALIBRE 2.</t>
  </si>
  <si>
    <t>SCH40_CUR2</t>
  </si>
  <si>
    <t>CURVA PARA TUBO CH40 CALIBRE 2.</t>
  </si>
  <si>
    <t>SCH40_T2</t>
  </si>
  <si>
    <t>TERMINAL CALIBRE 2 PARA TUBO SCH40.</t>
  </si>
  <si>
    <t>WELCO</t>
  </si>
  <si>
    <t>C23X30X13</t>
  </si>
  <si>
    <t>CAJA ELECTRICA DE PASO 23X30X13cm</t>
  </si>
  <si>
    <t>PRO3X10</t>
  </si>
  <si>
    <t>METRO DE CABLE ENCAUCHETADO 3X10. MARCA PROCABLE.</t>
  </si>
  <si>
    <t>SCH40_T0.5</t>
  </si>
  <si>
    <t>TERMINAL SCH 40 DE 1/2</t>
  </si>
  <si>
    <t>SCH40_U0.5</t>
  </si>
  <si>
    <t>UNION SCH40 PARA TUBERIA DE 1/2</t>
  </si>
  <si>
    <t>SCH40_U0.75</t>
  </si>
  <si>
    <t>UNION SCH40 PARA TUBERIA DE 0.75</t>
  </si>
  <si>
    <t>SCH40_CUR0.5</t>
  </si>
  <si>
    <t>CURBA SCH40 DE 1/2</t>
  </si>
  <si>
    <t>SCH40_CUR0.75</t>
  </si>
  <si>
    <t>46K687600</t>
  </si>
  <si>
    <t>PLACA CIEGA LINEA CLICK-ME</t>
  </si>
  <si>
    <t>46K687602</t>
  </si>
  <si>
    <t>PLACA TAPA CORDON LINEA CLICK-ME</t>
  </si>
  <si>
    <t>46K687632</t>
  </si>
  <si>
    <t>TOMA CORRIENTE LINEA CLICK ME</t>
  </si>
  <si>
    <t>LUK046</t>
  </si>
  <si>
    <t>PANEL LED DE EMPOTRAR, 6W, 3000K.</t>
  </si>
  <si>
    <t>D3W350MA</t>
  </si>
  <si>
    <t>DRIVER 3W, 350mA.</t>
  </si>
  <si>
    <t>LY240_S1808W27_W24_IP20</t>
  </si>
  <si>
    <t>CINTA LED DE 24V, 240 LED METRO. 10W/M.</t>
  </si>
  <si>
    <t>LUMINARIA DE MURO EXTERIOR PARA BOMBILLA E27</t>
  </si>
  <si>
    <t>TABLET ANDROID DE SEGUNDA GENERACION, PANTALLA DE 10 PULGADAS</t>
  </si>
  <si>
    <t xml:space="preserve">NS_T1615_RGBW_10_CV </t>
  </si>
  <si>
    <t>CINTA LED RGB DE 10W, POR METRO A 24V.</t>
  </si>
  <si>
    <t>T1615_MP</t>
  </si>
  <si>
    <t>PERFIL EN ALUMINIO PARA CINTA LED</t>
  </si>
  <si>
    <t>S1615_SCAP_IP67</t>
  </si>
  <si>
    <t>TAPAS PARA RIEL</t>
  </si>
  <si>
    <t>T1615_CAP_C</t>
  </si>
  <si>
    <t>TAPAS CON SALIDA CABLEADA</t>
  </si>
  <si>
    <t>LPV_100_24</t>
  </si>
  <si>
    <t>DRIVER 24V CON CAPACIDAD DE 100W</t>
  </si>
  <si>
    <t>LY_DMXTCON_4CH</t>
  </si>
  <si>
    <t>DECODIFICADOR DMX DE 4 CANALES</t>
  </si>
  <si>
    <t>IL4000_010</t>
  </si>
  <si>
    <t>LUMINARIA LED HERMETICA 4000K, 40W.</t>
  </si>
  <si>
    <t>CI160.2CL</t>
  </si>
  <si>
    <t>ALTAVOZ DE PARED DE 6.5", 8OHM MANEJO DE POTENCIA 10-100W. DIMENSIONES: 303mm x 223mm x 88.7mm.</t>
  </si>
  <si>
    <t>ALTAVOZ DE TECHO, 8OHM MANEJO DE POTENCIA 10-50W. DIMENSIONES: 127mm x 127mm x 76mm.</t>
  </si>
  <si>
    <t>PARLANTE DE ALTA FIDELIDAD DE 6.5", 8 OHM, 100W.</t>
  </si>
  <si>
    <t>GEM6M</t>
  </si>
  <si>
    <t>LAMPARA TIPO GEMA EN MIMBRE</t>
  </si>
  <si>
    <t>CA3BDGO</t>
  </si>
  <si>
    <t>LAMPARA TIPO CALISTO DORADA CON CABLE GRIS OSCURO.</t>
  </si>
  <si>
    <t>CR3DGO</t>
  </si>
  <si>
    <t>LAMPARA TIPO CRATER, ACCESORIOS DORADOS CABLE GRIS OSCURO</t>
  </si>
  <si>
    <t>CI160QS</t>
  </si>
  <si>
    <t>ALTAVOZ DE 6.5" CPN 125W DE POTENCIA.</t>
  </si>
  <si>
    <t>DL343JHN</t>
  </si>
  <si>
    <t>BALA HALÓGENA INYECTADA RECESADA NEGRA</t>
  </si>
  <si>
    <t>MARCH</t>
  </si>
  <si>
    <t>M70WMM</t>
  </si>
  <si>
    <t>SOPORTE MOTORIZADO PARA TV DE HASTA 70"</t>
  </si>
  <si>
    <t>https://www.alibaba.com/product-detail/High-Quality-50-To-70-Inches_62008013042.html?spm=a2700.details.0.0.55a94a34PRI3EC</t>
  </si>
  <si>
    <t>P3500S</t>
  </si>
  <si>
    <t>AMPLIFICADOR DE 390W A DOS CANALES, CONFIGURABLE A MODO BRIDGE</t>
  </si>
  <si>
    <t>CON1.25</t>
  </si>
  <si>
    <t>CONDULETA DE 1 Y 1/4", CON SALIDA DOBLE</t>
  </si>
  <si>
    <t>OHM2100</t>
  </si>
  <si>
    <t>BREAKER DOBLE 2X100 AMPERIOS ENCHUFABLE.</t>
  </si>
  <si>
    <t>REBRA</t>
  </si>
  <si>
    <t>TC60X40X25IP65</t>
  </si>
  <si>
    <t>TABLERO PARA CONEXIÓN ELECTRICA IP65 PARA EXTERIOR DE 60X40X25</t>
  </si>
  <si>
    <t>https://articulo.mercadolibre.com.co/MCO-533857930-tablero-cofre-electrico-para-intemperie-rebra-60x40x25-_JM?matt_tool=70147493&amp;matt_word=&amp;matt_source=google&amp;matt_campaign_id=14633851809&amp;matt_ad_group_id=122277564930&amp;matt_match_type=&amp;matt_network=g&amp;matt_device=c&amp;matt_creative=545410559217&amp;matt_keyword=&amp;matt_ad_position=&amp;matt_ad_type=pla&amp;matt_merchant_id=117699747&amp;matt_product_id=MCO533857930&amp;matt_product_partition_id=1403869200214&amp;matt_target_id=aud-345731277302:pla-1403869200214&amp;gclid=CjwKCAjwxOCRBhA8EiwA0X8hi2h9KaGhPVWkIZTx6Jc-aEc384ouYrEeAMKOqwI9gDLIoFjmVYU8QxoChm0QAvD_BwE</t>
  </si>
  <si>
    <t>ECO43</t>
  </si>
  <si>
    <t>CILINDRO DE ALTO FLUJO DESCOLGADO CALIDO</t>
  </si>
  <si>
    <t>K_SYH</t>
  </si>
  <si>
    <t>MANEJO Y TRANSPORTE DE LOS ITEMS DE ESTA PROPUESTA</t>
  </si>
  <si>
    <t>TL_182</t>
  </si>
  <si>
    <t>TELON MOTORIZADO DE DIMENSIONES: 4,42 x 2,50 mtrs / 174'' x 98'' Pulgadas / 200"</t>
  </si>
  <si>
    <t>TL_210</t>
  </si>
  <si>
    <t xml:space="preserve">TELON MANUAL EN FORMATO 4:3, </t>
  </si>
  <si>
    <t>UHD35</t>
  </si>
  <si>
    <t>PROYECTOR 4K DE 3600 LUMENS, HDMI 2.0 CONTROL RS232</t>
  </si>
  <si>
    <t>SCREEN_INNOVATION</t>
  </si>
  <si>
    <t>5TMEX100SL12</t>
  </si>
  <si>
    <t>TELON EN FORMATO 16:9 DE 100", COLO GRIS CON GANANCIA 1+.</t>
  </si>
  <si>
    <t>K_VER</t>
  </si>
  <si>
    <t>VERIFICACION DE FUNCIONAMIENTO DE SISTEMAS TRANSLADADOS</t>
  </si>
  <si>
    <t>PRO_M501DN</t>
  </si>
  <si>
    <t>IMPRESORA LASER DE CARTUCHO NO RECARGABLE, ESTIMADO DE IMPRESIÓN DE 18.000 HOJAS POR CARTUCHO. VELOCIDAD DE IMPRESIÓN 41. PUERTO USB Y ETHERNET.</t>
  </si>
  <si>
    <t>K_INST_IMP</t>
  </si>
  <si>
    <t>INSTALACION, MANEJO Y TRANSPORTE DE EQUIPO DE IMPRESIÓN. INCLUYE CONFIGURACION EN 3 EQUIPOS. NO INCLUYE CONEXIONES O INFRA ESTRUCTURA DE CONEXIÓN EN CASO DE SER REQUERIDA.</t>
  </si>
  <si>
    <t>IPC_A26HN_IMOU</t>
  </si>
  <si>
    <t>CAMARA IP WIFI DE 2MP, CON MEORIA USB Y POSIBILIDAD DE EXPANSION PARA GRABAR EN LA NUBE</t>
  </si>
  <si>
    <t>DELTA_LIGHT</t>
  </si>
  <si>
    <t>PARTOU_IP_93037_B_B</t>
  </si>
  <si>
    <t>LUMINARIA 3000K IP44, 873 LUMENS.</t>
  </si>
  <si>
    <t>SCH40_0.5</t>
  </si>
  <si>
    <t>TUBO SCH40 DE 3 METROS, CALIBRE 1/2.</t>
  </si>
  <si>
    <t>GXP1615</t>
  </si>
  <si>
    <t>TELÉFONO IP COMPATIBLE CON ASTERISK Y ALIMENTACION PoE.</t>
  </si>
  <si>
    <t>DH_PFS3006_4ET_60</t>
  </si>
  <si>
    <t>SWITCH pOE DE 4 PUEROS, 60W.</t>
  </si>
  <si>
    <t>G_120_MOD</t>
  </si>
  <si>
    <t>MODULO DE CLABIJA DE CORRIENTE</t>
  </si>
  <si>
    <t>FORT_II</t>
  </si>
  <si>
    <t>BASE GENERICA PARA GROMMET</t>
  </si>
  <si>
    <t>CB_810_ZC</t>
  </si>
  <si>
    <t>EXTENSION USB DE 2 METROS</t>
  </si>
  <si>
    <t>L80311SW</t>
  </si>
  <si>
    <t>TAPA DECORATIVA A PRESION BLANCA</t>
  </si>
  <si>
    <t>TWP_42BO</t>
  </si>
  <si>
    <t>TABLERO ELECTRICO TRIFASICO DE 42 CIRCUITOS SIN TOTALIZADOR.</t>
  </si>
  <si>
    <t>SD1G</t>
  </si>
  <si>
    <t>MEMORIA DE 1G TIPO SD</t>
  </si>
  <si>
    <t>46K687651</t>
  </si>
  <si>
    <t>TOMA RJ11 PARA TELEFONO</t>
  </si>
  <si>
    <t>TIM_WR</t>
  </si>
  <si>
    <t>TIMBRE INALAMBRICO DE DOS BOCINAS</t>
  </si>
  <si>
    <t>RRST_PRO_N_SW</t>
  </si>
  <si>
    <t>DIMMER RADIO RA3 LINEA SUNNATA CON FASE ADAPTATIVA.</t>
  </si>
  <si>
    <t>RRST_8ANS_SW</t>
  </si>
  <si>
    <t>INTERRUPTOR RADIO RA3 LINEA SUNNATA.</t>
  </si>
  <si>
    <t>RR_PROC3_KIT</t>
  </si>
  <si>
    <t>PROCESADOR RADIO RA3 CON ALIMENTACION PoE</t>
  </si>
  <si>
    <t>RRST_W3RL_SW</t>
  </si>
  <si>
    <t>TECLADO DE 3 BOTONES CON BOTONES ADICIONALES DE SUBIDA Y BAJADA</t>
  </si>
  <si>
    <t>ECOBP5W</t>
  </si>
  <si>
    <t>LUMINARIA DE PISO IP68 NEGRA, 3000K. 450 Lm.</t>
  </si>
  <si>
    <t>VP86R_SST_SUR_TL</t>
  </si>
  <si>
    <t>ALTAVOZ DE ALTO DESEMPENO, SENCIBILIDAD 91dB SPL Y MANEJO DE POTENCIA HASTA 150W.</t>
  </si>
  <si>
    <t>VP66R</t>
  </si>
  <si>
    <t>ALTAVOZ DE 6.5", SENCIBILIDAD 90dB SPL Y MANEJO DE POTENCIA HASTA 140W.</t>
  </si>
  <si>
    <t>TELON MOTORIZADO 16:9 DE 100" PARA PROYECCION 4 Y 8K.</t>
  </si>
  <si>
    <t>L_CUSTOM_COCINA</t>
  </si>
  <si>
    <t>LUMINARIA A MEDIDA SEGÚN ESPECIFICACION ANEXA</t>
  </si>
  <si>
    <t>L_CUSTOM_SALA</t>
  </si>
  <si>
    <t>KV_24200_DP2_A</t>
  </si>
  <si>
    <t>DRIVER DIMERIZABLE DALI DE 200W, 24VDC.</t>
  </si>
  <si>
    <t>10DYDLED010VSCCTB</t>
  </si>
  <si>
    <t>LUMINARIA DE 10W DOWNLIGHT, 700LM, TEMPERATURA. 4000K.</t>
  </si>
  <si>
    <t>PJ2_4B_TMN_P03</t>
  </si>
  <si>
    <t>TECLADO INALAMBRICO PICO DE 4 BOTONES CON MARCACION ESTANDAR EN COLOR NEGRO MATE</t>
  </si>
  <si>
    <t>L30333</t>
  </si>
  <si>
    <t>INTERRUPTOR TRIPLE NEGRO LEVITON DECORA</t>
  </si>
  <si>
    <t>https://www.amazon.com/-/es/Interruptor-decorativo-interruptores-interruptor-autoservicio/dp/B093PVWYF9/ref=sr_1_14?__mk_es_US=%C3%85M%C3%85%C5%BD%C3%95%C3%91&amp;crid=3RD964WWTRHTS&amp;keywords=black+3+switch+decora&amp;qid=1650085916&amp;sprefix=decora+switch+3+b%2Caps%2C345&amp;sr=8-14</t>
  </si>
  <si>
    <t>RTI</t>
  </si>
  <si>
    <t>RK3</t>
  </si>
  <si>
    <t>CONTROL REMOTO UNIVERSAL DE PARED. PANTALLA DE 3.5".</t>
  </si>
  <si>
    <t>SWITCH DE DATOS GIGA ETHERNET DE 16 PUERTOS NO ADMINISTRABLE.</t>
  </si>
  <si>
    <t>HQRD_8ANS_SW</t>
  </si>
  <si>
    <t>INTERRUPTOR RD DE 8 AMPERIOS COMPATIBLE CON SISTEMAS HOMEWORKS</t>
  </si>
  <si>
    <t>MS_OPS2_MN</t>
  </si>
  <si>
    <t>INTERRUPTOR CON SENSOR DE PRESENCIA INFRA ROJO PARA CARGAS HASTA 2 AMPERIOS. COLOR NEGRO MATE.</t>
  </si>
  <si>
    <t>MS_OPS6_DDV_MN</t>
  </si>
  <si>
    <t>INTERRUPTOR PARA DETECCIÓN DE OCUPACIÓN O DESOCUPACIÓN, PARA DOS CARGAS TIPO HALÓGENO, LED ATENUABLE O FLUORESCENTE COMPACTA ATENUABLE. COLOR NEGRO MATE.</t>
  </si>
  <si>
    <t>PD_6ANS_BL</t>
  </si>
  <si>
    <t>INTERRUPTOR LINEA CASETA CON NEUTRO COLOR NEGRO</t>
  </si>
  <si>
    <t>IS8ENC</t>
  </si>
  <si>
    <t>CAJA DE ENCAPSULADO PARA PARLANTE INVISIBLE</t>
  </si>
  <si>
    <t>IS8</t>
  </si>
  <si>
    <t xml:space="preserve">ALTAVOZ INVISIBLE DE 6 OHM, POTENCIA REAL DE 160W RMS. </t>
  </si>
  <si>
    <t>AM_1</t>
  </si>
  <si>
    <t>ALTAVOZ DE EXTERIOR 8 OHM 100W. MEMBRANA ACUSTICA DE 5".</t>
  </si>
  <si>
    <t>W1A30A</t>
  </si>
  <si>
    <t>MULTIFUNCIONAL LASER MONOCROMATICA DE 40 PAGINAS POR MINUTO.</t>
  </si>
  <si>
    <t>RANGER2</t>
  </si>
  <si>
    <t>CAMARA WIFI DE 4MP, PARA MEMORIA SD Y SMART TRACKING.</t>
  </si>
  <si>
    <t>PSB</t>
  </si>
  <si>
    <t>X1T</t>
  </si>
  <si>
    <t>ALTAVOCES TIPO TORRE DE 200W, IMPEDANCIA DE 4 OHM, FRECUENCIAS ENTER 35 - 23KHz.</t>
  </si>
  <si>
    <t>F301</t>
  </si>
  <si>
    <t>ALTAVOZ BOOKSHELF DE 100W, 8 OHM, RESPUESTA EN FRECUENCIA 44Hz - 28KHz.</t>
  </si>
  <si>
    <t>R_620F</t>
  </si>
  <si>
    <t>ALTAVOCES TIPO TORRE DE 100W, IMPEDANCIA DE 4 OHM, FRECUENCIAS ENTER 38 - 21KHz.</t>
  </si>
  <si>
    <t>BRONZE_200</t>
  </si>
  <si>
    <t>BALA DE PISO 5W, TEMPERATURA DE COLOR 3000K, MULTIVOLTAJE, ANGULO DE APERTURA DE 60°.</t>
  </si>
  <si>
    <t>DUPLEX2X22_M</t>
  </si>
  <si>
    <t>METRO DE CABLE DÚPLEX 2X22.</t>
  </si>
  <si>
    <t>K_REP_FUENTE</t>
  </si>
  <si>
    <t>REPARACION DE FUENTE</t>
  </si>
  <si>
    <t>SCH40_1</t>
  </si>
  <si>
    <t>TUBO SCH40 DE 3 METROS, CALIBRE 1".</t>
  </si>
  <si>
    <t>SCH40_CUR1</t>
  </si>
  <si>
    <t>CURVA SCH 40 DE 1".</t>
  </si>
  <si>
    <t>SCH40_T1</t>
  </si>
  <si>
    <t>TERMINAL SCH 40 DE 1".</t>
  </si>
  <si>
    <t>AWG10M</t>
  </si>
  <si>
    <t>METRO DE CABLE ELÉCTRICO AWG 10 CERTIFICADO</t>
  </si>
  <si>
    <t>DH_PFS3008_8GT_96</t>
  </si>
  <si>
    <t>SWITCH POE 10/100/1000 DE 60W.</t>
  </si>
  <si>
    <t>T1500G_10MPS</t>
  </si>
  <si>
    <t>SWITCH PoE ADMINISTRABLE CAPA 2 10/100/1000.</t>
  </si>
  <si>
    <t>P25441</t>
  </si>
  <si>
    <t>PANEL LED SOLAR CON BATERIA DE LITIO INTEGRADA Y CONTROL REMOTO</t>
  </si>
  <si>
    <t>TC50MM</t>
  </si>
  <si>
    <t>TUBO CILINDRICO DE 50MM DE DIAMETRO EN ACERO Y 3M DE ALTURA</t>
  </si>
  <si>
    <t>INTERRUPTOR MULTIVOLTAJE CON CONTROL 0-10</t>
  </si>
  <si>
    <t>FUENTE DE 24V, POR PWM, DIMERIZABLE 0-10</t>
  </si>
  <si>
    <t>SN_327</t>
  </si>
  <si>
    <t>AMPLIFICADOR DE DOS CANALES CLASE D PARA PARLANTES DE 4 Y 8 OHM. 125W.</t>
  </si>
  <si>
    <t>RGL256424LMB</t>
  </si>
  <si>
    <t>REGLETA LED DE 42V, HASTA 36W, 4000K, 56CM.</t>
  </si>
  <si>
    <t>AWG14R</t>
  </si>
  <si>
    <t>ROLLO DE 100 METROS DE ALAMBRE AWG14</t>
  </si>
  <si>
    <t>HDMI_60M</t>
  </si>
  <si>
    <t>CABLE HDMI 4K DE 60CM</t>
  </si>
  <si>
    <t>B2X40E</t>
  </si>
  <si>
    <t>BREAKER ENCHUFABLE DE 2 X 40 AMPERIOS.</t>
  </si>
  <si>
    <t>MC2171F</t>
  </si>
  <si>
    <t>CONVERSOR DE AUDIO DE 3.5MM A 1/4.</t>
  </si>
  <si>
    <t>RRD_6D_WH</t>
  </si>
  <si>
    <t>DIMMER DE ATENUACION DE FASE RADIO RA2.</t>
  </si>
  <si>
    <t>NP_M430WL</t>
  </si>
  <si>
    <t>PROYECTOR WXGA DE 4300 LUMENS, LASER ESTIMADO PARA 20.000 - 30.000 HORAS DE OPERACIÓN.</t>
  </si>
  <si>
    <t>PROYECTOR WUXGA DE 5200 LUMENS, LASER ESTIMADO PARA 20.000 - 30.000 HORAS DE OPERACIÓN.</t>
  </si>
  <si>
    <t>PANTALLA  DE PROYECCION CON GANANCIA 1.0. DIMENSIONES: 3,23m x 2,01m. Diagonal de 150''</t>
  </si>
  <si>
    <t>DE_0268_NEG</t>
  </si>
  <si>
    <t>APLIQUE CROBAT, LED 3.8W 311 lm 3000k 100-240V FOR LIGHT.</t>
  </si>
  <si>
    <t>CPC120</t>
  </si>
  <si>
    <t>MINI PARLANTE DE EMPOTRAR CON POTENCIA DE 20W, 8OHM.</t>
  </si>
  <si>
    <t>C165</t>
  </si>
  <si>
    <t>ALTAVOZ DE ALTA FIDELIDAD DE EMPOTRAR EN TECHO CON MEMBRANA ACUSTICA DE 6.5".</t>
  </si>
  <si>
    <t>SN_614</t>
  </si>
  <si>
    <t>AMPLIFICADOR ESTEREO DE 2X20W</t>
  </si>
  <si>
    <t>QSWS2_2BI_WH</t>
  </si>
  <si>
    <t>TECLADO DE 2 BOTONES TIPO INSERT. CON MARCACIÓN LASER. COLOR BLANCO.</t>
  </si>
  <si>
    <t>SCP</t>
  </si>
  <si>
    <t>LUT_GREEN</t>
  </si>
  <si>
    <t>ROLLO DE CABLE DE CONEXIÓN DE 305m CON DOS FILAMENTOS AWG 18 Y DOS FILAMENTOS AWG 22.</t>
  </si>
  <si>
    <t>LUT_QS_1000</t>
  </si>
  <si>
    <t>ROLLO DE CABLE DE CONEXIÓN DE 305m CON DOS FILAMENTOS AWG 16 Y DOS FILAMENTOS AWG 22.</t>
  </si>
  <si>
    <t>JM</t>
  </si>
  <si>
    <t>CUS_TE_200X40X15</t>
  </si>
  <si>
    <t>COFRE PARA TABLERO ELECTRICO DE 200Cm X 40Cm X 15Cm. CON DOBLE FONDO Y VISAGRA.</t>
  </si>
  <si>
    <t>CUS_TE_150X40X15</t>
  </si>
  <si>
    <t>COFRE PARA TABLERO ELECTRICO DE 150Cm X 40Cm X 15Cm. CON DOBLE FONDO Y VISAGRA.</t>
  </si>
  <si>
    <t>CUS_TE_60X60X15</t>
  </si>
  <si>
    <t>COFRE PARA TABLERO ELECTRICO DE 60Cm X 40Cm X 15Cm. CON DOBLE FONDO Y VISAGRA.</t>
  </si>
  <si>
    <t>METRO DE CABLE ENCAUCHETADO AWG 3X10</t>
  </si>
  <si>
    <t>3ETLLED002MV30B</t>
  </si>
  <si>
    <t>BALA GUIA DE EMPOTRAR MULTIVOLTAJE DE 3W, 3000K</t>
  </si>
  <si>
    <t>SB_RCA15</t>
  </si>
  <si>
    <t>CABLE RCA PARA SUBWOOFER DE 15 METROS</t>
  </si>
  <si>
    <t>TP120_169</t>
  </si>
  <si>
    <t>TELON OTORIZADO DE 2.65Mx 1.5m EN FORMATO 16:9. TELA BLANCA ESTÁNDAR.</t>
  </si>
  <si>
    <t>K_ING_DIA</t>
  </si>
  <si>
    <t>JORNADA DE 8 HORAS DE INGENIERIA CORRESPONDIENTE A UN EQUIPO DE 2 INGENIEROS Y UN TECNICO. PARA TRABAJO DE CAMPO O REMOTO, CONSISTENTE EN EL LEVANTAMIENTO DE EJECUCIONES PREVIAMENTE ELABORADOS POR TERCEROS.</t>
  </si>
  <si>
    <t>SPOT DIRIGIBLE DE SOBREPONER, 7W, 3000K. 440 LM.</t>
  </si>
  <si>
    <t>SCRS_15_TR_SW</t>
  </si>
  <si>
    <t>TOMACORRIENTE BLANCO MATE DE 15 AMPERIOS. 125 VAC, 60 Hz 15 A. MARCA: LUTRON.</t>
  </si>
  <si>
    <t>SC_6PF_SW</t>
  </si>
  <si>
    <t>MODULO PARA 6 UNIDADES DE JACK</t>
  </si>
  <si>
    <t>CON_1P_C6_WH</t>
  </si>
  <si>
    <t>MÓDULO DE CONEXIÓN RJ45 CATEGORIA 6</t>
  </si>
  <si>
    <t>SC_BI_SW</t>
  </si>
  <si>
    <t>TAPA CIEGA MUDULAR BLANCO MATE</t>
  </si>
  <si>
    <t>ST_6ANS_SW</t>
  </si>
  <si>
    <t>INTERRUPTOR DE LA LINEA SUNATA</t>
  </si>
  <si>
    <t>CUS_TE_100X60X15</t>
  </si>
  <si>
    <t>COFRE PARA TABLERO ELECTRICO DE 100Cm X 60Cm X 15Cm. CON DOBLE FONDO Y VISAGRA.</t>
  </si>
  <si>
    <t>K_ENSAMBLE</t>
  </si>
  <si>
    <t>ENSAMBLE DE GABINETES A MEDIDA</t>
  </si>
  <si>
    <t>CUS_TE_200X60X15</t>
  </si>
  <si>
    <t>COFRE PARA TABLERO ELECTRICO DE 200Cm X 60Cm X 15Cm. CON DOBLE FONDO Y VISAGRA.</t>
  </si>
  <si>
    <t>POINT</t>
  </si>
  <si>
    <t>B1002</t>
  </si>
  <si>
    <t>TAPA DE UN GANG TIPO BROCHA EN COLOR NEGRO</t>
  </si>
  <si>
    <t>GFNT2_W</t>
  </si>
  <si>
    <t>TOMA CORRIENTE DE DOS FASES</t>
  </si>
  <si>
    <t>ICON</t>
  </si>
  <si>
    <t>IC_1_40_101</t>
  </si>
  <si>
    <t>LUMINARIA STEP DE 10W, 3000K</t>
  </si>
  <si>
    <t>PJ2_4B_TBI_S31</t>
  </si>
  <si>
    <t>TECLADO PICO DE 4 BOTONES CON MARCACION DE CORTINAS</t>
  </si>
  <si>
    <t>41650_F</t>
  </si>
  <si>
    <t>TOMA COAXIAL DE PISO EN COLOR DORADO Y TAPA TIPO MONEDA</t>
  </si>
  <si>
    <t>41652_F</t>
  </si>
  <si>
    <t>TOMA JACK DE PISO EN COLOR DORADO Y TAPA TIPO MONEDA</t>
  </si>
  <si>
    <t>SHADE_CUS_ALC</t>
  </si>
  <si>
    <t>JUEGO DE CORTINAS A MEDIDA PARA ALCOBA SEGÚN ESPECIFICACION</t>
  </si>
  <si>
    <t>SHADE_CUS_BAN</t>
  </si>
  <si>
    <t>JUEGO DE CORTINAS A MEDIDA PARA BAÑO SEGÚN ESPECIFICACION</t>
  </si>
  <si>
    <t>SHADE_CUS_ESC</t>
  </si>
  <si>
    <t>JUEGO DE CORTINAS A MEDIDA PARA ESCALERA SEGÚN ESPECIFICACION</t>
  </si>
  <si>
    <t>QSPS_10PNL</t>
  </si>
  <si>
    <t>PANEL DE ALIMENTACION DE 35V PARA 10 CORTINAS LUTRON</t>
  </si>
  <si>
    <t>SHADE_CUS_ALC_P</t>
  </si>
  <si>
    <t>SHADE_CUS_BAN_P</t>
  </si>
  <si>
    <t>SHADE_CUS_ESC_P</t>
  </si>
  <si>
    <t>GM1B</t>
  </si>
  <si>
    <t>ALTAVOZ EN COLOR NEGRO ULTRA COMPACTO</t>
  </si>
  <si>
    <t>C4_NE_RMT</t>
  </si>
  <si>
    <t>MANDO A DISTANCIA PARA INTEGRACION DE EQUIPOS</t>
  </si>
  <si>
    <t>K_PROG_CONTROL4</t>
  </si>
  <si>
    <t>PROGRAMACION DE EQUIPO CONTROL 4 CON PERIFERICOS CONECTADOS</t>
  </si>
  <si>
    <t>TLSG3428</t>
  </si>
  <si>
    <t>SWITCH PoE DE 24 PUERTOS ADMINISTRABLE.</t>
  </si>
  <si>
    <t>K_IMPREV</t>
  </si>
  <si>
    <t>MATERIALES Y ACTIVIDADES IMPREVISTAS DENTROL DE LAS CANTIDADES CONTEMPLADAS EN PLANOS. NO INCLUYE ACTIVIDADES ADICIONALES.</t>
  </si>
  <si>
    <t>AVR_X1700H</t>
  </si>
  <si>
    <t>PROCESADOR DE AUDIO Y VIDEO DE 7.2 CANALES 8K READY.</t>
  </si>
  <si>
    <t>HQRJ_WPM_6D_120</t>
  </si>
  <si>
    <t>UNIDAD DE POTENCIA DE 6 ZONAS PARA SISTEMA HOMEWORKS QS, 2000W.</t>
  </si>
  <si>
    <t>Dañado</t>
  </si>
  <si>
    <t>VENTION</t>
  </si>
  <si>
    <t>CVGA_HDMI</t>
  </si>
  <si>
    <t>CONVERSOR DE VGA A HDMI CON AUDIO</t>
  </si>
  <si>
    <t>https://www.amazon.com/-/es/Adaptador-conector-adaptador-computadora-escritorio/dp/B08GZ159FJ/ref=sr_1_5?crid=3FGHX4DR96FLN&amp;keywords=vga%2Bto%2Bhdmi%2Bconverter&amp;qid=1654227104&amp;sprefix=conversor%2Bvga%2B%2Caps%2C167&amp;sr=8-5&amp;th=1</t>
  </si>
  <si>
    <t>NI_2100</t>
  </si>
  <si>
    <t>PROCESADOR PARA CONTROL DE DISPOSITIVOS CON 3 PUERTOS SERIALES, 3 PUERTOS INFRA ROJO Y 3 PUERTOS RELE.</t>
  </si>
  <si>
    <t>FULI</t>
  </si>
  <si>
    <t>PDLC60X160</t>
  </si>
  <si>
    <t>PELICULA TIPO PRIVALITE DE 12V. MEDIDAS 60X160</t>
  </si>
  <si>
    <t>https://es.aliexpress.com/item/1005003267627016.html?spm=a2g0o.productlist.0.0.22f265abw7VMdQ&amp;algo_pvid=bdad2e3e-fed3-46f4-a5fd-e76d3e5d4eec&amp;algo_exp_id=bdad2e3e-fed3-46f4-a5fd-e76d3e5d4eec-15&amp;pdp_ext_f=%7B%22sku_id%22%3A%2212000024937603597%22%7D&amp;pdp_npi=2%40dis%21COP%21%21480429.31%21%21%2150565.19%21%21%402101d68d16537809913431711e2586%2112000024937603597%21sea</t>
  </si>
  <si>
    <t>K_INST_PEL</t>
  </si>
  <si>
    <t>INTALACION DE FILM PRIVALITE</t>
  </si>
  <si>
    <t>PS_479</t>
  </si>
  <si>
    <t xml:space="preserve">CONVERTIDOR DE AUDIO DE DIGITAL A ANALOGO </t>
  </si>
  <si>
    <t>KIF_040_TDW</t>
  </si>
  <si>
    <t>DRIVER CON SALIDA DE CORRIENTE VARIABLE 300-1400mA 40W.</t>
  </si>
  <si>
    <t>KV_12030_DP2</t>
  </si>
  <si>
    <t>DRIVER DE VOLTAJE CONSTANTE 12V, 30W.</t>
  </si>
  <si>
    <t>KV_24060_2C_DP2</t>
  </si>
  <si>
    <t>DRIVER DE VOLTAJE CONSTANTE 24V, 60W.</t>
  </si>
  <si>
    <t>KV_24100_2C_DP2</t>
  </si>
  <si>
    <t>DRIVER DE VOLTAJE CONSTANTE 24V, 100W.</t>
  </si>
  <si>
    <t>KV_24150_2C_DP2</t>
  </si>
  <si>
    <t>DRIVER DE VOLTAJE CONSTANTE 24V, 150W.</t>
  </si>
  <si>
    <t>KIG_040_DW</t>
  </si>
  <si>
    <t>DRIVER DE CORRIENTE VARIABLE 300-1400mA 40W</t>
  </si>
  <si>
    <t>DCB</t>
  </si>
  <si>
    <t>DC_TRIM</t>
  </si>
  <si>
    <t>RIEL MAGNETICO TRIMLESS POR METRO</t>
  </si>
  <si>
    <t>DCB_SPOT_7W</t>
  </si>
  <si>
    <t>SPOT DIRECCIONAL PARA RIEL MAGNETICO DE 7W</t>
  </si>
  <si>
    <t>DCB_SPOT_12W</t>
  </si>
  <si>
    <t>SPOT DIRECCIONAL PARA RIEL MAGNETICO DE 12W</t>
  </si>
  <si>
    <t>DCB_SPHERE</t>
  </si>
  <si>
    <t>LUMINARIA DESCOLGADA EN RIEL MAGNETICO</t>
  </si>
  <si>
    <t>DCB_WASHER_12W</t>
  </si>
  <si>
    <t>TREN DE LEDS PARA RIEL MAGNETICO DE 12 PUNTOS</t>
  </si>
  <si>
    <t>DCB_WASHER_6W</t>
  </si>
  <si>
    <t>TREN DE LEDS PARA RIEL MAGNETICO DE 6 PUNTOS</t>
  </si>
  <si>
    <t>DCB_LINE</t>
  </si>
  <si>
    <t>LINEA LED DE 60CM PARA RIEL MAGNETICO</t>
  </si>
  <si>
    <t>FUENTE DE ALIMENTACION DE 48V, 9.4 AMPERIOS.</t>
  </si>
  <si>
    <t>90_A028_14_00</t>
  </si>
  <si>
    <t>LUMINARIA DE 678 LUMENS, 4000K. DE 8.9CM DE DIAMETRO.</t>
  </si>
  <si>
    <t>UNILUMIN</t>
  </si>
  <si>
    <t>KSLIM_3.9_GAB</t>
  </si>
  <si>
    <t>GABINETE CON PANTALLA LED RESOLUCION 500X1000</t>
  </si>
  <si>
    <t>TB_4</t>
  </si>
  <si>
    <t>TARJETA DE RECEPCION DE VIDEO</t>
  </si>
  <si>
    <t>STR_GAB</t>
  </si>
  <si>
    <t>STRUCTURA A MEDIDA PARA JUEGO DE PANTALLAS LED</t>
  </si>
  <si>
    <t>K_INST_PAN</t>
  </si>
  <si>
    <t>SERVICIO DE INSTALACION DE PANTALLA LED</t>
  </si>
  <si>
    <t>VH55T_E55</t>
  </si>
  <si>
    <t>MONITOR LED PARA VIDEO WALL CON BISEL DE 1.8mm, RESOLUCION DE 1920x1080.</t>
  </si>
  <si>
    <t>LICENCIA DE REPORTES PARA SISTEMA QUANTUM</t>
  </si>
  <si>
    <t>DAX88_SYS</t>
  </si>
  <si>
    <t>AMPLIFICADO DE 8 CANALES, 6 AMPLIFICADOS 2 PREAMPLIFICADOS. CON SALIDAS DE 75Q. 6 FUENTES DE AUDIO INCLUYENDO UNA FUENTE DE STREAMING. 8 TECLADOS FORMATO DECORA.</t>
  </si>
  <si>
    <t>K_INST_DAYTON</t>
  </si>
  <si>
    <t>INSTALACION DE MULTIROOM DE AUDIO</t>
  </si>
  <si>
    <t>RRST_W3RL_WH</t>
  </si>
  <si>
    <t>TECLADO LINEA SUNATA DE RADIO RA3 CON 3 BOTONES Y BOTONES DE SIBIDA Y BAJADA</t>
  </si>
  <si>
    <t>RRST_PRO_N_WH</t>
  </si>
  <si>
    <t>DIMMER DE FASE ADAPTATIVA DE 250W</t>
  </si>
  <si>
    <t>RRST_8ANS_WH</t>
  </si>
  <si>
    <t>INTERRUPTOR DE 8 AMPERIOS LINEA SUNATA RADIO RA3.</t>
  </si>
  <si>
    <t>PROCESADOR RADIO RA 3 CON FUETE PoE.</t>
  </si>
  <si>
    <t>LUK019</t>
  </si>
  <si>
    <t>PANEL LED DE 30X120, 40W, 4000K, 3200Lm.</t>
  </si>
  <si>
    <t>SN_325</t>
  </si>
  <si>
    <t>AMPLIFICADOR DE MEZCLA DE 80W, 70V.</t>
  </si>
  <si>
    <t>RCA_SEL</t>
  </si>
  <si>
    <t>SELECTOR DE FUENTE RCA</t>
  </si>
  <si>
    <t>https://www.amazon.com/dp/B0894N22CL/ref=sspa_dk_detail_4?pf_rd_p=f734d1a2-0bf9-4a26-ad34-2e1b969a5a75&amp;pf_rd_r=Y1GH0D8HB50YQ9J7M1T3&amp;pd_rd_wg=82hMd&amp;pd_rd_w=EJfgv&amp;content-id=amzn1.sym.f734d1a2-0bf9-4a26-ad34-2e1b969a5a75&amp;pd_rd_r=ae6a04e6-b644-47d6-9309-cbee97d95f7e&amp;s=aht&amp;sp_csd=d2lkZ2V0TmFtZT1zcF9kZXRhaWw&amp;th=1</t>
  </si>
  <si>
    <t>CB_505</t>
  </si>
  <si>
    <t>CABLE DE AUDIO 3.5mm A RCA DE 1.8M</t>
  </si>
  <si>
    <t>MA1260</t>
  </si>
  <si>
    <t>AMPLIFICADOR DE 6 ZONAS A 60W</t>
  </si>
  <si>
    <t>TL_SG1005P</t>
  </si>
  <si>
    <t>SWITCH PoE GIGA DE 5 PUERTOS</t>
  </si>
  <si>
    <t>CAHAPA BIOMETRICA CON LECTOR DE HUELLA, CLAVE, Y CONEXIÓN WIFI.</t>
  </si>
  <si>
    <t>DSI_AMP</t>
  </si>
  <si>
    <t>EQUIPO DE SONIDO AMPLIFICADOR CON STREAMING Y CANALES DE 125W</t>
  </si>
  <si>
    <t>X301</t>
  </si>
  <si>
    <t>SUBWOOFER COMPACTO DE 300W</t>
  </si>
  <si>
    <t>LH55VMBUBGBXGO</t>
  </si>
  <si>
    <t>MONITOR INDUSTRIAL DE 55", GARANTIA 3 AÑOS. RESOLUCION 1920X1080.</t>
  </si>
  <si>
    <t>P_CS_18C</t>
  </si>
  <si>
    <t>PAREJA DE ALTAVOCES ARQUITECTÓNICOS SIN BORDE DE 8" 40 VATIOS, RESPUESTA EN FRECUENCIA DE 63Hz - 20kHz.</t>
  </si>
  <si>
    <t>P_CI160QS</t>
  </si>
  <si>
    <t>PAREJA DE ALTAVOCES ALTAVOZ DE 6.5" CPN 125W DE POTENCIA.</t>
  </si>
  <si>
    <t>ES20</t>
  </si>
  <si>
    <t>PARALANTE DE EXTERIOR 8OHM 100W</t>
  </si>
  <si>
    <t>41707_LI</t>
  </si>
  <si>
    <t>CABLE ADAPTADOR DE VGA A HDMI</t>
  </si>
  <si>
    <t>PIE2</t>
  </si>
  <si>
    <t>PIE DE AMIGO DE 2 CENTIMETROS PARA FIJACIONES</t>
  </si>
  <si>
    <t>DH_HDW1431T1N_0280B_S4</t>
  </si>
  <si>
    <t>CAMARA IP DOMO 4MP, 20FPS PoE IP67</t>
  </si>
  <si>
    <t>DH_HFW1431S1P_A_0280B_S4_QH2</t>
  </si>
  <si>
    <t>CAMARA IP DOMO 4MP, 30FPS PoE IP67</t>
  </si>
  <si>
    <t>ACO12</t>
  </si>
  <si>
    <t>ACOLILLADORA DE CORTE</t>
  </si>
  <si>
    <t>RSD315W</t>
  </si>
  <si>
    <t>INTERRUPTOR SENCILLO DE UNA VIA</t>
  </si>
  <si>
    <t>RCD101W</t>
  </si>
  <si>
    <t>INTERRUPTOR DOBLE DE UNA VIA</t>
  </si>
  <si>
    <t>RCD111W</t>
  </si>
  <si>
    <t>INTERRUPTOR TRIPLE DE UNA VIA</t>
  </si>
  <si>
    <t>RCD303W</t>
  </si>
  <si>
    <t>INTERRUPTOR DOBLE DE 3 VIAS</t>
  </si>
  <si>
    <t>CUS_TE_120X60X15</t>
  </si>
  <si>
    <t>COFRE PARA TABLERO ELECTRICO DE 120Cm X 60Cm X 15Cm. CON DOBLE FONDO Y VISAGRA.</t>
  </si>
  <si>
    <t>SCR_15_TP</t>
  </si>
  <si>
    <t>TOMA CORRIENTE 15 AMPERIOS COLOR TAUPE, 125 VAC, 60 Hz 15 A. MARCA: LUTRON.</t>
  </si>
  <si>
    <t>SCR_15_GFST_TP</t>
  </si>
  <si>
    <t>TOMA CORRIENTE GFCI 15 AMPERIOS COLOR TAUPE, 125 VAC, 60 Hz 15 A. NIVEL DE DISPARO 4 – 6 mA, TIEMPO DE DISPARO DE  .025s. MARCA: LUTRON.</t>
  </si>
  <si>
    <t>SC_6PF_TP</t>
  </si>
  <si>
    <t>PLACA DE 6 MODULOS PARA ACCESORIOS DE CONEXIÓN EN COLOR TAUPE.</t>
  </si>
  <si>
    <t>SC_BI_TP</t>
  </si>
  <si>
    <t>TAPA CIEGA MODULAR COLOR TAUPE</t>
  </si>
  <si>
    <t>SC_1_TP</t>
  </si>
  <si>
    <t>TAPA DE UNA VENTANA ACABADO MATE COLOR TAUPE</t>
  </si>
  <si>
    <t>SC_2_TP</t>
  </si>
  <si>
    <t>TAPA DE DOS VENTANAS ACABADO MATE COLOR TAUPE</t>
  </si>
  <si>
    <t>SC_3_TP</t>
  </si>
  <si>
    <t>TAPA DE TRES VENTANAS ACABADO MATE COLOR TAUPE</t>
  </si>
  <si>
    <t>SC_4_TP</t>
  </si>
  <si>
    <t>TAPA DE CUATRO VENTANA ACABADO MATE COLOR TAUPE</t>
  </si>
  <si>
    <t>SC_5_TP</t>
  </si>
  <si>
    <t>SC_6_TP</t>
  </si>
  <si>
    <t>RF6500BR</t>
  </si>
  <si>
    <t>TOMA CORRIENTE DE PISO CON TAPA TIPO MONEDA</t>
  </si>
  <si>
    <t>RW51810</t>
  </si>
  <si>
    <t>TAPA PARA EXTERIOR DE TOMA CORREINTE DOBLE</t>
  </si>
  <si>
    <t>RR15SBKWRTR</t>
  </si>
  <si>
    <t>TOMA CORRIENTE DOBLE 15 AMPERIOS</t>
  </si>
  <si>
    <t>CUS_TE_90x45x10</t>
  </si>
  <si>
    <t>COFRE PARA TABLERO ELECTRICO DE 90Cm X 45Cm X 10Cm. CON DOBLE FONDO Y VISAGRA.</t>
  </si>
  <si>
    <t>K_ADE_LIGHT</t>
  </si>
  <si>
    <t>ADECUACIONES DE TECHO PARA LA INSTALACION DE ILUMINACION DEL PROYECTO, INCLUYE RESANE EN LA TERMINACION Y PINTURA DE TECHO EN LAS ZONAS INTERVENIDAS</t>
  </si>
  <si>
    <t>TREB3X8_10</t>
  </si>
  <si>
    <t>METRO DE CABLE PARA ACOMETIDA CONCENTRICO 3X8 + 10.</t>
  </si>
  <si>
    <t>CP22X17X14</t>
  </si>
  <si>
    <t>CAJA PLÁSTICA HERMÉTICA DE 22CM X 17CM X 14</t>
  </si>
  <si>
    <t>TAB_M8</t>
  </si>
  <si>
    <t>LENOVO TAB DE 8"</t>
  </si>
  <si>
    <t>K_INST_SPOT</t>
  </si>
  <si>
    <t>INSTALACION DE SPOT EN PUNTO ELECTRICO EXISTENTE</t>
  </si>
  <si>
    <t>CLSPRGBSS22</t>
  </si>
  <si>
    <t>METRO DE CINTA LED RGB A 12V</t>
  </si>
  <si>
    <t>CRGBCR01</t>
  </si>
  <si>
    <t>CONTROLADOR DE CINTA RGB</t>
  </si>
  <si>
    <t>C5X5C4</t>
  </si>
  <si>
    <t>METRO DE TUBO CALIBRE 4mm CUADRADO DE 5CM</t>
  </si>
  <si>
    <t>ANG3X4</t>
  </si>
  <si>
    <t>ANGULO DE 3X4MM EN L</t>
  </si>
  <si>
    <t>K_INST_GEN</t>
  </si>
  <si>
    <t>INSTALACION DE LOS ELEMENTOS DE ESTA PROPUESTA</t>
  </si>
  <si>
    <t>FCLAM</t>
  </si>
  <si>
    <t>LAMINA DE FIBROCEMENTO DE 2.44MX1.22M</t>
  </si>
  <si>
    <t>CALYPSO</t>
  </si>
  <si>
    <t>TM5050</t>
  </si>
  <si>
    <t>CAJA DE TAPETE MODULAR DE 5M2</t>
  </si>
  <si>
    <t>M2DRY</t>
  </si>
  <si>
    <t>METRO DE DRYWALL INSTALADO CON MODULACIÓN PARA INDIRECTAS, CORTINEROS, OTROS.</t>
  </si>
  <si>
    <t>PIZANO</t>
  </si>
  <si>
    <t>MBAS3030</t>
  </si>
  <si>
    <t>METRO DE LISTON EN MADERA BASTIDOR EN PINO DE 30X30mm</t>
  </si>
  <si>
    <t>SET_MOVIE</t>
  </si>
  <si>
    <t>SET MODULAR DE SOFAS CON 8 PUESTOS, EN PRANNA. BRAZO CON VASERAS. MEDIDAS ESTIMADAS SEGÚN PLANOS.</t>
  </si>
  <si>
    <t>CAR_15_GFTR_WH</t>
  </si>
  <si>
    <t>MX1050Z</t>
  </si>
  <si>
    <t>TAPA PARA TOMA CORRIENTE DE INTEMPERIE EN COLOR NEGRO</t>
  </si>
  <si>
    <t>FUENTE 12V, 2.4 AMPERIOS PARA MONTAJE EN RIEL.</t>
  </si>
  <si>
    <t>QP1_1P0CSE_120</t>
  </si>
  <si>
    <t>QSL_BMS_PKG</t>
  </si>
  <si>
    <t>PAQUETE DE LICENCIA PARA INTEGRACION</t>
  </si>
  <si>
    <t>MRF2S_6ANS_SW</t>
  </si>
  <si>
    <t>DIMMER LINEA VIVE CON CONEXIÓN INALAMBRICA Y CAPACIDAD DE 6 AMPERIOS.</t>
  </si>
  <si>
    <t>HQWT_U_P4W_CWH_E</t>
  </si>
  <si>
    <t>TECLADO DE 4 BOTONES LINEA PALLADIUM CON TERMINADO EN VIDRIO</t>
  </si>
  <si>
    <t>K_INST_DALI</t>
  </si>
  <si>
    <t>INSTALACIÓN DE MODULO DALI</t>
  </si>
  <si>
    <t>K_PROG_DALI</t>
  </si>
  <si>
    <t>PROGRAMACIÓN DE EQUIPOS DIRECCIONADOS MEDIANTE PROTOCOLO DALI</t>
  </si>
  <si>
    <t>K_INST_DMX</t>
  </si>
  <si>
    <t>INSTALACIÓN DE MODULO DMX</t>
  </si>
  <si>
    <t>K_INST_IO</t>
  </si>
  <si>
    <t>K_PROG_DMX</t>
  </si>
  <si>
    <t>PROGRAMACIÓN DE MODULO DMX</t>
  </si>
  <si>
    <t>K_PROG_IO</t>
  </si>
  <si>
    <t>PROGRAMACIÓN DE MODULO IO</t>
  </si>
  <si>
    <t>K_PROG_DRIVER</t>
  </si>
  <si>
    <t>PROGRAMACIÓN DE DRIVER</t>
  </si>
  <si>
    <t>PROGRAMACIÓN DE QSM</t>
  </si>
  <si>
    <t>INSTALACIÓN DE INTERFAZ DALI/ECOSYSTEM A CONTROL 0-10VDC.</t>
  </si>
  <si>
    <t>PROGRAMACIÓN DE INTERFAZ DALI/ECOSYSTEM A CONTROL 0-10VDC.</t>
  </si>
  <si>
    <t>K_VIAT_TRANS</t>
  </si>
  <si>
    <t>VIÁTICOS, DIETAS Y TRANSPORTE AÉREO Y/O TERRESTRE EN EL LUGAR DEL PROYECTO DURANTE LA(S) VISITAS PREVISTAS.</t>
  </si>
  <si>
    <t>TOP</t>
  </si>
  <si>
    <t>TOP2X16R</t>
  </si>
  <si>
    <t>ROLLO DE CABLE CERTIFICADO DE 305 METROS LIBRE DE OXIGENO CALIBRE 2X16 PARA ALTAVOCES.</t>
  </si>
  <si>
    <t>U_POE_AF</t>
  </si>
  <si>
    <t>FUENTE DE ALIMENTACION PoE 48V</t>
  </si>
  <si>
    <t>POE_24_12W</t>
  </si>
  <si>
    <t>FUENTE DE ALIMENTACION PoE 24V</t>
  </si>
  <si>
    <t>FUENTE DE ALIMENTACION DE 24V 5 AMPERIOS PARA MONTAJE EN RIEL DIN</t>
  </si>
  <si>
    <t>VM46T_U</t>
  </si>
  <si>
    <t>MONITOR IPS 46. 24/7. 500CD MARCO A MARCO3,5MM. SIN PLAYER GARANTÍA: 3 AÑOS</t>
  </si>
  <si>
    <t>WMN_46VD_ZA</t>
  </si>
  <si>
    <t>SOPORTE PARA MONITOR DE VIDEOWALL DE 46".
PULGADAS</t>
  </si>
  <si>
    <t>KD_DA1X8</t>
  </si>
  <si>
    <t>DISTRIBUIDOR DE SENAL 1x8</t>
  </si>
  <si>
    <t>LIC_MI_PREMIUM</t>
  </si>
  <si>
    <t>LICENCIA MAGICINFO I PREMIUM</t>
  </si>
  <si>
    <t>K_INST_PROG_CAP</t>
  </si>
  <si>
    <t>INSTALACION, PROGRAMACION Y CAPACITACION EN EL MANEJO DE LOS EQUIPOS QUE HACEN PARTE DE LA PROPUESTA</t>
  </si>
  <si>
    <t>-PROG_-</t>
  </si>
  <si>
    <t>K_REP_LAMP</t>
  </si>
  <si>
    <t>REPARACIÓN DE LUMINARIA. INCLUYE CONSECUCIÓN DE ACCESORIOS</t>
  </si>
  <si>
    <t>M2_DRY</t>
  </si>
  <si>
    <t>METRO DE DRYWALL INSTALADO CON PINTURA</t>
  </si>
  <si>
    <t>M2_DRY_LIN</t>
  </si>
  <si>
    <t>INSTALACION DE MODULACION EN METRO LINEAL DE DRYWALL</t>
  </si>
  <si>
    <t>YDLEDZ_002_CCT</t>
  </si>
  <si>
    <t>LUMINARIA CON TEMPERATURA DE COLOR VARIABLE Y ATENUABLE POR CONTROL REMOTO. DIAMETRO DE 17CM.</t>
  </si>
  <si>
    <t>K_ANI_CUSTOM</t>
  </si>
  <si>
    <t>SUPLEMENTO TIPO ANILLO A MEDIDA PARA LUMINARIA</t>
  </si>
  <si>
    <t>AVR_S760H</t>
  </si>
  <si>
    <t>PROCESADOR DE AUDIO Y VIDEO DE DOS ZONAS 7.2, RESOLUCIÓN 8K</t>
  </si>
  <si>
    <t>LY120_S2010W30_W12_CRI90_IP20</t>
  </si>
  <si>
    <t>CINTA LED DE 9.6W/M, 120 LED POR METRO, TEMPERATURA 3000K. 12VDC.</t>
  </si>
  <si>
    <t>LY420_S2010W27_W24_IP20_CRI90</t>
  </si>
  <si>
    <t>CINTA LED DE 20W/M, 240 LED POR METRO, TEMPERATURA 3000K. 24VDC</t>
  </si>
  <si>
    <t>LE_3535G</t>
  </si>
  <si>
    <t>PERFIL DE ALUMINIO CON DIFUSOR DE 1M.</t>
  </si>
  <si>
    <t>MS_Z101_WH</t>
  </si>
  <si>
    <t>ATENUADOR CON CONTROL 0-10VDC Y SENSOR DE PRESENCIA</t>
  </si>
  <si>
    <t>HUB SISTEMA VIVE CON FUENTE DE PODER</t>
  </si>
  <si>
    <t>DT</t>
  </si>
  <si>
    <t>DRIVER CON INTERFAZ DALI PARA ATENUACION POR TRIAC, POTENCIA DE 150W, 1.5AMPERIOS. MULTIVOLTAJE.</t>
  </si>
  <si>
    <t>DH</t>
  </si>
  <si>
    <t>DRIVER CON INTERFAZ DALI PARA CONMUTACION DE CARGAS, POTENCIA DE 500W, 5 AMPERIOS. MULTIVOLTAJE.</t>
  </si>
  <si>
    <t>MA_L3L3_WH</t>
  </si>
  <si>
    <t>DIMMER MAESTRO DOBLE PARA CONTROL DE CARGAS HALOGENAS.</t>
  </si>
  <si>
    <t>INTERRUPTOR Y DIMMER PARA CARGA HALOGENA</t>
  </si>
  <si>
    <t>RMJS_8T_DV_B_EM</t>
  </si>
  <si>
    <t>INTERRUPTOR DE 8 AMPERIOS, SISTEMA VIVE, CONTROL DE CARGAS 0-10VDC.</t>
  </si>
  <si>
    <t>2010 SMD LED Strip, 120 LEDs/M, 12V/DC, 9.6W, Ra&gt;90, 3000K, white PCB 8mm, IP20 Non-waterproof, 3M tape, 5meter per reel with 30cm cable from both ends</t>
  </si>
  <si>
    <t>2010 SMD LED Strip, 420 LEDs/M, 24V/DC, 20W/M, Ra&gt;90, 2700K, CRI90, white PCB 10mm, IP20 Non-waterproof, 3M tape, 5meter/reel, 30cm cable from both ends</t>
  </si>
  <si>
    <t>1 meter Silver Alum case)+(1 meter PC DIFFUSER cover)+(1* white End cap with hole+1 white end cap without hole )+ 2PCS(5cm Spring Clip ), 1M/set</t>
  </si>
  <si>
    <t>LS1407K</t>
  </si>
  <si>
    <t>1 meter Silver Alum case)+(1 meter PC DIFFUSER cover)+(1* white End cap with hole+1 white end cap without hole )+ (2pcs Silver Mounting brackets), 1M/set</t>
  </si>
  <si>
    <t>LS1506B</t>
  </si>
  <si>
    <t>LC_1407</t>
  </si>
  <si>
    <t>(1 meter Silver Alum case)+(1 meter PC Diffuser cover)+(1* white End cap with hole+1 white end cap without hole )+ (2pcs Silver Mounting brackets), 1M/set</t>
  </si>
  <si>
    <t>LB_3530_BI_R600</t>
  </si>
  <si>
    <t>Bending inward 360° , Black color, R600≈3770mm</t>
  </si>
  <si>
    <t>LB_3530_BI_R900</t>
  </si>
  <si>
    <t>Bending inward 360° , Black color, R900≈5655mm</t>
  </si>
  <si>
    <t>LY48_FW2835W27_24_IP67_CRI90_45</t>
  </si>
  <si>
    <t>FLEX Wall Washer LED Strip, 24V/DC, 18W, Ra&gt;90, 45degree beam angle, 2700K,IP67, 3M tape, 5meter per reel with 30cm cable from both ends</t>
  </si>
  <si>
    <t>LY420_S2010W30_W24_IP20_CRI90</t>
  </si>
  <si>
    <t>2010 SMD LED Strip, 420 LEDs/M, 24V/DC, 20W/M, Ra&gt;90, 3000K, CRI90, white PCB 10mm, IP20 Non-waterproof, 3M tape, 5meter/reel, 30cm cable from both ends.</t>
  </si>
  <si>
    <t>LY480_COBW27_W24_8MM_IP65H_CRI90</t>
  </si>
  <si>
    <t>COB Single color LED Strip, 480 LEDs/M, 24V/DC, 10W, Ra&gt;90, 2700K, white PCB 8mm, IP65H(Heat Shrink Tube), 3M tape, 5meter per reel with 30cm cable from both ends.</t>
  </si>
  <si>
    <t>LY360_S3838RGBTW _W24_IP20_CRI95</t>
  </si>
  <si>
    <t>3838SMD &amp; 1808SMD RGBTW LED Strip, 360 LEDs/M, 24V/DC, 24W, Ra&gt;90, RGBTW(TW:2700K+6000K ), white PCB 12mm, IP20 Non-waterproof, 3M tape, 5meter per reel with 30cm cable from both ends.</t>
  </si>
  <si>
    <t>LY60_LS5050RGBTW _W24_IP20_CRI95</t>
  </si>
  <si>
    <t>5050 RGBTW 5 in 1 LED Strip, 60 LEDs/M, 24V/DC, 19.2W, RGBTW(TW:2700K+6000K ), white PCB 12mm, IP20 Non-waterproof, 3M tape, 5meter per reel with 30cm cable from both ends</t>
  </si>
  <si>
    <t>V5</t>
  </si>
  <si>
    <t>12-24VDC 5A*5CH, Max 25A, 300W/600W(12V/24V) Push Dim,Over-load /Short circuit</t>
  </si>
  <si>
    <t>RT10</t>
  </si>
  <si>
    <t>4 zones Universal light type</t>
  </si>
  <si>
    <t>NS_S0612_W27_10W_CV</t>
  </si>
  <si>
    <t>S0612 Side Bend Neon Strip,constent voltage, 24V/DC, 10W, Ra&gt;90, 2700K, IP67, 3M tape,
both ends with IP67 silicone end cap and 30cm cable outlet from end.</t>
  </si>
  <si>
    <t>S0612_CAPB_IP67</t>
  </si>
  <si>
    <t>IP67 Silicone end cap with hole that cable can be out from the bottom</t>
  </si>
  <si>
    <t>S0612_CAP_IP67</t>
  </si>
  <si>
    <t>FW_AM</t>
  </si>
  <si>
    <t>rotating mounting clip</t>
  </si>
  <si>
    <t>FW_MC</t>
  </si>
  <si>
    <t>stainless steel mounting clip: 1bag = 1 pcs bracket size: 20*15*10.5mm(L*W*H)+ 1 pcs screw</t>
  </si>
  <si>
    <t>FW_SC</t>
  </si>
  <si>
    <t>Silicone clip: 1bag=10 pcs clip+20 pcs screw, silicone clip size: 15mm(W)*4.5mm(H)</t>
  </si>
  <si>
    <t>S0612_MP</t>
  </si>
  <si>
    <t>Mounting profile, used for S0612, 1M/PC</t>
  </si>
  <si>
    <t>FW_AP</t>
  </si>
  <si>
    <t>1m/pcs, Aluminum Profile(23*7.4*1000mm)</t>
  </si>
  <si>
    <t>MRF2S_6CL_TP</t>
  </si>
  <si>
    <t>DIMMER MAESTRO PARA CARGAS LED HASTA 150 VATIOS O 600 VATIOS EN HALÓGENAS. COMPATIBLE CON SISTEMA VIVE. COLOR  TAUPE.</t>
  </si>
  <si>
    <t>MSC_S8AM_TP</t>
  </si>
  <si>
    <t>INTERRUPTOR MAESTRO EN COLOR TAUPE</t>
  </si>
  <si>
    <t>PJ2_4B_GBL_L21</t>
  </si>
  <si>
    <t>TECLADO PICO DE 4 BOTONES CON MARCACION DE ILUMINACION EN COLOR NEGRO</t>
  </si>
  <si>
    <t>2010 SMD LED Strip, 420 LEDs/M, 24V/DC, 20W/M, Ra&gt;90, 2700K, CRI90, white PCB 10mm, IP20 Non-waterproof, 3M tape, 5meter/reel, 30cm cable from both ends.</t>
  </si>
  <si>
    <t>CAR_15_UBTR_WH</t>
  </si>
  <si>
    <t>TOMA CORRIENTE CON USB EN COLOR BLANCO</t>
  </si>
  <si>
    <t>CW_5_WH</t>
  </si>
  <si>
    <t>TAPA DECORATIVA DE CINCO UNIDADES A PRESIÓN BLANCA.</t>
  </si>
  <si>
    <t>CW_6_WH</t>
  </si>
  <si>
    <t>TAPA DECORATIVA DE SEIS UNIDADES A PRESIÓN BLANCA.</t>
  </si>
  <si>
    <t>MASTER DE INTEGRACION CON 3 PUERTOS RS-232, 4 PUERTOS IR Y COMUNICACIONES TCP-IP</t>
  </si>
  <si>
    <t>QP5_1L_POE</t>
  </si>
  <si>
    <t>HUB DE CONTROL DE ILUMINACION LINEA ATHENA</t>
  </si>
  <si>
    <t>QSN_2DALUNV_S</t>
  </si>
  <si>
    <t>PANEL CON DOS BUSES DE DATOS PARA DIRECCIONAMIENTO DALI HASTA 64 DIRECCIONES C/U</t>
  </si>
  <si>
    <t>QSN_4A5_S</t>
  </si>
  <si>
    <t>MODULO DE ATENUACION DE 4 ZONAS PARA CARGAS LED, HALOGENAS, OTRAS SEGÚN FICHA TECNICA.</t>
  </si>
  <si>
    <t>LSC_SILV_CS_IN_1</t>
  </si>
  <si>
    <t>PLAN DE MANTENIMIENTO Y SOPORTE NIVEL PLATA DE 1 AÑO, INCLUÍDO SIN COSTO</t>
  </si>
  <si>
    <t>LSC_SILV_CS_IN_2</t>
  </si>
  <si>
    <t>PLAN DE MANTENIMIENTO Y SOPORTE NIVEL PLATA DE 2 AÑOS, INCLUÍDO SIN COSTO.</t>
  </si>
  <si>
    <t>NLV_2003P_BL</t>
  </si>
  <si>
    <t>DIMMER POR CORTE DE FASE PARA CARGAS DE HASTA 2000VA.</t>
  </si>
  <si>
    <t>NTCL_250</t>
  </si>
  <si>
    <t>LUT_QS</t>
  </si>
  <si>
    <t>ROLLO DE CABLE DE CONEXIÓN DE 150m CON DOS FILAMENTOS AWG 16 Y DOS FILAMENTOS AWG 22.</t>
  </si>
  <si>
    <t>NP_MC423W</t>
  </si>
  <si>
    <t>PROYECTOR DE LAMPARA RESOLUCION WXGA DE 4200 LUMENS Y ENTRADA HDMI DUAL.</t>
  </si>
  <si>
    <t>C4_EA1_V2</t>
  </si>
  <si>
    <t>CONTROLADORA CON DOS PUERTOS SERIALES, 4 PUERTOS IR Y CONTROL IP.</t>
  </si>
  <si>
    <t>GWN7660_1</t>
  </si>
  <si>
    <t>ACCESS POINT WIFI 6 DE LARGO ALCANCE PARA 200 USUARIOS</t>
  </si>
  <si>
    <t>PD_5NE_WH</t>
  </si>
  <si>
    <t>ATENUADOR DE FASE ADAPTATIVA PARA CARGAS ELECTRONICAS DE BAJO VOLTAJE..</t>
  </si>
  <si>
    <t>CAR_PAR_38</t>
  </si>
  <si>
    <t>CARDAN DIRECCIONAL PARA UNA BOMBILLA PAR 38</t>
  </si>
  <si>
    <t>FULL</t>
  </si>
  <si>
    <t>TIM_24</t>
  </si>
  <si>
    <t>TIMER MECANICO 24 HORAS</t>
  </si>
  <si>
    <t>BEAM_G2_B</t>
  </si>
  <si>
    <t>BARRA DE SONIDO COMPACTA PARA TV</t>
  </si>
  <si>
    <t>MOVE_B</t>
  </si>
  <si>
    <t>PARLANTE MOVIL COMPACTO</t>
  </si>
  <si>
    <t>HQP7_RF</t>
  </si>
  <si>
    <t>MODULO DE COMUNICACIÓN CLEAR CONNECT, PARA INTEGRACION DE EQUIPOS KETRA Y SUNNATA</t>
  </si>
  <si>
    <t>HRST_PRO_N_MN</t>
  </si>
  <si>
    <t>DIMMER LINEA SUNNATA PARA CARGAS DE 250W LED O 400W EN HALOGENOS. COLOR NEGRO MATE.</t>
  </si>
  <si>
    <t>HRST_W_MN</t>
  </si>
  <si>
    <t>TECLADO LINEA SUNNATA RF EN COLOR NEGRO MATE.</t>
  </si>
  <si>
    <t>PJ2_3BRL_TMN_L01</t>
  </si>
  <si>
    <t>TECLADO DE CONTROL CON FLECHAS DE SUBIDA Y BAJADAEN COLOR NEGRO MATE.</t>
  </si>
  <si>
    <t>NS_T1212_W24_5_CC</t>
  </si>
  <si>
    <t>SET DE 5 METROS DE CINTA NEON, 2400K, CORRIENTE CONSTANTE 24W.</t>
  </si>
  <si>
    <t>T1212_CAP_B_IP65</t>
  </si>
  <si>
    <t>CAPUCHA DE FINALIZACION PARA NEON</t>
  </si>
  <si>
    <t>T1212_CAP_E_IP65</t>
  </si>
  <si>
    <t>CAPUCHA DE FINALIZACION CON FINALIZACION PARA CABLE.</t>
  </si>
  <si>
    <t>T1212_CAP_IP65</t>
  </si>
  <si>
    <t>CAPUCHA DE FINALIZACION CON PERFORACION PARA CABLE.</t>
  </si>
  <si>
    <t>CLIP DE SUJECION PARA CINTA NEON</t>
  </si>
  <si>
    <t>T1212_CAP_B_IP67</t>
  </si>
  <si>
    <t>T1212_CAP_E</t>
  </si>
  <si>
    <t>T1212_CAP_IP67</t>
  </si>
  <si>
    <t>T1212_MC</t>
  </si>
  <si>
    <t>NS_T1212_W27_5_CV</t>
  </si>
  <si>
    <t>SET DE 5 METROS DE CINTA NEON, 2700K, CORRIENTE CONSTANTE 24W.</t>
  </si>
  <si>
    <t>DDMX1_BLZ</t>
  </si>
  <si>
    <t>ATENUADOR UNIV. Y TEMP BLUETOOTH DD LED/CFL 450W /120VAC</t>
  </si>
  <si>
    <t>D26HD_1BW</t>
  </si>
  <si>
    <t xml:space="preserve"> DECORA SMART ATENUADOR UNIVERSAL WI-FI LED/INC 600W ALEXA Y G. HOME</t>
  </si>
  <si>
    <t>DD00R_DLZ</t>
  </si>
  <si>
    <t>DECORA SMART ATENUADOR REMOTO CONMUTABLE HASTA 5 UBICACIONES</t>
  </si>
  <si>
    <t>DW4SF_1BW</t>
  </si>
  <si>
    <t>DS CONTROL DE 4 VELOCIDADES DE VENTILADOR ALEXA Y GOOGLE 1.5AMP@120V</t>
  </si>
  <si>
    <t>L5603_2W</t>
  </si>
  <si>
    <t>INTERRUPTOR SENCILLO CONM.3 VIAS DECORA 15A 120/277V BLANCA</t>
  </si>
  <si>
    <t>L80309_SW</t>
  </si>
  <si>
    <t>TAPA DE INCRUSTAR DE DOS VENTANAS</t>
  </si>
  <si>
    <t>L80311_SW</t>
  </si>
  <si>
    <t>TAPA DE INCRUSTAR DE TRES VENTANAS</t>
  </si>
  <si>
    <t>L80312_SW</t>
  </si>
  <si>
    <t>TAPA DE INCRUSTAR DE CUATRO VENTANAS</t>
  </si>
  <si>
    <t>T5632_W</t>
  </si>
  <si>
    <t>TOMA CORRIENTE 15A CON SALIDAS USB</t>
  </si>
  <si>
    <t>CI160.2CS</t>
  </si>
  <si>
    <t>PARLANTE DE 8OHM, MEDIDAS 22.3CM X 22.3CM. POTENCIA DE MANEJO 10-100W.</t>
  </si>
  <si>
    <t>CI130.2CS</t>
  </si>
  <si>
    <t>PARLANTE DE 8OHM, MEDIDAS 18.4CM X 18.4CM. POTENCIA DE MANEJO 10-100W.</t>
  </si>
  <si>
    <t>CI200.TRB</t>
  </si>
  <si>
    <t>SUBWOOFER DE 2X 8 OHM, 29CM DE DIAMETRO.125W.</t>
  </si>
  <si>
    <t>PROCESADOR DE AUDIO Y VIDEO DE 7.2 CANALES, 8K, 165W POR CANAL, Bluetooth®. STREAMING DE MÚSICA. ZONA 2 AMPLIFICADA.</t>
  </si>
  <si>
    <t>DEMAO</t>
  </si>
  <si>
    <t>RCMM</t>
  </si>
  <si>
    <t>EXTENDER DE INFRA ROJO</t>
  </si>
  <si>
    <t>https://www.amazon.com/Repeater-Infrared-Controls-Theater-Support/dp/B09Z2ZF8GX/ref=sr_1_14?keywords=infrarrojo+extender&amp;qid=1659069658&amp;refinements=p_72%3A1248879011&amp;rnid=1248877011&amp;s=electronics&amp;sr=1-14</t>
  </si>
  <si>
    <t>GEN_DIM_300</t>
  </si>
  <si>
    <t>DRIVER DIMERIZABLE DE 300mA</t>
  </si>
  <si>
    <t>PIRIK</t>
  </si>
  <si>
    <t>POT_10K</t>
  </si>
  <si>
    <t>POTENCIOMETRO DE 10K</t>
  </si>
  <si>
    <t>G45D_LEDF_001_27F</t>
  </si>
  <si>
    <t>BOMBILLA VINTAGE DIMERIZABLE DE 4.5W</t>
  </si>
  <si>
    <t>CW8</t>
  </si>
  <si>
    <t>SUBWOOFER CON MEMBRANA DE 8 OHM, AMPLIFICADOR INTERNO CLASE D DE 400W</t>
  </si>
  <si>
    <t>VP42R</t>
  </si>
  <si>
    <t>ALTAVOZ DE 4.5" CON CAPACIDAD DE 70W. 8 OHM DE IMPEDANCIA.</t>
  </si>
  <si>
    <t>E110</t>
  </si>
  <si>
    <t xml:space="preserve">TELON DE PROYECCION FORMATO 16:9 DE 110", </t>
  </si>
  <si>
    <t>ALBION</t>
  </si>
  <si>
    <t>ALB_PRO_T_120</t>
  </si>
  <si>
    <t>PANTALLA DE PROYECCION MTORIZADA 16:9 DE 120"</t>
  </si>
  <si>
    <t>ALB_PRO_T_135</t>
  </si>
  <si>
    <t>PANTALLA DE PROYECCION MTORIZADA 16:9 DE 135"</t>
  </si>
  <si>
    <t>CP_6</t>
  </si>
  <si>
    <t>ALTAVOZ DE 75W, CON 8 OHM DE IMPEDANCIA. RESPUESTA EN FRECUENCIA DE 83-22KHz.</t>
  </si>
  <si>
    <t>JAMO</t>
  </si>
  <si>
    <t>IC_606_F2</t>
  </si>
  <si>
    <t>PARLANTE DE 6.5", POTENCIA DE 80W. IMPEDANCIA SELECCIONABLE DE 4 U 8 OHM.</t>
  </si>
  <si>
    <t>IC_608_F2</t>
  </si>
  <si>
    <t>PARLANTE DE 8", POTENCIA DE 80W. IMPEDANCIA SELECCIONABLE DE 4 U 8 OHM.</t>
  </si>
  <si>
    <t>IC_630</t>
  </si>
  <si>
    <t>PARLANTE DE ALTA FIDELIDAD , 6.5", MANEJO FERCUENCIA DE 45 Hz - 25 kHz, 8OHM 110W.</t>
  </si>
  <si>
    <t>IC_830</t>
  </si>
  <si>
    <t>PARLANTE DE ALTA FIDELIDAD , 8", MANEJO FERCUENCIA DE 38 Hz - 25 kHz, 8OHM 130W.</t>
  </si>
  <si>
    <t>RRST_PRO_N_MN</t>
  </si>
  <si>
    <t>RRST_8ANS_MN</t>
  </si>
  <si>
    <t>RRST_W3RL_MN</t>
  </si>
  <si>
    <t>&lt;&lt;</t>
  </si>
  <si>
    <t>DH_XVR5104H_4KL_I3</t>
  </si>
  <si>
    <t>XVR DE 4 CANALES, GRABACION HASTA 4 K.</t>
  </si>
  <si>
    <t>OT180</t>
  </si>
  <si>
    <t>DRIVER PARA ATENUACION 0-10 PROGRAMABLE DE 180W</t>
  </si>
  <si>
    <t>K_INST_FL</t>
  </si>
  <si>
    <t>INSTALACION DE LUMINARIA FLUORESCENTE</t>
  </si>
  <si>
    <t>T832</t>
  </si>
  <si>
    <t>TUBO FLUORESCENTE T8 DE 32W, 6000K</t>
  </si>
  <si>
    <t>PDA69BU</t>
  </si>
  <si>
    <t>AMPLIFICADOR DE 30W CON UNA SALIDA ESTEREO. LECTURA DE MEMORIA SD Y USB. EMISORA FM.</t>
  </si>
  <si>
    <t>https://www.amazon.com/-/es/amplificador-potencia-est%C3%A9reo-inal%C3%A1mbrico-Bluetooth/dp/B09QLG8RC3/ref=sr_1_3?__mk_es_US=%C3%85M%C3%85%C5%BD%C3%95%C3%91&amp;crid=FYXIAHLOPF2N&amp;keywords=pyle%2Busb%2Bamplifier&amp;qid=1659970284&amp;sprefix=pyle%2Busb%2Bamplifiers%2Caps%2C173&amp;sr=8-3&amp;th=1</t>
  </si>
  <si>
    <t>PJ2_4B_TSW_S21</t>
  </si>
  <si>
    <t>TECLADO BLANCO NIEVE CON MARCACION DUAL DE CORTINAS EN 4 BOTONES.</t>
  </si>
  <si>
    <t>PJ2_4B_TSW_S01</t>
  </si>
  <si>
    <t>TECLADO BLANCO NIEVE CON MARCACION DE CORTINAS, CON SUBIDA Y BAJADA EN 4 BOTONES.</t>
  </si>
  <si>
    <t>SUNRICHER</t>
  </si>
  <si>
    <t>SR_2701S_N</t>
  </si>
  <si>
    <t>MODULO DALI DE SWITCHEO CON CONTROL 0-10.</t>
  </si>
  <si>
    <t>LUXY_CUSTOM_1</t>
  </si>
  <si>
    <t>LUMINARIA LINEAL PARA SUSPENDER-EASY REGATTA COX POSTOPTICADORADA CHASIS NEGRO CON 7 SPOTS Y 6 TRAMOS RECTOS DE 60CM CON ILUMINACION VOLUMETRICA DIRECTA.</t>
  </si>
  <si>
    <t>LUXY_CUSTOM_2</t>
  </si>
  <si>
    <t>FIGURA HEXAGONAL - EASY REGATTA COX POSTOPTICA DORADA CHASIS NEGRO CON 16 SPOTS Y 15 TRAMOS DE LINEA RECTA DE 60CM.</t>
  </si>
  <si>
    <t>POWERNODE</t>
  </si>
  <si>
    <t>AMPLIFICADOR ESTEREO CON CALIDAD DE STREAMING MQA. 80 VATIOS.</t>
  </si>
  <si>
    <t>M10_V2</t>
  </si>
  <si>
    <t>AMPLIFICADOR ESTEREO DE 130W CON PANTALLA DE CONTROL. FORMATOS MP3, AAC, WMA, OGG, WMA-L, ALAC, OPUS.</t>
  </si>
  <si>
    <t>BRONCE_50</t>
  </si>
  <si>
    <t>ALTAVOZ DE CABINA CON MANEJO DE POTENCIA HASTA 80W. RESPUESTA EN FERCUENCIA DE 62 – 25,000 Hz.</t>
  </si>
  <si>
    <t>SILVER_50</t>
  </si>
  <si>
    <t>ALTAVOZ DE CABINA CON MANEJO DE POTENCIA HASTA 80W. RESPUESTA EN FERCUENCIA DE 52 – 32,000 Hz.</t>
  </si>
  <si>
    <t>SILVER_100_7G</t>
  </si>
  <si>
    <t>ALTAVOZ DE 120W, 8 OHM, RESPUESTA EN FRECUENCIA 35-35KHz.</t>
  </si>
  <si>
    <t>PULSE_SOUNDBAR_+</t>
  </si>
  <si>
    <t>BARRA DE SONIDO CON STREAMING DE AUDIO MQA E INTEGRACION CON FUENTE EXTERNA.</t>
  </si>
  <si>
    <t>PULSE_SUB_+</t>
  </si>
  <si>
    <t>SUBWOOFER ACTIVO DE 150W, 8", INALAMBRICO COMPATIBLE CON SISTEMA BLUOS.</t>
  </si>
  <si>
    <t>37873_LI</t>
  </si>
  <si>
    <t xml:space="preserve"> CABLE HDMI 2.0 DE ALTA VELOCIDAD. ADMITE RESOLUCIONES UHD DE HASTA 4096X2160 @ 60HZ 4: 4: 4 8BIT. COMPATIBLE CON HDMI 2.0: 3D, 4K, 18GBPS, HEC, ARC, CEC, DOLBY TRUE HD, DTS-HD MASTER AUDIO;</t>
  </si>
  <si>
    <t>TL_1001</t>
  </si>
  <si>
    <t xml:space="preserve"> TELON PREMIUM TENSIONADO: DIMENSIONES: 3,65 MTRS DE ANCHO X 2,05 MTRS DE ALTO / DIAGONAL DE 165'' / CARCASA: 4,1 MTRS./ PESO:  37,7 KG.                                                                                             DISPONIBLE EN TELA BLANCA Y TELA COLOR GRIS.</t>
  </si>
  <si>
    <t>LEDRIEL_PRO_I</t>
  </si>
  <si>
    <t>RIEL DE INCRUSTAR DE TEMINACION FINA Y ALTA DIFUSION</t>
  </si>
  <si>
    <t>MA_R_WH</t>
  </si>
  <si>
    <t>DIMMER COMPLEMENTARIO PARA ATENUADORES MAESTRO.</t>
  </si>
  <si>
    <t>TELON MOTORIZADO DE 150" FORMATO 16:10, ANCHO DE IMAGEN DE 3.23m ALTURA 2.01m.</t>
  </si>
  <si>
    <t>VR43_120</t>
  </si>
  <si>
    <t>TELON ELECTRICO EN FORMATO 4:3 DE 120".</t>
  </si>
  <si>
    <t>DVSCCL_153P_MN</t>
  </si>
  <si>
    <t>DIMMER DE LA LÍNEA DIVA EN COLOR NEGRO MATE</t>
  </si>
  <si>
    <t>P_018_CR</t>
  </si>
  <si>
    <t>METRO DE PLATINA DE ALUMINIO DE PULGADA 2mm</t>
  </si>
  <si>
    <t>TRMS</t>
  </si>
  <si>
    <t>KILO DE ALAMBRE GALVANIZADO</t>
  </si>
  <si>
    <t>TX_SR393</t>
  </si>
  <si>
    <t>PROCESADOR DE AUDIO Y VIDEO DE 5.2 CANALES, 4K, 80W POR CANAL, Bluetooth®. STREAMING DE MUSICA.</t>
  </si>
  <si>
    <t>TX_SR494</t>
  </si>
  <si>
    <t>PROCESADOR DE AUDIO Y VIDEO DE 7.2 CANALES, 4K, 80W POR CANAL, Bluetooth®. STREAMING DE MUSICA.</t>
  </si>
  <si>
    <t>SHADE_CUST_NM</t>
  </si>
  <si>
    <t>SET DE 5 CORTINAS CUSTOM PARA CASA NILSA MANCIPE</t>
  </si>
  <si>
    <t>L565702W</t>
  </si>
  <si>
    <t>TIMBRE PULSADOR LINEA DECORA</t>
  </si>
  <si>
    <t>TOPSEC</t>
  </si>
  <si>
    <t>TC305X16</t>
  </si>
  <si>
    <t>CABLE LIBRE DE OXIGENO 2X16. ROLLO POR 305 METROS.</t>
  </si>
  <si>
    <t>GAL_U0.5</t>
  </si>
  <si>
    <t>CONDULETA PARA DERIVACION RECTA DE MEDIA PULGADA.</t>
  </si>
  <si>
    <t>EMT_G1</t>
  </si>
  <si>
    <t>GRAPA METÁLICA PARA TUBO 1 PULGADA.</t>
  </si>
  <si>
    <t>SUJ_CABLO</t>
  </si>
  <si>
    <t>SUJETADOR DE RIEL DENTADO PARA CABLOFIL</t>
  </si>
  <si>
    <t>TWP_30BO</t>
  </si>
  <si>
    <t>TABLERO TRIFASICO DE 30 CIRCUITOS</t>
  </si>
  <si>
    <t>IC_820T</t>
  </si>
  <si>
    <t>ALTAVOZ ESTEREO DE 8OHM PARA MONTAJE EN TECHO. RESPUESTA EN FERCUENCIA DE 38 Hz - 20 kHz.</t>
  </si>
  <si>
    <t>IC_820</t>
  </si>
  <si>
    <t>ALTAVOZ DE 8OHM PARA MONTAJE EN TECHO. RESPUESTA EN FERCUENCIA DE 42 Hz - 20 kHz.</t>
  </si>
  <si>
    <t>C760010</t>
  </si>
  <si>
    <t>CINTA LED DE 24V, 3000K, ROLLO POR 5M</t>
  </si>
  <si>
    <t>FM24V830</t>
  </si>
  <si>
    <t>FUENTE DE ALIMENTACIÓN DE 24V, 8.8 AMPERIOS.</t>
  </si>
  <si>
    <t>DH_IPC_HFW1431S1P_A</t>
  </si>
  <si>
    <t>PMA_600NE</t>
  </si>
  <si>
    <t>AMPLIFICADOR DE 2 CANALES CON BLUETOOTH Y ENTRADAS ANALOGICAS. 70W POR CANAL.</t>
  </si>
  <si>
    <t>CCM362</t>
  </si>
  <si>
    <t xml:space="preserve">PARLANTE DE EMPOTRAR DE 80W, MEMBRANA ACUSTICA DE 6", 8OHM, 23cm DE DIAMETRO. 50Hz-30kHz. </t>
  </si>
  <si>
    <t>FPLUS</t>
  </si>
  <si>
    <t>ASCENSOR PARA TV MOTORIZADA DE HASTA 60"/ 40Kg.</t>
  </si>
  <si>
    <t>K_INS_STV_M</t>
  </si>
  <si>
    <t>INSTALACION DE ASCENSOR EN MOBILIARIO SUMINISTRADO POR TERCEROS</t>
  </si>
  <si>
    <t>K_INST_SPOT_OUTDOOR</t>
  </si>
  <si>
    <t>INSTALACION DE SPOT OUTDOOR. NO INCLUYE ACOMETIDA DE CABLE A PUNTO CERO DE INSTALACIÓN.</t>
  </si>
  <si>
    <t>RUIJIE</t>
  </si>
  <si>
    <t>RGRAP2260G</t>
  </si>
  <si>
    <t>ACCESS POINT WIFI 6 DE LARGO ALCANCE PARA 500 USUARIOS</t>
  </si>
  <si>
    <t>RGE130GE</t>
  </si>
  <si>
    <t>INYECTOR PoE GIGA DE 30W</t>
  </si>
  <si>
    <t>RG_NBS3100_24GT4SFP_P</t>
  </si>
  <si>
    <t>SWITCH PoE ADMINISTRABLE GIGA DE 24 PUERTOS</t>
  </si>
  <si>
    <t>RG_EG210G_E</t>
  </si>
  <si>
    <t>ROUTER ADMINISTRABLE 10 PUERTOS GIGA</t>
  </si>
  <si>
    <t>25213_9330_B_B</t>
  </si>
  <si>
    <t>LUMINARIA IP44 DE 9W, 1076 lm.</t>
  </si>
  <si>
    <t>TL_169_120</t>
  </si>
  <si>
    <t>TELON DE 120". IMAGEN DE 2.65Mx1.49 EN FORMATO 16:9 CON TELA EXTRA DROP</t>
  </si>
  <si>
    <t>NEXUS_21</t>
  </si>
  <si>
    <t>APEX</t>
  </si>
  <si>
    <t>SOPORTE MOTORIZADO PARA TV DE HASTA 80". ANGULO DE GIRO DE 45°.</t>
  </si>
  <si>
    <t>VOLGEL</t>
  </si>
  <si>
    <t>V7345</t>
  </si>
  <si>
    <t>SOPORTE MANUAL DE PARED CON ANGULO DE GIRO</t>
  </si>
  <si>
    <t>V7840</t>
  </si>
  <si>
    <t>COLUMNA PARA CABLEADO DE AV</t>
  </si>
  <si>
    <t>VOGEL</t>
  </si>
  <si>
    <t>M7355</t>
  </si>
  <si>
    <t>SOPORTE MOTORIZADO PARA TV DE HASTA 75"</t>
  </si>
  <si>
    <t>https://www.supersonido.es/p/vogels-next-7355</t>
  </si>
  <si>
    <t>CB_7001</t>
  </si>
  <si>
    <t>CABLE HDMI 2.0 DE ALTA PUREZA.</t>
  </si>
  <si>
    <t>37876_L</t>
  </si>
  <si>
    <t>CABLE DE ALTA PUREZA DE 10 METROS HDMI 2.0</t>
  </si>
  <si>
    <t>I101945</t>
  </si>
  <si>
    <t>BALA RECESADA ILUMAX HERMETICA PARA DUCHA</t>
  </si>
  <si>
    <t>PULSE_2I</t>
  </si>
  <si>
    <t xml:space="preserve">PARLANTE WIRELESS MÓVIL DE 150W, CON FORMATOS DE ALTA FIDELIDAD: FLAC, MQA, WAV, AIFF. </t>
  </si>
  <si>
    <t>NODE</t>
  </si>
  <si>
    <t>PREAMPLIFICADOR DE STREAMING DE ALTA FIDELIDAD. SALIDAS ANÁLOGAS RCA COAXIAL RCA Y TOSLINK ÓPTICA.</t>
  </si>
  <si>
    <t>LEXMANA</t>
  </si>
  <si>
    <t>MC1LL02</t>
  </si>
  <si>
    <t>MANGUERA 5050 CALIDA DE INTEMPERIE</t>
  </si>
  <si>
    <t>NC110V03</t>
  </si>
  <si>
    <t>CONECTOR A 110 PARA MANGUERA LED</t>
  </si>
  <si>
    <t>LVY_RCA</t>
  </si>
  <si>
    <t>SELECTRO DE AUDIO CON CONTROL DE VOLUMEN DE FUENTE RCA 2X1</t>
  </si>
  <si>
    <t>LUT_Q_SEM</t>
  </si>
  <si>
    <t>MANTENIMIENTO PREVENTIVO SEMESTRAL DE SISTEMA QUANTUM, CONSISTENTE EN ACTUALIZACIÓN DE REPORTES, INFORME DE DANOS Y CORRECCIONES DE PROGRAMACIÓN.</t>
  </si>
  <si>
    <t>QUANTUM_VUE</t>
  </si>
  <si>
    <t>LICENCIA PARA QUANTUM VUE</t>
  </si>
  <si>
    <t>C4_CORE1</t>
  </si>
  <si>
    <t>PROCESADOR CON SALIDA HDMI, CONEXIÓN ETHERNET Y WIFI, 4 CONTROLADORES IR Y 2 SERIALES.</t>
  </si>
  <si>
    <t>C4_CORE1_SR</t>
  </si>
  <si>
    <t>PROCESADOR CON SALIDA HDMI, CONEXIÓN ETHERNET Y WIFI, 4 CONTROLADORES IR Y 2 SERIALES. KIT CON CONTROL REMOTO.</t>
  </si>
  <si>
    <t>M102</t>
  </si>
  <si>
    <t>TABLET LENOVO DE 10". RESOLUCION HD, MEMORIA RAM DE 4GB.</t>
  </si>
  <si>
    <t>TL_SG3428MP</t>
  </si>
  <si>
    <t>SWITCH poE DE 24 PUERTOS CAPA 3. VELOCIDAD 10/100/1000</t>
  </si>
  <si>
    <t>C2B</t>
  </si>
  <si>
    <t>SB_PC_A</t>
  </si>
  <si>
    <t>PASA CLABLES ANODIZADO</t>
  </si>
  <si>
    <t>TOMA COAXIAL BLANCO MATE</t>
  </si>
  <si>
    <t>PLACA PARA MODULOS LUTRON TIPO JACK HASTA 6 UNIDADES. BLANCO MATE.</t>
  </si>
  <si>
    <t>TOMA CORRIENTE GFCI EN COLOR BLANCO MATE</t>
  </si>
  <si>
    <t>DIMMER PARA CARGAS HALOGENAS Y LED EN COLOR BLANCO MATE.</t>
  </si>
  <si>
    <t>PROCESADOR DE AUDIO Y VIDEO 8K, 9.2 CANALES. 120W POR CANAL. 3 ZONAS.</t>
  </si>
  <si>
    <t>PROYECTOR 4K UHD, 4000 LM, TECNOLOGIA LAMPARA, Audio In, Audio outGARANTIA DE UN AÑO EN EQUIPO Y 3 MESES EN LAMPARA.</t>
  </si>
  <si>
    <t>CUS_FACE</t>
  </si>
  <si>
    <t>ARO CUSTOM DE ACOPLE PARA SUPLEMENTO DE LAMPARA</t>
  </si>
  <si>
    <t>PJ2_4B_GWH_L01</t>
  </si>
  <si>
    <t>TECLADO PICO DE 4 BOTONES DE ESCENA</t>
  </si>
  <si>
    <t>QSW_RPT_FOFP</t>
  </si>
  <si>
    <t>LICENCIA POR WEB PARA CONTROL DE ILUMINACION EN DISENO GRAFICO PERSONALIZADO.</t>
  </si>
  <si>
    <t>TOMA CORRIENTE NEMA 20 AMPERIOS GFCI BLANCA</t>
  </si>
  <si>
    <t>20YDLED015MV30N</t>
  </si>
  <si>
    <t>LUMINARIA LED DE INCRUSTAR, 20W 4000K.</t>
  </si>
  <si>
    <t>SKAR</t>
  </si>
  <si>
    <t>SK65M</t>
  </si>
  <si>
    <t>CSA</t>
  </si>
  <si>
    <t>LPC6M10BLBT</t>
  </si>
  <si>
    <t>CABLE UTP CATEGORIA 6 COBRE-COBRE DE USO INTERIOR</t>
  </si>
  <si>
    <t>TL_1018_GV</t>
  </si>
  <si>
    <t xml:space="preserve">TELON FORMATO 16:10 TENSIONADO, GANANCIA 1.0 - ANGULO VISTA 160°ANCHO 2,34m, ALTO 1,47m Diagonal de 109''.             </t>
  </si>
  <si>
    <t>SE169112MG</t>
  </si>
  <si>
    <t>PANTALLA MOTORIZADA FORMATO 16:9, 112" DE TELA GRIS CON EXTRA DROP.</t>
  </si>
  <si>
    <t>AVISO LED DE EMERGENCIA</t>
  </si>
  <si>
    <t>RMJS_PNE_DV</t>
  </si>
  <si>
    <t>DIMMER DE FASE ADAPTATIVA PARA SISTEMA VIVE</t>
  </si>
  <si>
    <t>K_MAN_QUANTUM</t>
  </si>
  <si>
    <t>JORNADA DE MANTENIMIENTO DE SISTEMA QUANTUM DE 8 HORAS CORRESPONDIENTE A UN TÉCNICO, UN INGENIERO EN CAMPO Y OTRO INGENIERO EN REMOTO PARA AJUSTES PROPIOS DE SISTEMA QUANTUM DE LUTRON. NO INCLUYE COSTOS DE REPUESTOS PARA SOLUCIÓN DE PROBLEMAS DE HARDWARE EN CASO DE SER REQUERIDOS. INCLUYE INFORMA FINAL DE AJUSTES REQUERIDOS Y MEJORAS AL SISTEMA.</t>
  </si>
  <si>
    <t>LE_B1811</t>
  </si>
  <si>
    <t>1 meter Black Alum case + 1 meter PC BLACK cover + 1 black End cap with hole + 1 black end cap without hole )+ 2PCS clips 1M/set.</t>
  </si>
  <si>
    <t>NS_S0612_W30_CRI90_10W</t>
  </si>
  <si>
    <t>Silicone neon strip, Side view, 0612, 3000k,CRI90, constant voltage, 24V, 10W/m, 5M/pcs, both ends with IP67 silicone end cap and 30cm cable outlet from the end, see below picture.</t>
  </si>
  <si>
    <t>S0612_MC</t>
  </si>
  <si>
    <t>Mounting clip</t>
  </si>
  <si>
    <t>LS_B1506</t>
  </si>
  <si>
    <t>1 meter Aluminium case Color: Oxidized black, 1meter PC cover, 1 end cap with hole, 1*end cap without hole,2*mounting brackets, 1meter/set.</t>
  </si>
  <si>
    <t>LY480_COBW30_W12_4MM_CRI90_IP20</t>
  </si>
  <si>
    <t>10mm width, 12V/24V, 5W/10W/15W per meter, 480chips per meter</t>
  </si>
  <si>
    <t>LY480_COBW30_W12_8MM_CRI90_IP20</t>
  </si>
  <si>
    <t>8mm width, 12V/24V, 5W/10W/15W per meter, 480chips per meter</t>
  </si>
  <si>
    <t>LY480_COBW30_W12_4MM_CRI95</t>
  </si>
  <si>
    <t>4mm width, 12V/24V, 5W/10W/15W per meter, 480chips per meter</t>
  </si>
  <si>
    <t>LY480_COBW30_W12_8MM_10W_CRI95</t>
  </si>
  <si>
    <t>NS_S0612_W30_CRI95_10W</t>
  </si>
  <si>
    <t>12V/24V, 10W/15W/30W per meter, 480chips per meter</t>
  </si>
  <si>
    <t>KV_12060_DP2</t>
  </si>
  <si>
    <t>DRIVER DE VOLTAJE CONSTANTE 12V, 60W.</t>
  </si>
  <si>
    <t>KV_24060_DP2</t>
  </si>
  <si>
    <t>K_SP</t>
  </si>
  <si>
    <t>INTERFAZ DE CONTACTO PARA PUERTAS</t>
  </si>
  <si>
    <t>AT_HDVS_150_WP_KIT</t>
  </si>
  <si>
    <t>KIT DE TRANSMISOR RECEPTOR HDMI Y VGA POR UTP HDBaseT.</t>
  </si>
  <si>
    <t>070ULT007</t>
  </si>
  <si>
    <t>MODULO LED LINEAL 12 -28W 4000K 2000-4400lm 58 cm</t>
  </si>
  <si>
    <t>MEMORIA MICRO SD DE 32G</t>
  </si>
  <si>
    <t>EX_ELE_5</t>
  </si>
  <si>
    <t>EXTENSION ELECTRICA DE 5 METROS</t>
  </si>
  <si>
    <t>88D2162W</t>
  </si>
  <si>
    <t>TOMA COAXIAL PARA TV</t>
  </si>
  <si>
    <t>4998_GY</t>
  </si>
  <si>
    <t>TAPA DE EXTERIOR PARA TOMA DOBLE SERVICIO</t>
  </si>
  <si>
    <t>WEBANG</t>
  </si>
  <si>
    <t>US_DS</t>
  </si>
  <si>
    <t>GROMET CON TAPA MOVIL, ANODIZADO NEGRO</t>
  </si>
  <si>
    <t>https://www.amazon.com/dp/B07T96DFXV/ref=sspa_dk_detail_4?pd_rd_i=B07T96DFXV&amp;pd_rd_w=XQgxa&amp;content-id=amzn1.sym.dd2c6db7-6626-466d-bf04-9570e69a7df0&amp;pf_rd_p=dd2c6db7-6626-466d-bf04-9570e69a7df0&amp;pf_rd_r=5T2ZD2XSWR9QWHFPZGNJ&amp;pd_rd_wg=N7z0D&amp;pd_rd_r=39192845-2f44-49b7-bde9-859f9a573041&amp;s=electronics&amp;sp_csd=d2lkZ2V0TmFtZT1zcF9kZXRhaWxfdGhlbWF0aWM&amp;th=1</t>
  </si>
  <si>
    <t>POLK</t>
  </si>
  <si>
    <t>R300</t>
  </si>
  <si>
    <t>PARLANTE CENTRAL CERTIFICADO HI-RES, PARA POTENCIAS DE HASTA 200W.</t>
  </si>
  <si>
    <t>XT15</t>
  </si>
  <si>
    <t>PARLANTE DE 6.5" PARA AMPLIFICADOR DE 30-150W.</t>
  </si>
  <si>
    <t>XT30</t>
  </si>
  <si>
    <t>PARLANTE CENTRAL PARA POTENCIAS DE HASTA 200W.</t>
  </si>
  <si>
    <t>071ULT001</t>
  </si>
  <si>
    <t>REGLETA DE 36CM, MULTIVOLTAJE, 55W</t>
  </si>
  <si>
    <t>AP_134</t>
  </si>
  <si>
    <t>TRANSMISOR INALAMBRICO DE HDMI SIN CONTROLADORES</t>
  </si>
  <si>
    <t>QR11</t>
  </si>
  <si>
    <t>BOMBILLA 110, AR111 DIMERIZABLE 3000k.</t>
  </si>
  <si>
    <t>https://www.amazon.com/-/es/Regulable-%C3%A1ngulo-bombilla-c%C3%A1lida-AC120V/dp/B06XVF7K87/ref=sr_1_4?__mk_es_US=%C3%85M%C3%85%C5%BD%C3%95%C3%91&amp;crid=2YLFYYVPUYJ58&amp;keywords=ar111+dimmable&amp;qid=1667088383&amp;qu=eyJxc2MiOiIxLjU0IiwicXNhIjoiMS41MCIsInFzcCI6IjEuMDAifQ%3D%3D&amp;sprefix=ar111+regulable%2Caps%2C182&amp;sr=8-4</t>
  </si>
  <si>
    <t>60YS391MVN</t>
  </si>
  <si>
    <t>SPOT NEGRO DE SOBREPONER PARA BOMBILLA AR111</t>
  </si>
  <si>
    <t>MRF2_6MLV_WH</t>
  </si>
  <si>
    <t>DIMMER PARA ATENUACION DE CARGAS ATENUABLES POR FASE</t>
  </si>
  <si>
    <t>K_INST_SPOT_TRIM</t>
  </si>
  <si>
    <t>INSTALACION DE SPOT EN MODULO TRIMLESS O DE INCRUSTAR</t>
  </si>
  <si>
    <t>BAL01</t>
  </si>
  <si>
    <t>BOMBILLO CALIDO 2700K, 4W. ROSCA E27.</t>
  </si>
  <si>
    <t>DHI_NVR4208_8P_4KS2_L</t>
  </si>
  <si>
    <t>NVR 8CH H.265 DECODIFICACION 2CH@4K U 8CH@2MP AB ENTRADA 128MBPS 2 SATA 1 HDMI 8 POE MAX. 130W</t>
  </si>
  <si>
    <t>DH_IPC_HFW1230S1P_0280B_S5_QH2</t>
  </si>
  <si>
    <t>CAMARA IP BALA SEMIMETALICA 1/2,7" CMOS 2MP@30FPS LENTE 2,8MM FOV 115° DWDR IR 30M H.265+ POE IP67</t>
  </si>
  <si>
    <t>K_INST_PROG_DVR</t>
  </si>
  <si>
    <t>PROGRAMACIÓN, INSTALACIÓN Y CONFIGURACION DE DVR</t>
  </si>
  <si>
    <t>GTB_USB2.0_4LR_BLK</t>
  </si>
  <si>
    <t>EXTENDER DE USB POR UTP</t>
  </si>
  <si>
    <t>KTV_500</t>
  </si>
  <si>
    <t>SISTEMA DE KARAOKE, CON MEZCLADOR INTERNO Y SALIDA HDMI</t>
  </si>
  <si>
    <t>DHI_NVR4216_16P_4KS2</t>
  </si>
  <si>
    <t>NVR DE 16 CANALES CON ALIMENTACION PoE Y SALIDA HDMI</t>
  </si>
  <si>
    <t>K_INST_GUIR</t>
  </si>
  <si>
    <t>INSTALACION DE GUIRNALDA</t>
  </si>
  <si>
    <t>DHI_NVR2216_4KS2</t>
  </si>
  <si>
    <t>NVR DE 16 CANALES CON RESOLUCION HASTA 4K</t>
  </si>
  <si>
    <t>DH_PFS3008_8GT_96_V2</t>
  </si>
  <si>
    <t>SWITCH ETHERNET NO ADMINISTRABLE GIGA DE 8 PUERTOS</t>
  </si>
  <si>
    <t>CPUTPCAT5EBC</t>
  </si>
  <si>
    <t>CABLE UTP COBRE COBRE CAT 5, ROLLO DE 1000 PIES</t>
  </si>
  <si>
    <t>WD60PURZ</t>
  </si>
  <si>
    <t>DISCO DURO DE 6TB PARA APLICACIONES DE VIDEO</t>
  </si>
  <si>
    <t>NUIMN_7273</t>
  </si>
  <si>
    <t>UPS INTERACTIVA DE 1000VA</t>
  </si>
  <si>
    <t>PS_713A</t>
  </si>
  <si>
    <t>EXTENDER DE VIDEO POR UTP, HASTA 40M EN CALIDAD 4K</t>
  </si>
  <si>
    <t>PAUTIX</t>
  </si>
  <si>
    <t>PAU2700IP</t>
  </si>
  <si>
    <t>CINTA LED CALIDA 2700K, PARA EXTERIOR. 5 METROS.</t>
  </si>
  <si>
    <t>CHASIS DE ALUMINIO ESPECTRA DE 5.65 METROS DE LARGO</t>
  </si>
  <si>
    <t>ACCESORIO INDIRECTA EASY NEVADA DE 2.27M</t>
  </si>
  <si>
    <t>ACCESORIO INDIRECTA EASY NEVADA DE 1.78M</t>
  </si>
  <si>
    <t>SPOR DE INCRUSTAR 12W, 1500LM</t>
  </si>
  <si>
    <t>LUMINARIA EASY NEVADA 3000K</t>
  </si>
  <si>
    <t>SPOT DE GIRO 12W, ON/OFF</t>
  </si>
  <si>
    <t>SPOT COX DE GIRO 12W, ON/OFF</t>
  </si>
  <si>
    <t>ODC0S_I7W</t>
  </si>
  <si>
    <t>SENSOR DE OCUPACIÓN, MONTAJE EN EL TECHO A ENTRE 2,4 Y 3 METROS, AUTÓNOMO. INFRARROJO PASIVO, 360 GRADOS, AJUSTE DE TIEMPO (20 SEGUNDOS A 15 MINUTOS), 277 V, CUMPLE CON EL TÍTULO 20/24 DE LA CEC. COLOR: BLANCO</t>
  </si>
  <si>
    <t>KV_24200_ASW</t>
  </si>
  <si>
    <t>FUENTE DE PODER 24V CONSTANTES, 200W.</t>
  </si>
  <si>
    <t>KV_24300_ASW</t>
  </si>
  <si>
    <t>FUENTE DE PODER 24V CONSTANTES, 300W.</t>
  </si>
  <si>
    <t>KV_C24384_ASW</t>
  </si>
  <si>
    <t>FUENTE DE PODER 24V CONSTANTES, 4x96W.</t>
  </si>
  <si>
    <t>35_6278_60_ML</t>
  </si>
  <si>
    <t>LUMINARIA SERIE ATOM DE 7.5W, 640LM, 3000K</t>
  </si>
  <si>
    <t>71_5211_60_00</t>
  </si>
  <si>
    <t>TRACK LINEAL NEGRO DE 3 METROS</t>
  </si>
  <si>
    <t>71_5218_14_00</t>
  </si>
  <si>
    <t>EN CAP PARA SISTEMA TRACK</t>
  </si>
  <si>
    <t>71_5214_60_00</t>
  </si>
  <si>
    <t>CONECTOR IZQUIERDO PARA ALIMENTACION DE TRACK</t>
  </si>
  <si>
    <t>AL20B</t>
  </si>
  <si>
    <t>CERRADURA INTELIGENTE MANIJA REVERSIBLE VERIFICACION POR HUELLA Y CONTRASENA</t>
  </si>
  <si>
    <t>PJ2_3BRL_TTP_L01_CPN6558</t>
  </si>
  <si>
    <t>TECLADO PICO DE 5 BOTONES PERSONALIZADO EN COLOR TAUPE</t>
  </si>
  <si>
    <t>PJ2_4B_TTP_EL1E_CPN7144</t>
  </si>
  <si>
    <t>TECLADO PICO DE 4 BOTONES PERSONALIZADO EN COLOR TAUPE CON ENGRAVING.</t>
  </si>
  <si>
    <t>HQWT_U_P4W_BL</t>
  </si>
  <si>
    <t>TECLADO PALLADIUM DE 4 BOTONES EN COLOR NEGRO</t>
  </si>
  <si>
    <t>MACL_153M_MN</t>
  </si>
  <si>
    <t>DIMMER MAESTRO PARA ATENUACION DE CARGAS TIPO LED DE HASTA 150W EN COLOR NEGRO MATE.</t>
  </si>
  <si>
    <t>MRF2S_6ANS_MN</t>
  </si>
  <si>
    <t>INTERRUPTOR SERIE VIVE WIRELESS PARA CARGAS HASTA 6 AMPERIOS.</t>
  </si>
  <si>
    <t>DIMMER ACCESORIO DE 600W COLOR NEGRO MATE</t>
  </si>
  <si>
    <t>MSC_S8AM_MN</t>
  </si>
  <si>
    <t>SWITCH DE HASTA 8 AMPERIOS DE LA SERIE MAESTRO WIRELESS EN COLOR NEGRO MATE.</t>
  </si>
  <si>
    <t>SC_3_MN</t>
  </si>
  <si>
    <t>TAPA DECORATIVA TRIPLE EN COLOR NEGRO MATE.</t>
  </si>
  <si>
    <t>PJ2_2B_TMN_L01</t>
  </si>
  <si>
    <t>TECLADO PICO CON 2 BOTONES EN COLOR NEGRO MATE</t>
  </si>
  <si>
    <t>PJ2_3BRL_TMN_S01</t>
  </si>
  <si>
    <t>TECLADO PICO DE 5 BOTONES CON RAISE AND LOWER Y MARCACION DE CORTINA</t>
  </si>
  <si>
    <t>PJ2_4B_TMN_L31</t>
  </si>
  <si>
    <t>TECLADO PICO DE 4 BOTONES CON MARCACION DE ILUMINACION EN COLOR NEGRO MATE</t>
  </si>
  <si>
    <t>PJ2_4B_TMN_P01</t>
  </si>
  <si>
    <t>TECLADO PICO CON MARCACION ESTANDAR DE ENTRETENIMIENTO EN COLOR NEGRO MATE.</t>
  </si>
  <si>
    <t>PJ2_4B_TMN_P02</t>
  </si>
  <si>
    <t>TECLADO PICO CON MARCACION ESTANDAR DE COCINA EN COLOR NEGRO MATE.</t>
  </si>
  <si>
    <t>TECLADO PICO CON MARCACION ESTANDAR DE REUNIÓN EN COLOR NEGRO MATE.</t>
  </si>
  <si>
    <t>HQWT_B_P4W_BLX2+LWT_U_PP_BL</t>
  </si>
  <si>
    <t>TECLADO DE DOS COLUMNAS CON FACEPLATE DOBLE EN COLOR NEGRO.</t>
  </si>
  <si>
    <t>RJ45_5</t>
  </si>
  <si>
    <t>PLUG SOLIDO CAT5E</t>
  </si>
  <si>
    <t>46TWC42MBO</t>
  </si>
  <si>
    <t>TABLERO DE 42 CIRCUITOS CON TOTALIZADOR</t>
  </si>
  <si>
    <t>TER_U4</t>
  </si>
  <si>
    <t>TERMINAL ESTAÑADA DE UNION AWG4</t>
  </si>
  <si>
    <t>FMLRS3508</t>
  </si>
  <si>
    <t>FUENTE DE ALIMENTACION 12V, 29 AMPERIOS</t>
  </si>
  <si>
    <t>PS600_1</t>
  </si>
  <si>
    <t>ACOLILLADORA DE SIERRA</t>
  </si>
  <si>
    <t>PS_377</t>
  </si>
  <si>
    <t>SWITCH 2X1 4K</t>
  </si>
  <si>
    <t>B251</t>
  </si>
  <si>
    <t>PARLANTES COSE DE EXTERIORES</t>
  </si>
  <si>
    <t>SCP_2X16</t>
  </si>
  <si>
    <t>CABLE 2X16 PARA CONEXIÓN DE INSTRUMENTACION O COMUNICACIONES. ROLLO POR 305 METROS, 1000Ft.</t>
  </si>
  <si>
    <t>QP5_2L_POE</t>
  </si>
  <si>
    <t>PROCESADOR ATHENA DE 2 PUERTOS CON ALIMENTACION PoE</t>
  </si>
  <si>
    <t>LSC_E8S</t>
  </si>
  <si>
    <t>Silver Level Enhanced Warranty – This enhanced system warranty provides: Years 1-2 - 100%
replacement parts and 100% Lutron diagnostic labor coverage with a first-available response time;
Years 3-5 - 50% parts only coverage; Years 6-8 - 25% parts only coverage.</t>
  </si>
  <si>
    <t>LSC_OS_SU_A</t>
  </si>
  <si>
    <t>Athena Startup performed by a Lutron Services Company representative for this system. Equipment
installation is verified, and the system is programmed and tested during this time to comply with the
approved sequence of operations. Please consult the quotation documents for the included visits.</t>
  </si>
  <si>
    <t>ALCATEL</t>
  </si>
  <si>
    <t>T06</t>
  </si>
  <si>
    <t>TELEFONO PARA APLICACIONES DE CITOFONIA EN PARED.</t>
  </si>
  <si>
    <t>K_INST_TEL</t>
  </si>
  <si>
    <t>INSTALACION DE TELEFONO O CITOFONO CON DERIVACION Y PRUEBA DE FUNCIONAMIENTO.</t>
  </si>
  <si>
    <t>PHYSEN</t>
  </si>
  <si>
    <t>PT</t>
  </si>
  <si>
    <t>TRANSMISOR INALAMBRICO PARA DOORBELL</t>
  </si>
  <si>
    <t>PR</t>
  </si>
  <si>
    <t>RECEPTOR INALAMBRICO PARA DOORBEL DE 4 NIVELES DE INTENSIDAD</t>
  </si>
  <si>
    <t>K_CLEAN_SHADE</t>
  </si>
  <si>
    <t>LIMPIEZA DE CORTINA A VAPOR CALIENTE, INCLUYE LIMPIEZA Y DESINFECCIÓN CON VAPOR. NO INCLUYE REMISIÓN DE MANCHAS QUE NO SALGAN CON VAPOR. USO DE VARSOL U OTROS ELEMENTOS CON AUTORIZACIÓN PREVIA DEL CLIENTE.</t>
  </si>
  <si>
    <t>NIA</t>
  </si>
  <si>
    <t>P5_2022</t>
  </si>
  <si>
    <t>SOPORTE DE DOBLE BRAZO PARA TV DE 32" A 75"</t>
  </si>
  <si>
    <t>DH_ICP_HFW1230S1P_0280B_S5_QH2</t>
  </si>
  <si>
    <t>CAMARA IP TIPO BALA DE 2MP, 115°, ALIMENTACIÓN PoE.</t>
  </si>
  <si>
    <t>K_REV_ELEC</t>
  </si>
  <si>
    <t>REVISIÓN ELÉCTRICA DE TRABAJOS REALIZADOS POR TERCEROS</t>
  </si>
  <si>
    <t>METALECTRIC</t>
  </si>
  <si>
    <t>RKAB23RU</t>
  </si>
  <si>
    <t>RACK ABIERTO DE 1.2M</t>
  </si>
  <si>
    <t>MOV_123</t>
  </si>
  <si>
    <t>ARRANCADOR COMPACTO DE BATERIAS</t>
  </si>
  <si>
    <t>TER4U</t>
  </si>
  <si>
    <t>TERMINAL DE UNIÓN PARA AWG 4</t>
  </si>
  <si>
    <t>AWG8M</t>
  </si>
  <si>
    <t>METRO DE CABLE ELÉCTRICO AWG 8 CERTIFICADO</t>
  </si>
  <si>
    <t>CAN_R2</t>
  </si>
  <si>
    <t>CANALETA RANURADA POR DOS METROS</t>
  </si>
  <si>
    <t>ZA000625050</t>
  </si>
  <si>
    <t>CAJA ELECTRICA DE 50X50X20</t>
  </si>
  <si>
    <t>ISKO</t>
  </si>
  <si>
    <t>PT0106142</t>
  </si>
  <si>
    <t>GABINETE DE PISO DE 1.2M,  DE ANCH ESTANDAR.</t>
  </si>
  <si>
    <t>PS_259</t>
  </si>
  <si>
    <t>SPLITER HDMI FULL HD, 1X2.</t>
  </si>
  <si>
    <t>K_SER_PINT</t>
  </si>
  <si>
    <t>SERVICIO DE PINTURA AL HORNO PARA LUMINARIA METALICA CON PINTURA ELECTROSTATICA</t>
  </si>
  <si>
    <t>SB_BTN_2W</t>
  </si>
  <si>
    <t>PASTILLA LED DE 2W EN COLOR NEUTRO</t>
  </si>
  <si>
    <t>K_VISITA_ELEC</t>
  </si>
  <si>
    <t>VISITA DE INSPECCIÓN, REVISIÓN O LEVANTAMIENTO DE INFORMACIÓN PARA DESARROLLO DE TRABAJOS ELECTRICOS.</t>
  </si>
  <si>
    <t>60YDC1069MVB</t>
  </si>
  <si>
    <t>BALA DE EMPROTRAR PARA BOMBILLA UG10 DIRECCIONAL, BORDE CUADRADO</t>
  </si>
  <si>
    <t>60YDR1068MVB</t>
  </si>
  <si>
    <t>BALA DE EMPROTRAR PARA BOMBILLA UG10 DIRECCIONAL, BORDE REDONDO</t>
  </si>
  <si>
    <t>20YDLED015MV30B</t>
  </si>
  <si>
    <t>LUMINARIA LED DE INCRUSTAR, 20W 4000K. COLOR BLANCO</t>
  </si>
  <si>
    <t>P23603_36</t>
  </si>
  <si>
    <t>LUMINARIA LED DE PISO DE 18W, 3000K</t>
  </si>
  <si>
    <t>K_PROG_CHAPA</t>
  </si>
  <si>
    <t>VISITA EN SITIO PARA CONFIGURACIÓN DE CHAPA ELECTRÓNICA.</t>
  </si>
  <si>
    <t>ATENUADOR PARA CARGAS HALOGENAS, LED Y FLUORESCENTE COMPACTAS.</t>
  </si>
  <si>
    <t>CTRLCCT_001</t>
  </si>
  <si>
    <t>CONTROL REMOTO PARA LUMINARIAS TECNOLITE</t>
  </si>
  <si>
    <t>PJ2_4B_GWH_EL2</t>
  </si>
  <si>
    <t>TECLADO PICO DE 4 BOTONES CON MARCACION</t>
  </si>
  <si>
    <t>16DYLED012VSCCTB</t>
  </si>
  <si>
    <t>LUMINARIA DE 16W, DE TEMPERATURA VARIABLE. 1480 LM.</t>
  </si>
  <si>
    <t>PX_2B_GWH_I01</t>
  </si>
  <si>
    <t>TECLADO PICO DE DOS BOTONES CON ICONO, CABLEADO.</t>
  </si>
  <si>
    <t>PS_316</t>
  </si>
  <si>
    <t>SWITCH AUTOMATICO HDMI, COMPATIBLE 4K Y 2K. SELECTRO AUTOMATICO Y CONTROL IR.</t>
  </si>
  <si>
    <t>DV</t>
  </si>
  <si>
    <t>DRIVER CON INTERFAZ DALI PARA CONMUTACION DE CARGAS, Y DOS CONTROLADORES PARA ATENUACIÓN 0-10.</t>
  </si>
  <si>
    <t>EXT_GUI_OUT</t>
  </si>
  <si>
    <t>GIRNALDA DE EXTERIOR CON 10 METROS y 20 BOMBILLAS CALIDAS</t>
  </si>
  <si>
    <t>FUENTE DE ALIMENTACION 24V, 3.2A.</t>
  </si>
  <si>
    <t>INSTALACION DE TRANSFERENCIA</t>
  </si>
  <si>
    <t>K_REV_UPS</t>
  </si>
  <si>
    <t>REVISIÓN DIAGNOSTICA DE EQUIPO TIPO UPS. INCLUYE INFORME DE POSIBLES DAÑOS, MANTENIMIENTO BÁSICO Y EVENTUALMENTE SUGERENCIA DE REEMPLAZO.</t>
  </si>
  <si>
    <t>KIT_ELEC</t>
  </si>
  <si>
    <t>KIT DE GUAYA ELECTRIFICADA</t>
  </si>
  <si>
    <t>LEDYY</t>
  </si>
  <si>
    <t>PERFIL NEGRO 360 DE 3770mm</t>
  </si>
  <si>
    <t>PERFIL NEGRO 360 DE 5655mm</t>
  </si>
  <si>
    <t>KVF_24030_TDW</t>
  </si>
  <si>
    <t>DRIVER ATENUABLE DE VOLTAGE CONSTANTE A 30W</t>
  </si>
  <si>
    <t>KVF_24060_TDW</t>
  </si>
  <si>
    <t>DRIVER ATENUABLE DE VOLTAGE CONSTANTE A 60W</t>
  </si>
  <si>
    <t>PJ2_4B_GWH_L21</t>
  </si>
  <si>
    <t>PJ2_4B_GWH_P02</t>
  </si>
  <si>
    <t>TECLADO PICO DE 4 BOTONES ESCENAS COCINA</t>
  </si>
  <si>
    <t>VP46R</t>
  </si>
  <si>
    <t>ALTAVOZ DE 4.5", 8OHM, 80WATTS.</t>
  </si>
  <si>
    <t>VP86R</t>
  </si>
  <si>
    <t>ALTAVOZ DE 8", 8OHM, 125WATTS.</t>
  </si>
  <si>
    <t>VPXT6R</t>
  </si>
  <si>
    <t>ALTAVOZ DE 6.5", 8OHM, 130WATTS.</t>
  </si>
  <si>
    <t>SANUS</t>
  </si>
  <si>
    <t>SASB1_B1</t>
  </si>
  <si>
    <t>SOPORTE DE PARED PARA ALTAVOZ ARC</t>
  </si>
  <si>
    <t>RGRAP2200</t>
  </si>
  <si>
    <t>PUNTO DE ACCESO WIFI 5 DE 1267Mbps PPARA MONTAJE EN TECHO.</t>
  </si>
  <si>
    <t>RGAP180</t>
  </si>
  <si>
    <t>PUNTO DE ACCESO WIFI 6 DE 1267Mbps PARA MONTAJE EN PARED</t>
  </si>
  <si>
    <t>RGES218GCP</t>
  </si>
  <si>
    <t>SWITCH PoE GIGA DE 16 PUERTOS</t>
  </si>
  <si>
    <t>RGEG105GPV2</t>
  </si>
  <si>
    <t>ROUTER DE 5 PUERTOS GIGA</t>
  </si>
  <si>
    <t>TXNR6100</t>
  </si>
  <si>
    <t>PROCESADOR DE AUDIO Y VIDEO DE 2 ZONAS CON RESOLUCION 8K. SALIDA EN POTENCIA DE 210W.</t>
  </si>
  <si>
    <t>ANG_ALU_DRY</t>
  </si>
  <si>
    <t>ANGULO EN ALUMINIO PARA DRYWALL</t>
  </si>
  <si>
    <t>MO_1014A</t>
  </si>
  <si>
    <t>MONITOR INTERACTIVO DE 86" CON CAMARA PARA VIDEO CONFERENCIA</t>
  </si>
  <si>
    <t>INTEL</t>
  </si>
  <si>
    <t>I51137G7</t>
  </si>
  <si>
    <t>PROCESADOR 15 Y PC PARA MONITOR DE VIDEO</t>
  </si>
  <si>
    <t>SP_263_LM</t>
  </si>
  <si>
    <t>SOPORTE MOVIL DE PISO PARA TV DE HASTA 100"</t>
  </si>
  <si>
    <t>IPC_A26LN_IMOU</t>
  </si>
  <si>
    <t>CAMARA IP DE 2MP, 30FPS, CON AUDIO Y TRACKING PTZ</t>
  </si>
  <si>
    <t>LY120_S2835_TW_2760_W24</t>
  </si>
  <si>
    <t>CINTA LED DE 120 PASTILLAS POR METRO, 24V, IP20.</t>
  </si>
  <si>
    <t>LC_B1616B</t>
  </si>
  <si>
    <t>PERFIL NEGRO CON OPALIZADO NEGRO DE 1.6cm DE ANCHO Y SOPORTE DIAGONAL</t>
  </si>
  <si>
    <t>RF802</t>
  </si>
  <si>
    <t>CONTROLADOR DE TEMPERATURA DE COLOR TOUCH</t>
  </si>
  <si>
    <t>DMMP8A18</t>
  </si>
  <si>
    <t>ATENUADOR DE 8 AMPERIOS DE PERILLA PARA CINTA LED</t>
  </si>
  <si>
    <t>0</t>
  </si>
  <si>
    <t>F06.2506.14</t>
  </si>
  <si>
    <t>CONECTOR RECTO ANODIZADO PARA SISTEMA ZERO TRACK</t>
  </si>
  <si>
    <t>F06.2542.CZ</t>
  </si>
  <si>
    <t>CONECTOR EN 90 GRADOS ANODIZADO PARA SISTEMA ZERO TRACK</t>
  </si>
  <si>
    <t>BTCOBRE6</t>
  </si>
  <si>
    <t>BARRAJE EN COBRE DE 6 PINES</t>
  </si>
  <si>
    <t>TECHNOLITE</t>
  </si>
  <si>
    <t>20TLLED614MV30N</t>
  </si>
  <si>
    <t>APLIQUE DECORATIVO CIRCULAR DE 20W</t>
  </si>
  <si>
    <t>SS_6.2</t>
  </si>
  <si>
    <t>ACOPLADOR DE IMEDANCIA PARA 6 PARLANTES (3 Zonas en Esterreo)</t>
  </si>
  <si>
    <t>PBX_IP</t>
  </si>
  <si>
    <t>ARRANQUE DE SISTEMA DE PLANTA TELEFONICA</t>
  </si>
  <si>
    <t>FUENTE DE ALIMENTACION 24V, 6.5A.</t>
  </si>
  <si>
    <t>FUENTE DE ALIMENTACION 24V, 14.2A.</t>
  </si>
  <si>
    <t>AEROLIFT_35</t>
  </si>
  <si>
    <t xml:space="preserve">ASCENSOR PARA PROYECTOR DE 16Kg, </t>
  </si>
  <si>
    <t>FUTURE AUTOMATION</t>
  </si>
  <si>
    <t>PD</t>
  </si>
  <si>
    <t>ASCENSOR PARA PROYECTOR DE 15Kg, MEDIDAS MAXIMAS DE PROYECTOR: 400mm  x 460mm  x 190mm.</t>
  </si>
  <si>
    <t>FRANCO+</t>
  </si>
  <si>
    <t>SOPORTE MOTORIZADO VERTICAL GENERICO PARA TV DE HASTA 65" Y 35Kg.</t>
  </si>
  <si>
    <t>NEXUS 21</t>
  </si>
  <si>
    <t>L_50</t>
  </si>
  <si>
    <t>SOPORTE MOTORIZADO VERTICAL CON CONTROL RF PARA TV DE HASTA 65" Y TORQUE MAXIMO PARA 100 Lb..</t>
  </si>
  <si>
    <t>00_5981_05_05</t>
  </si>
  <si>
    <t>LUMINARIA DECORATIVA DESCOLGADA EN COLOR NEGRO</t>
  </si>
  <si>
    <t>35_7286_14_00</t>
  </si>
  <si>
    <t>PROYECTOR ATOM LOW VOLTAGE 29 3.1 BLANCO CÁLIDO - 3000K CRI90 37.1º ON-OFF</t>
  </si>
  <si>
    <t>15_A042_14_00</t>
  </si>
  <si>
    <t>BENTO 6 LEDS BAJO VOLTAJE 6 BLANCO CÁLIDO - 3000K CRI 90 ONOFF BLANCO 603LM</t>
  </si>
  <si>
    <t>71_7631_14_00</t>
  </si>
  <si>
    <t>TRACK RECESSED 3000MM BAJO VOLTAJE BLANCO</t>
  </si>
  <si>
    <t>71_7632_60_00</t>
  </si>
  <si>
    <t>TRACK RECESSED 3000MM BAJO VOLTAJE NEGRO</t>
  </si>
  <si>
    <t>71_7633_60_00</t>
  </si>
  <si>
    <t>UNIÓN "I" CARRIL EMPOTRADO / UP&amp;DOWN</t>
  </si>
  <si>
    <t>35_6277_14_ML</t>
  </si>
  <si>
    <t>PROYECTOR ATOM TRACK 52 7.5 BLANCO CÁLIDO - 3000K CRI 90 32.5º PHASE CUT BLANC</t>
  </si>
  <si>
    <t>71_5213_14_00</t>
  </si>
  <si>
    <t>TRACK TRACKS 3-PHASE STANDARD TRIM RECESSED BLANCO</t>
  </si>
  <si>
    <t>71_5224_14_00</t>
  </si>
  <si>
    <t>CONECTOR DE CONTINUIDAD BLANCO PARA CARRIL</t>
  </si>
  <si>
    <t>71_5220_14_00</t>
  </si>
  <si>
    <t>CONECTOR DE ALIMENTACION</t>
  </si>
  <si>
    <t>71_7646_00_00</t>
  </si>
  <si>
    <t>FUENTE 48V 150W 100-300VAC</t>
  </si>
  <si>
    <t>TXNR5100</t>
  </si>
  <si>
    <t>PROCESADOR DE AUDIO Y VIDEO DE CON RESOLUCION 8K. SALIDA EN POTENCIA DE 210W.</t>
  </si>
  <si>
    <t>DRX2.4</t>
  </si>
  <si>
    <t>PROCESADOR DE AUDIO Y VIDEO DE CON RESOLUCION 8K. SALIDA EN POTENCIA DE 80W POR CANAL, ALEXA Y GOOGLE COMPATIBLE.</t>
  </si>
  <si>
    <t>T_778</t>
  </si>
  <si>
    <t>PROCESADOR DE AUDIO Y VIDEO 4K, CON PROCESAMIENTO DE AUDIO DE ALTA FIDELIDAD MQA. 85W POR CANAL.</t>
  </si>
  <si>
    <t>LUK072</t>
  </si>
  <si>
    <t>LUMINARIA LINEAL 4000K DE 1.12M</t>
  </si>
  <si>
    <t>B_P6</t>
  </si>
  <si>
    <t>SOPORTE TIPO BRAZO PARA TV DE HASTA 65".</t>
  </si>
  <si>
    <t>SOP_BSU</t>
  </si>
  <si>
    <t>SOPORTE UNIVERSAL PARA BARRA DE SONIDO</t>
  </si>
  <si>
    <t>C_AUTO</t>
  </si>
  <si>
    <t>CINTA AUTOFUNDENTE PARA CONEXIONES HUMEDAS</t>
  </si>
  <si>
    <t>K_CUA_LUTRON</t>
  </si>
  <si>
    <t>CUADRILLA DE REVISIÓN SISTEMAS LUTRON, COMPUESTA POR UN TECNICO CERTIFICADO LUTRON Y TECNICO ELECTRICISTA. COSTO DE UN DIA DE TRABAJO DE MÁXIMO 8 HORAS.</t>
  </si>
  <si>
    <t>QSWS2_7BI_WH_G</t>
  </si>
  <si>
    <t>TECLADO LINEA QS CON ENGRAVING PERSONALIZADO DE 7 BOTONES</t>
  </si>
  <si>
    <t>QSN_2DALUNV_D</t>
  </si>
  <si>
    <t>PANEL CON ALIMENTACION PARA DOS BUSES DE DATOS DALI, COMPATIBLE CON SISTEMAS ENERGY SAVR Y QUANTUM.</t>
  </si>
  <si>
    <t>TECLADO COMPATIBLE CON SISTEMAS COMERCIALES Y COMUNICACIÓN LINK QS</t>
  </si>
  <si>
    <t>K_SOP_TEL</t>
  </si>
  <si>
    <t>SOPORTE TELEFONICO O VIRTUAL PARA CONSULTAS DE SISTEMA PROPUESTO</t>
  </si>
  <si>
    <t>RCA_Y</t>
  </si>
  <si>
    <t>CONECTOR EN Y PARA CONEXIONES RCA</t>
  </si>
  <si>
    <t>04SMTM</t>
  </si>
  <si>
    <t>SENSOR DE PRESENCIA PEQUEÑO DE COBERTURA 360</t>
  </si>
  <si>
    <t>AWG18M</t>
  </si>
  <si>
    <t>METRO DE ALAMBRE AWG18</t>
  </si>
  <si>
    <t>AT_UHD_EX_100CE_KIT</t>
  </si>
  <si>
    <t>KIT DE EXTENSION DE RED 4K HDBaseT</t>
  </si>
  <si>
    <t>B18WPA</t>
  </si>
  <si>
    <t>PANEL DE 18W, 3000K, DE SOBREPONER</t>
  </si>
  <si>
    <t>CONTROL_24</t>
  </si>
  <si>
    <t>ALTAVOZ DE 80W A 16OHM CON CAJA ANTI FUEGO</t>
  </si>
  <si>
    <t>P44719_001</t>
  </si>
  <si>
    <t>HPE ProLiant ML30 Gen10  - Factor de Forma: Torre (4U) -  Procesador: 1 CPU Intel Xeon E-2314 de cuatro núcleos (2,80 GHz, 8 MB) FIO para HPE / Maximo: 1 Procesador - Memoria RAM: 16 GB (1 de 16 GB) 3200 MHz / Maximo: 4 Memorias - Red: 1GbE Dual Port  - Disco Duro: 1 disco duro HPE 1TB 6G 7.2k rpm SATA (3.5in) sin conexión en caliente estándar con 1 año de garantía / Maximo: 4 Discos - Controladora de Discos: 1 x HPE Dynamic Smart Array S100i controller  - RAID: 0/1/5/10) - SATA Only - Placa Conexión Discos: Disco Duro 3,5 Pulgadas Sin Conexión En Caliente - Unidad Óptica: Ninguna instalada - Fuente De Alimentación: 1 x Kit FIO de fuente de alimentación HPE ML30 Gen10 Plus 350W Gold ATX / Maximo: 1 Fuente - Garantía: 3 Años En Piezas / 1 Año En Mano De Obra / 1 Año De Garantía A Domicilio - Administración: Procesador de gestión HPE Integrated Lights-Out 5 (iLO 5) (sin licencia) / (avanzado) / sin OneView o Insight Control - Otros: No incluye teclado ni mouse.</t>
  </si>
  <si>
    <t>631341_B21</t>
  </si>
  <si>
    <t>KIT DE MOUSE Y TECLADO</t>
  </si>
  <si>
    <t>22MP410</t>
  </si>
  <si>
    <t>MONITOR DE 22" FULL HD</t>
  </si>
  <si>
    <t>KINGSTONE</t>
  </si>
  <si>
    <t>SA400S</t>
  </si>
  <si>
    <t>DISCO DE ESTADO SOLIDO DE UN TERA INSTALADO</t>
  </si>
  <si>
    <t>TLGU10SP</t>
  </si>
  <si>
    <t>REFLECTOR DIRECCIONAL PARA BOMBILLA GU10</t>
  </si>
  <si>
    <t>CM6TSMF</t>
  </si>
  <si>
    <t>ALTAVOZ DE 6W A 100V, EN CARCASA METALICA</t>
  </si>
  <si>
    <t>MUL3</t>
  </si>
  <si>
    <t>MULTITOLA DE 3 SALIDAS ESCUALIZABLE</t>
  </si>
  <si>
    <t>TLGU10SP_N</t>
  </si>
  <si>
    <t>SPOT DIRECCIONAL PARA BOMBILLA GU10</t>
  </si>
  <si>
    <t>FACEPLATE CON 6 SALIDAS PARA JACK</t>
  </si>
  <si>
    <t>PP400</t>
  </si>
  <si>
    <t>PROCESADOR DE AUDIO AMPLIFICADOR DE LINEA</t>
  </si>
  <si>
    <t>NUIMN_7268</t>
  </si>
  <si>
    <t>UPS INTERACTIVA DE 500VA</t>
  </si>
  <si>
    <t>10DYDLED011VSCCTB</t>
  </si>
  <si>
    <t>BALA DE INCRUSTAR DE 10W, CON TEMPERATURA DE COLOR VARIABLE</t>
  </si>
  <si>
    <t>30LQLEDT30MVN</t>
  </si>
  <si>
    <t>REFLECTOR LED DE 30W, 3000K NEGRO.</t>
  </si>
  <si>
    <t>OPT20</t>
  </si>
  <si>
    <t>CABLE OPTICO DE 20 METROS</t>
  </si>
  <si>
    <t>GEN2X18A</t>
  </si>
  <si>
    <t>ROLLO DE 305 METROS DE CABLE AWG 18 LIBRE DE OXIGENO PARA PARLANTE.</t>
  </si>
  <si>
    <t>U_RCA</t>
  </si>
  <si>
    <t>UNION DE TERMINAL DE AUDIO RCA</t>
  </si>
  <si>
    <t>YSNLED_013_N</t>
  </si>
  <si>
    <t>REFLECTOR CHIP ON BOARD 14.5W, 1200 LUMENS. TEMPERATURA 3000K. CO</t>
  </si>
  <si>
    <t>7YDLED3163MVNTC</t>
  </si>
  <si>
    <t>CARDAN TRIPLE DE EMPOTRAR EN COLOR NEGRO, 7W, CON INTEGRACION WIRELESS.</t>
  </si>
  <si>
    <t>CC5X18_B</t>
  </si>
  <si>
    <t>CABLE DE CONTROL DE 5 LINEAS AWG18</t>
  </si>
  <si>
    <t>ZA000625020</t>
  </si>
  <si>
    <t>CAJA DE PASO PARA DERIVACION DE 20X20X15</t>
  </si>
  <si>
    <t>DXN5011S</t>
  </si>
  <si>
    <t>CAJA PLASTICA PARA APARATO ELECTRICO DE SOBREPONER</t>
  </si>
  <si>
    <t>MS105G</t>
  </si>
  <si>
    <t>PC2M</t>
  </si>
  <si>
    <t>PATCH CORE CATEGORIA 6 DE 2 METROS</t>
  </si>
  <si>
    <t>LUMEC</t>
  </si>
  <si>
    <t>LUK055</t>
  </si>
  <si>
    <t>BOMBILLO DECORATIVO VINTAGE AMBAR</t>
  </si>
  <si>
    <t>41641W</t>
  </si>
  <si>
    <t>FACEPLATE PARA JACK SIMPLE EN COLOR BLANCO</t>
  </si>
  <si>
    <t>61110RE6</t>
  </si>
  <si>
    <t>JACK CAT 6 COLOR BLANCO</t>
  </si>
  <si>
    <t>SOPORTE PARA PROYECTOR DE BRAZO LARGO (ENTER 1M Y 1.8M), 20KG DE PESO.</t>
  </si>
  <si>
    <t>SPP_01</t>
  </si>
  <si>
    <t>SOPORTE DE PARED EN ANGULO PARA PROYECTOR</t>
  </si>
  <si>
    <t>PANTALLA PREMIUM ELECTRICA DE 16:10, CON MEDIDAS 3.23 X 2.01M.</t>
  </si>
  <si>
    <t>MAGNIFI_MINI_AX</t>
  </si>
  <si>
    <t>BARRA DE SONIDO ULTRA COMPACTA CON SUBWOOFER INALAMBRICO</t>
  </si>
  <si>
    <t xml:space="preserve">PROYECTOR WXGA, DLP, 3800 LUMENS. </t>
  </si>
  <si>
    <t>DVCL_153PH_WH</t>
  </si>
  <si>
    <t>DIMMER DIVA ACABADO BRILLANTE PARA CARGAS HALOGENAS Y LED.</t>
  </si>
  <si>
    <t>60YD221MVB</t>
  </si>
  <si>
    <t>LUMINARIA RECESADA PARA BALA GU10</t>
  </si>
  <si>
    <t>K_MANEJO</t>
  </si>
  <si>
    <t>COSTOS POR FACTURACION A UN TERCERO DEL INVENTARIO DEL PRESUPUESTO</t>
  </si>
  <si>
    <t>K_DESIGN_SPR</t>
  </si>
  <si>
    <t xml:space="preserve">DISENO DE SISTEMA DE APANTALLAMIENTO O PARA RAYOS EN LA PROPIEDAD, INCLUYE ENTREGA DE MEMORIAS DE CALCULO Y PLANOS PARA EJECUCIÓN. EL CLIENTE DEBERÁ SUMINISTRAR PLANOS ARQUITECTÓNICOS ACTUALIZADOS. SE ENTREGAN PLANOS EN FORMATO DIGITAL. INCLUYE UNA VISITA DE LEVANTAMIENTO DE INFORMACIÓN. </t>
  </si>
  <si>
    <t>URWOOW</t>
  </si>
  <si>
    <t>B07NK74M5R</t>
  </si>
  <si>
    <t>REPLICADOR DE INFRA ROJOS CON 4 PUERTOS DE SALIDA Y UN RECEPTOR.</t>
  </si>
  <si>
    <t>DLX4036DLP</t>
  </si>
  <si>
    <t>DRIVER DALI DE 40W CON CORRIENTE PROGRAMABLE.</t>
  </si>
  <si>
    <t>BT</t>
  </si>
  <si>
    <t>CONTROLADOR WIFI DE RGB HASTA 15 AMPERIOS</t>
  </si>
  <si>
    <t>https://www.amazon.com/-/es/control-inal%C3%A1mbrico-controlador-Bluetooth-DC12-24V/dp/B0BCTZWTJY/ref=sr_1_4?__mk_es_US=%C3%85M%C3%85%C5%BD%C3%95%C3%91&amp;crid=LFIHXJKBO5AA&amp;keywords=controlador%2BRGB%2Bwifi&amp;qid=1683896593&amp;refinements=p_72%3A1248909011&amp;rnid=1248907011&amp;s=hi&amp;sprefix=controlador%2Brgb%2Bwifi%2Caps%2C147&amp;sr=1-4&amp;th=1</t>
  </si>
  <si>
    <t>RF</t>
  </si>
  <si>
    <t>CONTROL REMOTO DE MANEJADOR RGB</t>
  </si>
  <si>
    <t>https://www.amazon.com/-/es/control-inal%C3%A1mbrico-controlador-Bluetooth-DC12-24V/dp/B09PG93716/ref=sr_1_4?__mk_es_US=%C3%85M%C3%85%C5%BD%C3%95%C3%91&amp;crid=LFIHXJKBO5AA&amp;keywords=controlador%2BRGB%2Bwifi&amp;qid=1683896593&amp;refinements=p_72%3A1248909011&amp;rnid=1248907011&amp;s=hi&amp;sprefix=controlador%2Brgb%2Bwifi%2Caps%2C147&amp;sr=1-4&amp;th=1</t>
  </si>
  <si>
    <t>AET1000</t>
  </si>
  <si>
    <t>ENTENDER OPTICO POR UTP HASTA 1000 PIES.</t>
  </si>
  <si>
    <t>RGBLINK</t>
  </si>
  <si>
    <t>TRANSMISOR DE HDMI CON RECEPTOR INALAMBRICO. NO REQUIERE INSTALACION DE SOFTWARE PARA OPERACIÓN.</t>
  </si>
  <si>
    <t>SB_RRD_6D_WH</t>
  </si>
  <si>
    <t>DIMMER RADIO RA PARA CARGAS ATENUABLES</t>
  </si>
  <si>
    <t>LOTUS DL 8 DIA33W3300 LMCRI90 105D 4000K SCDM5 L70B10 ON / OFF</t>
  </si>
  <si>
    <t>TX6586</t>
  </si>
  <si>
    <t>MONITOR INTERACTIVO DE 85" CON SISTEMA OPERATIVO ANDROID</t>
  </si>
  <si>
    <t>TX7590</t>
  </si>
  <si>
    <t>MONITOR INTERACTIVO DE 75" CON SISTEMA OPERATIVO ANDROID</t>
  </si>
  <si>
    <t>RRST_PRO_N_BL</t>
  </si>
  <si>
    <t>DIMMER RADIO RA3 LINEA SUNNATA CON FASE ADAPTATIVA COLOR NEGRO.</t>
  </si>
  <si>
    <t>RRST_8ANS_BL</t>
  </si>
  <si>
    <t>INTERRUPTOR RADIO RA3 LINEA SUNNATA COLOR NEGRO.</t>
  </si>
  <si>
    <t>POE4824G</t>
  </si>
  <si>
    <t>INYECTOR PoE 48V, GIGA</t>
  </si>
  <si>
    <t>SP_222_LM</t>
  </si>
  <si>
    <t>SOPORTE UNIVERSAL PARA PROYECTOR DE BRAZO CORTO</t>
  </si>
  <si>
    <t>RE_LIC</t>
  </si>
  <si>
    <t>REINICIALIZACIÓN DE LICENCIA DE SOFTWARE</t>
  </si>
  <si>
    <t>NB</t>
  </si>
  <si>
    <t>P6</t>
  </si>
  <si>
    <t>SOPORTE DE CODO PARA TV</t>
  </si>
  <si>
    <t>506E</t>
  </si>
  <si>
    <t>CAJA EN FORMATO EUROPEO 4X4</t>
  </si>
  <si>
    <t>SILVANYA</t>
  </si>
  <si>
    <t>P28640</t>
  </si>
  <si>
    <t>REFLECTOR DE LUZ BLANCA IP65 DE 70W</t>
  </si>
  <si>
    <t>ST2X2</t>
  </si>
  <si>
    <t>SOPORTE DE TECHO DUAL PARA MONITOR DE GRAN FORMATO</t>
  </si>
  <si>
    <t>TLM8680_1</t>
  </si>
  <si>
    <t>MONITOR INTERACTIVO DE 86" CON ANDROID INTERNO</t>
  </si>
  <si>
    <t>K_INST_M_SALIDA</t>
  </si>
  <si>
    <t>MOVIMIENTO DE SALIDA CON DISTANCIA DE CABLE MENOR A 1.5M</t>
  </si>
  <si>
    <t>K_INST_SAL_ELE</t>
  </si>
  <si>
    <t>INSTALACION DE SALIDA DE DATOS</t>
  </si>
  <si>
    <t>K_INST_SAL_DAT</t>
  </si>
  <si>
    <t>INSTALACION DE SALIDA ELECTRICA</t>
  </si>
  <si>
    <t>PR_MAS</t>
  </si>
  <si>
    <t>SUMINISTRO E INSTALACION DE MASTIL TIPO POSTE SEGÚN CALCULO DE ALTURA INCLUYE ANCLAJE, GUAYAS DE SOPORTE CONECTORES HERRAJES Y TODOS SUS ELEMENTOS PARA SU CORRECTO FUNCIONAMIENTO.</t>
  </si>
  <si>
    <t>PR_DADO</t>
  </si>
  <si>
    <t>SUMINISTRO E INSTALACION DADO EN CONCRETO 80X80 INCLUYE: PLATINA Y PERNOS, EXCAVACION Y OBRAS CIVILES COMPLEMENTARIAS.</t>
  </si>
  <si>
    <t>PR_PR</t>
  </si>
  <si>
    <t>SUMINISTRO E INSTALACION DE PARARRAYOS INGESCO CON PUNTA IONIZANTE NIVEL III, NIVEL DE PROTECCION DESDE 55 HASTA 100M SEGÚN CALCULOS DE ALTURA ENTRE LA PUNTA DEL PARARRAYOS Y EL PLANO HORIZONTAL.</t>
  </si>
  <si>
    <t>PR_TIE</t>
  </si>
  <si>
    <t>CAJA DE INSPECCION DE TIERRAS 30x30 CS280</t>
  </si>
  <si>
    <t>PR_CBL</t>
  </si>
  <si>
    <t>SUMINISTRO E INSTALACION DE CABLE PARA PARARRAYOS No 2/0 THHN AWG TIPO SOLDADOR</t>
  </si>
  <si>
    <t>PR_VAR</t>
  </si>
  <si>
    <t>SUMINISTRO E INSTALACION VARILLA PARA SISTEMA DE PUESTA A TIERRA INCLUYE: VARILLA COOPER WELL DE 2,4M, 5/8 DE DIAMETRO CU CU, SOLDADURA EXOTERMICA 110, MOLDE PARA SOLDADURA VARILLA, BARRAJE DE COBRE TERMINALES Y ACCESORIOS PARA SU CORRECTO FUNCIONAMIENTO.</t>
  </si>
  <si>
    <t>PR_TUB</t>
  </si>
  <si>
    <t>TUBO IMC ¾” x 3m INCLUYE CURVAS UNIONES TERMINALES Y TODOS SUS ACCESORIOS PARA SU CORRECTO FUNCIONAMIENTO.</t>
  </si>
  <si>
    <t>PR_CP</t>
  </si>
  <si>
    <t>CAJA DE 15X15, CINTA BANDY PARA SUGECION HEBILLAS Y TODOS SUS ACCESORIOS PARA SU CORRECTO FUNCIONAMIENTO.</t>
  </si>
  <si>
    <t>MS_OPS6_DDV_SW</t>
  </si>
  <si>
    <t>INTERRUPTOR PARA DETECCIÓN DE OCUPACIÓN O DESOCUPACIÓN, PARA DOS CARGAS TIPO HALÓGENO, LED ATENUABLE O FLUORESCENTE COMPACTA ATENUABLE. COLOR BLANCO MATE.</t>
  </si>
  <si>
    <t>VETO</t>
  </si>
  <si>
    <t>PRE29610</t>
  </si>
  <si>
    <t>INTERRUPTOR WIFI SENCILLO</t>
  </si>
  <si>
    <t>PRE29627</t>
  </si>
  <si>
    <t>INTERRUPTOR WIFI DOBLE</t>
  </si>
  <si>
    <t>PRE29634</t>
  </si>
  <si>
    <t>INTERRUPTOR WIFI TRIPLE</t>
  </si>
  <si>
    <t>PRE29641</t>
  </si>
  <si>
    <t>INTERRUPTOR WIFI SENCILLO CONMUTABLE</t>
  </si>
  <si>
    <t>PRE29658</t>
  </si>
  <si>
    <t>INTERRUPTOR WIFI DOBLE CONMUTABLE</t>
  </si>
  <si>
    <t>PRE29665</t>
  </si>
  <si>
    <t>INTERRUPTOR WIFI TRIPLE CONMUTABLE</t>
  </si>
  <si>
    <t>RG_ES209GC_P</t>
  </si>
  <si>
    <t>SWITCH PoE DE 8 PUERTOS GIGA CAPA 2.</t>
  </si>
  <si>
    <t>FLXBTV1021</t>
  </si>
  <si>
    <t>SOPORTE PARA BARRA DE TV SONOS EN TV</t>
  </si>
  <si>
    <t xml:space="preserve">FLXS1WM1021  </t>
  </si>
  <si>
    <t>SOPORTE PARA ALTAVOZ PLAY 1 DE PARED EN COLOR NEGRO</t>
  </si>
  <si>
    <t>DH_XVR1B08H_I</t>
  </si>
  <si>
    <t>XVR 8CH + 4CH IP GRABACION HASTA 5M-N HDMI 1 E/S RCA 1 SATA H.265+ AI CODING SMDPLUS</t>
  </si>
  <si>
    <t>DH_HAC_HFW1200RN_0280B_S5</t>
  </si>
  <si>
    <t>CAMARA 4 EN 1 1/2,7" CMOS 1080P TIPO BALA PLASTICA LENTE 2,8MM FOV 103° DWDR IR 20M IP67</t>
  </si>
  <si>
    <t>WD42PURZ</t>
  </si>
  <si>
    <t>DISCO DURO 4TB CACHE 256MB 3.5" SATA 5400 RPM 6GB/S</t>
  </si>
  <si>
    <t>ACCCJ30</t>
  </si>
  <si>
    <t>CAJA DE PASO CUADRADA EN POLIPROPILENO 10 x 10 cms TORNILLO DE SEGURIDAD EN NYLON</t>
  </si>
  <si>
    <t>TRANS12V15</t>
  </si>
  <si>
    <t>TRANSFORMADOR 12V 1.5 AMPERIOS COMPATIBLE CON CAMARAS IP DAHUA Y HK Y DISPOSITIVOS ANALOGOS HK</t>
  </si>
  <si>
    <t>DH_PFM800_E</t>
  </si>
  <si>
    <t>VIDEO BALUN PASIVO 1CH HDCVI/HDTVI/AHD/CVBS SOPORTA CAMARAS 1080P CON ACOPLE ENTRE SI</t>
  </si>
  <si>
    <t>90_2902_14_00</t>
  </si>
  <si>
    <t>DOWNLIGHT GES RECESSED SQUARE A 5 31.2º BLANCO IP23 292LM</t>
  </si>
  <si>
    <t>55_E151_CA_CL</t>
  </si>
  <si>
    <t>EMPOTRABLE DE SUELO IP66 RIM Ø46MM LED 1 BLANCO CÁLIDO - 3000K ACERO INOXIDABLE</t>
  </si>
  <si>
    <t>FUENTE DE ALIMENTACIÓN IP67 DE 24V PARA BALA DE PISO rim (MIN 1 UNIT - MAX 14 UNIT)</t>
  </si>
  <si>
    <t>55_E001_CA_CL</t>
  </si>
  <si>
    <t>EMPOTRABLE DE SUELO IP65-IP67 PIXEL 1 WINDOW LED 3.4 BLANCO CÁLIDO - 3000K HACER</t>
  </si>
  <si>
    <t>FUENTE DE ALIMENTACIÓN IP67 DE 24V PARA BALA DE PISO PIXEL (MIN 1 UNIT - MAX 15 UNIT)</t>
  </si>
  <si>
    <t>I1430</t>
  </si>
  <si>
    <t>BOMBILLO LED GU 10 6W 4000K</t>
  </si>
  <si>
    <t>K_INST_DECO_MEDIANA</t>
  </si>
  <si>
    <t>INSTALACIÓN DE LUMINARIA DECORATIVA MEDIANA DESCOLGADA</t>
  </si>
  <si>
    <t>ARMADO DE LUMINARIA DECORATIVA</t>
  </si>
  <si>
    <t>K_INST_DECO_PEQUENA</t>
  </si>
  <si>
    <t>CHA_ARM</t>
  </si>
  <si>
    <t>CHAZO EXPANSIVO TIPO ARMELLA DE 3/8</t>
  </si>
  <si>
    <t>CHA_PER</t>
  </si>
  <si>
    <t>AMARRADERA DE GUAYA TIPO PERRO</t>
  </si>
  <si>
    <t>H158050</t>
  </si>
  <si>
    <t>KIT DE DATOS PARA TESTER DE RED</t>
  </si>
  <si>
    <t>TL_SG105</t>
  </si>
  <si>
    <t>ECO_23_U_CUSTOM</t>
  </si>
  <si>
    <t>LUMINARIA EN U CON ELABORADA A MEDIDA, CON ATENUACION POR FASE.</t>
  </si>
  <si>
    <t>4998GY</t>
  </si>
  <si>
    <t>TAPA DE APERTURA VERTICAL PARA INTEMPERIE.</t>
  </si>
  <si>
    <t>HILUX</t>
  </si>
  <si>
    <t>BO01</t>
  </si>
  <si>
    <t>BOMBILLO ATENUABLE BIPIN 3000K</t>
  </si>
  <si>
    <t>20DYDLED013VSCCTB</t>
  </si>
  <si>
    <t>BALA DE INCRUSTAR DE 20W, CON TEMPERATURA DE COLOR VARIABLE</t>
  </si>
  <si>
    <t>UAP_AC_PRO</t>
  </si>
  <si>
    <t>ACCESS POINT LINEA PRO DE 300 USUARIOS Y DOBLE BANDA.</t>
  </si>
  <si>
    <t>STECK</t>
  </si>
  <si>
    <t>2L07</t>
  </si>
  <si>
    <t>BARRAJE DE DERIVACION</t>
  </si>
  <si>
    <t>AT_AVA_EX70_KIT</t>
  </si>
  <si>
    <t>KIT EXTENSOR HDMI 4K, CON ALIMENTACION REMOTA</t>
  </si>
  <si>
    <t>WBA51</t>
  </si>
  <si>
    <t>PREAMPLIFICADOR PARA STREAMING POR RED O BLUETOOTH.</t>
  </si>
  <si>
    <t>PD_5ANS_AL_R</t>
  </si>
  <si>
    <t>INTERRUPTOR DE 5 AMPERIOS DE LA LINEA CASETA WIRELESS ALMENDRA</t>
  </si>
  <si>
    <t>CA_1PS_AL</t>
  </si>
  <si>
    <t>INTERRUPTOR SENCILLO DE LA LÍNEA DIVA. COLOR ALMENDRA</t>
  </si>
  <si>
    <t>RESOR_12</t>
  </si>
  <si>
    <t>RESORTE DE MEDIA PULGADA</t>
  </si>
  <si>
    <t>CONECTOR SUMERGIBLE PARA DERIVACIÓN CON AISLANTE SILICONADO</t>
  </si>
  <si>
    <t>SN_205</t>
  </si>
  <si>
    <t>PARLANTE TECHO CON COBERTURA DE FUEGO, MEMBRANA 5.25", 50W VATIOS.</t>
  </si>
  <si>
    <t>L56042W</t>
  </si>
  <si>
    <t>INTERRUPTOR DECORA SENCILLO CONMUTABLE DE 4 VIAS.</t>
  </si>
  <si>
    <t>L56032W</t>
  </si>
  <si>
    <t>INTERRUPTOR DECORA SENCILLO CONMUTABLE DE 3 VIAS.</t>
  </si>
  <si>
    <t>L5643W</t>
  </si>
  <si>
    <t>INTERRUPTOR DOBLE CONMUTABLE DECORA BLANCO</t>
  </si>
  <si>
    <t>K_MARQAS_AUDIO</t>
  </si>
  <si>
    <t>REINSTALACIÓN Y CAMBIO DE SISTEMA DE CONTROL DE AUDIO Y AMPLIFICACIÓN: INCLUYE: INFRA ESTRUCTURA CIVIL, Y SUMINISTRO O REPARACIÓN DE EQUIPOS.</t>
  </si>
  <si>
    <t>K_INST_PICO</t>
  </si>
  <si>
    <t>INTALACIÓN DE TECLADO PICO EN SITIO, YA SEA PEDESTAL, MURO U OTROS. GARANTIA: 1 AÑO</t>
  </si>
  <si>
    <t>QSN_2DAL_S_CPN6916</t>
  </si>
  <si>
    <t>KIT_G_ELECTRICA</t>
  </si>
  <si>
    <t>KIT DE GUAYA ELECTRICA INVISIBLE PARA MANEJO DE ALTA CORRIENTE</t>
  </si>
  <si>
    <t>K_DISENO_DATOS</t>
  </si>
  <si>
    <t>DISENO DE RED DE CABLEADO ESTRUCTURADO</t>
  </si>
  <si>
    <t>K_DISENO_CONTROL_ILU</t>
  </si>
  <si>
    <t>DISENO DE RED DE CONTROL DE ILUMINACION BASADO EN DISENOR DE ILUMINACION EXISTENTES</t>
  </si>
  <si>
    <t>K_DISENO_CONTROL_AV</t>
  </si>
  <si>
    <t>DISENO DE RED DE SISEMAS DE AUDIO, VIDEO Y SISTEMAS DE INTEGRACION.</t>
  </si>
  <si>
    <t>SOUND_TOWN</t>
  </si>
  <si>
    <t>SWM_16_MAX</t>
  </si>
  <si>
    <t>SISTEMA DE MEZCLADOR DE AUDIO CON ENTRADA HDMI Y ANALOGA. CON MICROFONOS EN 16 FRECUENCIAS DIFERENTES.</t>
  </si>
  <si>
    <t>https://www.amazon.com/-/es/mezclador-micr%C3%B3fono-inal%C3%A1mbrico-compatible-SWM16-MAX/dp/B09WL9Y58F/ref=sr_1_5?__mk_es_US=%C3%85M%C3%85%C5%BD%C3%95%C3%91&amp;keywords=mezclador%2Baudio%2Bhdmi&amp;qid=1691076013&amp;sr=8-5&amp;th=1</t>
  </si>
  <si>
    <t>DLGU10BX3</t>
  </si>
  <si>
    <t>MINI CARDAN BLANCO PARA 3 BOMBILLAS GU10 EN PVC</t>
  </si>
  <si>
    <t>ALEXA</t>
  </si>
  <si>
    <t>ECHO_DOT_5TH</t>
  </si>
  <si>
    <t>MODULO ALEXA ECHO DOT DE QUINTA GENERACION</t>
  </si>
  <si>
    <t>ERA_300_B</t>
  </si>
  <si>
    <t>PARLANTE CON CONECTIVIDAD WIFI, BLUETOOTH, DOLBY ATMOS CERTIFICADO, STREAMING POR AIRPLAY 2 Y OTRAS PLATAFORMAS. 170W.</t>
  </si>
  <si>
    <t>ERA_100_B</t>
  </si>
  <si>
    <t>PARLANTE CON CONECTIVIDAD WIFI, BLUETOOTH, DOLBY ATMOS CERTIFICADO, STREAMING POR AIRPLAY 2 Y OTRAS PLATAFORMAS. 60W.</t>
  </si>
  <si>
    <t>E10MTWW1</t>
  </si>
  <si>
    <t>SOPORTE PARA ERA 100 DE PARED</t>
  </si>
  <si>
    <t>E10SPWW1BLK</t>
  </si>
  <si>
    <t>PAREJA DE SOPORTES DE PEDESTAL PARA ALTAVOZ AMPLIFICADO ERA 100</t>
  </si>
  <si>
    <t>E30MPWW1BLK</t>
  </si>
  <si>
    <t>PAREJA DE SOPORTES DE PARED PARA PARLANTES ERA 300</t>
  </si>
  <si>
    <t>GAMMA</t>
  </si>
  <si>
    <t>G01</t>
  </si>
  <si>
    <t>ASCENSOR DE PROYECTOR DE 45cmX45cmX27cm, PARA PROYECTOR DE HASTA 8KG</t>
  </si>
  <si>
    <t>T100</t>
  </si>
  <si>
    <t>TELON DE PROYECCION MOTORIZADO EN FORMATO 16:9 DE 100"</t>
  </si>
  <si>
    <t xml:space="preserve">TXNR5100 </t>
  </si>
  <si>
    <t>K_TECH_RED</t>
  </si>
  <si>
    <t>JORNADA DE HASTA 8 DE REVISIÓN O CARACTERIZACIÓN DE PUNTOS DE DATOS O REDES.</t>
  </si>
  <si>
    <t>UC_S15</t>
  </si>
  <si>
    <t>SISTEMA DE VIDEO CONFERENCIA CON CAMARA Y MICROFONIA INCLUIDA, COMUNICACIÓN WIRELESS EN MICROFONIA; CAMARA Y PRESENTACION.</t>
  </si>
  <si>
    <t>SN_268</t>
  </si>
  <si>
    <t>MICROFONO OMNIDIRECCIONAL CON CONECTIVIDAD BLUETOOTH</t>
  </si>
  <si>
    <t>C3017</t>
  </si>
  <si>
    <t>CONECTOR DE DERIVACION DE CUATRO LINEAS</t>
  </si>
  <si>
    <t>C3013</t>
  </si>
  <si>
    <t>CONECTOR DE DERIVACION DE DOS LINEAS</t>
  </si>
  <si>
    <t>IL40D</t>
  </si>
  <si>
    <t>LUMINARIA HERMETICA CON DRIVER DALI, 40W</t>
  </si>
  <si>
    <t>TEF1110P_8_102W</t>
  </si>
  <si>
    <t>SWITCH PoE 10/100 DE 99W. 8 PUERTOS.</t>
  </si>
  <si>
    <t>BESTON</t>
  </si>
  <si>
    <t>USB_3.5</t>
  </si>
  <si>
    <t>CABLE USB A 3.5</t>
  </si>
  <si>
    <t>C_USB2.1</t>
  </si>
  <si>
    <t>FUENTE USB DE 5V, 2.1 AMPERIOS</t>
  </si>
  <si>
    <t>S_HDMI_5</t>
  </si>
  <si>
    <t>SELECTRO HDMI DE 5 ENTRADAS, UNA SALIDA RESOLUCION 4K</t>
  </si>
  <si>
    <t>MSP8</t>
  </si>
  <si>
    <t>MULTITOMA CON SUPRESOR DE PICOS DE 8 AMPERIOS</t>
  </si>
  <si>
    <t>T2U</t>
  </si>
  <si>
    <t>TARJETA DE COMUNICACIÓN USB - WIRELESS</t>
  </si>
  <si>
    <t>71_5215_14_00</t>
  </si>
  <si>
    <t>CONECTOR DE RIEL DERECHO BLANCO</t>
  </si>
  <si>
    <t>GC_2048</t>
  </si>
  <si>
    <t>GABINETE COMPACTO DE 9U</t>
  </si>
  <si>
    <t>MH_4714</t>
  </si>
  <si>
    <t>MULTITOMA DE 10 SERVICIOS GRADO HOSPITALARIO</t>
  </si>
  <si>
    <t>DMMP30A20</t>
  </si>
  <si>
    <t>DIMMER DE ATENUACION 30 AMPERIOS PARA CINTA LED</t>
  </si>
  <si>
    <t>PJ2_4B_TMN_EL1</t>
  </si>
  <si>
    <t>40DLFCLED1282V40B</t>
  </si>
  <si>
    <t>LUMINARIA LINEAL NEUTRA DE 4000K, 40W ATENUABLE</t>
  </si>
  <si>
    <t>LEDSC4</t>
  </si>
  <si>
    <t>90_8014_14_00</t>
  </si>
  <si>
    <t>LUMINARIA TIPO SPOT DE INCRUSTAR, POTENCIA DE 3.1W, DRIVER DE 350MA, 3000K.</t>
  </si>
  <si>
    <t>CHI05</t>
  </si>
  <si>
    <t xml:space="preserve">CHIMENEA TIPO FLAUTA DE HASTA 1.4M DE LARGO, CON CONTROL REMOTO Y CAPACIDAD DE INTEGRACION CON CONTACTO SECO, NO INCLUYE DISPOSITIVO DE CONTROL POR CONTACTO. </t>
  </si>
  <si>
    <t>LSC_OS_PS_QTM</t>
  </si>
  <si>
    <t>ARRANQUE PUESTA PUNTO E INTEGRACIÓN DEL SISTEMA A SISTEMA QUANTUM EXISTENTE GARANTIA: 1 AÑO</t>
  </si>
  <si>
    <t>K_GRAFIK_REV</t>
  </si>
  <si>
    <t>REVISION DE EQUIPO TIPO GRAFIK</t>
  </si>
  <si>
    <t>LX_NZ30W</t>
  </si>
  <si>
    <t>PROYECTOR DE 3300lm DLP, Laser, 4K60P 2K/240Hz ENTRADA HDMI, USB C, RS232, RJ 45, GARANTIA DE DOS AÑOS.</t>
  </si>
  <si>
    <t>NP_P627UL</t>
  </si>
  <si>
    <t>PROYECTOR DE 6200lm DLP, Laser, 4K60P 2K/240Hz ENTRADA HDMI, USB C, RS232, RJ 45, GARANTIA DE CINCO AÑOS.</t>
  </si>
  <si>
    <t>DOMINO_4_H</t>
  </si>
  <si>
    <t>PROYECTOR CON RESOLUCIÓN 4096x2160, 1900 LUMENS.</t>
  </si>
  <si>
    <t>10LQLEDT30MVN</t>
  </si>
  <si>
    <t>REFLECTOR PARA EXTERIOR DE 10W, 3000K.</t>
  </si>
  <si>
    <t>20LQLEDT30MVN</t>
  </si>
  <si>
    <t>REFLECTOR PARA EXTERIOR DE 20W, 3000K.</t>
  </si>
  <si>
    <t>IPC_S41FEN_0360B_IMOU</t>
  </si>
  <si>
    <t>CAMARA IP OUTDOOR DE 4MP WIRELESS IP65, CON SMART TRACKING</t>
  </si>
  <si>
    <t>INTERLOGIX</t>
  </si>
  <si>
    <t>RS3250</t>
  </si>
  <si>
    <t>CAMARA IP WIFI DE 4MM, CON VISION NOCTURNA</t>
  </si>
  <si>
    <t>RS3230</t>
  </si>
  <si>
    <t>CAMARA IP WIFI DE 4MM, CON VIION NOCTURNA</t>
  </si>
  <si>
    <t>PROCESADOR DE AUDIO Y VIDEO CON 9.2 CANALES. 100W POR CANAL</t>
  </si>
  <si>
    <t>T40</t>
  </si>
  <si>
    <t>SERVIDOR DELL POWEREDGE T40 INTEL XEON E 2224G (3.5GHz) - 8GB - 1TB</t>
  </si>
  <si>
    <t>W11</t>
  </si>
  <si>
    <t>LICENCIA WINDOWS 11 PRO</t>
  </si>
  <si>
    <t>16DYDLED012VSCCTN</t>
  </si>
  <si>
    <t>LUMINARIA CON SELECTOR DE TEMPERATURA DE COLOR DE 20W. 1480LM. CARCASA NEGRA.</t>
  </si>
  <si>
    <t>SHADE_CUSTOM_JPR</t>
  </si>
  <si>
    <t>CORTINA A MEDIDA</t>
  </si>
  <si>
    <t>SHADE_CUSTOM_JSR</t>
  </si>
  <si>
    <t>PS_714</t>
  </si>
  <si>
    <t>EXTENDER HDMI HASTA 50 METROS POR UTP.</t>
  </si>
  <si>
    <t>SIEMON</t>
  </si>
  <si>
    <t>MX6_F06B</t>
  </si>
  <si>
    <t>JACK MX6-F06B, CAT 6, AZUL</t>
  </si>
  <si>
    <t>MX6_F03B</t>
  </si>
  <si>
    <t>JACK MX6-F03B, CAT 6, ROJO</t>
  </si>
  <si>
    <t>HD6_24</t>
  </si>
  <si>
    <t>PATCH PANEL HD6-24 CAT 6, 24 PUERTOS, 1RU</t>
  </si>
  <si>
    <t>PC6_001M_A06LS</t>
  </si>
  <si>
    <t>PATCH CORD PC6-001M-A06LS AZUL CAT 6, 1M</t>
  </si>
  <si>
    <t>PC6_002M_A06LS</t>
  </si>
  <si>
    <t>PATCH CORD PC6-002M-A06LS AZUL, CAT 6, 2M</t>
  </si>
  <si>
    <t>MX_FP_S_01_02B</t>
  </si>
  <si>
    <t>PLACA MX-FP-S-01-02B, 1 ESPACIO, BLANCA</t>
  </si>
  <si>
    <t>MX_FP_S_02_02B</t>
  </si>
  <si>
    <t>PLACA MX-FP-S-02-02B, 2 ESPACIOS, BLANCA</t>
  </si>
  <si>
    <t>HCM_4_2U</t>
  </si>
  <si>
    <t>ORGANIZADOR CABLE HCM-4-2U, 2RU, FRONTAL, COLOR NEGRO</t>
  </si>
  <si>
    <t>RS1_07_S</t>
  </si>
  <si>
    <t>RACK ABIERTO RS1-07-S, 2 POSTES, 45RU, 19", CAPACIDAD 544KG</t>
  </si>
  <si>
    <t>9C6L4_E2_RXA</t>
  </si>
  <si>
    <t>CABLE UTP 9C6L4-E2-RXA CAT 6 LSZH 1-3-22 VIOLETA 305M 24AWG</t>
  </si>
  <si>
    <t>PS_920</t>
  </si>
  <si>
    <t>CAMARA WEB ESTATICA DE 2MP</t>
  </si>
  <si>
    <t>ERS307</t>
  </si>
  <si>
    <t>RACK ORGANIZADOR VERTICAL DE DOS POSTES CON 45U DE ESPACIO.</t>
  </si>
  <si>
    <t>BRAVO_RF</t>
  </si>
  <si>
    <t>ASCENSOR DE PROYECTOR DE 60x60x35 DE 4 KILOS</t>
  </si>
  <si>
    <t>AJAX</t>
  </si>
  <si>
    <t>44521.108.WH3</t>
  </si>
  <si>
    <t>HUB2 4G PANEL DE CONTROL ETHERNET GPRS 100 DISPOSITIVOS 50 USUARIOS 9 PARTICIONES BATERÍA 16H BLANCO.</t>
  </si>
  <si>
    <t>26803.09.WH3</t>
  </si>
  <si>
    <t>MOTIONPROTECT DETECTOR DE MOVIMIENTO INALÁMBRICO INMUNE A MASCOTAS AJAX (9NA) COLOR BLANCO</t>
  </si>
  <si>
    <t>28315.07.WH3</t>
  </si>
  <si>
    <t>STREETSIREN SIRENA INALÁMBRICA PARA EXTERIORES CON MARCO LED Y ZUMBADOR PIEZOELÉCTRICO COLOR BLANCO</t>
  </si>
  <si>
    <t>28309.37.WH3</t>
  </si>
  <si>
    <t>REX REPETIDOR PARA EXPANDIR SEÑAL DE RADIO JEWELLER COLOR BLANCO</t>
  </si>
  <si>
    <t>DS_3E0166P</t>
  </si>
  <si>
    <t>SWITCH PoE DE 4 PUERTOS CON UPLINK, 10/100 CON ALCANCE PARA CAMARA HASTA 300 METROS</t>
  </si>
  <si>
    <t>DTA_100ST</t>
  </si>
  <si>
    <t>AMPLIFICADOR CON BLUETOOTH DE 100W CLASE D.</t>
  </si>
  <si>
    <t>CH32</t>
  </si>
  <si>
    <t>CONTACTOR DE 32 AMPERIOS CON BOBINA A 110VAC.</t>
  </si>
  <si>
    <t>OMG1</t>
  </si>
  <si>
    <t>RIEL OMEGA DE UN METRO</t>
  </si>
  <si>
    <t>TECHNO</t>
  </si>
  <si>
    <t>H35B</t>
  </si>
  <si>
    <t>CHAPA BIOMETRICA CON APERTURA MECANICA Y DE CLAVE</t>
  </si>
  <si>
    <t>K_INST_SHADE</t>
  </si>
  <si>
    <t>INSTALACION DE CORTINA</t>
  </si>
  <si>
    <t>UHV_522M</t>
  </si>
  <si>
    <t>C705025</t>
  </si>
  <si>
    <t>GABINETE ELECTRICO CERTIFICADO DE 70cm X 50cm X 25cm.</t>
  </si>
  <si>
    <t>SURFACEPRO_8</t>
  </si>
  <si>
    <t>Microsoft Surface Pro 8 - Pantalla táctil de 13 pulgadas, Intel Evo Platform, Core i7, memoria de 16 GB, SSD de 256 GB</t>
  </si>
  <si>
    <t>T301</t>
  </si>
  <si>
    <t>ALTAVOZ SATELITE SERIE 301 DE KEF</t>
  </si>
  <si>
    <t>T301C</t>
  </si>
  <si>
    <t>ALTAVOZ CENTRAL SERIE 301 DE KEF</t>
  </si>
  <si>
    <t>DRX3.4</t>
  </si>
  <si>
    <t>PROCESADOR DE AUDIO Y VIDEO DE 3 ZONAS, DOS AMPLIFICADAS, SALIDAS 8K.</t>
  </si>
  <si>
    <t>EZ_SP22</t>
  </si>
  <si>
    <t>SELECTOR HDMI 4K CON SALIDA OPTICA.</t>
  </si>
  <si>
    <t>92RA</t>
  </si>
  <si>
    <t>SPOT LINEAL DIRECCIONAL PARA RIEL MAGNETICO</t>
  </si>
  <si>
    <t>https://es.aliexpress.com/item/1005003995869706.html?spm=a2g0o.store_pc_groupList.8148356.21.6b3156766rRrMk&amp;pdp_npi=4%40dis%21COP%21COP%2048%2C594.16%21COP%2037%2C417.51%21%21%2112.00%219.24%21%402103266e17000601165773652ece97%2112000029924432777%21sh%21CO%210%21</t>
  </si>
  <si>
    <t>TRACK1</t>
  </si>
  <si>
    <t>RIEL MAGNETICO DE UN METRO DE SOBREPONER EN COLOR NEGRO.</t>
  </si>
  <si>
    <t>https://es.aliexpress.com/item/1005004537819138.html?spm=a2g0o.detail.0.0.787e2rL02rL00P&amp;gps-id=pcDetailTopMoreOtherSeller&amp;scm=1007.40000.327270.0&amp;scm_id=1007.40000.327270.0&amp;scm-url=1007.40000.327270.0&amp;pvid=33cd1b3d-9461-4259-a444-e460a4742e34&amp;_t=gps-id:pcDetailTopMoreOtherSeller,scm-url:1007.40000.327270.0,pvid:33cd1b3d-9461-4259-a444-e460a4742e34,tpp_buckets:668%232846%238108%231977&amp;pdp_npi=4%40dis%21COP%2158871.21%2129435.61%21%21%21105.60%21%21%402103135817000601798726838e6d60%2112000029520806232%21rec%21CO%21%21AB</t>
  </si>
  <si>
    <t>SPM12</t>
  </si>
  <si>
    <t>SPOT MAGNETICO NEGRO APERTURA 60 GRADOS, 12W.</t>
  </si>
  <si>
    <t>MR16_COB</t>
  </si>
  <si>
    <t>BALA DE ALTO DESEMPEÑO DE 18W, 3000K.</t>
  </si>
  <si>
    <t>I_CONNECTOR</t>
  </si>
  <si>
    <t>CONECTOR PARA RIEL MAGNETICO</t>
  </si>
  <si>
    <t>https://es.aliexpress.com/item/1005004204872628.html?spm=a2g0o.productlist.main.3.5b8a48038M6rZj&amp;algo_pvid=16a37a91-c701-4175-9743-6d7530342f86&amp;aem_p4p_detail=202311150644375846522198067540000340308&amp;algo_exp_id=16a37a91-c701-4175-9743-6d7530342f86-1&amp;pdp_npi=4%40dis%21COP%21341778.95%21146956.85%21%21%2184.40%21%21%402101e5f717000594774975322e4712%2112000028423496236%21sea%21CO%210%21AB&amp;curPageLogUid=XwKplaGykFUu&amp;search_p4p_id=202311150644375846522198067540000340308_2</t>
  </si>
  <si>
    <t>FUENTE DE 48V, 200W.</t>
  </si>
  <si>
    <t>ZCE_05B</t>
  </si>
  <si>
    <t>GENERADOR DE FM DE BAJO RANGO</t>
  </si>
  <si>
    <t>https://www.amazon.com/-/es/dp/B09XDRCDNZ/ref=emc_b_5_i</t>
  </si>
  <si>
    <t>NIGNYA</t>
  </si>
  <si>
    <t>N360</t>
  </si>
  <si>
    <t>MICROFONO OMNIDIRECCIONAL CON CONEXIÓN 3.5MM</t>
  </si>
  <si>
    <t>https://www.amazon.com/-/es/product-reviews/B08QCGTFZS/ref=acr_dp_hist_2?ie=UTF8&amp;filterByStar=two_star&amp;reviewerType=all_reviews#reviews-filter-bar</t>
  </si>
  <si>
    <t>A5W</t>
  </si>
  <si>
    <t>RADIO CON CONECTIVIDAD BLUETOOTH</t>
  </si>
  <si>
    <t>https://www.amazon.com/-/es/parlantes-soundcore-Bluetooth-inal%C3%A1mbrico-aumentado/dp/B01HTH3C8S/ref=sr_1_11?__mk_es_US=%C3%85M%C3%85%C5%BD%C3%95%C3%91&amp;crid=1T0IKR16EUUG8&amp;keywords=fm%2Bradio&amp;qid=1700087536&amp;sprefix=fm%2Bradio%2Caps%2C203&amp;sr=8-11&amp;th=1</t>
  </si>
  <si>
    <t>KRISDONIA</t>
  </si>
  <si>
    <t>BATERIA DE RESPALDO, 130W, SALIDA 110.</t>
  </si>
  <si>
    <t>https://www.amazon.com/Krisdonia-Cargador-port%C3%A1til-aprobado-proyector/dp/B07R8Y24PB/ref=sr_1_2_sspa?__mk_es_US=%C3%85M%C3%85%C5%BD%C3%95%C3%91&amp;crid=TS5PPZUZHNPO&amp;keywords=battery%2B120vac&amp;qid=1700088510&amp;sprefix=baterry%2B120va%2Caps%2C307&amp;sr=8-2-spons&amp;ufe=app_do%3Aamzn1.fos.17d9e15d-4e43-4581-b373-0e5c1a776d5d&amp;sp_csd=d2lkZ2V0TmFtZT1zcF9hdGY&amp;th=1</t>
  </si>
  <si>
    <t>VANTAGE_162</t>
  </si>
  <si>
    <t>CABLE DE COMUNICACIÓN PARA BUS DE DATOS DALI, ROLLO POR 1000 PIES, 305 METROS, AISLADO A 600V.</t>
  </si>
  <si>
    <t>NEMA7070</t>
  </si>
  <si>
    <t>ARMARIO IP66 EN FORMATO 70X70</t>
  </si>
  <si>
    <t>PJ2_4B_GBL_P11</t>
  </si>
  <si>
    <t>TECLADO DE 4 BOTONES NEGRO BRILLANTE CON ENGRAVING</t>
  </si>
  <si>
    <t>PJ2_4B_GBL_EL2</t>
  </si>
  <si>
    <t>PJ2_4B_TMN_P11</t>
  </si>
  <si>
    <t>PJ2_4B_TMN_L21</t>
  </si>
  <si>
    <t>PJ2_4B_TMN_EL2</t>
  </si>
  <si>
    <t>WB40A</t>
  </si>
  <si>
    <t>MULTIROOM DE AUDIO CON BLUETOOTH Y CONTROL POR RED, SALIDA DE 20W ESTEREO</t>
  </si>
  <si>
    <t>MULTIROOM DE AUDIO CON BLUETOOTH Y CONTROL POR RED.</t>
  </si>
  <si>
    <t>DB692</t>
  </si>
  <si>
    <t>ALTAVOZ STEREO GRADO MARINO DE 150W</t>
  </si>
  <si>
    <t>15_A095_DN_TS</t>
  </si>
  <si>
    <t>LUMINARIA TIPO SPOT DE SOBREPONER CON OPTICA DE APERTURA DE 8°, TEMEPRATURA DE COLOR 3000K.</t>
  </si>
  <si>
    <t>DRIVER DE VOLTAJE CONSTANTE ATENUABLE POR FASE DE 150</t>
  </si>
  <si>
    <t>DRIVER DE VOLTAJE CONSTANTE ATENUABLE POR FASE DE 100</t>
  </si>
  <si>
    <t>RGLD5670</t>
  </si>
  <si>
    <t>REGLETA LED 112Cm 4000K CON FLUJO LUMINICO PROGRAMABLE Y ATENUABLE.</t>
  </si>
  <si>
    <t>APLSUN5</t>
  </si>
  <si>
    <t>LUMINARIA LED SOLAR DE SOBREPONER, 15W, AUTONOMIA PROMEDIO DE 6 HORAS.</t>
  </si>
  <si>
    <t>QP_2L</t>
  </si>
  <si>
    <t>PROCESADOR LINEA ATHENA DE 2 LAZOS.</t>
  </si>
  <si>
    <t>TX_RX_AUD</t>
  </si>
  <si>
    <t>ENTENDER DE AUDIO ANALOGO POR CAT% DIGITAL</t>
  </si>
  <si>
    <t>CWM362</t>
  </si>
  <si>
    <t>ALTAVOZ DE DOS VIAS PARA EMPOTRAR, 80 OHM, RANGO DE FERCUENCIA (-6dB): 50Hz-30kHz.</t>
  </si>
  <si>
    <t>A2.1S</t>
  </si>
  <si>
    <t>SPLITTER PARA SALIDA DE AUDIO ANÁLOGO</t>
  </si>
  <si>
    <t>SPOT_ATOM_90</t>
  </si>
  <si>
    <t>SPOT PARA RIEL ZERO TRACK</t>
  </si>
  <si>
    <t>K_MAN_QUANTUM_DIA</t>
  </si>
  <si>
    <t>DIA DE MANTENIMIENTO DEL SISTEMA QUANTUM, LA ACTIVIDAD CONSISTE EN EL DESPLAZAMIENTO DE UN EQUIPO DE INGENIERIA Y UN TECNICO ELECTRICO PARA EL DESARROLLO DE LAS SIGUIENTES ACTIVIDADES: GENERACION DE DIAGNOSTICO DE EQUIPOS, INFORME DE POSIBLES FALLOS, DESCONEXIONES Y OTROS. AJUSTES DE CONEXIONADO EN BORNERAS, AJUSTES DE CONEXIÓN DE DISPOSITIVOS INALAMBRICOS, CAPACITACION DE USUARIO FINAL Y RESOLUCION DE DUDAS. LA JORNADA DE MANTENIMIENTO ES DE UN MAXIMO DE HASTA 8 HORAS.</t>
  </si>
  <si>
    <t>K_MARQAS_IT</t>
  </si>
  <si>
    <t>IMPLEMENTACION DE SISTEMA DE CONTROL DE ILUMINACION CON CONTROL DE CARGAS, INCLUYE CAMBIO DE ACCESS POINT DE COMUNICACIONES PARA REDES LAN Y REPOTENCIACION Y CAMBIO DE CARGAS LUMINICAS DE ACUERDO CON DISEÑO PRESENTADO.</t>
  </si>
  <si>
    <t>IS6</t>
  </si>
  <si>
    <t>PARLANTE DE 100W CON IMPEDANCIA NOMINAL DE 6OHM. INSTALACION INVISIBLE EN DRYWALL</t>
  </si>
  <si>
    <t>IS6_E</t>
  </si>
  <si>
    <t>ENCLOSRE PARA PARLANTE IS6</t>
  </si>
  <si>
    <t>K_MANT_TEN_60X180</t>
  </si>
  <si>
    <t>MANTENIMIENTO DE TENSOFLEX DE 60cm X 180cm, INCLUYE DESMONTE, LIMPIEZA, NO INCLUYE REPUESTOS DE ILUMINACION O MANO DE OBRA DE CAMBIO DE ILUMINACION EN CASO DE REQUERIRSE.</t>
  </si>
  <si>
    <t>K_MANT_TEN_100X500</t>
  </si>
  <si>
    <t>MANTENIMIENTO DE TENSOFLEX DE 50cm X 500cm, INCLUYE DESMONTE, LIMPIEZA, NO INCLUYE REPUESTOS DE ILUMINACION O MANO DE OBRA DE CAMBIO DE ILUMINACION EN CASO DE REQUERIRSE.</t>
  </si>
  <si>
    <t>K_MANT_TEN_50X60</t>
  </si>
  <si>
    <t>MANTENIMIENTO DE TENSOFLEX DE 50cm X 60cm, INCLUYE DESMONTE, LIMPIEZA, NO INCLUYE REPUESTOS DE ILUMINACION O MANO DE OBRA DE CAMBIO DE ILUMINACION EN CASO DE REQUERIRSE.</t>
  </si>
  <si>
    <t>LR3BHSW</t>
  </si>
  <si>
    <t>TECLADO DE 3 BOTONES PARA INTEGRACION CON CAR VISOR DE LUTRON</t>
  </si>
  <si>
    <t>NBC3_T</t>
  </si>
  <si>
    <t>SOPORTE FIJO CON INCLINACION PARA TV DE HASTA 65"</t>
  </si>
  <si>
    <t>K_LAMP_EPSON</t>
  </si>
  <si>
    <t>CAMBIO DE LAMPARA DE VIDEO PROYECTOR EPSON DE ACUERDO CON REFERENCIA DEL EQUIPO. LAMPARA ORIGINAL</t>
  </si>
  <si>
    <t>ROLLO DE 305 METROS DE CABLE DESOXIGENADO TRANSPARENTE AWG2X18 PARA ALTAVOZ.</t>
  </si>
  <si>
    <t>TDT_5</t>
  </si>
  <si>
    <t>ANTENA TDT DE 5 METROS</t>
  </si>
  <si>
    <t>ATOM_90_BRONCE</t>
  </si>
  <si>
    <t>SPOT DIRECCIONABLE PARA RIEL MAGNETICO EN COLOR BRONCE</t>
  </si>
  <si>
    <t>CONTACTOR A 32 AMPERIOS Y BOBINA A 110V. MARCA: CHINT.</t>
  </si>
  <si>
    <t>K_LEV_LIGHT</t>
  </si>
  <si>
    <t>LEVANTAMIENTO TÉCNICO DE ILUMINACIÓN Y CONTROL. SE REQUIEREN PLANOS EN ARQUITECTÓNICOS EN AUTOCAD.</t>
  </si>
  <si>
    <t>HDMI_EXT</t>
  </si>
  <si>
    <t>EQUIPO PARA EXTRACCIÓN DE AUDIO DE HDMI</t>
  </si>
  <si>
    <t>EXTENDER DE HADMI POR CAT5 HASTA 50 METROS, INFRA ROJO UNIDIRECCIONAL</t>
  </si>
  <si>
    <t>ACC_MO_028</t>
  </si>
  <si>
    <t>PROCESADOR I5 Y PC PARA MONITOR DE VIDEO GARANTIA: 1 AÑO
MARCA: INTEL</t>
  </si>
  <si>
    <t>SP_MO_06</t>
  </si>
  <si>
    <t>SOPORTE PARA MONITOR INTERACTIVO MOVIL DE HASTA 100".</t>
  </si>
  <si>
    <t>DS_180CSM</t>
  </si>
  <si>
    <t>PARLANTE DE 8", RESPUESTA EN FERCUENCIA DE 73Hz - 20kHz +/- 3dB, 8 OHM, 50W. DUAL TWEETER.</t>
  </si>
  <si>
    <t>SB_ENG_CUS</t>
  </si>
  <si>
    <t>ENGRAVING CUSTOM EN LASER PARA TECLADO LUTRON</t>
  </si>
  <si>
    <t>RGES116G_1</t>
  </si>
  <si>
    <t>SWITCH DE DATOS NO ADMINISTRABLE GIGA DE 16 PUERTOS</t>
  </si>
  <si>
    <t>K_REV_DATOS</t>
  </si>
  <si>
    <t>REVISION DE SISTEMA DE DATOS</t>
  </si>
  <si>
    <t>5B55MK2</t>
  </si>
  <si>
    <t>ALTAVOCES DE EXTERIOR CON MEMBRANA DE 5.25", POTENCIA DE 125W.  EN COLOR NEGRO.</t>
  </si>
  <si>
    <t>IPC_A32EN_L_IMOU</t>
  </si>
  <si>
    <t>CAMARA IP INALAMBRICA DE 3MP.</t>
  </si>
  <si>
    <t>LUK087</t>
  </si>
  <si>
    <t>BOMBILLA VINTAGE GRANDE DE 7W, 2000K.</t>
  </si>
  <si>
    <t>RG_ES226GC_P</t>
  </si>
  <si>
    <t>SWITCH GIGA PoE DE 24 PUERTOS ADMINISTRABLE.</t>
  </si>
  <si>
    <t>C4_CORE5</t>
  </si>
  <si>
    <t xml:space="preserve">PROCESADOR CON SALIDA HDMI, 7 SALIDAS DE STREAMING, CONEXIÓN ETHERNET Y WIFI, 8 CONTROLADORES IR Y 4 SERIALES. </t>
  </si>
  <si>
    <t>C4_HALO_TS</t>
  </si>
  <si>
    <t>CONTROL REMOTO TOUCH CON BASE DE CARGA</t>
  </si>
  <si>
    <t>PRO120120</t>
  </si>
  <si>
    <t>CINTA LED CALIDA 3000K DE 120 LED POR METRO. ALIMENTACION A 110VAC.</t>
  </si>
  <si>
    <t>S108</t>
  </si>
  <si>
    <t>SWITCH DE DATOS 10/100 DE 8 PUERTOS</t>
  </si>
  <si>
    <t>IL1221_2700</t>
  </si>
  <si>
    <t>BOMBILLA GU10 ATENUABLE 2700K.</t>
  </si>
  <si>
    <t>ILHER40</t>
  </si>
  <si>
    <t>LUMINARIA HERMETICA LED CON ATENUACION DE DALI.</t>
  </si>
  <si>
    <t>LWT_U_PP_CWH</t>
  </si>
  <si>
    <t>TAPA DOBLE DE CONTROL PALLADIUM</t>
  </si>
  <si>
    <t>HQWA_W6BRLI_WH</t>
  </si>
  <si>
    <t>TECLADO DE 6 BOTONES PARA SISTEMA HOMEWORKS</t>
  </si>
  <si>
    <t>290165N</t>
  </si>
  <si>
    <t>CINTA AISLANTE TERMOENCOGIBLE</t>
  </si>
  <si>
    <t>BAR6</t>
  </si>
  <si>
    <t>BAR8</t>
  </si>
  <si>
    <t>BARRAJE EN COBRE DE 8 PINES</t>
  </si>
  <si>
    <t>BAR18</t>
  </si>
  <si>
    <t>BARRAJE EN COBRE DE 18 EN PINES</t>
  </si>
  <si>
    <t>DL_8_26</t>
  </si>
  <si>
    <t>LUMINARIA 4000K DE 2600LM CON CRI DE 90, MULTIVOLTAJE ATENUABLE 0-10</t>
  </si>
  <si>
    <t>MS358</t>
  </si>
  <si>
    <t>INTERRUPTOR SENCILLO PEQUEÑO PARA MOBILIARIO</t>
  </si>
  <si>
    <t>YL_011413</t>
  </si>
  <si>
    <t>MODULO PARA INTEGRACION DE CHAPA</t>
  </si>
  <si>
    <t>DLGU10CSQ_N</t>
  </si>
  <si>
    <t>BALA DE SOBREPONER PARA BOMBILLA GU10 EN FORMATO RECTANGULAR EN COLOR NEGRO.</t>
  </si>
  <si>
    <t>CN1_4008</t>
  </si>
  <si>
    <t>CONTACTOR TETRAPOLAR DE 60 AMPERIOS CON BIBNA DE ACCIONAMIENTO A 220.</t>
  </si>
  <si>
    <t>U66</t>
  </si>
  <si>
    <t>UNION ESTAÑADA PARA CABLE AWG6</t>
  </si>
  <si>
    <t>MSBMMT5G</t>
  </si>
  <si>
    <t xml:space="preserve">CAJA ELÉCTRICA PLÁSTICA PARA MANEJO DE DISPOSITIVOS CINCO UNIDADES.  </t>
  </si>
  <si>
    <t>LS1911</t>
  </si>
  <si>
    <t>PERFIL LED CON DIFUSOR EN C, PARA CINTA LED.</t>
  </si>
  <si>
    <t>RGEG209GS</t>
  </si>
  <si>
    <t>ROTER GIGA DE 9 PUERTOS</t>
  </si>
  <si>
    <t>RGES208GC</t>
  </si>
  <si>
    <t>SWITCH GIGA DE 8 PUERTOS</t>
  </si>
  <si>
    <t>K_PROG_MAIN_REP</t>
  </si>
  <si>
    <t>PROGRAMACION Y ACTUALIZACION DE MAIN REPEATER LUTRON</t>
  </si>
  <si>
    <t>MANTENIMIENTO DE SISTEMA DE AUDIO</t>
  </si>
  <si>
    <t>SUB_G3</t>
  </si>
  <si>
    <t>SUBWOOFER INALÁMBRICO PARA REPRODUCCIÓN DE BAJAS FRECUENCIAS. TERCERA GENERACION.</t>
  </si>
  <si>
    <t>19SIMC60306B</t>
  </si>
  <si>
    <t>PATCH CORD NO BLINDADO CAT6 AZUL DE UN METRO</t>
  </si>
  <si>
    <t>19SISHD1901</t>
  </si>
  <si>
    <t>BANDEJA PORTAEQUIPOS DOBLE</t>
  </si>
  <si>
    <t>19SESHS19V01</t>
  </si>
  <si>
    <t>BANDEJA PORTAEQUIPOS VENTILADA</t>
  </si>
  <si>
    <t>P4CADFCRD05L</t>
  </si>
  <si>
    <t>PATCH CORD CAT6A AZUL DE 50CM</t>
  </si>
  <si>
    <t>ORGANIZAR DOBLE PARA RACK ABIERTO</t>
  </si>
  <si>
    <t>SRV3KRA</t>
  </si>
  <si>
    <t>AP9562</t>
  </si>
  <si>
    <t>PDU P/RACK APC HORIZONTAL 10 TOMAS 515 120V 15A</t>
  </si>
  <si>
    <t>LSC_PREWIRE_RMTE</t>
  </si>
  <si>
    <t>PREINSPECCION DE PROYECTO POR PARTE DE INGENIERIA DE CAMPO</t>
  </si>
  <si>
    <t>LSC_B2</t>
  </si>
  <si>
    <t>GARANTIA DE ACUERDO A CONDICIONES DE SERVICIO</t>
  </si>
  <si>
    <t>PRE_WIRE</t>
  </si>
  <si>
    <t>INSPECCION, CARACTERIZACION Y VISITA DE PRECABLEADO PARA PROYECTO. INCLUYE INFORME DIAGNOSTICO DE ESTADO DE OBRA, SUGERENCIAS, PROBLEMAS Y RESULTADOS DE LA CARACTERIZACION DE CABLEADO E INSTALACIONES DEL SISTEMA</t>
  </si>
  <si>
    <t>K_PIN_STAND</t>
  </si>
  <si>
    <t>APLICACIÓN DE PINTURA ESTANDAR PARA MARCO DE LUMINARIA</t>
  </si>
  <si>
    <t>NUOLT_7286</t>
  </si>
  <si>
    <t>UPS ONLINE DE 10 KVA TIPO TORRE, ALIMENTACION BIFASICA. SALIDA CONFIGURABLE A 115VAC. GARANTIA UN AÑO.</t>
  </si>
  <si>
    <t>K_CONFIG_UPS</t>
  </si>
  <si>
    <t>CONFIGURACION DE SISTEMA DE UPS</t>
  </si>
  <si>
    <t>C4_HALO_BL</t>
  </si>
  <si>
    <t>CONTROL REMOTO TOUCH CON BASE Y CONECTIVIDAD WIFI.</t>
  </si>
  <si>
    <t>AVA3.1</t>
  </si>
  <si>
    <t>MINI PROCESADOR DE AUDIO Y VIDEO DE 3 CANALES Y POSIBILIDAD PARA SUBWOOFER.</t>
  </si>
  <si>
    <t>TL_207_SZ</t>
  </si>
  <si>
    <t>TELON MANUAL FORMATO 1:1 DE 118".</t>
  </si>
  <si>
    <t>ORDRO</t>
  </si>
  <si>
    <t>EP6</t>
  </si>
  <si>
    <t>CAMARA DE VIDEO PARA MONTAJE EN CABEZA, 4K.</t>
  </si>
  <si>
    <t>AVA2.1</t>
  </si>
  <si>
    <t>MINI PROCESADOR DE AUDIO Y VIDEO DE 2 CANALES Y POSIBILIDAD PARA SUBWOOFER.</t>
  </si>
  <si>
    <t>HUB_2</t>
  </si>
  <si>
    <t>HUB DE ALARMA CON CONECTIVIDAD IP PARA MONITOREO DE ALARMAS</t>
  </si>
  <si>
    <t>HUB_EXT</t>
  </si>
  <si>
    <t>EXTENSOR DE RANGO PARA SISTEMA DE ALARMA</t>
  </si>
  <si>
    <t>JE1_B</t>
  </si>
  <si>
    <t>SENSOR DE PRESENCIA INALAMBRICO CON TECNOLIGIA INFRA ROJA, EN COLOR BLANCO.</t>
  </si>
  <si>
    <t>CB_754</t>
  </si>
  <si>
    <t>CABLE HDMI DE 3.0 METROS, PARA RESOLUCION 4K.</t>
  </si>
  <si>
    <t>CB_744</t>
  </si>
  <si>
    <t>CABLE HDMI DE 1.8 METROS, PARA RESOLUCION 4K.</t>
  </si>
  <si>
    <t>CB_502</t>
  </si>
  <si>
    <t>CABLE OPTICO DE 3 METROS</t>
  </si>
  <si>
    <t>SP_225_LM</t>
  </si>
  <si>
    <t>SOPORTE PARA MONITOR O TV MOVIL DE 37"-70" CON PESO MAXIMO DE 40KG.</t>
  </si>
  <si>
    <t>T70W3ZW</t>
  </si>
  <si>
    <t>INTERRUPTOR TRIPLE DE CONTROL INALAMBRICO</t>
  </si>
  <si>
    <t>T70W2ZW</t>
  </si>
  <si>
    <t>INTERRUPTOR DOBLE DE CONTROL INALAMBRICO</t>
  </si>
  <si>
    <t>T70W1ZW</t>
  </si>
  <si>
    <t>INTERRUPTOR SENCILLO DE CONTROL INALAMBRICO</t>
  </si>
  <si>
    <t>D1</t>
  </si>
  <si>
    <t>DIMMER DE PANTALLA PARA CONTROL DE CARGAS ATENUABLES.</t>
  </si>
  <si>
    <t>T70S3ZW</t>
  </si>
  <si>
    <t>CONTROLADOR TRIPLE DE 3 BOTONES PARA CONMUTABLE</t>
  </si>
  <si>
    <t>VS20ZW</t>
  </si>
  <si>
    <t>CONTROLADOR ZIGBEE HASTA 200 DISPOSITIVOS</t>
  </si>
  <si>
    <t>RG_ES205GC_P</t>
  </si>
  <si>
    <t>SWITCH PoE ADMINISTRABLE DE 5 PUERTOS</t>
  </si>
  <si>
    <t>PC3MA</t>
  </si>
  <si>
    <t>PATCH CORE CAT 6 DE 3 METROS DE LARGO</t>
  </si>
  <si>
    <t>YANPO</t>
  </si>
  <si>
    <t>JVHP03</t>
  </si>
  <si>
    <t>FUENTE DE SWITCHEO DE 18.5VDC A 5.3 AMPERIOS.</t>
  </si>
  <si>
    <t>K_INST_PS</t>
  </si>
  <si>
    <t>SERVICIO DE INSTALACIÓN O REEMPLAZO DE FUENTE DE PODER EN SISTEMA DE CONTROL</t>
  </si>
  <si>
    <t>ILU1443</t>
  </si>
  <si>
    <t>BOMBILLA CALIDA DE 8W EN COLOR CALIDO, ATENUABLE.</t>
  </si>
  <si>
    <t>HOMEPOT</t>
  </si>
  <si>
    <t>SP_ECO</t>
  </si>
  <si>
    <t>SOPORTE DE PARED PARA ECO DOT DE 4a GENERACION</t>
  </si>
  <si>
    <t>https://www.amazon.com/-/es/Soporte-integrado-compatible-inteligente-generaci%C3%B3n/dp/B0BDZXNF83/ref=sr_1_4?__mk_es_US=%C3%85M%C3%85%C5%BD%C3%95%C3%91&amp;crid=17DKHERIU2PLB&amp;keywords=ceiling+mount+dot&amp;qid=1707406795&amp;sprefix=cealing+mount+dot%2Caps%2C223&amp;sr=8-4</t>
  </si>
  <si>
    <t>DOT5A</t>
  </si>
  <si>
    <t>PARLANTE ECHO DOT 5A GENERACION</t>
  </si>
  <si>
    <t>LSP20</t>
  </si>
  <si>
    <t>PARLANTE MAESTRO DE 70W CON BLUETOOTH</t>
  </si>
  <si>
    <t>LSP21</t>
  </si>
  <si>
    <t>PARLANTE ESCLAVO PARA CONEXIÓN A LSP20</t>
  </si>
  <si>
    <t>ECOBP1W_C</t>
  </si>
  <si>
    <t>MODULO DE 1W DE INCRUSTAR EN PISO CON ALIMENTACION A 120VAC</t>
  </si>
  <si>
    <t>CAMARA IP CON DETECCION DE MOVIMIENTO, 4MP DE RESOLUCION.</t>
  </si>
  <si>
    <t>IPC_GS7EN_5M0WE_IMOU</t>
  </si>
  <si>
    <t>CAMARA IP DE 5MP CON DETECCION DE MOVIMIENTO</t>
  </si>
  <si>
    <t>GLC</t>
  </si>
  <si>
    <t>WGO5E</t>
  </si>
  <si>
    <t>CABLE UTP CAT 5E DE EXTERIORES</t>
  </si>
  <si>
    <t>https://www.macrotics.com/rollo-de-cable-utp-cat-5e-awg24-en-305mts-para-uso-de-exterior/p</t>
  </si>
  <si>
    <t>https://articulo.mercadolibre.com.co/MCO-595974223-cable-utp-exterior-cat-5e-cobre-100-rollo-x-305-metros-_JM?matt_tool=58736426&amp;matt_word=&amp;matt_source=google&amp;matt_campaign_id=14634237761&amp;matt_ad_group_id=158151082555&amp;matt_match_type=&amp;matt_network=g&amp;matt_device=c&amp;matt_creative=686481802696&amp;matt_keyword=&amp;matt_ad_position=&amp;matt_ad_type=pla&amp;matt_merchant_id=312157671&amp;matt_product_id=MCO595974223&amp;matt_product_partition_id=2266584640481&amp;matt_target_id=aud-2000227468263:pla-2266584640481&amp;cq_src=google_ads&amp;cq_cmp=14634237761&amp;cq_net=g&amp;cq_plt=gp&amp;gad_source=1&amp;gclid=CjwKCAiAlJKuBhAdEiwAnZb7lTKi-ODiI6c_DGZ0iYxCnsAGR61vHW4Y0g1GvWWOXFKnhHURFWhw5RoCFYIQAvD_BwE</t>
  </si>
  <si>
    <t>IPC_S21FAN_0360B_IMOU</t>
  </si>
  <si>
    <t>CAMARA IP OUTDOOR PoE DE 2MP WIRELESS IP65, CON SMART TRACKING</t>
  </si>
  <si>
    <t>HIPCAM</t>
  </si>
  <si>
    <t>HIPBOARD</t>
  </si>
  <si>
    <t>MODULO DE CONTROLADORA PARA 4 PUERTAS</t>
  </si>
  <si>
    <t>HIPCAM_APP</t>
  </si>
  <si>
    <t>LICENCIA PARA APP, PARA CONTROL DE SISTEMA HIPCAM, UNA POR RESIDENTE/APARTAMENTO.</t>
  </si>
  <si>
    <t>BUILDING_WEB_ADMIN_LICENSE</t>
  </si>
  <si>
    <t>LICENCIA PARA GESTION DE SISTEMA WEB, UNA LICENCIA POR PROYECTO.</t>
  </si>
  <si>
    <t>SECURITY_STATION:LICENSE_APP</t>
  </si>
  <si>
    <t>LICENCIA DE PAGO UNICO PARA GESTION DE PORTERIA</t>
  </si>
  <si>
    <t>HCDBUS_C</t>
  </si>
  <si>
    <t>HIPCAM VIDEO PORTERO PLASTICO WIFI/BLUETOOTH CAMARA 1080P FULL HD PANTALLA TACTIL 4" FOV 160° IP65</t>
  </si>
  <si>
    <t>RCO2</t>
  </si>
  <si>
    <t>MODULO DE CONTACTOS SECOS POR BLUETOOTH</t>
  </si>
  <si>
    <t>F03.8530.18.CB</t>
  </si>
  <si>
    <t>LUMINARIA DE CORATIVA EN CUERO</t>
  </si>
  <si>
    <t>LY120_CS2835W_W24_IP20_3000K</t>
  </si>
  <si>
    <t>CINTA LED DE ALTA RESISTENCIA TEMPERATURA 3000K</t>
  </si>
  <si>
    <t>LY_SL_BL10</t>
  </si>
  <si>
    <t>COBERTOR DE CINTA LED</t>
  </si>
  <si>
    <t>LY_SL</t>
  </si>
  <si>
    <t>KIT DE SUJETADORES SOBREPUESTOS PARA CINTA LED</t>
  </si>
  <si>
    <t>BELT_REP</t>
  </si>
  <si>
    <t>LUMINARIA REPLICA BELT FLOS</t>
  </si>
  <si>
    <t>https://es.aliexpress.com/item/1005005790652626.html?spm=a2g0o.detail.pcDetailTopMoreOtherSeller.1.5f9a68b9lI473x&amp;gps-id=pcDetailTopMoreOtherSeller&amp;scm=1007.40000.327270.0&amp;scm_id=1007.40000.327270.0&amp;scm-url=1007.40000.327270.0&amp;pvid=2fc7fe82-a2c2-4981-bd1b-3aae6965b664&amp;_t=gps-id:pcDetailTopMoreOtherSeller,scm-url:1007.40000.327270.0,pvid:2fc7fe82-a2c2-4981-bd1b-3aae6965b664,tpp_buckets:668%232846%238116%232002&amp;pdp_npi=4%40dis%21COP%21762269.33%21533588.53%21%21%21190.30%21133.21%21%402103011517077837722221082e33d5%2112000036028152348%21rec%21CO%21%21AB&amp;utparam-url=scene%3ApcDetailTopMoreOtherSeller%7Cquery_from%3A</t>
  </si>
  <si>
    <t>XTS7</t>
  </si>
  <si>
    <t>PANTALLA TOUCH DE 7" CON LICENCIAMIENTO ANDROID</t>
  </si>
  <si>
    <t>21504.12.BL3</t>
  </si>
  <si>
    <t>TECLADO INALAMBRICO DE ALARMA</t>
  </si>
  <si>
    <t>28273.81.WH3</t>
  </si>
  <si>
    <t>DETECTOR DUAL DE CORTINA CON ALCANCE DE HASTA 30 METROS</t>
  </si>
  <si>
    <t>50779.136.WH3</t>
  </si>
  <si>
    <t>DETECTOR INALAMBRICO DE INCENDIO</t>
  </si>
  <si>
    <t>28320.13.BL3</t>
  </si>
  <si>
    <t>RELE DE POTENCIA INALAMBRICO</t>
  </si>
  <si>
    <t>LEDPROCON</t>
  </si>
  <si>
    <t>METRO CINTA LED EN FORMATO CONTINUO, 12V, 3000K, CALIDA</t>
  </si>
  <si>
    <t>LC40506080</t>
  </si>
  <si>
    <t>LUMINARIA CIRCULAR DE ARO NEGRO CON AROS EN 40cm, 50cm, 60cm y 80cm, Luz 3000K, NO ATENUABLE.</t>
  </si>
  <si>
    <t>https://es.aliexpress.com/item/1005003419463126.html?spm=a2g0o.productlist.main.69.4898432bjJI1aB&amp;algo_pvid=8f360d0d-0a2a-4b00-ba24-0ceb893ffa48&amp;aem_p4p_detail=202402182004141404288060961260012224689&amp;algo_exp_id=8f360d0d-0a2a-4b00-ba24-0ceb893ffa48-34&amp;pdp_npi=4%40dis%21COP%21793227.34%21412480.43%21%21%211433.80%21745.58%21%402103254117083154541666579e493d%2112000025705015206%21sea%21CO%210%21AB&amp;curPageLogUid=XBGoZZY5ZLsH&amp;utparam-url=scene%3Asearch%7Cquery_from%3A&amp;search_p4p_id=202402182004141404288060961260012224689_15</t>
  </si>
  <si>
    <t>LL406</t>
  </si>
  <si>
    <t>APLIQUE LED LINEAL</t>
  </si>
  <si>
    <t>https://es.aliexpress.com/item/1005005114901455.html?spm=a2g0o.productlist.main.7.6e35e857yRkX0X&amp;algo_pvid=7b0aaac4-37ce-4150-8d1a-bd0602bdf9bb&amp;aem_p4p_detail=20240218203120509414166554000012173242&amp;algo_exp_id=7b0aaac4-37ce-4150-8d1a-bd0602bdf9bb-3&amp;pdp_npi=4%40dis%21COP%21245082.79%21110287.25%21%21%21443.00%21199.35%21%402101c5bf17083170800103411e0741%2112000032384225970%21sea%21CO%210%21AB&amp;curPageLogUid=U632u9fGnh3D&amp;utparam-url=scene%3Asearch%7Cquery_from%3A&amp;search_p4p_id=20240218203120509414166554000012173242_4</t>
  </si>
  <si>
    <t>FLOSUN50</t>
  </si>
  <si>
    <t>LED CON ALIMENTACION FOTOVOLTAICA, AUTONOMIA PROMEDIO DE 10 HORAS, GARANTIA DE 2 AÑOS. POTENCIA DE 50W.</t>
  </si>
  <si>
    <t>PARADIGM</t>
  </si>
  <si>
    <t>CI_PRO_P65_R_V2</t>
  </si>
  <si>
    <t>ALTAVOZ DE 6.5", POTENCIA DE 100W, REPUESTA EN FERCUENCIA 75 Hz - 18 kHz.</t>
  </si>
  <si>
    <t>VPL_PHZ51</t>
  </si>
  <si>
    <t>PROYECTOR LASER DE 5.800Lm, RESOLUCION 4K</t>
  </si>
  <si>
    <t>DA1</t>
  </si>
  <si>
    <t>DRIVER DALI PARA ATENUACION DE FUENTES CON VOLTAJE CONSTANTE.</t>
  </si>
  <si>
    <t>BAR2X7</t>
  </si>
  <si>
    <t>BARRAJE DE DISTRIBUCION DE 14 PINES</t>
  </si>
  <si>
    <t>CL131</t>
  </si>
  <si>
    <t xml:space="preserve">100 MARCADORES NUMERICOS PARA CABLE AWG12-14 </t>
  </si>
  <si>
    <t>BAR12</t>
  </si>
  <si>
    <t>BARRAJE EN COBRE DE 12 PINES</t>
  </si>
  <si>
    <t>CH18A110</t>
  </si>
  <si>
    <t>CONTACTOR DE 18 AMPERIOS CON BOBINA DE 110VAC.</t>
  </si>
  <si>
    <t>M_EE162</t>
  </si>
  <si>
    <t>GESTION Y MANEJO DE METRO DE CABLE PARA DETECCIÓN DE ALARMA DE INCENDIO 2X16.</t>
  </si>
  <si>
    <t>M_QSN_4S16_S</t>
  </si>
  <si>
    <t>GESTION Y MANEJO DE PANEL DE CONMUTACIÓN DE 4 LASOS MULTI VOLTAJE A 16 AMPERIOS.</t>
  </si>
  <si>
    <t>M_QSN_2DALUNV_D</t>
  </si>
  <si>
    <t>MANEJO Y GESTION DE PANEL CON ALIMENTACION PARA DOS BUSES DE DATOS DALI, COMPATIBLE CON SISTEMAS ENERGY SAVR Y QUANTUM.</t>
  </si>
  <si>
    <t>TW85</t>
  </si>
  <si>
    <t>SOPORTE MOTORIZADO A CONTROL REMOTO PARA TV DE HASTA 75", CAPACIDAD DE PESO 68.2Kg.</t>
  </si>
  <si>
    <t>K_DIS_CON</t>
  </si>
  <si>
    <t>DISEÑO DE CONTROL DE ILUMINACIÓN Y ACOMPANAMIENTO TÉCNICO EN DISEÑOS Y ESPECIFICACIÓN.</t>
  </si>
  <si>
    <t>K_MAN_WIFI</t>
  </si>
  <si>
    <t>MANTENIMIENTO DE SISTEMA DE WIFI, INCLUYE ACTUALIZACION DE FIRMWARE SI APLICA.</t>
  </si>
  <si>
    <t>CUS_TE_200X45X15</t>
  </si>
  <si>
    <t>COFRE PARA TABLERO ELECTRICO DE 200Cm X 45Cm X 15Cm. CON DOBLE FONDO Y VISAGRA.</t>
  </si>
  <si>
    <t>SIM_CARD</t>
  </si>
  <si>
    <t>TARJETA DE COMUNICACIÓN 4G, PREPAGO.</t>
  </si>
  <si>
    <t>IPHONE_14_256</t>
  </si>
  <si>
    <t>IPHONE 14 DE 256G.</t>
  </si>
  <si>
    <t>L_DECJ</t>
  </si>
  <si>
    <t>FACEPLATE PARA JACK EN FRMATO DECORA</t>
  </si>
  <si>
    <t>WESTER DIGITAL</t>
  </si>
  <si>
    <t>DD4T</t>
  </si>
  <si>
    <t>DISCO DURO DE 4 TERAS</t>
  </si>
  <si>
    <t>ECO_M_C_010</t>
  </si>
  <si>
    <t>LUMINARIA CILINDRICA DE 72W, FLUJO LUMINICO &gt;91Lm VATIO.</t>
  </si>
  <si>
    <t>ECO_M_C_DALI</t>
  </si>
  <si>
    <t>DHI_LM50_F400_C4</t>
  </si>
  <si>
    <t>MONITOR INDUSTRIAL DE 505", DOS ENTRADAS HDMI</t>
  </si>
  <si>
    <t>DH_PFS3226_24ET_240</t>
  </si>
  <si>
    <t>SWITCH PoE CAPA 2 ADMINISTRABLE DE 24 PUERTOS, 240W.</t>
  </si>
  <si>
    <t>UTPCAT5BCMULTIFILAR</t>
  </si>
  <si>
    <t>ROLLO DE CABLE CAT5 COBRE-COBRE DE 305 METROS</t>
  </si>
  <si>
    <t>DH_HAC_B1A21N_A_0280B</t>
  </si>
  <si>
    <t>CAMARA IP DE EXTERIOR CON AUDIO</t>
  </si>
  <si>
    <t>DH_IPC_HFW2441SP_S_0280B</t>
  </si>
  <si>
    <t>CAMARA DE EXTERIOR IP CON SENAL DE AUDIO, 4MP.</t>
  </si>
  <si>
    <t>FX</t>
  </si>
  <si>
    <t>FX_502A</t>
  </si>
  <si>
    <t>AMPLIFICADOR ESTEREO CLASE DE 50W.</t>
  </si>
  <si>
    <t>PJ2_2B_TSW_EL1</t>
  </si>
  <si>
    <t>TECLADO PICO DE 2 BOTONES EN COLOR MATE, CON ESCENA DE ILUMINACIÓN</t>
  </si>
  <si>
    <t>PJ2_2B_GWH_EL1</t>
  </si>
  <si>
    <t>TECLADO PICO DE 2 BOTONES CON MARCACION PERZONALIZADA</t>
  </si>
  <si>
    <t>GAIA</t>
  </si>
  <si>
    <t>GV_AATR01</t>
  </si>
  <si>
    <t>EXTENDER DE AUDIO DESBALANCEADO POR CABLE UTP.</t>
  </si>
  <si>
    <t>EN_2250U</t>
  </si>
  <si>
    <t>LAMPARA DE PROYECTOR ORIGINAL PARA EQUIPO POWER LITE 2250U</t>
  </si>
  <si>
    <t>MARTIN_LOGAN</t>
  </si>
  <si>
    <t>MOTION_4I</t>
  </si>
  <si>
    <t>ALTAVOZ DE 20-150W, 4 OHM DE ALTA FIDELIDAD</t>
  </si>
  <si>
    <t>MOTION_XTB_100</t>
  </si>
  <si>
    <t>ALTAVOZ DE 20-250W, 4 OHM DE ALTA FIDELIDAD, CON REPRODUCION MEJORADA DE CROSS OVER.</t>
  </si>
  <si>
    <t>STAND_25</t>
  </si>
  <si>
    <t>SOPORTE PARA ALTAVOCES BOOKSHELF</t>
  </si>
  <si>
    <t>DIRECT</t>
  </si>
  <si>
    <t>C906836</t>
  </si>
  <si>
    <t>CABLE DE AUDIO DE 500FT CALIBRE 14</t>
  </si>
  <si>
    <t>https://www.amazon.com/-/es/Cable-bocina-clasificaci%C3%B3n-derivaciones-instalaci%C3%B3n/dp/B01MY4429S/ref=sr_1_3?__mk_es_US=%C3%85M%C3%85%C5%BD%C3%95%C3%91&amp;crid=B7J29J3JLZ99&amp;dib=eyJ2IjoiMSJ9.uO_WO-kre4OpCKOZYcWPnfomRujodbesr6FEwoY2aY81MRIraaTZ0mUrO4RQgZzePNdl7ecAiR2B1Lr_t1KCIC_EnFid5LUFSgfHTOAn4bvtYkhaU2bYj9S01IRwT79Jc4PCP0GhuonfCgoMvvB-PE0IN4jZ-wSX32q2JdUKK5QXcGceMsC2CXck6SGK49eJ0tkvOvw7BoaKZdwMhF4Olo23DTwuHoFmCU1T2KPgVEM.WtGOxOHuPQ_ONsH0pyzMF3g9qpo4mI62nxSo7MLKtOI&amp;dib_tag=se&amp;keywords=cable%2Bspeaker%2B250ft&amp;qid=1710906030&amp;sprefix=cable%2Bspeaker%2B250f%2Caps%2C150&amp;sr=8-3&amp;th=1</t>
  </si>
  <si>
    <t>https://www.amazon.com/-/es/SW-18GA-1000SLVB-12-GA-Ultra-altavoz-plateado/dp/B09Z79GFYC/ref=sr_1_5?__mk_es_US=%C3%85M%C3%85%C5%BD%C3%95%C3%91&amp;crid=OQQVHBSLDIXI&amp;dib=eyJ2IjoiMSJ9.BozzTMFGeRLxgfP5SpJ7IxWuDlm4wCUkle9wbLMiLMZE_RFXKxC8JCWvUgTsY4J1oci0Ab1eOsrYPeUk086JZWRcBe3xR-RNaoJkr6GBLXCujg28QDWlhZMpsz6-trFsZiBur9GybaJam4KUi9sERwlU0pEqMdHtnw4foJ0hcOBOlEMq_p5B2gD0MBjgIjnLeAlyjKhHounLCS1YiI4yAktXs2btSUyvQnb3SIfgYuM.9wAF698IpYHFF-W0VlsBK8l2o7SDuoLOxJEgGxq-yrg&amp;dib_tag=se&amp;keywords=cable+speaker+1000ft&amp;qid=1710905542&amp;sprefix=cable+speaker+1000ft%2Caps%2C173&amp;sr=8-5</t>
  </si>
  <si>
    <t>ECO23_010</t>
  </si>
  <si>
    <t>LUMINARIA DE CHIP ON BOARD DE ALTO FLUJO, 3000K, CRI&gt;90, 3000K, VITA UTIL DE 50.000 HORAS.</t>
  </si>
  <si>
    <t>CHL06</t>
  </si>
  <si>
    <t>CILINDRO DESCOLGADO PARA BOMBILLA GU10</t>
  </si>
  <si>
    <t>FRANCO</t>
  </si>
  <si>
    <t>SOPORTE MOTORIZADO VERTICAL PARA TV DE HASTA 53" Y 20Kg.</t>
  </si>
  <si>
    <t>TOSLINK</t>
  </si>
  <si>
    <t>ATDC</t>
  </si>
  <si>
    <t>CONVERTIDOR DE ANALOGO A DIGITAL</t>
  </si>
  <si>
    <t>EXT_001_ZC</t>
  </si>
  <si>
    <t>ENTENSION USB ACTIVA DE 5 METROS</t>
  </si>
  <si>
    <t>28275.11.WH3</t>
  </si>
  <si>
    <t>SIRENA INALAMBRICA DE 105dB</t>
  </si>
  <si>
    <t>BAT12V_7A</t>
  </si>
  <si>
    <t>BATERIAL DE RESPALDO 12V, 7 AMPERIOS.</t>
  </si>
  <si>
    <t>GASESS</t>
  </si>
  <si>
    <t>ALTAVOZ ULTRA COMPACTO CON RESPUESTA EN FERCUENCIA 100 Hz to 22 kHz, POTENCIA DE 60W.</t>
  </si>
  <si>
    <t>GWMB</t>
  </si>
  <si>
    <t>SOPORTE DE PARED PARA ALTAVOZ DIVA</t>
  </si>
  <si>
    <t>GWMBHAB</t>
  </si>
  <si>
    <t>SOPORTE PARA ALTAVOZ DE EXTERIOR HABITAD</t>
  </si>
  <si>
    <t>12V_9.0AH</t>
  </si>
  <si>
    <t>BATERIA LITIO DE 12VDV, 9 AMPERIOS.</t>
  </si>
  <si>
    <t>RCA_EXT</t>
  </si>
  <si>
    <t>ENTENDER DE AUDIO PARA RCA POR UTP</t>
  </si>
  <si>
    <t>https://www.amazon.com/LINESO-Paquete-extensores-est%C3%A9reo-hembra/dp/B01IXYSE2A/ref=sr_1_2_sspa?__mk_es_US=%C3%85M%C3%85%C5%BD%C3%95%C3%91&amp;crid=W2F5JGTLK81S&amp;dib=eyJ2IjoiMSJ9.2wcvCGjMKImyl2AUwslC_0PcztH_o4wJe9mAjxaG8oH8fpOuDuwuxznJZN8dqjVySUb6tR9mxpRyJc062e_IjYFco3L5c1rCh5wxbUsxue0V0IEnO7yusxRweHHiwqVYHXmvRmKhxcBceMbWytU1m2VqWHDCt4_YBKkBfXMoZloOxxtS-749UDYCzIR5f0NIeRucNS_6yKqmF6AYzlYxBGUieYCjca6NGyG4OHOumJU.xUwcDEJ8hHN4UzAi8ytBrlGI5ytyDAyg6HU2iXGJGLU&amp;dib_tag=se&amp;keywords=extender%2Bde%2Baudio%2Bpor%2Butp&amp;qid=1711814693&amp;sprefix=extender%2Bde%2Baudio%2Bpor%2Butp%2Caps%2C172&amp;sr=8-2-spons&amp;sp_csd=d2lkZ2V0TmFtZT1zcF9hdGY&amp;th=1</t>
  </si>
  <si>
    <t>LINK</t>
  </si>
  <si>
    <t>PC10M</t>
  </si>
  <si>
    <t>PATCH CORE DE 10 METROS CAT6</t>
  </si>
  <si>
    <t>PJ2_2B_GBL_E_CPN6557</t>
  </si>
  <si>
    <t>TECLADO PICO DE DOS BOTONES CON MARCACION DE ICONO DE BOMBILLA</t>
  </si>
  <si>
    <t>MQSE_4A1_D</t>
  </si>
  <si>
    <t>MODULO MULTIVOLTAJE DE 4 ZONAS ATENUABLES CON FASE ADAPTATIVA</t>
  </si>
  <si>
    <t>MQSE_4S1_D</t>
  </si>
  <si>
    <t>MODULO MULTIVOLTAJE DE 4 ZONAS CONMUTABLES CON APAGADO SUAVE.</t>
  </si>
  <si>
    <t>QS_PRG_JACK_CPN7153</t>
  </si>
  <si>
    <t>MODULO DE INTERCONEXION PARA PROGRAMACION DE MODULOS DE MYROOM</t>
  </si>
  <si>
    <t>K_INST_MOD</t>
  </si>
  <si>
    <t>INSTALACION DE MODULO LUTRON DE 4 REVUELTOS</t>
  </si>
  <si>
    <t>K_PROG_MOD</t>
  </si>
  <si>
    <t>PROGRAMACION DE MODULO LUTRON DE 4 REVUELTOS</t>
  </si>
  <si>
    <t>P25608_36</t>
  </si>
  <si>
    <t>LUMINARIA HERMETICA DE 36W, FLUJO LUMINICO DE 4500LM.</t>
  </si>
  <si>
    <t>KNX</t>
  </si>
  <si>
    <t>IPAS_KNX_4101_145_11</t>
  </si>
  <si>
    <t>DALI CONTROL GC16, KNX-DALI GATEWAY, MMONTAJE EN RIEL.</t>
  </si>
  <si>
    <t>IPAS_KNX_4101_145_21</t>
  </si>
  <si>
    <t>DALI CONTROL GC16 DE DOS BUSES, KNX-DALI GATEWAY, MMONTAJE EN RIEL.</t>
  </si>
  <si>
    <t>LWT_U_P_BB</t>
  </si>
  <si>
    <t>TAPA DECORATIVA DE UN GANG EN METAL SATINADO DORADO.</t>
  </si>
  <si>
    <t>BEAM_G2</t>
  </si>
  <si>
    <t>BARRA DE SONIDO MULTIDIRECCIONAL DE 200W</t>
  </si>
  <si>
    <t>SUB_MINI</t>
  </si>
  <si>
    <t>SUBWOOFER COMPACTO DE 14Lb.</t>
  </si>
  <si>
    <t>LITHE</t>
  </si>
  <si>
    <t>SKP_BT</t>
  </si>
  <si>
    <t>PAREJA DE PARLANTES DE 50W, 6.5W BLUETOOTH 5 Y ALCANCE DE 5 METROS</t>
  </si>
  <si>
    <t>P36P</t>
  </si>
  <si>
    <t>LUMINARIA HERMETICA CONTROLADA POR DALI CON DRIVER PHILIPS</t>
  </si>
  <si>
    <t>VO44IN5400LM830</t>
  </si>
  <si>
    <t>XI040C110V054VPT2</t>
  </si>
  <si>
    <t>DRIVER ATENUABLE CON COMUNICACIÓN DALI, CORRIENTE PROGRAMABLE, POTENCIA HASTA 40W</t>
  </si>
  <si>
    <t>FUENTE DE VOLTAJE 24V</t>
  </si>
  <si>
    <t>TE110USB23</t>
  </si>
  <si>
    <t>TOMA ELECTRICA PARA USO EN CAJONERA CON CONECTIVIDAD USB</t>
  </si>
  <si>
    <t>https://www.amazon.com/dp/B0B53FNH2C/ref=sspa_dk_detail_2?pd_rd_i=B0B53FNH2C&amp;pd_rd_w=h8v0U&amp;content-id=amzn1.sym.ecc09a2f-2609-4555-bb4e-a89772637d1c&amp;pf_rd_p=ecc09a2f-2609-4555-bb4e-a89772637d1c&amp;pf_rd_r=4DMTGSBRXHGM0AW01WR1&amp;pd_rd_wg=7aUy1&amp;pd_rd_r=a95eeff4-ced5-418b-bf08-03a684c3a5f0&amp;s=industrial&amp;sp_csd=d2lkZ2V0TmFtZT1zcF9kZXRhaWxfdGhlbWF0aWM&amp;th=1</t>
  </si>
  <si>
    <t>9W_840_4P_GX24Q_3</t>
  </si>
  <si>
    <t>REEMPLAZO LED CFL 4 PINES, 1100LM, 120 V 6000 K, BOMBILLA PL LED</t>
  </si>
  <si>
    <t>https://www.amazon.com/Bombilla-Empotrable-Horizontal-fluorescente-reemplazo/dp/B0B15KCJDC/ref=sr_1_11_sspa?__mk_es_US=%C3%85M%C3%85%C5%BD%C3%95%C3%91&amp;crid=1ESDRR8GNMO3O&amp;dib=eyJ2IjoiMSJ9.43FaEsI1pUFxKMlDh2_I6cwP-mbafWyTqwIIMtt8AfJ6ST0tymhkMFYb2aCjYpoYG6cv62aA3sqpJmowDGuqvKXNsy36UK4x9Ir0sQrwi9XwmsPdwG-vabGOumTM-sUfZDOc5K9FbnWWZ6mzCLZY0h-Wkz7G5w6g3ZOxgdJUATVRBr8i1pMs3ECE-bHir2MNaL31Vzk_zBnOMvA5aDcWGcSC2xm8VfIl5JxCUXjSSIgmFn9VBlYBRWkf5PrU14zbvQn1oLf6PUcaHLlMGYb0eA9N4m_IvEj6T38Em1BRO3k.nK6T2_ZSaKAV5hcCPkASl8aEyyX-15fiNQNClv2YDzY&amp;dib_tag=se&amp;keywords=4%2Bpin%2Bled%2Bphilips&amp;qid=1713241940&amp;sprefix=4%2B%2Caps%2C2519&amp;sr=8-11-spons&amp;sp_csd=d2lkZ2V0TmFtZT1zcF9tdGY&amp;th=1</t>
  </si>
  <si>
    <t>ECODLV30</t>
  </si>
  <si>
    <t>PANEL DE INCRUSTAR LED DE 30W, 3000 Lm.</t>
  </si>
  <si>
    <t>ARQ40B</t>
  </si>
  <si>
    <t>LUMINARIA LINEAL DE 3600LM, 40W, LARGO 1.12M.</t>
  </si>
  <si>
    <t>DENGKOO</t>
  </si>
  <si>
    <t>T2014</t>
  </si>
  <si>
    <t>TUBO CUERDA NEON GEL DE 5M</t>
  </si>
  <si>
    <t>https://es.aliexpress.com/item/1005001288440610.html?src=google&amp;src=google&amp;albch=shopping&amp;acnt=272-267-0231&amp;slnk=&amp;plac=&amp;mtctp=&amp;albbt=Google_7_shopping&amp;gclsrc=aw.ds&amp;albagn=888888&amp;ds_e_adid=&amp;ds_e_matchtype=&amp;ds_e_device=c&amp;ds_e_network=x&amp;ds_e_product_group_id=&amp;ds_e_product_id=es1005001288440610&amp;ds_e_product_merchant_id=107914435&amp;ds_e_product_country=CO&amp;ds_e_product_language=es&amp;ds_e_product_channel=online&amp;ds_e_product_store_id=&amp;ds_url_v=2&amp;albcp=20546892456&amp;albag=&amp;isSmbAutoCall=false&amp;needSmbHouyi=false&amp;gad_source=1&amp;gclid=CjwKCAjw5v2wBhBrEiwAXDDoJaNxfrK01i6ASfeOwmwzxIHMKPyeJgyPEgq1OWBVocBC37ovCZPFNRoC6VIQAvD_BwE&amp;aff_fcid=77c7d82d51c741a3926665609a1fd5ee-1713373592290-09482-UneMJZVf&amp;aff_fsk=UneMJZVf&amp;aff_platform=aaf&amp;sk=UneMJZVf&amp;aff_trace_key=77c7d82d51c741a3926665609a1fd5ee-1713373592290-09482-UneMJZVf&amp;terminal_id=ea76d56353e24468b4c75f5749898967&amp;afSmartRedirect=y</t>
  </si>
  <si>
    <t>VIOLET</t>
  </si>
  <si>
    <t>V110D</t>
  </si>
  <si>
    <t>TUBO LED DECORATIVO CON ACCESORIOS DESCOLGADOS DE 1.1M BLANCO NEUTRO.</t>
  </si>
  <si>
    <t>https://es.aliexpress.com/item/1005006719915480.html?spm=a2g0o.productlist.main.31.4582a439xLCc1W&amp;algo_pvid=2177894d-4a38-4dbd-a30c-a6a084f2c69f&amp;aem_p4p_detail=20240417174422168000266494270002091951&amp;algo_exp_id=2177894d-4a38-4dbd-a30c-a6a084f2c69f-15&amp;pdp_npi=4%40dis%21COP%21474731.07%21290334.87%21%21%21861.90%21527.12%21%402103010c17134010620156438e427e%2112000038087823409%21sea%21CO%210%21AB&amp;curPageLogUid=z72yPfODL7r8&amp;utparam-url=scene%3Asearch%7Cquery_from%3A&amp;search_p4p_id=20240417174422168000266494270002091951_4</t>
  </si>
  <si>
    <t>ECO21X3_DAL</t>
  </si>
  <si>
    <t>LUMINARIA LINEAL LED DE 4100K, 3.36M DE LARGO. PARA CONFIGURACIÓN EN TÁNDEM. 4000 LUMENS ATENUABLEDALI. DE SOBREPONER O DESCOLGAR.</t>
  </si>
  <si>
    <t>CHL03_N</t>
  </si>
  <si>
    <t>LUMINARIA DECORATIVA TIPO CAMPANA EN COLOR NEGRO</t>
  </si>
  <si>
    <t>15DPAR38LED30V40</t>
  </si>
  <si>
    <t>BOMBILLA PAR 38, 3000K, 15W.</t>
  </si>
  <si>
    <t>LEDRIEL_FLEX</t>
  </si>
  <si>
    <t>METRO DE PERFIL LED FLEXIBLE</t>
  </si>
  <si>
    <t>AMPLIFICADOR DE 70V, 60W</t>
  </si>
  <si>
    <t>C62P_WH</t>
  </si>
  <si>
    <t>PARLANTE PENDANT DE 20W</t>
  </si>
  <si>
    <t>TS1541309</t>
  </si>
  <si>
    <t>MONITOR INTERACTIVO CON CONECTIVO DE 86"</t>
  </si>
  <si>
    <t>MO_1016A</t>
  </si>
  <si>
    <t>MONITOR INTERACTIVO CON SISTEMA DE VIDEO CONFERENCIA DE 75"</t>
  </si>
  <si>
    <t>CTI5</t>
  </si>
  <si>
    <t>MODULO PC CON PROCESADOR CORE I5 PARA MONITOR INTERACTIVO.</t>
  </si>
  <si>
    <t>MO_1023A</t>
  </si>
  <si>
    <t>MONITOR INTERACTIVO CON SISTEMA DE VIDEO CONFERENCIA DE 86"</t>
  </si>
  <si>
    <t>OPS62_I5</t>
  </si>
  <si>
    <t>MODULO DE  PC CON WINDOWS, NO INCLUYE LICENCIA OFFICE.</t>
  </si>
  <si>
    <t>K_SPEAK</t>
  </si>
  <si>
    <t>AUTUT</t>
  </si>
  <si>
    <t>AC_RCA</t>
  </si>
  <si>
    <t>ACOPLADOR DE IMPEDANCIAS GARANTIA</t>
  </si>
  <si>
    <t>https://www.amazon.com/dp/B07QNPCK8Z/ref=sspa_dk_detail_1?psc=1&amp;pf_rd_p=f734d1a2-0bf9-4a26-ad34-2e1b969a5a75&amp;pf_rd_r=90C5E5D99NDHQ4ZT33WS&amp;pd_rd_wg=u1jth&amp;pd_rd_w=svZ3d&amp;content-id=amzn1.sym.f734d1a2-0bf9-4a26-ad34-2e1b969a5a75&amp;pd_rd_r=07e49706-76bf-42d4-8a47-2ea01c3525de&amp;s=industrial&amp;sp_csd=d2lkZ2V0TmFtZT1zcF9kZXRhaWw</t>
  </si>
  <si>
    <t>C4_CORE3</t>
  </si>
  <si>
    <t>PROCESADOR DE INTEGRACION CON UN RELE, ENTRADA DE CONTACTO, 6 IR, 3 SERIALES.</t>
  </si>
  <si>
    <t>C4_SR260RSK</t>
  </si>
  <si>
    <t>MANDO A DISTANCIA PARA CONTROL DE EQUIPOS DE AV</t>
  </si>
  <si>
    <t>RCA15</t>
  </si>
  <si>
    <t>AP130A</t>
  </si>
  <si>
    <t>SISTEMA DE TRANSMISION INALAMBRICA PARA COLABORACION</t>
  </si>
  <si>
    <t>65UR7300</t>
  </si>
  <si>
    <t>TV LG DE 65", CON RESOLUCIÓN 4 K</t>
  </si>
  <si>
    <t>IADEA</t>
  </si>
  <si>
    <t>XMP-8550</t>
  </si>
  <si>
    <t>MEDIA PLAYER DE ALTO DESEMPEÑO, RESOLUCION 4K</t>
  </si>
  <si>
    <t>T8360</t>
  </si>
  <si>
    <t>TUBO LED DE 120cm EN COLOR 3000K</t>
  </si>
  <si>
    <t>https://es.aliexpress.com/item/1005004133924587.html?spm=a2g0o.detail.pcDetailTopMoreOtherSeller.12.631fHdlcHdlc9L&amp;gps-id=pcDetailTopMoreOtherSeller&amp;scm=1007.40000.327270.0&amp;scm_id=1007.40000.327270.0&amp;scm-url=1007.40000.327270.0&amp;pvid=d2a54735-316c-4c9a-bf1d-8f08ae2c303e&amp;_t=gps-id:pcDetailTopMoreOtherSeller,scm-url:1007.40000.327270.0,pvid:d2a54735-316c-4c9a-bf1d-8f08ae2c303e,tpp_buckets:668%232846%238113%231998&amp;pdp_npi=4%40dis%21COP%211957154.73%211565723.78%21%21%21484.65%21387.72%21%402103094c17143255406437971ee2ec%2112000028144939424%21rec%21CO%21%21AB&amp;utparam-url=scene%3ApcDetailTopMoreOtherSeller%7Cquery_from%3A</t>
  </si>
  <si>
    <t>EVOKO</t>
  </si>
  <si>
    <t>ERM2001</t>
  </si>
  <si>
    <t>SISTEMA DE AGENDAMIENTO DE SALAS</t>
  </si>
  <si>
    <t>DS5700</t>
  </si>
  <si>
    <t>SISTEMA DRAPER INTEGRADO LUTRON DE 5.7m</t>
  </si>
  <si>
    <t>DS7000</t>
  </si>
  <si>
    <t>SISTEMA DRAPER INTEGRADO LUTRON DE 7m</t>
  </si>
  <si>
    <t>SSDS6000</t>
  </si>
  <si>
    <t>MOTOR ELECTRICO DE CORTINA DRAPER CON INTEGRACIÓN</t>
  </si>
  <si>
    <t>https://www.amazon.com/-/es/SimpleSmart-inteligente-motorizado-el%C3%A9ctrica-compatible/dp/B07GD68Q7X/ref=cm_cr_arp_d_product_top?ie=UTF8&amp;th=1</t>
  </si>
  <si>
    <t>SSDS7000</t>
  </si>
  <si>
    <t xml:space="preserve"> DASHBOARD</t>
  </si>
  <si>
    <t>SOFTWARE DE GESTION Y SEGUIMIENTO</t>
  </si>
  <si>
    <t>LISO</t>
  </si>
  <si>
    <t>SISTEMA DE AGENDAMIENTO LINEA EVOCO PARA SALAS DE JUNTAS EN CRISTAL</t>
  </si>
  <si>
    <t>TAP</t>
  </si>
  <si>
    <t>SISTEMA DE AGENDAMIENTO PARA SALAS DE JUNTAS</t>
  </si>
  <si>
    <t>PJ2_2B_GBL_L02</t>
  </si>
  <si>
    <t>TECLADO PICO EN COLOR NEGRO CON BOTONES DE ENCENDIDO Y APAGADO LINEAL.</t>
  </si>
  <si>
    <t>SR1CUS</t>
  </si>
  <si>
    <t>RIEL MOTORIZADO CON CONTROL REMOTO Y FUENTE DE ALIMENTACION, LARGO 3.82m.</t>
  </si>
  <si>
    <t>SR2CUS</t>
  </si>
  <si>
    <t>RIEL MOTORIZADO CON CONTROL REMOTO Y FUENTE DE ALIMENTACION, CURVA Y LARGOS APROXIMADO DE 3.41m</t>
  </si>
  <si>
    <t>SR3CUS</t>
  </si>
  <si>
    <t>RIEL MOTORIZADO CON CONTROL REMOTO Y FUENTE DE ALIMENTACION. LARGO APROXIMADO DE 3.35m</t>
  </si>
  <si>
    <t>SR4CUS</t>
  </si>
  <si>
    <t>RIEL MOTORIZADO CON CONTROL REMOTO Y FUENTE DE ALIMENTACION. LARGO APROXIMADO DE 3.79m</t>
  </si>
  <si>
    <t>SR5CUS</t>
  </si>
  <si>
    <t>RIEL MOTORIZADO CON CONTROL REMOTO Y FUENTE DE ALIMENTACION. LARGO APROXIMADO DE 3.32m</t>
  </si>
  <si>
    <t>SR6CUS</t>
  </si>
  <si>
    <t>RIEL MOTORIZADO CON CONTROL REMOTO Y FUENTE DE ALIMENTACION. LARGO APROXIMADO DE 4.39m</t>
  </si>
  <si>
    <t>SR7CUS</t>
  </si>
  <si>
    <t>RIEL MOTORIZADO CON CONTROL REMOTO Y FUENTE DE ALIMENTACION. LARGO APROXIMADO DE 3.49m</t>
  </si>
  <si>
    <t>SR8CUS</t>
  </si>
  <si>
    <t>RIEL MOTORIZADO CON CONTROL REMOTO Y FUENTE DE ALIMENTACION. LARGO APROXIMADO DE 7.12m</t>
  </si>
  <si>
    <t>SR9CUS</t>
  </si>
  <si>
    <t>RIEL MOTORIZADO CON CONTROL REMOTO Y FUENTE DE ALIMENTACION. LARGO APROXIMADO DE 5.68m</t>
  </si>
  <si>
    <t>SR10CUS</t>
  </si>
  <si>
    <t>SR11CUS</t>
  </si>
  <si>
    <t>RIEL MOTORIZADO CON CONTROL REMOTO Y FUENTE DE ALIMENTACION. LARGO APROXIMADO DE 5.4m</t>
  </si>
  <si>
    <t>SR12CUS</t>
  </si>
  <si>
    <t>RIEL MOTORIZADO CON CONTROL REMOTO Y FUENTE DE ALIMENTACION. LARGO APROXIMADO DE  2.29m</t>
  </si>
  <si>
    <t>SR13CUS</t>
  </si>
  <si>
    <t>RIEL MOTORIZADO CON CONTROL REMOTO Y FUENTE DE ALIMENTACION. LARGO APROXIMADO DE  2.54m</t>
  </si>
  <si>
    <t>RTSII</t>
  </si>
  <si>
    <t>INTERFAZ DE INTEGRACION POR PUERTO SERIAL</t>
  </si>
  <si>
    <t>SR14CUS</t>
  </si>
  <si>
    <t>RIEL MOTORIZADO CON CONTROL REMOTO Y FUENTE DE ALIMENTACION. LARGO APROXIMADO DE 3.00m</t>
  </si>
  <si>
    <t>SR15CUS</t>
  </si>
  <si>
    <t>RIEL MOTORIZADO CON CONTROL REMOTO Y FUENTE DE ALIMENTACION. LARGO APROXIMADO DE 3.88m</t>
  </si>
  <si>
    <t>SR16CUS</t>
  </si>
  <si>
    <t>RIEL MOTORIZADO CON CONTROL REMOTO Y FUENTE DE ALIMENTACION. LARGO APROXIMADO DE 5.27m</t>
  </si>
  <si>
    <t>RGES205GCP_1</t>
  </si>
  <si>
    <t>SWITCH 5 PUERTOS GIGABIT POE 54W 802 3AF AT ADMINISTRABLE CLOUD.</t>
  </si>
  <si>
    <t>ROYAL</t>
  </si>
  <si>
    <t>H30W_30K</t>
  </si>
  <si>
    <t>LED HIGH POWER 30w E27, Tc 3000K, 2700 lm, IP20.</t>
  </si>
  <si>
    <t>ENERGIZER</t>
  </si>
  <si>
    <t>CR123</t>
  </si>
  <si>
    <t>PILA DE LITHIUM DE 3V</t>
  </si>
  <si>
    <t>LUT_QS_1000P</t>
  </si>
  <si>
    <t>BNYZWOT</t>
  </si>
  <si>
    <t>A41</t>
  </si>
  <si>
    <t>SENSOR MAGNETICO TIPO TABACO NORMALMENTE CERRADO</t>
  </si>
  <si>
    <t>https://www.amazon.com/-/es/Contactos-empotrada-Seguridad-interruptor-Interruptores/dp/B07VS6HJLW/ref=sr_1_5?__mk_es_US=%C3%85M%C3%85%C5%BD%C3%95%C3%91&amp;crid=27X20R5MQTG8B&amp;dib=eyJ2IjoiMSJ9.YXnnkLJMBNGrKqok4YNHh1wgDGCF-X0jVjaASt0Vm-GUC0_IWYvve9IgQA-1Y7ryqI47Efu1vDXnho3hT_xy7HCejGbEKqzyfPsIUkqr9oMcmxCExD3rj69gNA2kIlwM9jF1z2CDy8ptVuC56rlfiF3VgjLFp-XVTxF3NulP_C45UCNFwcEriRgGu2mwi5ycQhLUkkmmbk7LAAnz65UbtDhXutG937VKOOXtNdJl3To.cErlEF5inNekS9iiWbkwdcT5fC1Xy9btG3wTu16xqMs&amp;dib_tag=se&amp;keywords=sensor+magnetico&amp;qid=1714772010&amp;sprefix=sensor+magnet%2Caps%2C283&amp;sr=8-5</t>
  </si>
  <si>
    <t>GRX_PCBL346S_500</t>
  </si>
  <si>
    <t>ROLLO DE CABLE DE CONEXIÓN DE 150m PLENUM CON DOS FILAMENTOS AWG 16 Y DOS FILAMENTOS AWG 22 PARA LINK QS.</t>
  </si>
  <si>
    <t>CON3X10</t>
  </si>
  <si>
    <t>CONECTOR ROSCADO PARA CABLE #10</t>
  </si>
  <si>
    <t>CON3X16</t>
  </si>
  <si>
    <t>CONECTOR ROSCADO PARA CABLE #16</t>
  </si>
  <si>
    <t>CAN_R_25X30</t>
  </si>
  <si>
    <t>CANALETA RANURADA POR DOS METROS DE 2.5Cm X 3Cm</t>
  </si>
  <si>
    <t>CAN_R_60X60</t>
  </si>
  <si>
    <t>CANALETA RANURADA POR DOS METROS DE 6Cm X 6Cm</t>
  </si>
  <si>
    <t>SC_1_GR</t>
  </si>
  <si>
    <t>TAPA DECORATIVA EN COLOR GRIS.</t>
  </si>
  <si>
    <t>SCR_15_GFTR_GR</t>
  </si>
  <si>
    <t>TOMA CORRIENTE GFCI EN COLOR BLANCO. 125 VAC, 60 Hz 15 A. NIVEL DE DISPARO 4 – 6 mA, TIEMPO DE DISPARO DE  .025s. COLOR GRIS, MARCA: LUTRON.</t>
  </si>
  <si>
    <t>AVR_S770H</t>
  </si>
  <si>
    <t>SHR_2000_00</t>
  </si>
  <si>
    <t>PROCESADOR DE INTEGRACION MONTABLE EN RACK</t>
  </si>
  <si>
    <t>LCB_010V8_01</t>
  </si>
  <si>
    <t>CONTROLADOR DE 0-10 DE 8 CANALES</t>
  </si>
  <si>
    <t>PBC_P1000_00</t>
  </si>
  <si>
    <t>PoE - CONTROLADOR DE PANEL</t>
  </si>
  <si>
    <t>GPMH2APD10_21</t>
  </si>
  <si>
    <t>MODULO DE CONTROL DE ILUMINACION DE FASE ADAPTATIVA</t>
  </si>
  <si>
    <t>WIBSWT106V2_00</t>
  </si>
  <si>
    <t>TECLADO DE CONFIGURACION DE ESCENAS</t>
  </si>
  <si>
    <t>ECO_66_NV</t>
  </si>
  <si>
    <t>LUMINARIA SPOT CON OPTICA DE 19° Y CRI SUPERIOR A 90. 3000K, ALTA EFICIENCIA, 20W.</t>
  </si>
  <si>
    <t>R_66</t>
  </si>
  <si>
    <t>RIEL DE DOS METROS PARA LUMINARIA TIPO SPOT SERIE ECO</t>
  </si>
  <si>
    <t>LA12</t>
  </si>
  <si>
    <t>LUMINARIA BURBUJA OPLAIZADA CON BOMBILLA LED G9</t>
  </si>
  <si>
    <t>https://es.aliexpress.com/item/1005004793130951.html?src=google&amp;src=google&amp;albch=shopping&amp;acnt=272-267-0231&amp;slnk=&amp;plac=&amp;mtctp=&amp;albbt=Google_7_shopping&amp;gclsrc=aw.ds&amp;albagn=888888&amp;ds_e_adid=&amp;ds_e_matchtype=&amp;ds_e_device=c&amp;ds_e_network=x&amp;ds_e_product_group_id=&amp;ds_e_product_id=es1005004793130951&amp;ds_e_product_merchant_id=108890136&amp;ds_e_product_country=CO&amp;ds_e_product_language=es&amp;ds_e_product_channel=online&amp;ds_e_product_store_id=&amp;ds_url_v=2&amp;albcp=20552822549&amp;albag=&amp;isSmbAutoCall=false&amp;needSmbHouyi=false&amp;gad_source=1&amp;gclid=CjwKCAjwi_exBhA8EiwA_kU1Mly8OO9NxYRm5fL3W8ovFll1TqKhQdJSX8ewE3fvautxR1nFvvMWDhoCwloQAvD_BwE&amp;aff_fcid=bae3039e1dc7426b9ff34f0aaee88f34-1715402502663-03897-UneMJZVf&amp;aff_fsk=UneMJZVf&amp;aff_platform=aaf&amp;sk=UneMJZVf&amp;aff_trace_key=bae3039e1dc7426b9ff34f0aaee88f34-1715402502663-03897-UneMJZVf&amp;terminal_id=ea76d56353e24468b4c75f5749898967&amp;afSmartRedirect=y</t>
  </si>
  <si>
    <t>LA15</t>
  </si>
  <si>
    <t>LA20</t>
  </si>
  <si>
    <t>LA25</t>
  </si>
  <si>
    <t>VIB44</t>
  </si>
  <si>
    <t>LUMINARIA DECORATIVA DE 5 MODULOS</t>
  </si>
  <si>
    <t>https://es.aliexpress.com/item/4000018031202.html?spm=a2g0o.detail.pcDetailBottomMoreOtherSeller.14.cba5Epn5Epn5VP&amp;gps-id=pcDetailBottomMoreOtherSeller&amp;scm=1007.40000.326746.0&amp;scm_id=1007.40000.326746.0&amp;scm-url=1007.40000.326746.0&amp;pvid=92166129-bc2c-4cc2-bd2b-dd751209d038&amp;_t=gps-id:pcDetailBottomMoreOtherSeller,scm-url:1007.40000.326746.0,pvid:92166129-bc2c-4cc2-bd2b-dd751209d038,tpp_buckets:668%232846%238110%23355&amp;pdp_npi=4%40dis%21COP%21236385.50%21163104.18%21%21%21429.57%21296.40%21%402101f04d17154034497773623e4077%2110000000042375668%21rec%21CO%21%21AB&amp;utparam-url=scene%3ApcDetailBottomMoreOtherSeller%7Cquery_from%3A</t>
  </si>
  <si>
    <t>VIB22</t>
  </si>
  <si>
    <t>LUMINARIA DECORATIVA DE CABLE LLARGO</t>
  </si>
  <si>
    <t>https://es.aliexpress.com/item/1005003489640882.html?spm=a2g0o.productlist.main.31.2f996f57tLaLgG&amp;algo_pvid=977da720-5dea-4d6d-8126-30b2442d1f16&amp;algo_exp_id=977da720-5dea-4d6d-8126-30b2442d1f16-15&amp;pdp_npi=4%40dis%21COP%21497257.20%21198902.88%21%21%21125.00%2150.00%21%402101ef8717154053030196780e0fed%2112000026199011857%21sea%21CO%210%21AB&amp;curPageLogUid=F3NgrpaL8LJL&amp;utparam-url=scene%3Asearch%7Cquery_from%3A</t>
  </si>
  <si>
    <t>VIB11</t>
  </si>
  <si>
    <t>LUMINARIA CAMPANA DE SOBREPONER</t>
  </si>
  <si>
    <t>https://es.aliexpress.com/item/1005005513808614.html?spm=a2g0o.detail.pcDetailBottomMoreOtherSeller.4.2db0sZN4sZN4UF&amp;gps-id=pcDetailBottomMoreOtherSeller&amp;scm=1007.40000.326746.0&amp;scm_id=1007.40000.326746.0&amp;scm-url=1007.40000.326746.0&amp;pvid=71e3b761-d939-4583-87dc-c0855c853078&amp;_t=gps-id:pcDetailBottomMoreOtherSeller,scm-url:1007.40000.326746.0,pvid:71e3b761-d939-4583-87dc-c0855c853078,tpp_buckets:668%232846%238113%23667&amp;pdp_npi=4%40dis%21COP%21592730.58%21367492.96%21%21%21149.00%2192.38%21%402101f04d17154043344843403e4077%2112000033370758563%21rec%21CO%21%21AB&amp;utparam-url=scene%3ApcDetailBottomMoreOtherSeller%7Cquery_from%3A</t>
  </si>
  <si>
    <t>LUMINARIA COLGANTE DE UN MODULO</t>
  </si>
  <si>
    <t>https://es.aliexpress.com/item/1005006117739842.html?spm=a2g0o.productlist.main.99.2f996f57tLaLgG&amp;algo_pvid=8ffe042a-6ace-4946-95b5-1e64666d7101&amp;algo_exp_id=8ffe042a-6ace-4946-95b5-1e64666d7101-49&amp;pdp_npi=4%40dis%21COP%212116326.64%211058163.32%21%21%21532.00%21266.00%21%402101e56617154051511952839e0201%2112000035830015006%21sea%21CO%210%21AB&amp;curPageLogUid=xzdKx0ZlrtIz&amp;utparam-url=scene%3Asearch%7Cquery_from%3A</t>
  </si>
  <si>
    <t>7YDLED3163MV30N</t>
  </si>
  <si>
    <t>6YDLED3162MV30N</t>
  </si>
  <si>
    <t>CARDAN DOBLE DE EMPOTRAR EN COLOR NEGRO, 6W, 3000K.</t>
  </si>
  <si>
    <t>TLM3M</t>
  </si>
  <si>
    <t>RIEL MAGNETICO DE 3 METROS COLOR NEGRO</t>
  </si>
  <si>
    <t>TCMCEL</t>
  </si>
  <si>
    <t>CONECTOR ANGULAR PARA RIEL MAGNETICO</t>
  </si>
  <si>
    <t>TLMCEC</t>
  </si>
  <si>
    <t>CONECTOR LINEAL PARA RIEL MAGNETICO</t>
  </si>
  <si>
    <t>TLM1L</t>
  </si>
  <si>
    <t>RIEL LED DE 1 METRO</t>
  </si>
  <si>
    <t>TLMSP1</t>
  </si>
  <si>
    <t>SPOT PARA RIEL MAGNETICO 2700/6500, 12W</t>
  </si>
  <si>
    <t>TLMSP2</t>
  </si>
  <si>
    <t>SPOT PARA RIEL MAGNETICO 2700/6500, 24W</t>
  </si>
  <si>
    <t>TLMGP0</t>
  </si>
  <si>
    <t>LUMINARIA BASCULANTE DE 15W</t>
  </si>
  <si>
    <t>TLMP1</t>
  </si>
  <si>
    <t>MINI CARDAN PARA RIEL MAGNETICO DE 24W</t>
  </si>
  <si>
    <t>KAB3_RN</t>
  </si>
  <si>
    <t>MODULO DE ILUMINACION PARA UNION EN ANGULO</t>
  </si>
  <si>
    <t>ARQ40_N</t>
  </si>
  <si>
    <t>MODULO DE 40W DE ILUMINACION LINEAL, LARGO 1.18M.</t>
  </si>
  <si>
    <t>LTT8</t>
  </si>
  <si>
    <t>LUMINARIA LED DE 60CM, 4000K</t>
  </si>
  <si>
    <t>ARQ40</t>
  </si>
  <si>
    <t>LUMINARIA LED DE 120CM, 4000K</t>
  </si>
  <si>
    <t>KAB3_TN</t>
  </si>
  <si>
    <t>DR24VT</t>
  </si>
  <si>
    <t>FUENTE DE ALIMENTACION DE 24W</t>
  </si>
  <si>
    <t>TLM2M</t>
  </si>
  <si>
    <t>RIEL MAGNETICO DE 2 METROS COLOR NEGRO</t>
  </si>
  <si>
    <t>TLMCEL</t>
  </si>
  <si>
    <t>TLMPG0</t>
  </si>
  <si>
    <t xml:space="preserve">LINEAL LED MINI CARDAN DE 15W BASCULANTE </t>
  </si>
  <si>
    <t>BNAFES</t>
  </si>
  <si>
    <t>RC_36</t>
  </si>
  <si>
    <t>https://www.amazon.com/Empotrable-Seguridad-Contacto-Magn%C3%A9tico-Interruptor/dp/B00O9WCOB8/ref=pd_ci_mcx_di_int_sccai_cn_d_sccl_2_33/130-2911525-6422116?pd_rd_w=6nGPM&amp;content-id=amzn1.sym.751acc83-5c05-42d0-a15e-303622651e1e&amp;pf_rd_p=751acc83-5c05-42d0-a15e-303622651e1e&amp;pf_rd_r=1QWWR05CVCP2HARM9GN1&amp;pd_rd_wg=jOSij&amp;pd_rd_r=c95414ba-4156-4ec2-b2cb-796fe6154cf3&amp;pd_rd_i=B00O9WCOB8&amp;psc=1</t>
  </si>
  <si>
    <t>SC_CJ_MN</t>
  </si>
  <si>
    <t>SALIDA PARA TV COAXIAL</t>
  </si>
  <si>
    <t>SC_6PF_MN</t>
  </si>
  <si>
    <t>MODULO PARA 6 CONECTORES TIPO JACK</t>
  </si>
  <si>
    <t>WM1D_SGY</t>
  </si>
  <si>
    <t>TAPA METALICA PARA EXTERIOR</t>
  </si>
  <si>
    <t>SMD5050RGB</t>
  </si>
  <si>
    <t>CINTA LED RGB CON CONTROLADOR WIFI. ROLLO DE 10 METROS</t>
  </si>
  <si>
    <t>K_INST_PERFIL</t>
  </si>
  <si>
    <t>INSTALACION DE PERFIL DE SOBREPONER</t>
  </si>
  <si>
    <t>KP115</t>
  </si>
  <si>
    <t>INTERRUPTOR INTELIGENTE CON CONTROL WIFI</t>
  </si>
  <si>
    <t>https://www.mercadolibre.com.co/enchufe-smart-plug-mini-kasa-alexa-google-home-ifttt-wifi-color-blanco/p/MCO20996286#searchVariation=MCO20996286&amp;position=4&amp;search_layout=stack&amp;type=product&amp;tracking_id=5fdd1c17-443e-4a70-ae43-e6437ff934b6</t>
  </si>
  <si>
    <t>AC1750</t>
  </si>
  <si>
    <t>ROUTER DE LARGO ALCANCE Y DOBLE FRECUENCIA</t>
  </si>
  <si>
    <t>PROGRAMACION GENERAL DE LOS EQUIPOS DE LA PROPUESTA</t>
  </si>
  <si>
    <t>to assemble in South America and subsequent export</t>
  </si>
  <si>
    <t>L4605050</t>
  </si>
  <si>
    <t>RIEL LED DE 2 METROS PARA CONEXIÓN DE ALIMENTADOR</t>
  </si>
  <si>
    <t>HS2TK20MF930NW</t>
  </si>
  <si>
    <t xml:space="preserve">SPOT RIEL 2000Lm, IRC 90, 25°. </t>
  </si>
  <si>
    <t>DVOLADOR</t>
  </si>
  <si>
    <t>L200MM</t>
  </si>
  <si>
    <t xml:space="preserve">LUMINARIA LED CILINDRICA </t>
  </si>
  <si>
    <t>https://es.aliexpress.com/item/4000259576215.html</t>
  </si>
  <si>
    <t>CHAN1.5M</t>
  </si>
  <si>
    <t>LUMINARIA LINEAL DE 1.5M, ESTRUCTURA NEGRA</t>
  </si>
  <si>
    <t>https://es.aliexpress.com/item/1005006350785535.html?spm=a2g0o.detail.pcDetailTopMoreOtherSeller.5.48c5e5OAe5OAy7&amp;gps-id=pcDetailTopMoreOtherSeller&amp;scm=1007.40000.327270.0&amp;scm_id=1007.40000.327270.0&amp;scm-url=1007.40000.327270.0&amp;pvid=603c21f8-b613-4b23-aae8-c625f72c7222&amp;_t=gps-id:pcDetailTopMoreOtherSeller,scm-url:1007.40000.327270.0,pvid:603c21f8-b613-4b23-aae8-c625f72c7222,tpp_buckets:668%232846%238112%231997&amp;pdp_npi=4%40dis%21COP%21519454.66%21285700.06%21%21%21960.00%21528.00%21%402103273e17158329310297864e80b9%2112000036855632609%21rec%21CO%21%21AB&amp;utparam-url=scene%3ApcDetailTopMoreOtherSeller%7Cquery_from%3A</t>
  </si>
  <si>
    <t>PRO240</t>
  </si>
  <si>
    <t>CINTA LED DE 240LEDS POR METRO 3000K, 17W/M.</t>
  </si>
  <si>
    <t>ARTIC</t>
  </si>
  <si>
    <t>CIL130</t>
  </si>
  <si>
    <t>LUMINARIA LED COLGANTE DE 130CM. 3000K</t>
  </si>
  <si>
    <t>https://es.aliexpress.com/item/1005005849981794.html?spm=a2g0o.productlist.main.17.3cd6XxjAXxjArB&amp;algo_pvid=4feedf7f-d6a8-428f-8344-d6f1627195c8&amp;algo_exp_id=4feedf7f-d6a8-428f-8344-d6f1627195c8-8&amp;pdp_npi=4%40dis%21COP%212244476.99%211346686.19%21%21%214148.00%212488.80%21%402103273e17158390127651335e80b0%2112000034569261505%21sea%21CO%210%21AB&amp;curPageLogUid=tKN4wEEchJjD&amp;utparam-url=scene%3Asearch%7Cquery_from%3A</t>
  </si>
  <si>
    <t>ZIG45</t>
  </si>
  <si>
    <t>LAMPARA COLGANTE DECORATIVA</t>
  </si>
  <si>
    <t>https://es.aliexpress.com/item/1005005521740209.html?spm=a2g0o.productlist.main.37.3cd6XxjAXxjArB&amp;algo_pvid=4feedf7f-d6a8-428f-8344-d6f1627195c8&amp;algo_exp_id=4feedf7f-d6a8-428f-8344-d6f1627195c8-18&amp;pdp_npi=4%40dis%21COP%21282182.92%2191615.35%21%21%21521.50%21169.31%21%402103273e17158390127651335e80b0%2112000033996935518%21sea%21CO%210%21AB&amp;curPageLogUid=fnPphRH6h4CP&amp;utparam-url=scene%3Asearch%7Cquery_from%3A</t>
  </si>
  <si>
    <t>ESP15</t>
  </si>
  <si>
    <t>LUMINARIA TIPO BURBUJA OPALIZADA</t>
  </si>
  <si>
    <t>https://es.aliexpress.com/item/1005006197484316.html?spm=a2g0o.productlist.main.25.ab421d702DOI2z&amp;algo_pvid=4197bb74-8672-40fc-a0ed-c0051c87835a&amp;algo_exp_id=4197bb74-8672-40fc-a0ed-c0051c87835a-12&amp;pdp_npi=4%40dis%21COP%21100008.67%2169990.45%21%21%2125.62%2117.93%21%402101eab017158405044512887e5d3c%2112000037523129452%21sea%21CO%210%21AB&amp;curPageLogUid=5E0Ub7rb14Kk&amp;utparam-url=scene%3Asearch%7Cquery_from%3A</t>
  </si>
  <si>
    <t>ACC_MO_034</t>
  </si>
  <si>
    <t>BARRA DE VIDEO CONFERENCIA CON SISTEMA DE PRESENTACION INALAMBRICO</t>
  </si>
  <si>
    <t>75UR7800PSB</t>
  </si>
  <si>
    <t>TV LED DE 75" RESOLUCION 4K</t>
  </si>
  <si>
    <t>DISENO ELECTRICO Y ENTREGA DE PLANOS AS BUILT. INCLUYE MEMORIAS DE CALCULO Y DOCUMENTACION DE MEMORIAS DE CALCULO. NO INCLUYE COSTOS DE PRESENTACION DE PROYECTO RETIE, RETIELAP O TRAMITES ANTE OPERADOR DE SERVICIO PUBLICO DE ENERGIA.</t>
  </si>
  <si>
    <t>EPISODE</t>
  </si>
  <si>
    <t>ES_CORE_18_IC</t>
  </si>
  <si>
    <t>PARLANTES DE 8" CON CAPACIDAD DE 120W, RESPUESTA EN FRECUENCIA DE 48Hz - 20kHz.</t>
  </si>
  <si>
    <t>RGPOEAF15_1</t>
  </si>
  <si>
    <t>RGEG310GHPE_1</t>
  </si>
  <si>
    <t>ROUTER CON POE 802 3AF AT, GIGA, DOBLE WAN
HASTA 110W 10 PUERTOS GIGABIT CLOUD
MANAGED</t>
  </si>
  <si>
    <t>CORBATINX1</t>
  </si>
  <si>
    <t>APLIQUE DE 3 VATIOS</t>
  </si>
  <si>
    <t>YS_L_B</t>
  </si>
  <si>
    <t>CONECTOR EN L PARA RIEL DE SOBREPONER</t>
  </si>
  <si>
    <t>TLGU10INC</t>
  </si>
  <si>
    <t>C4_T4IW8</t>
  </si>
  <si>
    <t>PANTALLA TACTIL DE 8", PARA FIJAR EN PARED</t>
  </si>
  <si>
    <t>IPC_S21FEN_0360B_IM</t>
  </si>
  <si>
    <t>CAMARA IP CRUISER DE 2MP</t>
  </si>
  <si>
    <t>NUIMN_7274</t>
  </si>
  <si>
    <t>UPS DE 2KVA, 6 SALIDAS REGUKADAS. 1200W</t>
  </si>
  <si>
    <t>CR2450</t>
  </si>
  <si>
    <t>PILA REDONDA DE 3VDC</t>
  </si>
  <si>
    <t>K_DOCS_CODENSA</t>
  </si>
  <si>
    <t>PRESENTACION DE PROYECTO SERIE 3 O SERIE 5 ANTE ENTIDAD PRESTADORA DEL SERVICIO, INCLUYE PRESENTACION DE PLANOS FIRMADOS, SEGUIMIENTO DEL PROCESO, GESTION ANTE EL ENTE PARA COORDINACION, REVISION Y AJUSTES QUE SOLICITEN. EL TIEMPO DE GESTION ESTA INDICADO POR EL PROVEEDOR DEL SERVICIO. SE REQUIERE POR PARTE DEL CLIENTE LA DISPONIBILIDAD DE INFORMACION VIGENTE DE DOCUMENTACION DEL PRECIO, CERTIFICADOS DE LIBERTAD ENTER OTROS.</t>
  </si>
  <si>
    <t>IREX</t>
  </si>
  <si>
    <t>EXTENDER DE INFRA ROJOS</t>
  </si>
  <si>
    <t>BS_F09.4488.30.90</t>
  </si>
  <si>
    <t>INSTALACIÓN DE UT SPOT TRACK 57 LED ARRAY
21,5W 1900lm CRI90 3000K
WHITE 40D</t>
  </si>
  <si>
    <t>BS_F09.4486.30.90</t>
  </si>
  <si>
    <t>INSTALACIÓN DE UT SPOT TRACK 57 LED ARRAY
21,5W 1900lm CRI90 3000K
WHITE 12D</t>
  </si>
  <si>
    <t>BS_F03.8605.40A</t>
  </si>
  <si>
    <t>INSTALACIÓN DE MODULO ILUMINACION LED DE BAJO DESLUMBRAMIENTO. LED - Power LED - 2.7WW - 198lm - 3000K - CRI&gt; 90 - Beam° 33</t>
  </si>
  <si>
    <t>BS_F03.9215.40A19</t>
  </si>
  <si>
    <t>INSTALACIÓN DE MODULO ILUMINACION LED DE BAJO DESLUMBRAMIENTO SIN BORDE. LED - Power LED - 5.4W - 468lm - 3000K - CRI&gt; 90 - Beam° 33</t>
  </si>
  <si>
    <t>BS_F03.9235.40A19</t>
  </si>
  <si>
    <t>INSTALACIÓN DE MODULO ILUMINACION LED DE BAJO DESLUMBRAMIENTO SIN BORDE. LED - Power LED - 10.8W - 790lm - 3000K - CRI&gt; 90 - Beam° 33</t>
  </si>
  <si>
    <t>BS_F03.9957.40</t>
  </si>
  <si>
    <t>INSTALACIÓN DE MODULO ILUMINACION LED DE BAJO DESLUMBRAMIENTO. LED - LED array - 15WW - 1216lm - 3000K - CRI&gt; 90 - Beam° 51</t>
  </si>
  <si>
    <t>BS_F05.7305.B1</t>
  </si>
  <si>
    <t>INSTALACIÓN DE LUMINARIA LED RECESADA CHIP ON BOARD. LED - LED array - 7,3WW - 583lm - 3000K - CRI&gt; 90 - Beam° 15</t>
  </si>
  <si>
    <t>BS_F05.7421.B1</t>
  </si>
  <si>
    <t>INSTALACIÓN DE LUMINARIA LED RECESADA TIPO WALL WASHER, CHIP ON BOARD CON LENTE ELIPTICO. LED - LED array - 13WW - 884lm - 2700K - CRI&gt; 90 - Beam° 28</t>
  </si>
  <si>
    <t>BS_F08.0192.00</t>
  </si>
  <si>
    <t>INSTALACIÓN DE MARCO SUPLEMENTO PARA INSTALACION RECESADA</t>
  </si>
  <si>
    <t>BS_F08.0510.00</t>
  </si>
  <si>
    <t>INSTALACIÓN DE MARCO SUPLEMENTO PARA INSTALACION RECESADA FORMATO 2L.</t>
  </si>
  <si>
    <t>BS_F08.0511.00</t>
  </si>
  <si>
    <t>INSTALACIÓN DE MARCO SUPLEMENTO PARA INSTALACION RECESADA FORMATO 4L</t>
  </si>
  <si>
    <t>BS_F08.0580.00</t>
  </si>
  <si>
    <t>BS_F08.9102.00</t>
  </si>
  <si>
    <t>BS_F08.9114.00</t>
  </si>
  <si>
    <t>BS_F09.3200.30A</t>
  </si>
  <si>
    <t>INSTALACIÓN DE LUMINARIA DE PARED PARA SEÑALIZACION INTERIOR. LED - Top LED - 1.2WW - 4lm - 3000K - CRI&gt; 90 - Beam° 74</t>
  </si>
  <si>
    <t>BS_F09.3201.ANA</t>
  </si>
  <si>
    <t>INSTALACIÓN DE LUMINARIA DE PARED PARA SEÑALIZACION INTERIOR. LED - Top LED - 1.2WW - 2lm - 3000K - Beam° 72</t>
  </si>
  <si>
    <t>BS_F09.3755.14A</t>
  </si>
  <si>
    <t>INSTALACIÓN DE LUMINARIA SPOT RECESADA AJUSTABLE PARA INTERIOR. LED - Power LED - 6WW - 350lm - 3000K - CRI&gt; 90 - Beam° 18</t>
  </si>
  <si>
    <t>BS_F09.3755.30A</t>
  </si>
  <si>
    <t>BS_F05.7301.GL</t>
  </si>
  <si>
    <t>BS_FF08.9114.00</t>
  </si>
  <si>
    <t>BS_F03.1256.DR</t>
  </si>
  <si>
    <t>INSTALACIÓN DE C1 MONO SPOT CELING LARGE</t>
  </si>
  <si>
    <t>BS_F08.0212.DR</t>
  </si>
  <si>
    <t>INSTALACIÓN DE BASE SOBREPUESTA</t>
  </si>
  <si>
    <t>BS_F03.9211.14ADA</t>
  </si>
  <si>
    <t>INSTALACIÓN DE LUMINARIA DE ALTO CONTRASTE DE INCRUSTAR</t>
  </si>
  <si>
    <t>BS_FF08.0510.00</t>
  </si>
  <si>
    <t>INSTALACIÓN DE KIT PARA INSTALACION TRIMLESS</t>
  </si>
  <si>
    <t>BS_F09.3708.14A</t>
  </si>
  <si>
    <t>SINSTALACIÓN DE POT DE SOBREPONER</t>
  </si>
  <si>
    <t>BS_F03.9836.14ADA</t>
  </si>
  <si>
    <t>LINSTALACIÓN DE UMINARIA DE ALTO CONTRASTE DE SOBREPONER</t>
  </si>
  <si>
    <t>BS_F06.2506.14</t>
  </si>
  <si>
    <t>INSTALACIÓN DE CONECTOR RECTO ANODIZADO PARA SISTEMA ZERO TRACK</t>
  </si>
  <si>
    <t>BS_F06.2542.CZ</t>
  </si>
  <si>
    <t>INSTALACIÓN DE CONECTOR EN 90 GRADOS ANODIZADO PARA SISTEMA ZERO TRACK</t>
  </si>
  <si>
    <t>K_MANAGE</t>
  </si>
  <si>
    <t>MANEJO DE EQUIPOS, GESTION Y COSTOS DE ADMINISTRACIÓN</t>
  </si>
  <si>
    <t>K_PROG_LUTRON_C4</t>
  </si>
  <si>
    <t>INTEGRACION DE SISTEMA LUTRON CON CONTROL 4</t>
  </si>
  <si>
    <t>CLARE</t>
  </si>
  <si>
    <t>CLR_V200_4T28W</t>
  </si>
  <si>
    <t>CAMARA IP DE 4MP COMPATIBLE CON SISTEMA CONTROL4</t>
  </si>
  <si>
    <t>NT_R3_NFB_BB</t>
  </si>
  <si>
    <t>FACEPLATE EN ALUMINIO ANODIZADO DORADO</t>
  </si>
  <si>
    <t>IC8</t>
  </si>
  <si>
    <t>ALTAVOZ DE 8 PULGADAS DE EMPOTRAR EN TECHO, 8 OHM, REPUESTA EN FRECUENCIA: 45-20.000 Hz</t>
  </si>
  <si>
    <t>ES15</t>
  </si>
  <si>
    <t>PARLANTE DE SOBREPONER PARA AMPLIFICADOR 100W</t>
  </si>
  <si>
    <t>5B65SMK2_B</t>
  </si>
  <si>
    <t>PARLANTE DE EXTERIOR EN COLOR NEGRO DE 6.5! PARA SOBREPONER O MONTAJE EN PARED. 8OHM. POTENCIA 150W.</t>
  </si>
  <si>
    <t>MC6</t>
  </si>
  <si>
    <t>ALTAVOZ DE 150W DE ALTA FIDELIDAD, RESPUESTA EN FERCUENCIA DE 62 - 25.000 Hz ±3 dB.</t>
  </si>
  <si>
    <t>DEFINITIVE</t>
  </si>
  <si>
    <t>AW_5500</t>
  </si>
  <si>
    <t>ALTAVOZ DE 5.5", POTENCIA HASTA 175W. COLOR NEGRO.</t>
  </si>
  <si>
    <t>ES30</t>
  </si>
  <si>
    <t>PARLANTE DE SOBREPONER PARA AMPLIFICADOR 100W, CANAL CENTRAL.</t>
  </si>
  <si>
    <t>PROCINEMA600</t>
  </si>
  <si>
    <t>SISTEMA DE AUDIO 5.1 DE SOBREPONER</t>
  </si>
  <si>
    <t>RACK TIPO GABINETE DE 9U.</t>
  </si>
  <si>
    <t>DCI4_600</t>
  </si>
  <si>
    <t>AMPLIFICADO DE 4 CANALES A 600W</t>
  </si>
  <si>
    <t>CT875</t>
  </si>
  <si>
    <t>AMPLIFICADOR DE 8 CANALES A 75W</t>
  </si>
  <si>
    <t>AW4_LS_BR</t>
  </si>
  <si>
    <t>ALTAVOZ OUTDOOR DE 8OHM O LINEA DE 70V, POTENCIA HASTA 100W.</t>
  </si>
  <si>
    <t>OSD</t>
  </si>
  <si>
    <t>OSD5</t>
  </si>
  <si>
    <t>ALTAVOZ DE 100W PARA EXTERIOR</t>
  </si>
  <si>
    <t>https://www.amazon.com/-/es/OSD-Forza-horizontal-resistente-intemperie/dp/B07S7YMS6C/ref=sr_1_49?__mk_es_US=%C3%85M%C3%85%C5%BD%C3%95%C3%91&amp;crid=1VRH9RRK61PO8&amp;dib=eyJ2IjoiMSJ9.PCArZ8ybpA2rQLaU7ilFbd5X_XCE9EREPDxXcGqVYqJohEjyi6DLpj1H-G9rv9XtmQTUTDVSATDnG6SKAbMwGGAK1h2p8-IIks_Y0rJgk09DTgR5OHl8eyp-W3dlCHLI8Rp4Q30BXOFWxj0P_TGCmOuxAxuCU5F3SO50sQc9aczrsAD_64KK0eLq0GUsnPwfmdy10-DGZlgqLrtpIrdYy3djfhYceDzAPu2n5saZ78o.w2Qy3pQc9OZGCy0GoI0hfv5WYD7d23lPg4f4QEG5XrA&amp;dib_tag=se&amp;keywords=outdoor%2Bspeakers&amp;qid=1717882487&amp;sprefix=outdoor%2Bspeaker%2Caps%2C403&amp;sr=8-49&amp;th=1</t>
  </si>
  <si>
    <t>PT8050CH</t>
  </si>
  <si>
    <t>AMLIFICADOR DE 8 CANALES 4000W</t>
  </si>
  <si>
    <t>https://www.amazon.com/-/es/Amplificador-Bluetooth-inal%C3%A1mbrico-mezclador-multizona/dp/B07RT73KP5/ref=sr_1_3?__mk_es_US=%C3%85M%C3%85%C5%BD%C3%95%C3%91&amp;crid=3I3NT7XD6ZZ46&amp;dib=eyJ2IjoiMSJ9.GjqyyVNj91vZejI6TXkFGmHPprj0bTxHNhuDv_yREoziQWJmoUiezywYPn7nMQtB4a0H73JmsR0zuIhKoI7lCrjSpz4Rx2Fw5i_yukx_8fz2vSbX6_3W93k1YXzgX48TSTvFO4VTOb_rL06d6RPTfNaoMkeMP4gVDzZ_LKGXUTOW_UjBM7H2tt0clU0GvgY3-lr-ToHDXDcu62-mHJD5NQjLV704Hh-j2rQyJmDQWDI.t8fRHftqR2OwNtGz76CHabBBlY_yghHBcLVusyVimTY&amp;dib_tag=se&amp;keywords=amplificador+8+canales&amp;qid=1717885261&amp;sprefix=amplificador+8+canale%2Caps%2C192&amp;sr=8-3</t>
  </si>
  <si>
    <t>PL788</t>
  </si>
  <si>
    <t>LUMINARIA DESCOLGADA DECORATIVA</t>
  </si>
  <si>
    <t>https://es.aliexpress.com/item/1005005323435539.html?spm=a2g0o.productlist.main.65.23a8VhwmVhwmbU&amp;algo_pvid=6a2168a8-b828-4d46-ae9c-6cbd9efc6994&amp;algo_exp_id=6a2168a8-b828-4d46-ae9c-6cbd9efc6994-34&amp;pdp_npi=4%40dis%21COP%21521631.22%21222683.51%21%21%21942.40%21402.31%21%402101fb0b17179778858306677e9b2a%2112000032765398885%21sea%21CO%210%21AB&amp;curPageLogUid=QIE7zMLhUvef&amp;utparam-url=scene%3Asearch%7Cquery_from%3A</t>
  </si>
  <si>
    <t>CPL240</t>
  </si>
  <si>
    <t>LUMINARIA LINEAL TENSIONADA</t>
  </si>
  <si>
    <t>https://es.aliexpress.com/item/1005006905065001.html?spm=a2g0o.productlist.main.39.67cb720cPFPgYy&amp;algo_pvid=deadccad-f9cc-47ae-8498-1084d4f00448&amp;aem_p4p_detail=202406091914162976896198887100009715432&amp;algo_exp_id=deadccad-f9cc-47ae-8498-1084d4f00448-19&amp;pdp_npi=4%40dis%21COP%21522190.24%21365533.17%21%21%21130.00%2191.00%21%40210318c317179856565384783e3071%2112000038672433311%21sea%21CO%210%21AB&amp;curPageLogUid=8X7sSJyHGWaU&amp;utparam-url=scene%3Asearch%7Cquery_from%3A&amp;search_p4p_id=202406091914162976896198887100009715432_5</t>
  </si>
  <si>
    <t>G9DIM</t>
  </si>
  <si>
    <t>BOMBILLA G9 ATENUABLE, CALIDA DE 6W.</t>
  </si>
  <si>
    <t>https://www.amazon.com/gp/aw/d/B08FRGGHSH/?_encoding=UTF8&amp;pd_rd_plhdr=t&amp;aaxitk=e50cb83d378600c802f34f56fab4e029&amp;hsa_cr_id=7227969090401&amp;qid=1717986006&amp;sr=1-1-9e67e56a-6f64-441f-a281-df67fc737124&amp;ref_=sbx_be_s_sparkle_mcd_asin_0_img&amp;pd_rd_w=L3Pn5&amp;content-id=amzn1.sym.417820b0-80f2-4084-adb3-fb612550f30b%3Aamzn1.sym.417820b0-80f2-4084-adb3-fb612550f30b&amp;pf_rd_p=417820b0-80f2-4084-adb3-fb612550f30b&amp;pf_rd_r=9XE3CD5JBCXDD0BJYF3P&amp;pd_rd_wg=kbGz1&amp;pd_rd_r=eb335f23-1519-4946-8369-159e4888ce3f&amp;th=1</t>
  </si>
  <si>
    <t>PIC15</t>
  </si>
  <si>
    <t>APLIQUE DECORATIVO ESFERICO</t>
  </si>
  <si>
    <t>https://es.aliexpress.com/item/1005004515511990.html?spm=a2g0o.productlist.main.77.150f6754pfdRsY&amp;algo_pvid=e5e23335-71cb-4fab-9929-b9eb8f263552&amp;algo_exp_id=e5e23335-71cb-4fab-9929-b9eb8f263552-38&amp;pdp_npi=4%40dis%21COP%21272824.32%21160955.10%21%21%2167.92%2140.07%21%402101e07217179863486243621e6626%2112000029441263100%21sea%21CO%210%21AB&amp;curPageLogUid=mhdqQ4z2pJed&amp;utparam-url=scene%3Asearch%7Cquery_from%3A</t>
  </si>
  <si>
    <t>D890</t>
  </si>
  <si>
    <t>AMPLIFICADOR DE 8 CANALES (4 ZONAS) A 75W REALES.</t>
  </si>
  <si>
    <t>K_REV_LIGHT</t>
  </si>
  <si>
    <t xml:space="preserve">JORNADA DE HASTA 4 HORAS EN TOMAS DE DATOS Y ELABORACION DE INFORME DE LEVANTAMIENTO DE DATOS.  </t>
  </si>
  <si>
    <t>CS_225C_II</t>
  </si>
  <si>
    <t>ALTAVOZ CENTRAL DE HASTA 175W DE 3 MEMBRANAS</t>
  </si>
  <si>
    <t>D819224NO</t>
  </si>
  <si>
    <t>CINTA LED ATENUABLE DE 16W/M, 3000K, CRI90, 24V, ROLLO DE 5 METROS.</t>
  </si>
  <si>
    <t>TUBE_C</t>
  </si>
  <si>
    <t>TUBO LED LINEAL DE DESCOLGAR</t>
  </si>
  <si>
    <t>https://es.aliexpress.com/item/33014906654.html?spm=a2g0o.productlist.main.11.7f87AJdrAJdrDQ&amp;algo_pvid=ab673f4a-cd76-4793-81ff-2eaf3cf66d27&amp;algo_exp_id=ab673f4a-cd76-4793-81ff-2eaf3cf66d27-5&amp;pdp_npi=4%40dis%21COP%21710259.68%21710259.68%21%21%21167.70%21167.70%21%402101e07217183371594981262eb60d%2112000033847103717%21sea%21CO%210%21AB&amp;curPageLogUid=vgl1TxzUn44d&amp;utparam-url=scene%3Asearch%7Cquery_from%3A</t>
  </si>
  <si>
    <t>DA1_S</t>
  </si>
  <si>
    <t>INTERFAZ DALI PARA ATENUACION DE LED HASTA 15 AMP. CON FUENTE CONSTANTE.</t>
  </si>
  <si>
    <t>RGES218GCP_1</t>
  </si>
  <si>
    <t>ROUTER GIGA PoE DE 16 PUERTOS DE GESTION REMOTA.</t>
  </si>
  <si>
    <t>NICH3A</t>
  </si>
  <si>
    <t>LUMINARIA GUIA LED DE 3W</t>
  </si>
  <si>
    <t>D1290</t>
  </si>
  <si>
    <t>AMPLIFICADOR DE 12 CANALES PARA 6 ZONAS ESTEREO.</t>
  </si>
  <si>
    <t>BCS300</t>
  </si>
  <si>
    <t>ALTAVOZ CON STREAMING INCORPORADO PARA TECHO</t>
  </si>
  <si>
    <t>TEN4.03X10.6</t>
  </si>
  <si>
    <t>TENSOFLEX DE 4.03MX10.6M INCLUYE INTSLACION DE TELA Y PERFILERIA. NO INCLUYE REFUERZOS NI ILUMINACION INTERNA.</t>
  </si>
  <si>
    <t>TEN4.03X2.47</t>
  </si>
  <si>
    <t>TENSOFLEX DE 4.03MX2.47M INCLUYE INTSLACION DE TELA Y PERFILERIA. NO INCLUYE REFUERZOS NI ILUMINACION INTERNA.</t>
  </si>
  <si>
    <t>QP_1L</t>
  </si>
  <si>
    <t>PROCESADOR LINEA ATHENA DE 1 LAZOS.</t>
  </si>
  <si>
    <t>GF_2148</t>
  </si>
  <si>
    <t>GABINETE MOVIL DE UN 1.7M DE ALTURA, FORMATO ESTANDAR DE 19".</t>
  </si>
  <si>
    <t>CWMINI03</t>
  </si>
  <si>
    <t>CONTROLADOR DE CINTA RGB PROGRAMABLE.</t>
  </si>
  <si>
    <t>LANPRO6</t>
  </si>
  <si>
    <t>CABLE CAT6 DE USO INTERIOR.</t>
  </si>
  <si>
    <t>MSH4</t>
  </si>
  <si>
    <t>MODULO DE BOTON LED 4W</t>
  </si>
  <si>
    <t>Q_TOUCH5</t>
  </si>
  <si>
    <t>PANTALLA DE 5" PARA CONTROL DE DISPOSITIVOS ATHENA</t>
  </si>
  <si>
    <t>SBEAM</t>
  </si>
  <si>
    <t>SOPORTE DE PARED PARA SONOS BEAM</t>
  </si>
  <si>
    <t>https://www.amazon.com/-/es/ALLICAVER-Soporte-compatible-soporte-resistente/dp/B07R74WMZ1/ref=sr_1_9?__mk_es_US=%C3%85M%C3%85%C5%BD%C3%95%C3%91&amp;crid=2REDUMO410U62&amp;dib=eyJ2IjoiMSJ9.pweLItEnngCeHX07j8AR-lYp88WbIxYkHHe5fLWQW_dZSVrk_dk1brADddelv4f4quV1e2iOJa46q27Rack4PBZ86-N9tA5-KenDHRtiCns1Su2wo8mh7YYAUWcsPgTKawntC-Hhj5PpMKS2q56xSR-0oIMFqbb57hNW99_UYt0Bl7pknhnaHVo4z_Lh9eG-S8KdT3n2xdJyzoTlr48-nh4YuFaHWgvFFAnDjlVttMc.RC6PWQMVlXxjFW5hlsAhSUKbxHUwxK2oJI25ZiBPoTU&amp;dib_tag=se&amp;keywords=soporte+sonos+beam&amp;qid=1721071411&amp;sprefix=soporte+sonos+b%2Caps%2C203&amp;sr=8-9</t>
  </si>
  <si>
    <t>TODANGAI</t>
  </si>
  <si>
    <t>TOCDP</t>
  </si>
  <si>
    <t>REPRODUCTOR DE CD CON SALIDA AUXILIAR</t>
  </si>
  <si>
    <t>https://www.amazon.com/-/es/Reproductor-reproductores-port%C3%A1tiles-reproductor-auriculares/dp/B0BXSB1XJ5/ref=sr_1_18?__mk_es_US=%C3%85M%C3%85%C5%BD%C3%95%C3%91&amp;crid=92LR7L050O7C&amp;dib=eyJ2IjoiMSJ9.u3QClvtiqPkgFSZdHgY5hKPP-P4SKvFCrgLDBgLSHHAByZwtAyO_wweZrwY9lTP-DCbvZwzd9fdHIhIY-HdJGcb1S57T4VxSDi3R_9IlU8W4V6f5I-kcs2cZLOzo42dSfbKtz4HktH0Z_ZmoLC4VpfbQ_s8fRGkLVgSuS8X-WPfTvzwvkg_6uXSiaEl8Wkh8.pcp7nP81_4k9Tg8Xw-9tChJaBqr7Iz5sFXmHZvRV670&amp;dib_tag=se&amp;keywords=reproductor%2Bde%2BCD%2Bsalida%2Bauxiliar&amp;qid=1721071675&amp;sprefix=reproductor%2Bde%2Bcd%2Bsalida%2Bauxilia%2Caps%2C355&amp;sr=8-18&amp;th=1</t>
  </si>
  <si>
    <t>TWIRE</t>
  </si>
  <si>
    <t>TIMBRE INALAMBRICO DE 3 BOCINAS Y DOS PULSADORES,</t>
  </si>
  <si>
    <t>https://www.amazon.com/-/es/PHYSEN-inal%C3%A1mbrico-funciona-diferentes-campanilla/dp/B0759H24YH/ref=sims_dp_d_dex_ai_speed_loc_mtl_v4_d_sccl_3_6/130-2911525-6422116?pd_rd_w=ZrugD&amp;content-id=amzn1.sym.dbded1ad-8495-4a8e-9906-011c3df3dc92&amp;pf_rd_p=dbded1ad-8495-4a8e-9906-011c3df3dc92&amp;pf_rd_r=KW7B9E9XCRQ2PK8FB479&amp;pd_rd_wg=V7wDQ&amp;pd_rd_r=abc4281d-4fe4-42fb-a3ff-cc96c5c78ad0&amp;pd_rd_i=B0759H24YH&amp;psc=1</t>
  </si>
  <si>
    <t>COLORS</t>
  </si>
  <si>
    <t>D81922410NO</t>
  </si>
  <si>
    <t>CINTA 24V DE 16W/M 3000K CRI90. 5 METROS</t>
  </si>
  <si>
    <t>K_INST_ARMADO</t>
  </si>
  <si>
    <t>ARMADO DE LUMINARIA EN SITIO.</t>
  </si>
  <si>
    <t>G_ELEC</t>
  </si>
  <si>
    <t>METRO DE GUAYA ELECTRICA INVISIBLE</t>
  </si>
  <si>
    <t>K_SERV_SERV</t>
  </si>
  <si>
    <t>MANTENIMIENTO FISICO DE SERVIDOR, CONSISTENTE EN LIMPIEZA DE EQUIPO, REVISION DE HARDWARE E INFORME DE REQUERIMIENTOS.</t>
  </si>
  <si>
    <t>PDB24</t>
  </si>
  <si>
    <t>SISTEMA DE TIMBRES INALAMBRICOS CON DOS EMISORES Y $ RECEPTORES.</t>
  </si>
  <si>
    <t>RA90</t>
  </si>
  <si>
    <t>RACK ABIERTO DE 90CM DE ALTURA</t>
  </si>
  <si>
    <t>ICONONE</t>
  </si>
  <si>
    <t>ARBOR_S20BI</t>
  </si>
  <si>
    <t>LUMINARIA DECORATIVA</t>
  </si>
  <si>
    <t>QSWS2_7BI_WH_EGN</t>
  </si>
  <si>
    <t>LQSE_4A5_120_D</t>
  </si>
  <si>
    <t>MODULO DE ATENUACIÓN ADAPTATIVA PARA 4 RETORNOS</t>
  </si>
  <si>
    <t>SC_1_TF</t>
  </si>
  <si>
    <t>SCR_15_TF</t>
  </si>
  <si>
    <t>SC_CJ_TP</t>
  </si>
  <si>
    <t>SALIDA PARA TV COAXIAL EN COLOR TAUPE</t>
  </si>
  <si>
    <t>K_INST_SOPORTE</t>
  </si>
  <si>
    <t>INSTALACION DE SOPORTE</t>
  </si>
  <si>
    <t>XP2</t>
  </si>
  <si>
    <t>PROYECTOR LASER 4K ULTRA CORTO.</t>
  </si>
  <si>
    <t>ULTRAHD16</t>
  </si>
  <si>
    <t>PINTURA ESTÁNDAR EN COLOR BLANCO PARA PROYECCIÓN DE IMAGEN. APLICACIÓN EN DOS PAPAS PARA 16 METROS CUADRADOS.</t>
  </si>
  <si>
    <t>OD2</t>
  </si>
  <si>
    <t>PAN_LED_R60_40</t>
  </si>
  <si>
    <t>LUMINARIA TIPO PANEL DE DESCOLGAR DIMERIZABLE. 36W, 4000K.</t>
  </si>
  <si>
    <t>ECO30120V48</t>
  </si>
  <si>
    <t>PANEL LED DE120X30 4000K, 48W</t>
  </si>
  <si>
    <t>ECODLV12</t>
  </si>
  <si>
    <t>BALA LED 12W DE 4000K</t>
  </si>
  <si>
    <t>ECO6060V48</t>
  </si>
  <si>
    <t>PANEL LED 60X60, 48W, 4000K</t>
  </si>
  <si>
    <t>PROYECTOR WUXGA DE 4000Lm, CON DOS ENTRADAS HDMI.</t>
  </si>
  <si>
    <t>NP_PE506WL</t>
  </si>
  <si>
    <t>PROYECTOR WXGA DE 5200Lm, CON DOS ENTRADAS HDMI. LAMPARA LASER.</t>
  </si>
  <si>
    <t>VP02W</t>
  </si>
  <si>
    <t>SOPORTE DE TECHO UNIVERSAL</t>
  </si>
  <si>
    <t>UHZ55</t>
  </si>
  <si>
    <t>PROYECTOR DLP LASER DE 3000LM, 4K.</t>
  </si>
  <si>
    <t>RD_RS_WH</t>
  </si>
  <si>
    <t>INTERRUPTOR COMPLEMENTARIO BLANCO</t>
  </si>
  <si>
    <t>SD_R11</t>
  </si>
  <si>
    <t>CONTROL RF PARA UNA ZONA</t>
  </si>
  <si>
    <t>https://es.aliexpress.com/item/1005005880279022.html?spm=a2g0o.productlist.main.37.7ffc64e1AnUDCR&amp;algo_pvid=bfafb943-9588-4d17-9936-ba5810b8849e&amp;algo_exp_id=bfafb943-9588-4d17-9936-ba5810b8849e-18&amp;pdp_npi=4%40dis%21COP%2185705.60%2171982.48%21%21%2120.11%2116.89%21%402101c71a17255713345332942ea0ee%2112000034681965865%21sea%21CO%21933376246%21X&amp;curPageLogUid=EdeW2bJejtdn&amp;utparam-url=scene%3Asearch%7Cquery_from%3A</t>
  </si>
  <si>
    <t>SD_DA_PS_L</t>
  </si>
  <si>
    <t>FUENTE DE POTER PARA BUS DALI</t>
  </si>
  <si>
    <t>https://es.aliexpress.com/item/1005007580944679.html?spm=a2g0o.productlist.main.57.580e6861VTTBCv&amp;algo_pvid=9436ed9c-0c84-42ec-a019-9cd7b557f219&amp;algo_exp_id=9436ed9c-0c84-42ec-a019-9cd7b557f219-28&amp;pdp_npi=4%40dis%21COP%2190016.06%2158510.44%21%21%21150.00%2197.50%21%402101c72a17255719979361826ef5fa%2112000041379679397%21sea%21CO%21933376246%21X&amp;curPageLogUid=3zdiQXFyGu1Y&amp;utparam-url=scene%3Asearch%7Cquery_from%3A</t>
  </si>
  <si>
    <t>SD_DA_M_WT</t>
  </si>
  <si>
    <t>ACTUADOR PARA INTEGRACION DE CARGAS DALI</t>
  </si>
  <si>
    <t>https://es.aliexpress.com/item/1005007329111938.html?spm=a2g0o.productlist.main.1.42f057a2pdmgTh&amp;algo_pvid=97526130-8b3c-4fd1-9613-1db9f0beb80c&amp;algo_exp_id=97526130-8b3c-4fd1-9613-1db9f0beb80c-0&amp;pdp_npi=4%40dis%21COP%2181827.33%2168743.48%21%21%2119.20%2116.13%21%402101ef5e17255711363225203e7eaf%2112000040288616458%21sea%21CO%21933376246%21X&amp;curPageLogUid=okOOoDa9tx4q&amp;utparam-url=scene%3Asearch%7Cquery_from%3A</t>
  </si>
  <si>
    <t>RMKS_DAL32_SZ</t>
  </si>
  <si>
    <t>DIRECCIONADOR DALI DE PARA 32 DIRECCIONES</t>
  </si>
  <si>
    <t>PROCABLES</t>
  </si>
  <si>
    <t>CPL10CN</t>
  </si>
  <si>
    <t>CABLE LSZH-FR TC 7H CU PRC 10 CRR NG</t>
  </si>
  <si>
    <t>CPL12CN</t>
  </si>
  <si>
    <t>CABLE LSZH-FR TC 7H CU PRC 12 CRR NG</t>
  </si>
  <si>
    <t>PSL1430C</t>
  </si>
  <si>
    <t>TOMA TURNLOK-250V AEREA 30A 2F+N+T</t>
  </si>
  <si>
    <t>PSL1430P</t>
  </si>
  <si>
    <t>CLAVIJA TURNLOK-250V 30A 2F+N+T</t>
  </si>
  <si>
    <t>PSL1430R</t>
  </si>
  <si>
    <t>TOMA TURNLOK-250V INCRUST 30A 2F+N+T</t>
  </si>
  <si>
    <t>TEN3.63X5.97</t>
  </si>
  <si>
    <t>TENSOFLEX DE 3.63MX5.97M INCLUYE INTSLACION DE TELA Y PERFILERIA. NO INCLUYE REFUERZOS NI ILUMINACION INTERNA.</t>
  </si>
  <si>
    <t>TEN2.14X3.63</t>
  </si>
  <si>
    <t>TENSOFLEX DE 2.14MX3.63M INCLUYE INTSLACION DE TELA Y PERFILERIA. NO INCLUYE REFUERZOS NI ILUMINACION INTERNA.</t>
  </si>
  <si>
    <t>K_ALQ_PRO</t>
  </si>
  <si>
    <t>ALQUILER DE PROYECCTOR ESTANDAR POR 8 DIAS</t>
  </si>
  <si>
    <t>RING_PRO</t>
  </si>
  <si>
    <t>TIMBRE INALAMRICO WIFI CON CAMARA Y AUDIO BIDIRECCIONAL.</t>
  </si>
  <si>
    <t>https://www.amazon.com/-/es/dp/B0B2BY4ZG7?ref=ml_rc_nd_ucc</t>
  </si>
  <si>
    <t>RP_CASE</t>
  </si>
  <si>
    <t>PROTECTOR PARA TIMBRE RING</t>
  </si>
  <si>
    <t>https://www.amazon.com/RingDoorbell-generaci%C3%B3n-Plus-antideslumbrante-perforaci%C3%B3n/dp/B09N54FWJ1/ref=sr_1_18_sspa?__mk_es_US=%C3%85M%C3%85%C5%BD%C3%95%C3%91&amp;crid=1FD93QBM228M1&amp;dib=eyJ2IjoiMSJ9.PMzX6CoDKtIrPjipkeUKKiC2Go-rfHla7aaG8CCf6m3dsUplHHmDppMr6MfoSdsyZUje9PvaM60B_D-3p_svh8amOxXCvTDFznhPljlM0hqBwB1rFZVsxhGOqOFu2hp8XRQT_NlB9lxW3WpBYYI2HyoO5irxRNikv35thzZS22TogRd464IE9Lw0yh0SznqHGHyhRKqMQL64dgi2RPfALPzvJ5y7oU78Lg_s0L24MhM.IkNw0w6NnT5APyGRQIZyM9soDkVtNgMUHIBcy0fr9PU&amp;dib_tag=se&amp;keywords=Protector+Ring+pro+outdoor&amp;qid=1725814509&amp;sprefix=protector+ring+pro+outdoo%2Caps%2C234&amp;sr=8-18-spons&amp;sp_csd=d2lkZ2V0TmFtZT1zcF9idGY&amp;psc=1</t>
  </si>
  <si>
    <t>RG_EST100_E</t>
  </si>
  <si>
    <t>SISTEMA DE RADIO ENLACE PUNTO A PUNTO DE HASTA 500 METROS</t>
  </si>
  <si>
    <t>DC_140USB</t>
  </si>
  <si>
    <t>Fuente de Alimentacion de Respaldo de 14W</t>
  </si>
  <si>
    <t>TL_115_CT</t>
  </si>
  <si>
    <t>TELON FORMATO 4:3 ELECTRICO DE 2.43X1.82cm</t>
  </si>
  <si>
    <t>SB_ST_4S_NI_WH</t>
  </si>
  <si>
    <t>TECLADO DE 5 BOTONES CON RAISE AND LOWER PARA SISTEMA HOMEWORKS ILUMINATOR.</t>
  </si>
  <si>
    <t>K_INST_PROG_VC</t>
  </si>
  <si>
    <t>INSTALACION DE SISTEMA DE VIDEO CONFERENCIA EN INFRA ESTRUCTIRA ELECTRICA DISPONIBLE. INCLUYE CONEXIÓN DE EQUIPOS, PRUEBA DE FUNCIONAMIENTO Y ACTUALIZACION DE FIRMWARE. NO INCLUYE SUMINISTRO DE ACCESORIOS O EQUIPOS.</t>
  </si>
  <si>
    <t>K_VISITA_LT</t>
  </si>
  <si>
    <t>VISITA DE LEVANTAMIENTO TECNICO DE INFORACION PARA PRESUPUESTO.</t>
  </si>
  <si>
    <t>ORIZZONTALE_S2</t>
  </si>
  <si>
    <t>LUMINARIA DE CORATIVA PLOS CON DRIVER DALI. SEGÚN FICHA TECNICA</t>
  </si>
  <si>
    <t>ES10</t>
  </si>
  <si>
    <t>ALTAVOZ SALITE DE SOBREPONER DE 100W.</t>
  </si>
  <si>
    <t>ALTECA</t>
  </si>
  <si>
    <t>TER_ALT</t>
  </si>
  <si>
    <t>TERMOSTATO WIFI CON PROGRAMACION HORARIA</t>
  </si>
  <si>
    <t>TL_1002</t>
  </si>
  <si>
    <t>TELON ELECTRICO FORMATO 16:9 DE 133", 2.95m x 1.66m. GANANCIA 1:1.</t>
  </si>
  <si>
    <t>KVG_24030_DWS</t>
  </si>
  <si>
    <t>FUENTE 24V 1.25 AMPERIOS, ATENUABLE POR FASE.</t>
  </si>
  <si>
    <t>KVG_24060_DWS</t>
  </si>
  <si>
    <t>FUENTE 24V 2.5 AMPERIOS, ATENUABLE POR FASE.</t>
  </si>
  <si>
    <t>AYH6355BT_1</t>
  </si>
  <si>
    <t>LECTOR D TARJETAS MIFARE NFC-ID Y BLUETOOTH BLE-ID Y TECLADO</t>
  </si>
  <si>
    <t>PX_23</t>
  </si>
  <si>
    <t>SWITCH PIZOELECTRICO DE APRETURA</t>
  </si>
  <si>
    <t>MPJ03</t>
  </si>
  <si>
    <t>PLACA DE MONTAJE PARA INTERRUPTOR PIZOELECTRICO</t>
  </si>
  <si>
    <t>AC215IPBU_1</t>
  </si>
  <si>
    <t>CONTROL P 2 LECTORAS INC GAB NEGRO Y FUENTE</t>
  </si>
  <si>
    <t>AXNGL1_1</t>
  </si>
  <si>
    <t>LICENCIA DE SOFTWA RE PARA CONTROLADORA DE ACCESO.</t>
  </si>
  <si>
    <t>K_CA_CUSTOM_WEB_600</t>
  </si>
  <si>
    <t>SISTEMA DE CONTROL DE ACCESO BASADO EN WEB, LICENCIAMIENTO MENSUAL HASTA 600 USUARIOS. ALOJAMIENTO EN SERVIDOR VIRTUAL. GESTION REMOTA.</t>
  </si>
  <si>
    <t>K_CAP_AC</t>
  </si>
  <si>
    <t>CAPACITACION Y ENTREGA DE SISTEMA DE CONTROL DE ACCESO. CONSISTENTE EN HASTA UNA HORA DE CAPACITACION, EN EL USO DEL SISTEMA, INSTALACION DE APLICACIÓN EN CELULARES Y ENTERGA DE MANUALES DE USO DIGITALES.</t>
  </si>
  <si>
    <t>K_MAN_POST</t>
  </si>
  <si>
    <t>SERVICIO DE POST VENTA. CONSISTE EN LA ATENCION DE INCONVENIENTES ASOCIADOS EN LA INSTALACION COMO PUEDEN SER: DESCONEXIONES, INCOVENIENTES DE FABRICA O CUALQUIER INCONVENIENTE ASOCIADO A PROBLEMAS DE INSTALACION O DESPERFECTOS DE FABRICA DE LOS EQUIPOS SUMINISTRADOS. LOS COSTOS DE EVENTOS NO ASOCIADOS A MAL FUNCIONAMIENTO COMO PUEDEN SER: REINSTALACION DE APLICACIONES POR CAMBIO DE EQUIPO MOVIL, CAMBIO DE EQUIPOS POR GOLPES, GOTERAS U OTRAS CIRCUSTANCIAS NO ASOCIADAS A DESPERFECTOS DE EQUIPOS NO ESTAN INCLUIDAS Y SERAN FACTURADAS POR APARTE.</t>
  </si>
  <si>
    <t>PC0.5M</t>
  </si>
  <si>
    <t>PATCH CORE CAT 6 DE 0.5M</t>
  </si>
  <si>
    <t>K_CON_SC</t>
  </si>
  <si>
    <t>ENTREGA DE INFORME CORRESPONDIENTE A SERVICIO DE CONSULTORIA.</t>
  </si>
  <si>
    <t>V65P</t>
  </si>
  <si>
    <t>PARLANTE PENDANT 70V</t>
  </si>
  <si>
    <t>ALT_70V_50</t>
  </si>
  <si>
    <t>REGULADOR DE POTENCIA PARA PARLANTES</t>
  </si>
  <si>
    <t>BOYA</t>
  </si>
  <si>
    <t>BY_GM18CB</t>
  </si>
  <si>
    <t>MICROFONO CARDIOIDE CUELLO DE GANZO CON BATERIA Y CONEXIÓN XLR</t>
  </si>
  <si>
    <t>https://www.amazon.com/-/es/condensador-escritorio-micr%C3%B3fonos-videoconferencias-conferencias/dp/B09PNKWMQP/ref=sr_1_5?__mk_es_US=%C3%85M%C3%85%C5%BD%C3%95%C3%91&amp;crid=19UIS37M4XTYY&amp;dib=eyJ2IjoiMSJ9._pIj8z8K8DBxyMqWDWmMsfcZfI80AXay9rHlzA5KUh66UB7ddoHIg8wKPhf4fuFQSSVdVYvnLetxo69X1f9ki9xftx1gru1RPHQCDJrHPnZ4-RodXH4nO8WqXtspTxrrO0PdDmAX4kBO_W6EvZBJq4UV3Lw4sft8qdpxlxgQ-kT3RqtAN0LiIlfkB_IqecKEMphxKxHwRYxh6Tp8dRhC3HTblvwG75nRgP4vru_6mTkOJU5HgMIYHedy5NaSPJIWgBcqjlWPwKvIxNKlzhUlqKeIcmvZdMO6tOP9LOXYSKs.hLjsQS6fYAYe8IvgAqmffXUJ370LCisZojHfy75yG3s&amp;dib_tag=se&amp;keywords=microfono+cuello+ganzo&amp;qid=1727105104&amp;sprefix=microfono+cuello+ganzo%2Caps%2C174&amp;sr=8-5</t>
  </si>
  <si>
    <t>AES</t>
  </si>
  <si>
    <t>XLR1X3</t>
  </si>
  <si>
    <t>SPLITER DE 1X3 PARA CONECTORES XLR</t>
  </si>
  <si>
    <t>https://www.amazon.com/m%C3%BAltiple-Extensor-Ethernet-escenario-grabaci%C3%B3n/dp/B0D2CMJNY3/ref=sr_1_4_sspa?__mk_es_US=%C3%85M%C3%85%C5%BD%C3%95%C3%91&amp;crid=3W365EFEVQPCT&amp;dib=eyJ2IjoiMSJ9.wpN_gONKF52RCNrC4wO522RdtkRuXV14W3_X1s3GOpkDh6Yy4yYlNU7eCIb8Wm-uUSy9zYzpnFTifuMB_R39SwOpC2nSIMGZpg-FTT6rJKj4EwlgQfuqUR7owQVvUXVMzVpBxEEARuhqKvmaJ9epEtumjOLxaaF4AyKYNf7kaRJwoL6t7LYX5sj06zDw_BriacFYAykaKvKVrSc5PYR9c5dasqj1fbWYPEf-O4z6tiYTaDxGxAyCMgIxopbsqYatqnJaCAO5hW-G7ooNFAlDRXe_7UtBvnGg03MXz2Ttuh0.mLEZ_3nvoUfmnhRnnSnsPiUV4fjpATXCG1kK5QiF_jc&amp;dib_tag=se&amp;keywords=splitter%2Bxlr%2B1x3&amp;qid=1727111799&amp;sprefix=splitter%2Bxlr%2B1x3%2Caps%2C216&amp;sr=8-4-spons&amp;sp_csd=d2lkZ2V0TmFtZT1zcF9hdGY&amp;th=1</t>
  </si>
  <si>
    <t>KEDEGA</t>
  </si>
  <si>
    <t>KM58</t>
  </si>
  <si>
    <t>MICROFONO DE CABLE CON SALIDA RCA</t>
  </si>
  <si>
    <t>https://www.amazon.com/KM58-Micr%C3%B3fono-micr%C3%B3fono-desmontable-interruptor/dp/B0D4DSND7D/ref=sr_1_14_sspa?__mk_es_US=%C3%85M%C3%85%C5%BD%C3%95%C3%91&amp;crid=2RC7BBYE6DBYW&amp;dib=eyJ2IjoiMSJ9.iAylqnq5WmDipKWRbjmVznYlAeFFk2XvuBLwSkOPizSYnU2xdul9ER8Fwtvy_RwGExovLKHI-5hW0cMA9o2-CdNa9LeY0tL_XMJqqyxiRYuClJyAWjmZESzo-ySLEFWTncQZeJ_RWN30EIk8yMTDNcSKoPppKtc0dbbrv58OckPSCCyVQ1AjSAHMLCnCgIkunP26ZHJT2rL6OzLkg3PcbsHA2aE2Xqfn0DrIbOPT8A148Si1GXCpHT9I3W8zjhbOYt8c_aouCZlmw-41oJsjgoTJxM5twhHYMnxrKxbZZ3U.LaegLjg2M9GP3E__OA8n2kPkqdAB8vBD8j8oEJzOo_w&amp;dib_tag=se&amp;keywords=microfono+con+salida+RCA&amp;qid=1727114506&amp;sprefix=microfono+con+salida+rc%2Caps%2C186&amp;sr=8-14-spons&amp;sp_csd=d2lkZ2V0TmFtZT1zcF9tdGY&amp;psc=1</t>
  </si>
  <si>
    <t>P27900_33</t>
  </si>
  <si>
    <t>TUBO LED EN VIDRIO DE 6500K, 18W</t>
  </si>
  <si>
    <t>ABLOY</t>
  </si>
  <si>
    <t>DC840_010000</t>
  </si>
  <si>
    <t>MECANISMO DE CIERRE AUTOMATICO DE EMBUTIR.</t>
  </si>
  <si>
    <t>DC893_100500</t>
  </si>
  <si>
    <t>BRAZO GUIA PARA MECANISMO DE CIERRE AUTOMATICO.</t>
  </si>
  <si>
    <t>ACCURATE</t>
  </si>
  <si>
    <t>M9134ELR_2_34</t>
  </si>
  <si>
    <t>Lock with Electrified latch retraction and deadbolt (light deadbolt spring) x DM deadbolt monitor x 11" FACEPLATE (for wood door)</t>
  </si>
  <si>
    <t>C7205_KD</t>
  </si>
  <si>
    <t>1 1/4" Long, SCHLAGE C Keyway, KEYED DIFFERENT</t>
  </si>
  <si>
    <t>SHIPPING_AND_HANDING</t>
  </si>
  <si>
    <t>ENVIO Y MANEJO DE EQUIPOS ASOCIADOS A ESTA PROPUESTA</t>
  </si>
  <si>
    <t>ASSA</t>
  </si>
  <si>
    <t>EL580_000011</t>
  </si>
  <si>
    <t>Solenoid lock 50mm Split spindle</t>
  </si>
  <si>
    <t>CY037T_118005</t>
  </si>
  <si>
    <t>Cylinder Cr kd</t>
  </si>
  <si>
    <t>DH006_191308100</t>
  </si>
  <si>
    <t>POLAR 6/008 Zn Cr 41-60 DIY handle</t>
  </si>
  <si>
    <t>EA280_100000</t>
  </si>
  <si>
    <t>Lead cover</t>
  </si>
  <si>
    <t>EA218_000000</t>
  </si>
  <si>
    <t>Cable 6 m EL420-EL560</t>
  </si>
  <si>
    <t>4614_100000</t>
  </si>
  <si>
    <t>Striker plate 4614 Cr, inc. Screws</t>
  </si>
  <si>
    <t>CFC</t>
  </si>
  <si>
    <t>COMISION DE TRANSACCION FINANCIERA PARA TERCEROS.</t>
  </si>
  <si>
    <t>CA_UAM_UAF_25</t>
  </si>
  <si>
    <t>CABLE PASIVO EXTENDER DE 25 PIES</t>
  </si>
  <si>
    <t>LUT_MCL</t>
  </si>
  <si>
    <t>DISPOSITIVO CAPACITIVO PARA REDUCCION DE FLICK</t>
  </si>
  <si>
    <t>56572E</t>
  </si>
  <si>
    <t>PULSADOR INTERRUPTOR DE COLOR NEGRO</t>
  </si>
  <si>
    <t>EPCOM</t>
  </si>
  <si>
    <t>EPU2000RTOL2U</t>
  </si>
  <si>
    <t>UPS ONLINE DE 2KVA, 6 SALIDAS REGUKADAS. 1800W</t>
  </si>
  <si>
    <t>VESTA</t>
  </si>
  <si>
    <t>78GFCIB</t>
  </si>
  <si>
    <t>TOMA CORRIENTE GFCI 20A</t>
  </si>
  <si>
    <t>PROLED1203000</t>
  </si>
  <si>
    <t>REGLETA LED A 110VAC DE 11W, 3000K.</t>
  </si>
  <si>
    <t>46FUN686540N</t>
  </si>
  <si>
    <t>TIMBRE SENCILLO EN COLOR NEGRO</t>
  </si>
  <si>
    <t>46GL040BK</t>
  </si>
  <si>
    <t>TIMBRE SUMBADOR DE 2 AMPERIOS</t>
  </si>
  <si>
    <t>LTT812020W</t>
  </si>
  <si>
    <t>LUMINARIA LINEAL DE 20W, 60CM.</t>
  </si>
  <si>
    <t>RK_D_MN</t>
  </si>
  <si>
    <t>KIT DE REEMPLAZO DE COLOR PARA DIMMER LUTRON</t>
  </si>
  <si>
    <t>RRD_8ANS_MN</t>
  </si>
  <si>
    <t>INTERRUPTOR CON OPERACIÓN INALÁMBRICA PARA SISTEMA RADIO RA2, CAPACIDAD DE CARGA HASTA DE 8 AMPERIOS. NEGRO MATE</t>
  </si>
  <si>
    <t>SH2</t>
  </si>
  <si>
    <t>AMPLIFICADOR WIRELESS CON SISTEMA HEOS Y POTENCIA DE 100W.</t>
  </si>
  <si>
    <t>HOME_250</t>
  </si>
  <si>
    <t>PARLANTE DE 250W PARA SOBREPONER, CON INTERFAZ DE STREAMING HEOS.</t>
  </si>
  <si>
    <t>7501B</t>
  </si>
  <si>
    <t>INTERRUPTOR DECORA TIPO PULSADOR</t>
  </si>
  <si>
    <t>L686540N</t>
  </si>
  <si>
    <t>INTERRUPTOR TIPO TIMBRE</t>
  </si>
  <si>
    <t>GL2_040BK</t>
  </si>
  <si>
    <t>TIMBRE ZUMBADOR LINEA GALICA</t>
  </si>
  <si>
    <t>P29353</t>
  </si>
  <si>
    <t>SENSOR DE PRESENCIA CON RELE INTEGRADO PARA CARGAS HASTA 5 AMPERIOS.</t>
  </si>
  <si>
    <t>LUMINARIA LED 4000K NO ATENUABLE, 12W, 1200Lm.</t>
  </si>
  <si>
    <t>CLEEFUN</t>
  </si>
  <si>
    <t>CL30USB3</t>
  </si>
  <si>
    <t>CABL USB TIPO C DE 30 PIES.</t>
  </si>
  <si>
    <t>https://www.amazon.com/-/es/CLEEFUN-extralargo-tel%C3%A9fono-tableta-trenzado/dp/B0CQM3WQWR/ref=sr_1_3?__mk_es_US=%C3%85M%C3%85%C5%BD%C3%95%C3%91&amp;crid=1HR9IOXDU5HHY&amp;dib=eyJ2IjoiMSJ9.l3PKljE3ngGKKrGyCU_aKinTEjbTZl2Rcb1cXEU59dJqcQWAlbzWLYFhS_CYARa_xkI-fKxrzD4u_eNrYcMJXruIuPdRxpNHEurjmxVvyIkr5PvE4dOLj0JxHHKI0UwXdd_7Khdv0eBT0Z_IDfvk7KzhRXDWshoAW8YnYxbUm_eVz__YiUhZZyAtyuyVK5Klao0OYjySt8xGl5K3KI2GlE-9VeP8xxQgrYFxi2HG2h1GYRQcabJZLsyMoxYbjZbUkFvWzSaEdSi7XiPpu5RC1UO6oC8zLYE3gUy1Ymq3gzg.SvW2w_zmqQoWt8MvuIVz29JTJV69kELjsWwAHIEmn-U&amp;dib_tag=se&amp;keywords=Kuject%2Busb%2B30ft&amp;qid=1729267862&amp;s=electronics&amp;sprefix=kuject%2Busb%2B30ft%2Celectronics%2C153&amp;sr=1-3&amp;th=1</t>
  </si>
  <si>
    <t>T4047</t>
  </si>
  <si>
    <t>TABLERO ELECTRICO 4 CIRCUITOS</t>
  </si>
  <si>
    <t>SC_BI_MN</t>
  </si>
  <si>
    <t>TAPA CIEGA MUDULAR NEGRO MATE</t>
  </si>
  <si>
    <t>MSCL_OP153M_MN</t>
  </si>
  <si>
    <t>SENSOR DIMMER PARA CARLAS LED EN COLOR NEGRO MATE.</t>
  </si>
  <si>
    <t>TAPA DECORATIVA EN COLOR TRUFFLE MATE.</t>
  </si>
  <si>
    <t>DM2C_LP</t>
  </si>
  <si>
    <t>PARLANTES DE 9W PARA LINEA DE 70V</t>
  </si>
  <si>
    <t>PVC_U1</t>
  </si>
  <si>
    <t>UNION PVC DE UNA PULGADA</t>
  </si>
  <si>
    <t>DXN501DG</t>
  </si>
  <si>
    <t>CAJA HERMETICAPLASTICA DE 18X15CM</t>
  </si>
  <si>
    <t>TBRM_8BO</t>
  </si>
  <si>
    <t>TABLERO ELECTRICO BIFASICO DE 8 CIRCUITOS ENCHUFABLES</t>
  </si>
  <si>
    <t>DSE2070</t>
  </si>
  <si>
    <t>BREAKER DOBLE ENCHUFABLE DE 2X70A</t>
  </si>
  <si>
    <t>CHIN</t>
  </si>
  <si>
    <t>NC1_25.10</t>
  </si>
  <si>
    <t>CONTACTOR DE 25A CON BOBINA DE 220</t>
  </si>
  <si>
    <t>SLSUN80</t>
  </si>
  <si>
    <t>LUMINARIA SOLAR DE 80W, TEMPERATURA 6500K, AUTONOMIA ESTIMADA DE 10-12 HORAS. VIDA UTIL ESTIMADA DE 25.000 HORAS.</t>
  </si>
  <si>
    <t>PA7M</t>
  </si>
  <si>
    <t>POSTE DE ACERO CON 7 METROS DE ALTURA Y BASE, PINTADO CON PINTURA ELECTROSTATICA. DIAMETRO DE 5CM.</t>
  </si>
  <si>
    <t>P29952_36</t>
  </si>
  <si>
    <t>LED SOLAR INTEGRADO DE 60W, 4000K, GARANTIA DE 5 AÑOS.</t>
  </si>
  <si>
    <t>CR20W</t>
  </si>
  <si>
    <t>TOMA CORRIENTE 20A CN PATA CRUZADA</t>
  </si>
  <si>
    <t>13T35</t>
  </si>
  <si>
    <t>TOMA TRIFASICA DE PARED</t>
  </si>
  <si>
    <t>CH12220</t>
  </si>
  <si>
    <t>CONTACTOR DE 12 AMPERIOS CON BOBINA DE 220.</t>
  </si>
  <si>
    <t>BTF</t>
  </si>
  <si>
    <t>BTFIP653000</t>
  </si>
  <si>
    <t>ROLLO DE 5 METROS DE CINTA IP 65. 3000K. 24VDC</t>
  </si>
  <si>
    <t>https://www.amazon.com/BTF-LIGHTING-Flexible-Density-Dimmable-Controller/dp/B0D9Q57CZS/ref=sr_1_2_sspa?crid=3VXTTJWEN2GAK&amp;dib=eyJ2IjoiMSJ9.dwVfQCUOBkW7qaH8GSRVgb9V2lkk9iRZf3a0uV06jBy59qkL76JO0QvvLxg-JmdK_gR_yG8Gg71IpDRwSBYVmjtbPZyXWyw0y57kpvuyz6SsbHrJO2nT2cEtfU8tdWmHeIbOALwS3IYzNfO8sUC3nSRcwQGmxC6sPgCnYVXSzuNm0_q9Cnb76_fUaJTFmeKlB3BkvpCAGirUAN0MNCnfsbAz-iuat6TScHY41fpsz5rjPqHPEJ2uaS4r9Cn9THmJSmBwvk7bQvr4eUDOp8glfQ5ASgQaIoaShOdYgpZbwcs.T_AvQjHJjw054b8hodCWsjX_ioVNV1SsieQQ147Zs18&amp;dib_tag=se&amp;keywords=led%2Bstrip%2Bip65&amp;qid=1730686827&amp;refinements=p_72%3A1248909011&amp;rnid=1248907011&amp;s=hi&amp;sprefix=led%2Bstrip%2Bip65%2Caps%2C470&amp;sr=1-2-spons&amp;sp_csd=d2lkZ2V0TmFtZT1zcF9hdGY&amp;th=1</t>
  </si>
  <si>
    <t>L71_6022_60_60</t>
  </si>
  <si>
    <t>ACCESORIO DISCO PARA LUMINARIA CANDLE.</t>
  </si>
  <si>
    <t>L00_6017_60_60</t>
  </si>
  <si>
    <t>LUMINARIA CABLE DE 4.1W, 2700K</t>
  </si>
  <si>
    <t>60YDR1066MVB</t>
  </si>
  <si>
    <t>CARCASA EN ALUMINIO PARA LUMINARIA DIRECCIONAL GU10</t>
  </si>
  <si>
    <t>ECOBP15W</t>
  </si>
  <si>
    <t>LUMINARIA HERMETICA PARA PISO EXTERIOR, CHIP ON BOARD 15W, 1350Lm.</t>
  </si>
  <si>
    <t>RRD_6ND_MN</t>
  </si>
  <si>
    <t>DIMMER DE 150 WATIOS CON CARGA Y NEUTRO. COLOR NEGRO MATE.</t>
  </si>
  <si>
    <t>RK_S_MN</t>
  </si>
  <si>
    <t>KIT PLASTICO PARA CAMBIO DE COLOR DE INTERRUPTOR MAESTRO A COLOR NEGRO MATE.</t>
  </si>
  <si>
    <t>PJ2_4B_GWH_L41</t>
  </si>
  <si>
    <t>TECLADO PICO CON 4 BOTONES DE ESCENAS. TOGGLE.</t>
  </si>
  <si>
    <t>QSN2_4T16_S</t>
  </si>
  <si>
    <t>QSN2_4S20_S</t>
  </si>
  <si>
    <t>V1616NH</t>
  </si>
  <si>
    <t>METRO DE PERFIL ALUMINIO ESQUINERO CON DIFUSOR HUMO.</t>
  </si>
  <si>
    <t>https://www.fervicom.com/producto/v1616nh-perfil-de-aluminio-negro-difusor-humo/</t>
  </si>
  <si>
    <t>V151018_11</t>
  </si>
  <si>
    <t>LUMINARIA DECORATIVA, LINEA FLAMINGO, COLOR GRANITO. 2700K, CONTROL POR DALI.</t>
  </si>
  <si>
    <t>V233003_21</t>
  </si>
  <si>
    <t>LUMINARIA DECORATIVA 3000K, CONTROL DALI</t>
  </si>
  <si>
    <t>PD_15OUT_BL</t>
  </si>
  <si>
    <t>SWITCH GIGA GESTIONABLE DE 5 PUERTOS</t>
  </si>
  <si>
    <t>SN_243</t>
  </si>
  <si>
    <t>43324_LI</t>
  </si>
  <si>
    <t>HUB DE USB DE 4 PUERTOS ACTIVO</t>
  </si>
  <si>
    <t>K_DIS_TANGARA</t>
  </si>
  <si>
    <t>DISENOS ELECTRICOS CORRESPONDIENTES A TRES TIPOLOGIAS DE CASAS, DISENO ELECTRICO DE EDIFICIO ADMINISTRATIVO, COMUNAL Y URBANISMO. ENTREGA DE DOCUMENTACION Y TRAMITES ANTE CODENSA.</t>
  </si>
  <si>
    <t>HQWD_W6BRL_WH</t>
  </si>
  <si>
    <t>TECLADO HIBRIDO DE 6 BOTONES DE COLOR BLENCO. CON BOTONES DE SUBIDA Y BAJADA. LÍNEA SEETOUCH.</t>
  </si>
  <si>
    <t>K_FIX_PRO</t>
  </si>
  <si>
    <t>ARREGLO DE PROYECTOR SEGÚN INFORME TECNICO</t>
  </si>
  <si>
    <t>AT_OME_EXWP_KIT_LT</t>
  </si>
  <si>
    <t>KIT EXTENDER DE VIDEO Y USB POR UTP. HD BaseT.</t>
  </si>
  <si>
    <t>TP_580T</t>
  </si>
  <si>
    <t>TRANSMISOR HDMI, CON SISTEMA HDBaseT</t>
  </si>
  <si>
    <t>TP_580R</t>
  </si>
  <si>
    <t>RECEPTOR HDMI, CON SISTEMA HDBaseT</t>
  </si>
  <si>
    <t>PS_718B</t>
  </si>
  <si>
    <t>EXTENDER DE VIDEO CON PLACA SENCILLA</t>
  </si>
  <si>
    <t>AVR_S670H</t>
  </si>
  <si>
    <t>PROCESADOR DE AUDIO Y VIDEO DE 8K, 75W POR CANAL, 6 ENTRADAS HDMI.</t>
  </si>
  <si>
    <t>&lt;</t>
  </si>
  <si>
    <t>5B65MK2</t>
  </si>
  <si>
    <t>ATAVOCES DE HASTA 150W, PARA EXTERIOR RESPUESTA EN FRECUENCIA DE : 64 Hz - 20 kHz.</t>
  </si>
  <si>
    <t>PX2201UL</t>
  </si>
  <si>
    <t>CONEXIÓN HDMI, HDBaseT, VGA. CHIP DLP Y LAMPARA LASER.</t>
  </si>
  <si>
    <t>RUMAT</t>
  </si>
  <si>
    <t>GMIRROR_T2</t>
  </si>
  <si>
    <t>SUMINISTRO E INSTALACION DE ESPEJO DE 4MM PULIDO BRILLADO FLOTANTE O PEGADO A LA PARED, MEDIDA APROXIMADA DE 1.05X2.40.</t>
  </si>
  <si>
    <t>RAYZEEK</t>
  </si>
  <si>
    <t>RZO5O</t>
  </si>
  <si>
    <t>SENSOR DE PRESENCIA CON EMISOR INFRA ROJO, PARA CONTROL INDIVIDUAL DE AIRE ACONDICIONADO.</t>
  </si>
  <si>
    <t>FTV3GEN</t>
  </si>
  <si>
    <t>FIRE TV FULL HD DE 3 GENERACION.</t>
  </si>
  <si>
    <t>DTA_PRO</t>
  </si>
  <si>
    <t>AMPLIFICADOR PARA PARLANTES DE 4 OHM 100W REALES, ENTRADA AUXILIAR, OPTICA Y BLUETOOTH.</t>
  </si>
  <si>
    <t>RPOL</t>
  </si>
  <si>
    <t>METRO DE REATA DE POLIESTER DE 3.8M DE ANCHO</t>
  </si>
  <si>
    <t>https://articulo.mercadolibre.com.co/MCO-596295617-reata-poliester-rollo-50-metros-x-38cms-_JM?variation=69444547782#reco_item_pos=0&amp;reco_backend=same-seller-rola-odin&amp;reco_backend_type=low_level&amp;reco_client=vip-seller_items-above&amp;reco_id=e3c50194-2b5f-43ea-a0c0-52ad60a1fdfd&amp;reco_model=machinalis-sellers-baseline</t>
  </si>
  <si>
    <t>ZQYCM</t>
  </si>
  <si>
    <t>R8010</t>
  </si>
  <si>
    <t>RODILLO INDUSTRIAL DE 80Cm, 10Kg DE CAPACIDAD DE CARGA</t>
  </si>
  <si>
    <t>https://www.amazon.com/-/es/rodillos-transportadores-potencia-comercial-inoxidable/dp/B0D9SCL1FN?th=1</t>
  </si>
  <si>
    <t>R300S</t>
  </si>
  <si>
    <t>MOTOR PASO DE PRECISIÓN</t>
  </si>
  <si>
    <t>FACMOGU</t>
  </si>
  <si>
    <t>F365V</t>
  </si>
  <si>
    <t>FUENTE DE ALIMENTACION DE 180W, 36VDC, 5 AMPERIOS.</t>
  </si>
  <si>
    <t>RF150</t>
  </si>
  <si>
    <t>PANTALLA DE PROYECCION FRONTAL Y POSTERIOR DE 150" EN FORMATO 16:9 MPTORIZADA</t>
  </si>
  <si>
    <t>PIVI</t>
  </si>
  <si>
    <t>P51</t>
  </si>
  <si>
    <t>VERTEBRA ORGANIZADORA DE CABLE DE 51"</t>
  </si>
  <si>
    <t>https://www.amazon.com/-/es/Quality-Clever-PivyCord-Vez-escritorios-organizar/dp/B0CSF1M3ZP/ref=sr_1_6?crid=3CFCZA05W3W6X&amp;dib=eyJ2IjoiMSJ9.bfFhjUJVOyazHKD78FlZ70mQDf7mTpVaRQ6ExarPrErYrXodYj9Kfy-NJqk7ctVbRYo78SUcIDo0ii7mIWnRQgyWEk6GBJsJm3Wt6GJ7jKlm42nEwrkEweYkIFmCj4x7zu2KTWF1G9LwMVCdiyXCPdkQ-MS6Tnbdt5GOlQI-9wSX1TTN05zl5J477wJ2R3V80bGDexPS_Hr_Jsx8uBjRzUgGeoXZrpnD2fvtpaqzjwU.r2C2m-iH5dxNj8adr6bfbf0_nvywH82fsn3MzTa7hqI&amp;dib_tag=se&amp;keywords=vertebrae%2Bcable%2Bmanagement&amp;qid=1732768765&amp;sprefix=vertebra%2Caps%2C209&amp;sr=8-6&amp;th=1</t>
  </si>
  <si>
    <t>D250LS</t>
  </si>
  <si>
    <t>AMPLIFICADOR ESTEREO DE 250W</t>
  </si>
  <si>
    <t>APA150</t>
  </si>
  <si>
    <t>AMPLIFICADOR ESTEREO DE 150W</t>
  </si>
  <si>
    <t>CUBILUX</t>
  </si>
  <si>
    <t>AS_R1</t>
  </si>
  <si>
    <t>DIVISOR 1 A 4 DE FUENTE DE AUDIO ANALOGA</t>
  </si>
  <si>
    <t>https://www.amazon.com/-/es/Cubilux-AS-R1-divisora-aleaci%C3%B3n-aluminio/dp/B0C5X21F3K/ref=sr_1_4?__mk_es_US=%C3%85M%C3%85%C5%BD%C3%95%C3%91&amp;crid=1YLZX1GXBEVDC&amp;dib=eyJ2IjoiMSJ9.WPYM9hG03wedii3iexAxpbcwtUUhPAzXCcX8pIsQHJwKxoBoUga9fTDIlWgKyJg72328pFShlUhtdKBvV6b3hlLIAQyf53O7peuhmUXMe-_gnnYAdCLYfpDS2YqhRDSWohu2zxawp3oQ5AnVuQyw16zDPbBIX2-9c7ucqGfeZbRFjYcd3CmupprzD7HRPHZne73AFAzqafoQ9a0lMUEnpKeAa1ZpOCztW4Kdui4xcoE.n-WDcZ121mOYX-ASM7Jqz7wu2b_v6NtmAnyjw1lpAyw&amp;dib_tag=se&amp;keywords=splitter+rca+audio&amp;qid=1732798259&amp;sprefix=splitter+rca+au%2Caps%2C1421&amp;sr=8-4</t>
  </si>
  <si>
    <t>DTA_2.1</t>
  </si>
  <si>
    <t>AMPLIFICADO ESTEREO DE 100W</t>
  </si>
  <si>
    <t>S32XA</t>
  </si>
  <si>
    <t>SWITCH DE VIDEO DE 3 ENTRADAS CON EXTRACTOR DE AUDIO</t>
  </si>
  <si>
    <t>XVR5216AN_I3</t>
  </si>
  <si>
    <t>XVR DE 16 CANALES CON IA, 8 CANALES IP Y 8 ANALOGOS.</t>
  </si>
  <si>
    <t>DH_HAC_HDW1509TN_IL_A_0280B_S2</t>
  </si>
  <si>
    <t>CAMARA 4 EN 1 TIPO DOMO SEMIMETALICA FULLCOLOR 5MP@25FPS LENTE 2,8MM MIC FOV 112° WDR LED 20M IP67</t>
  </si>
  <si>
    <t>DH_HAC_HDW1509TLQN_A_LED_0280B_S2</t>
  </si>
  <si>
    <t>CAMARA 4 EN 1 TIPO DOMO TORRETA SMART DUAL LIGTH 5MP@25FPS AUDIO LENS 2.8MM FOV 110°WDR LED 40M IP67</t>
  </si>
  <si>
    <t>WD85PURZ</t>
  </si>
  <si>
    <t>DISCO DURO DE 8T PARA APLICACIONES DE VIDEO VIGILANCIA</t>
  </si>
  <si>
    <t>V22V</t>
  </si>
  <si>
    <t>MONITOR DE 21"</t>
  </si>
  <si>
    <t>https://www.alkosto.com/monitor-hp-214-pulgadas-v22v-g5-plano-fhd-negro/p/196548193295?algEvent=eyJvYmplY3RJZCI6IjE5NjU0ODE5MzI5NSIsImluZGV4IjoiYWxrb3N0b0luZGV4QWxnb2xpYVBSRF9wcmljZV9hc2MiLCJhY3Rpb24iOiJ2aWV3IiwicXVlcnlJRCI6IjRkM2QxMjYxZTU4OWU0YTY2NWNjYzI5ODI5ZmQ1NWFkIn0=</t>
  </si>
  <si>
    <t>TL_198</t>
  </si>
  <si>
    <t>TELON ELECTRICO Dimensiones: 3,98 x 2,24 mtrs / 156'' x 88'' Pulgadas / 180".</t>
  </si>
  <si>
    <t>SFTP_550</t>
  </si>
  <si>
    <t>PATCH CORE CAT6 DE 40 METROS DE LARGO</t>
  </si>
  <si>
    <t>B01MDORZJN</t>
  </si>
  <si>
    <t>SOPORTE DE PARED UNIVERSAL PARA PROYECTOR</t>
  </si>
  <si>
    <t>https://www.amazon.com/Viri-Soporte-pared-proyector-extensi%C3%B3n/dp/B01MDORZJN/ref=sr_1_2_sspa?__mk_es_US=%C3%85M%C3%85%C5%BD%C3%95%C3%91&amp;crid=3NIZTMD1CD0V&amp;dib=eyJ2IjoiMSJ9.nAPJ8yQTr6LE3wBXYlKieWNza7wU2zeSpDgcWzpCiTIwBswUnGQcO6AZQlWybHiGQMfEznUUGEMawSYFcNgPxqAH0uGoqRp2MBx0wLGzAFVSTn4LBA4PrZ60pIuMDV9EpuMOEcVwosXZEETK_zViSY-BE-c7n51ndDla4hz4c5y9-f6I8i69Da9qK__7iP6YGpD1JUbQEv7pTTzsdZgf5s1BJS3aRaEDu7kZhmxS0skvDC-LfMFF70AKGK6CSu7WIpbBD1amPtmcKHZOzkuhS3ZXTZFVUCiQD_yomcJy3S8.auKck88TT8G6ehYtaCM01pmxcFbrwg2YOJws-_y8ZHA&amp;dib_tag=se&amp;keywords=soporte+proyector+pared&amp;qid=1733112883&amp;s=electronics&amp;sprefix=soporte+proyector+pare%2Celectronics%2C192&amp;sr=1-2-spons&amp;sp_csd=d2lkZ2V0TmFtZT1zcF9hdGY&amp;psc=1</t>
  </si>
  <si>
    <t>NAVI1</t>
  </si>
  <si>
    <t>LUMINARIA OPALIZADA DESCOLGADA</t>
  </si>
  <si>
    <t>IPC_S3EN_3M0WE_0280B_IMOU</t>
  </si>
  <si>
    <t>CAMARA IP WIRELESS DE 3MP</t>
  </si>
  <si>
    <t>40DLFCLED1282V40N</t>
  </si>
  <si>
    <t>DLGUALC</t>
  </si>
  <si>
    <t>CILINDRO DE SOBREPONER PARA GU10</t>
  </si>
  <si>
    <t>ECO300SLSQ24</t>
  </si>
  <si>
    <t>PANEL LED DE 24W, 4000K</t>
  </si>
  <si>
    <t>S_1000_WH</t>
  </si>
  <si>
    <t>DIMMER DE LINEA SKYDANCE, 1000W.</t>
  </si>
  <si>
    <t>SS_MON</t>
  </si>
  <si>
    <t>MONTICULO PARA CAMARA TIPO DOMO O BALA</t>
  </si>
  <si>
    <t>CH32A220</t>
  </si>
  <si>
    <t>CONTACTOR DE 32A A 220VAC</t>
  </si>
  <si>
    <t>TENSO_0.71_2.02</t>
  </si>
  <si>
    <t>TENSOFLEX DE 0.72M X 20.0M, INCLUYE ANCLAJES Y PERFILERIA</t>
  </si>
  <si>
    <t>K_INST_TENSO</t>
  </si>
  <si>
    <t>INSTALACION DE TENSOFLEX</t>
  </si>
  <si>
    <t>2245U</t>
  </si>
  <si>
    <t>LAMPARA EPSON PARA PROYECTOR</t>
  </si>
  <si>
    <t>7YSNLED005MV30B</t>
  </si>
  <si>
    <t>LUMINARIA DE RIEL TIPO SPOT. 3000K, 7W,</t>
  </si>
  <si>
    <t>K_PINTURA_M2</t>
  </si>
  <si>
    <t>MANO DE OBRA DE PINTURA POR METRO CUADRADO, INCLUYE RESANE DE AREA Y ALISTAMIENTO.</t>
  </si>
  <si>
    <t>AC_825IP</t>
  </si>
  <si>
    <t>CONTROLADORA PARA CUATRO PUNTOS DE ACCESO</t>
  </si>
  <si>
    <t>REPETIDORA DE FERUENCIA PARA SISTEMA RADIO RA SELECT</t>
  </si>
  <si>
    <t>22YSNLED019MV30N</t>
  </si>
  <si>
    <t>SPOT DIRECCIONAL 22W, 3000K ÑED INTEGRADO</t>
  </si>
  <si>
    <t>ROKUHD</t>
  </si>
  <si>
    <t>STREAMING DE VIDEO EN HIGH DEFINITION, PARA DIVERSAS PLATAFORMAS.</t>
  </si>
  <si>
    <t>GF_2199</t>
  </si>
  <si>
    <t>GABINETE CERRADO DE 28U.</t>
  </si>
  <si>
    <t>ES220GS</t>
  </si>
  <si>
    <t>SWITCH PoE ADMINISTRABLE DE 20 PUERTOS, CON TUNEL Y MONITOREO REMOTO</t>
  </si>
  <si>
    <t>T56</t>
  </si>
  <si>
    <t>TELEFONO CON MANEJO DE EXTENSION Y ALTAVOZ</t>
  </si>
  <si>
    <t>HT_IP_4X4</t>
  </si>
  <si>
    <t>MODULO DE 4 RELE CONTROLADO POR IP</t>
  </si>
  <si>
    <t>XMP_8550</t>
  </si>
  <si>
    <t>REPRODUCTOR 4K DE DIGITAL SIGNAGE CON PROCESADOR CORE4</t>
  </si>
  <si>
    <t>D1675</t>
  </si>
  <si>
    <t>AMPLIFICADOR TIPO DE DE 16 CANALES, 9 ZONAS A 75W</t>
  </si>
  <si>
    <t>CONTROLADOR DE ACCESO PARA DOS PUERTAS CON CONECTIVIDAD IP</t>
  </si>
  <si>
    <t>NUIMN_7269</t>
  </si>
  <si>
    <t>UPS INTERACTIVA DE 750VA</t>
  </si>
  <si>
    <t>HDMI_05M</t>
  </si>
  <si>
    <t>CABLE HDMI DE 50CM 4K</t>
  </si>
  <si>
    <t>RGRAP1200</t>
  </si>
  <si>
    <t>ACCESS POINT GIGA DE PARED CON 4 PUERTOS ETHERNET</t>
  </si>
  <si>
    <t>DH_IPC_HDW1431T1P_A</t>
  </si>
  <si>
    <t>CAMARA IP DOMO SEMIMETALICO 1/3 CMOS 4MP@30FPS LENTE 2.8MM
FOV 101° WDR 120DB IR 30M H.265+ IP67 MIC</t>
  </si>
  <si>
    <t>LPS</t>
  </si>
  <si>
    <t>LPSUTPCAT5EBC</t>
  </si>
  <si>
    <t>CABLE UTP CAT 5, COBRE COBRE, ROLLO POR 305M.</t>
  </si>
  <si>
    <t>1202SFX</t>
  </si>
  <si>
    <t>MEZCLADOR DE TRANSMISION ANALOGA DE 12 CANALES</t>
  </si>
  <si>
    <t>https://www.amazon.com/-/es/Behringer-1202SFX-Mezclador-transmisi%C3%B3n-anal%C3%B3gica/dp/B0CBX1JGB1/ref=sr_1_35?__mk_es_US=%C3%85M%C3%85%C5%BD%C3%95%C3%91&amp;crid=3UFULFJOQ01OU&amp;dib=eyJ2IjoiMSJ9.-0cRXW29-yTfJteDgppvzbvX0MsH2XaOd-rINrD_ra_aLylvx0LVTi0E3veVYTY0x0V07wRGnprPOxmhxdO0h4uFZbHhlG0aELwOBhQ-ZGQ7V5JDj2ze53UgS6zPck1MFHbi-sB1aIKIAbPxaDtdn3m1LxPMNlRoCUu5LcZIhOyAzeDd-eoS2B1VxA5zwr5g02L1EaoFLwJovDhjCnUfBPQKvSx8CiITmBnkVRtp2qtiUVSdcaWD3rbPmTBmW5FnPU8cbUV36WHU8AuSYPdwYoKnmAD7k4C9H_FL0JRSu0YpqvklTCf837rrvwuEe8F6wM6gYP2YUUvl7yZBO68ETOu5sblNU2uoJhkzDOryvEgNM4daYj5DdTyEPV_kJoZSPW6HRI2xze-2fN0Zfwk4VIl53ExQWGU_c2XZKYW0D_QXVwoQZaRppyPPa-f_knqL.QDTx29K9u__WlCvVMZcqqThD0dIMXWpKdR8ByUYsG8A&amp;dib_tag=se&amp;keywords=audio+mixer+with+analog+and+usb&amp;qid=1735912784&amp;sprefix=audio+mixer+with+analog+and+%2Caps%2C443&amp;sr=8-35</t>
  </si>
  <si>
    <t>IARK</t>
  </si>
  <si>
    <t>HD3X1TA</t>
  </si>
  <si>
    <t>SELECTOR HDMI 3X1 CON EXTRACTOR DE AUDIO</t>
  </si>
  <si>
    <t>K_REP_CAM</t>
  </si>
  <si>
    <t>REPARACION DE CAMARA POR PARTE DE TECNICO CERTIFICADO</t>
  </si>
  <si>
    <t>US_Z7652LQRE EXP</t>
  </si>
  <si>
    <t>MLR MORTISE LK, LKD OUT ONLY,FS,LH EXP (US_Z7652LQRE EXP)</t>
  </si>
  <si>
    <t>BISAGRA_MCKINNEY</t>
  </si>
  <si>
    <t xml:space="preserve">BISAGRA MCKINNEY MOD. MK100 6 1/4'' EXP </t>
  </si>
  <si>
    <t>BISAGRA ELECTRICA</t>
  </si>
  <si>
    <t>BISAGRA ELECTRICA MOD. MK100 EXP</t>
  </si>
  <si>
    <t>DH_IPC_EB5541N_AS</t>
  </si>
  <si>
    <t>CAMARA 360 PoE DE 5 MP</t>
  </si>
  <si>
    <t>RP_4625</t>
  </si>
  <si>
    <t>RACK ABIERDO DE ENSAMBLE LIGERO, ALTURA DE 2.14M, 53CM DE ANCHO, 45U DE  ESPACIO UTIL,</t>
  </si>
  <si>
    <t>F24VDC2</t>
  </si>
  <si>
    <t>FUENTE DE PODER DE 24V, 2 AMPERIOS.</t>
  </si>
  <si>
    <t>F12VDC2</t>
  </si>
  <si>
    <t>FUENTE DE PODER DE 12V, 2 AMPERIOS.</t>
  </si>
  <si>
    <t>PC7M</t>
  </si>
  <si>
    <t>PATCH CORE DE 7 METROS CAT 6</t>
  </si>
  <si>
    <t>RGES220GSP</t>
  </si>
  <si>
    <t>SWITCH DE DATOS DE 16-PORT 10 100 1000 MBPS POE 2-PORT, GESTION REMOTA.
GIGABIT AND 2-PORT SFP CLOUD MANAGED
SWITCH 250W</t>
  </si>
  <si>
    <t>S1_L</t>
  </si>
  <si>
    <t>CONVERSOR PARA ATENUADORES0-10 A CORTE DE FASE, CAPACIDAD DE 200W.</t>
  </si>
  <si>
    <t>LRS_200_24</t>
  </si>
  <si>
    <t>FUENTE DE ALIMENTACION 24V, 200W.</t>
  </si>
  <si>
    <t>TECLADO PICO DE 4 BOTONES CON MARCACION DE ILUMINACION EN COLOR BLANCO</t>
  </si>
  <si>
    <t>PANEL PARA INSTALACION EN RIEL DIN</t>
  </si>
  <si>
    <t>ADB_1Y_UPG</t>
  </si>
  <si>
    <t>SOFTWARE DASHBOARD DE LUTRON PARA ATHENA</t>
  </si>
  <si>
    <t>EL404</t>
  </si>
  <si>
    <t>CERRADURA CON SOLENOIDE DE APERTURA ELECTRONICA O MECANICA</t>
  </si>
  <si>
    <t>AC_225IP_BU</t>
  </si>
  <si>
    <t>Access Controller for 2 Readers / Expandable to 2 Additional Readers / 30,000 Cards / Includes Cabinet and Power Supply</t>
  </si>
  <si>
    <t>MD_D02B</t>
  </si>
  <si>
    <t>Expansion module for Rosslare’s AC-225x-B, access control panels that provides a 2-reader interface, 4 supervised inputs with end-of-line (EOL) resistor protection, and 4 relay outputs (5 Amp Form-C
N.O./N.C.) to the panel</t>
  </si>
  <si>
    <t>AY_H6355BT</t>
  </si>
  <si>
    <t>reader CSN SMART™ series features support for four types of credentials – Rosslare BLE-ID™, Rosslare NFC-ID™, backlit PIN code, and 13.56 MHz RFID contactless UID. Featuring IP-65 (all weather potted) construction.</t>
  </si>
  <si>
    <t>ACC_1_P</t>
  </si>
  <si>
    <t>Plenum Access Control Composite Cable, per meter.</t>
  </si>
  <si>
    <t>Managed Gigabit PoE Switch with 5 Ports</t>
  </si>
  <si>
    <t>GMK</t>
  </si>
  <si>
    <t>LPDDR5</t>
  </si>
  <si>
    <t>GMKtec Mini PC G3 Plus, Intel Twin Lake N150 (Updated N100) 8 GB RAM 256 GB M.2 2280 SSD, Desktop Mini Computer Compatible with Windows 11 Pro/Dual HDMI/WiFi6/BT5.2</t>
  </si>
  <si>
    <t>QP6A0520AI</t>
  </si>
  <si>
    <t>Patch Core CAT6, 14Ft.</t>
  </si>
  <si>
    <t>BC850RNC</t>
  </si>
  <si>
    <t>850VA, 450W 120V Standby Cloud-Connected UPS with Remote Monitoring - 5 NEMA 5-15R Outlets (Surge + Battery Backup), 5-15P Plug, Desktop</t>
  </si>
  <si>
    <t>EL560_100160</t>
  </si>
  <si>
    <t>Solenoid lock 60/24 mm (4) PZ</t>
  </si>
  <si>
    <t>EA324_000000</t>
  </si>
  <si>
    <t>Strike plate DIN</t>
  </si>
  <si>
    <t>EA288_001000</t>
  </si>
  <si>
    <t>Split spindle 47/50mm, 8mm EL580/</t>
  </si>
  <si>
    <t>CY321T_118005</t>
  </si>
  <si>
    <t>Concealed door closer EN1-4</t>
  </si>
  <si>
    <t>Guide rail arm 'G893' silver EV1</t>
  </si>
  <si>
    <t>DH070_B5030R1002</t>
  </si>
  <si>
    <t>INOXI 3-19/242 Ms PZBL NiHa DIN</t>
  </si>
  <si>
    <t xml:space="preserve">Split spindle 47/50mm, 8mm EL580/ </t>
  </si>
  <si>
    <t xml:space="preserve">Guide rail arm 'G893' silver EV1 </t>
  </si>
  <si>
    <t>EL460_100100</t>
  </si>
  <si>
    <t>Solenoid lock 30/24 mm PZ</t>
  </si>
  <si>
    <t>DH070_B5030S1002</t>
  </si>
  <si>
    <t>INOXI 3-19/2750 Ms PZBL NiHa DIN</t>
  </si>
  <si>
    <t>MATERIALS</t>
  </si>
  <si>
    <t>MATERIALS FOR INSTALLATION, SUCH AS SUPPLIES, SCREWS, TOOLS, OTHERS.</t>
  </si>
  <si>
    <t>INSTALLATION</t>
  </si>
  <si>
    <t>INSTALLATION OF THE EQUIPMENT CONTAINED IN THIS PROPOSAL</t>
  </si>
  <si>
    <t>PROGRAM</t>
  </si>
  <si>
    <t>PROGRAMMING OF THE EQUIPMENT CONTAINED IN THIS PROPOSAL</t>
  </si>
  <si>
    <t>EL420_100100</t>
  </si>
  <si>
    <t xml:space="preserve">Motor lock 30/24 mm (2,4) PZ </t>
  </si>
  <si>
    <t>EA288_002000</t>
  </si>
  <si>
    <t>Split spindle 57/50mm, 8mm EL580/</t>
  </si>
  <si>
    <t>DH070_A4110K100</t>
  </si>
  <si>
    <t>INOXI 3-19/0730 Ms NiHa 40-60 DIY</t>
  </si>
  <si>
    <t>LH075_B51308100</t>
  </si>
  <si>
    <t>DIN Escutch. 0750 PZBL Ms NiHa DIY</t>
  </si>
  <si>
    <t>EA281_100000</t>
  </si>
  <si>
    <t>LEAD COVER EA281 519mm</t>
  </si>
  <si>
    <t>DC250_120000UL</t>
  </si>
  <si>
    <t>Door closer EN1-6 BC silver UL</t>
  </si>
  <si>
    <t>DC195_100000</t>
  </si>
  <si>
    <t>Guide rail silver DC195 ABLOY</t>
  </si>
  <si>
    <t>FD461_100000</t>
  </si>
  <si>
    <t>Mech. coordinator silver EV1 2-L</t>
  </si>
  <si>
    <t>FD108_000000</t>
  </si>
  <si>
    <t>Flush bolt</t>
  </si>
  <si>
    <t>FD101_100000</t>
  </si>
  <si>
    <t>Carry bar, for 2L doors silver EV1</t>
  </si>
  <si>
    <t>FD120_100000</t>
  </si>
  <si>
    <t>Accessory set silver FD461-FD464</t>
  </si>
  <si>
    <t>PE460_100110</t>
  </si>
  <si>
    <t>Solenoid lock 35/24 mm (4) PZ</t>
  </si>
  <si>
    <t>PE923_100110</t>
  </si>
  <si>
    <t>Passive door package profile DA</t>
  </si>
  <si>
    <t>FD115_000500</t>
  </si>
  <si>
    <t>Opening damper 'A191' for G461</t>
  </si>
  <si>
    <t>PBE011_B00500010</t>
  </si>
  <si>
    <t xml:space="preserve">DIN Panic bar solid door PZ+BL NiHa </t>
  </si>
  <si>
    <t>DH070_B5020R100</t>
  </si>
  <si>
    <t>INOXI 3-19/0241 Ms PZ NiHa DIN
Long</t>
  </si>
  <si>
    <t>RGEW1800GXPRO_1</t>
  </si>
  <si>
    <t>ROUTER  DOBLE BANDA Wifi 6 DE 4 ANTENAS</t>
  </si>
  <si>
    <t>M1</t>
  </si>
  <si>
    <t xml:space="preserve">AMPLIFICADO ESTEREO CON STREAMING </t>
  </si>
  <si>
    <t>RGES108GD</t>
  </si>
  <si>
    <t>SWITCH 8 PUERTOS GIGABIT NO ADMINISTRABLE CLOUD</t>
  </si>
  <si>
    <t>RG_ES206GS_P</t>
  </si>
  <si>
    <t>SWITCH CLOUD GIGA DE 6 PUERTOS</t>
  </si>
  <si>
    <t>PULSE_M</t>
  </si>
  <si>
    <t>PARANTE AUTOAMPLIFICADO PARA STREAMING CON TECNOLOGIA MQA</t>
  </si>
  <si>
    <t>ICE</t>
  </si>
  <si>
    <t>16_2CS_BOX_500</t>
  </si>
  <si>
    <t>ROLLO DE 500 PIES DE CABLE DE ALTA PUREZA LIBRE DE OXIGENO</t>
  </si>
  <si>
    <t>ANTHEM</t>
  </si>
  <si>
    <t>MDX16</t>
  </si>
  <si>
    <t>AMPLIFICADOR DE 16 CANALES, ENTRADAS DIGITALES SALIDA ENTRE 60 Y 200 VATIOS.</t>
  </si>
  <si>
    <t>IC_620</t>
  </si>
  <si>
    <t>PARLANTE DE 6.5", MANEJO FERCUENCIA DE 47 Hz - 25 kHz, 8OHM 100W.</t>
  </si>
  <si>
    <t>FORM_BASS</t>
  </si>
  <si>
    <t>SUBWOOFER DE 6.5", RESPUESTA EN FERCUENCIA DE 20Hz a 150Hz</t>
  </si>
  <si>
    <t>I8</t>
  </si>
  <si>
    <t>SUBWOOFER  DE 10" CON RESPUESTA EN FRECUENCIA DE 24Hz - 250Hz</t>
  </si>
  <si>
    <t>MARINER_56</t>
  </si>
  <si>
    <t>ALTAVOZ DE 100W CON REPUESTA EN FERCUENCIA DE 60Hz - 20kHz +/- 3dB</t>
  </si>
  <si>
    <t>T758_V3I</t>
  </si>
  <si>
    <t>PROCESADOR DE AUDIO VIDEO CON STREAMING BLUOS.</t>
  </si>
  <si>
    <t>ELEGRP</t>
  </si>
  <si>
    <t>R1615D42_BR</t>
  </si>
  <si>
    <t>TOMA CORRIENTE CAFÉ DE 15 AMPERIOS CON CARGADOR USB TIPO B Y C</t>
  </si>
  <si>
    <t>PJ2_4B_GWH_P01</t>
  </si>
  <si>
    <t>TECLADO PICO CON MARCACION ESTANDAR EN COLOR BLANCO.</t>
  </si>
  <si>
    <t>HQRD_8ANS_WH</t>
  </si>
  <si>
    <t>INTERRUPTOR DE PARA INTEGRACION CON SISTEMA HOMEWORKS, 8 AMPERIOS DE CARGA.</t>
  </si>
  <si>
    <t>HQRD_PRO_WH</t>
  </si>
  <si>
    <t>DIMMER DE FASE ADAPTATIVA PARA SISTEMA HOMEWORKS</t>
  </si>
  <si>
    <t>HQRD_HN6BRL_WH</t>
  </si>
  <si>
    <t>TECLADO HIBRIDO DE 6 BOTONES DE COLOR BLENCO. CON BOTONES DE SUBIDA Y BAJADA. LÍNEA SEETOUCH. PARA SISTEMA HOMEWORKS.</t>
  </si>
  <si>
    <t>IPC_S7XN_10M0WED_0360B_IMOU</t>
  </si>
  <si>
    <t>CAMARA IP/PT 10MP CRUISER DUAL (5MP LENTE FIJO/5MP LENTE PT) SMART COLOR/TRACK WI-FI/IP66</t>
  </si>
  <si>
    <t>BC350RNC</t>
  </si>
  <si>
    <t>350VA, 210W 120V Standby Cloud-Connected UPS with Remote Monitoring - 5 NEMA 5-15R Outlets (Surge + Battery Backup), 5-15P Plug, Desktop</t>
  </si>
  <si>
    <t>ST2_256_S1</t>
  </si>
  <si>
    <t>MICROSD IMOU CLASE 10 256GB PARA VIDEOVIGILANCIA</t>
  </si>
  <si>
    <t>LP4CADFCBL6L</t>
  </si>
  <si>
    <t>PATCH CORD ULTRADELGADO CAT6A BLINDADO S/FTP PARA CENTRO DE DATOS COLOR AZUL CHAQUETA LSZH 6M</t>
  </si>
  <si>
    <t>RG_EW3200GX_PRO</t>
  </si>
  <si>
    <t>Router Mesh Gigabit de Doble Banda Wi-Fi 6 de 3200M</t>
  </si>
  <si>
    <t>K_MAN_CAM</t>
  </si>
  <si>
    <t>MANTENIMIENTO Y REVISION REMOTA DE PLATAFORMA MENSUAL</t>
  </si>
  <si>
    <t>COMP</t>
  </si>
  <si>
    <t>L28_29_30</t>
  </si>
  <si>
    <t>SOPORTE DE CODO DE 12" PARA CAMARA IP</t>
  </si>
  <si>
    <t>DHI_NVR1104HS_S3H_V2</t>
  </si>
  <si>
    <t>NVR 4CH H.265 DECODIFICACION 1CH@4K O 4CH@2MP AB ENTRADA 80MBPS 1 SATA 1 HDMI</t>
  </si>
  <si>
    <t>WD11PURZ</t>
  </si>
  <si>
    <t>DISCO DURO 1TB CACHE 64MB 3.5" SATA 5400 RPM 6GB/S</t>
  </si>
  <si>
    <t>EST_CAJ_TEN_4.08X6.9</t>
  </si>
  <si>
    <t>ESTRUCTURA FLOTADA EN DRYWALL CON AMARRES DE 6.9M X 4.08M, CAJON REFORZADO PARA ALVERGAR TENSOFLEX.</t>
  </si>
  <si>
    <t>MTR3</t>
  </si>
  <si>
    <t>MOTOR PARA CORTINA TIPO ROLLER E INTEGRACION WIRELESS
GARANTIA: 1 AÑO MARCA: SOMFY</t>
  </si>
  <si>
    <t>LEOCH</t>
  </si>
  <si>
    <t>JDW129</t>
  </si>
  <si>
    <t>BATERIA DE 12V, 9 AMPERIOS.</t>
  </si>
  <si>
    <t>ECO_66_A</t>
  </si>
  <si>
    <t>CILINDRO A MEDIDA PARA LUMINARIA ECO, CON CABLE DE 3M.</t>
  </si>
  <si>
    <t>ARTEMIDE</t>
  </si>
  <si>
    <t>CIRCOLARE_350</t>
  </si>
  <si>
    <t xml:space="preserve">ALPHABET OF LIGHT S CIRCOLARE 350, Light source: LED 156 W – 3000 K – 20953 lumens – CRI=90, </t>
  </si>
  <si>
    <t>NNR25</t>
  </si>
  <si>
    <t>LUMINARIA DE FABRICACION LOCAL EN CIRCULO CON UNION, MEDIDAS DE DIAMETRO DE LA CIRCUNFERENCIA DE CIRCOLARE</t>
  </si>
  <si>
    <t>CFLEX</t>
  </si>
  <si>
    <t>ROLLO NEON 360 DE 5 METROS</t>
  </si>
  <si>
    <t>C_CON</t>
  </si>
  <si>
    <t>ACCESORIO DE FIJACION CON ANCLA.</t>
  </si>
  <si>
    <t>HOFFLIGHTS</t>
  </si>
  <si>
    <t>H1.1040.0111</t>
  </si>
  <si>
    <t>VIENNA 2  24º IP44 WHITE  2700K</t>
  </si>
  <si>
    <t>H1.1040.0112</t>
  </si>
  <si>
    <t>VIENNA 2  24º IP44 WHITE  3000K</t>
  </si>
  <si>
    <t>H1.1040.0211</t>
  </si>
  <si>
    <t>VIENNA 2  24º IP44 BLACK  2700K</t>
  </si>
  <si>
    <t>H1.1040.0212</t>
  </si>
  <si>
    <t>VIENNA 2  24º IP44 BLACK  3000K</t>
  </si>
  <si>
    <t>H1.1041.0111</t>
  </si>
  <si>
    <t>VIENNA 5  24º IP20 WHITE  2700K</t>
  </si>
  <si>
    <t>H1.1041.0112</t>
  </si>
  <si>
    <t>VIENNA 5  24º IP20 WHITE  3000K</t>
  </si>
  <si>
    <t>H1.1041.0211</t>
  </si>
  <si>
    <t>VIENNA 5  24º IP20 BLACK  2700K</t>
  </si>
  <si>
    <t>H1.1041.0212</t>
  </si>
  <si>
    <t>VIENNA 5  24º IP20 BLACK  3000K</t>
  </si>
  <si>
    <t>H1.1042.0111</t>
  </si>
  <si>
    <t>VIENNA 10  36º IP20 WHITE  2700K</t>
  </si>
  <si>
    <t>H1.1042.0112</t>
  </si>
  <si>
    <t>VIENNA 10  36º IP20 WHITE  3000K</t>
  </si>
  <si>
    <t>H1.1042.0211</t>
  </si>
  <si>
    <t>VIENNA 10  36º IP20 BLACK  2700K</t>
  </si>
  <si>
    <t>H1.1042.0212</t>
  </si>
  <si>
    <t>VIENNA 10  36º IP20 BLACK  3000K</t>
  </si>
  <si>
    <t>H1.1000.0112</t>
  </si>
  <si>
    <t>ITALY 2W  15º IP40 WHITE  3000K</t>
  </si>
  <si>
    <t>H1.1002.0112</t>
  </si>
  <si>
    <t>ITALY 2W  45º IP40 WHITE  3000K</t>
  </si>
  <si>
    <t>H1.1010.0112</t>
  </si>
  <si>
    <t>ITALY 4W  15º IP40 WHITE  3000K</t>
  </si>
  <si>
    <t>H1.1012.0112</t>
  </si>
  <si>
    <t>ITALY 4W  45º IP40 WHITE  3000K</t>
  </si>
  <si>
    <t>H1.1020.0112</t>
  </si>
  <si>
    <t>ITALY 10W  15º IP40 WHITE  3000K</t>
  </si>
  <si>
    <t>H1.1022.0112</t>
  </si>
  <si>
    <t>ITALY 10W  45º IP40 WHITE  3000K</t>
  </si>
  <si>
    <t>H1.1030.0112</t>
  </si>
  <si>
    <t>ITALY 20W  15º IP40 WHITE  3000K</t>
  </si>
  <si>
    <t>H1.1032.0112</t>
  </si>
  <si>
    <t>ITALY 20W  45º IP40 WHITE  3000K</t>
  </si>
  <si>
    <t>H1.1130.7118</t>
  </si>
  <si>
    <t>LIBERTAD 6W  60º IP44 TRIAC  220-240V  WHITE  2K7-3K2-4K</t>
  </si>
  <si>
    <t>H1.1130.7218</t>
  </si>
  <si>
    <t>LIBERTAD 6W  60º IP44 TRIAC  220-240V  BLACK  2K7-3K2-4K</t>
  </si>
  <si>
    <t>H1.1131.7118</t>
  </si>
  <si>
    <t>LIBERTAD 9W  60º IP44 TRIAC  220-240V  WHITE  2K7-3K2-4K</t>
  </si>
  <si>
    <t>H1.1131.7218</t>
  </si>
  <si>
    <t>LIBERTAD 9W  60º IP44 TRIAC  220-240V  BLACK  2K7-3K2-4K</t>
  </si>
  <si>
    <t>H1.1132.7118</t>
  </si>
  <si>
    <t>LIBERTAD 12  60º TRIAC  220-240V WHITE   SWITCH 2K7-3K2-4K</t>
  </si>
  <si>
    <t>H1.1132.7218</t>
  </si>
  <si>
    <t>LIBERTAD 12  60º TRIAC  220-240V BLACK   SWITCH 2K7-3K2-4K</t>
  </si>
  <si>
    <t>H1.1066.7118</t>
  </si>
  <si>
    <t>BANGKOK 6  WHITE  60º IP65  220-240V TRIAC  2K7-3K2-4K</t>
  </si>
  <si>
    <t>H1.1066.8001</t>
  </si>
  <si>
    <t>BANGKOK Acc. BLACK RING</t>
  </si>
  <si>
    <t>H1.1066.8002</t>
  </si>
  <si>
    <t>BANGKOK Acc. CHROME RING</t>
  </si>
  <si>
    <t>H1.1065.0111</t>
  </si>
  <si>
    <t>VIETNAM  WHITE 36º IP65 8W 2700K</t>
  </si>
  <si>
    <t>H1.1065.0112</t>
  </si>
  <si>
    <t>VIETNAM  WHITE 36º IP65 8W 3000K</t>
  </si>
  <si>
    <t>H1.1160.0111</t>
  </si>
  <si>
    <t>LAOS 8 Gen.2  8W  24º  IP40 WHITE 2700K</t>
  </si>
  <si>
    <t>H1.1160.0112</t>
  </si>
  <si>
    <t>LAOS 8 Gen.2  8W  24º  IP40 WHITE 3000K</t>
  </si>
  <si>
    <t>H1.1160.0114</t>
  </si>
  <si>
    <t>LAOS 8 Gen.2  8W  24º  IP40 WHITE 4000K</t>
  </si>
  <si>
    <t>H1.1160.0211</t>
  </si>
  <si>
    <t>LAOS 8 Gen.2  8W  24º  IP40 BLACK 2700K</t>
  </si>
  <si>
    <t>H1.1160.0212</t>
  </si>
  <si>
    <t>LAOS 8 Gen.2  8W  24º  IP40 BLACK 3000K</t>
  </si>
  <si>
    <t>H1.1160.0214</t>
  </si>
  <si>
    <t>LAOS 8 Gen.2  8W  24º  IP40 BLACK 4000K</t>
  </si>
  <si>
    <t>H1.1161.0111</t>
  </si>
  <si>
    <t>LAOS 12 Gen.2  12W  24º  IP40 WHITE 2700K</t>
  </si>
  <si>
    <t>H1.1161.0112</t>
  </si>
  <si>
    <t>LAOS 12 Gen.2  12W  24º  IP40 WHITE 3000K</t>
  </si>
  <si>
    <t>H1.1161.0114</t>
  </si>
  <si>
    <t>LAOS 12 Gen.2  12W  24º  IP40 WHITE 4000K</t>
  </si>
  <si>
    <t>H1.1161.0211</t>
  </si>
  <si>
    <t>LAOS 12 Gen.2  12W  24º  IP40 BLACK 2700K</t>
  </si>
  <si>
    <t>H1.1161.0212</t>
  </si>
  <si>
    <t>LAOS 12 Gen.2  12W  24º  IP40 BLACK 3000K</t>
  </si>
  <si>
    <t>H1.1161.0214</t>
  </si>
  <si>
    <t>LAOS 12 Gen.2  12W  24º  IP40 BLACK 4000K</t>
  </si>
  <si>
    <t>H1.1162.0111</t>
  </si>
  <si>
    <t>LAOS 20 Gen.2  20W  24º  IP40 WHITE 2700K</t>
  </si>
  <si>
    <t>H1.1162.0112</t>
  </si>
  <si>
    <t>LAOS 20 Gen.2  20W  24º  IP40 WHITE 3000K</t>
  </si>
  <si>
    <t>H1.1162.0114</t>
  </si>
  <si>
    <t>LAOS 20 Gen.2  20W  24º  IP40 WHITE 4000K</t>
  </si>
  <si>
    <t>H1.1162.0211</t>
  </si>
  <si>
    <t>LAOS 20 Gen.2  20W  24º  IP40 BLACK 2700K</t>
  </si>
  <si>
    <t>H1.1162.0212</t>
  </si>
  <si>
    <t>LAOS 20 Gen.2  20W  24º  IP40 BLACK 3000K</t>
  </si>
  <si>
    <t>H1.1162.0214</t>
  </si>
  <si>
    <t>LAOS 20 Gen.2  20W  24º  IP40 BLACK 4000K</t>
  </si>
  <si>
    <t>H1.1060.0112</t>
  </si>
  <si>
    <t>QATAR 8  WHITE 24º 8W 3000K</t>
  </si>
  <si>
    <t>H1.1060.0212</t>
  </si>
  <si>
    <t>QATAR 8  BLACK 24º 8W 3000K</t>
  </si>
  <si>
    <t>H1.1061.0112</t>
  </si>
  <si>
    <t>QATAR 12  WHITE 24º 12W 3000K</t>
  </si>
  <si>
    <t>H1.1061.0212</t>
  </si>
  <si>
    <t>QATAR 12  BLACK 24º 12W 3000K</t>
  </si>
  <si>
    <t>H1.1110.0118</t>
  </si>
  <si>
    <t>NORWAY 9  Gen.2  ROUND  100º IP65 WHITE  SWITCH 2K7-3K2-4K</t>
  </si>
  <si>
    <t>H1.1111.0118</t>
  </si>
  <si>
    <t>NORWAY 15  Gen.2  ROUND  100º IP65 WHITE  SWITCH 2K7-3K2-4K</t>
  </si>
  <si>
    <t>H1.1112.0118</t>
  </si>
  <si>
    <t>NORWAY 20  Gen.2  ROUND  100º IP65 WHITE  SWITCH 2K7-3K2-4K</t>
  </si>
  <si>
    <t>H1.1115.0118</t>
  </si>
  <si>
    <t>NORWAY 9  Gen.2  SQUARE  100º IP65 WHITE  SWITCH 2K7-3K2-4K</t>
  </si>
  <si>
    <t>H1.1116.0118</t>
  </si>
  <si>
    <t>NORWAY 15  Gen.2  SQUARE  100º IP65 WHITE  SWITCH 2K7-3K2-4K</t>
  </si>
  <si>
    <t>H1.1117.0118</t>
  </si>
  <si>
    <t>NORWAY 20  Gen.2  SQUARE  100º IP65 WHITE  SWITCH 2K7-3K2-4K</t>
  </si>
  <si>
    <t>H1.1145.0118</t>
  </si>
  <si>
    <t>BOSTON 10  60º  WHITE  IP44 350mA  2K7-3K2-4K</t>
  </si>
  <si>
    <t>H1.1145.8201</t>
  </si>
  <si>
    <t>BOSTON 10 Acc. BLACK RING</t>
  </si>
  <si>
    <t>H1.1146.0118</t>
  </si>
  <si>
    <t>BOSTON 20  60º  WHITE  IP44 700mA  2K7-3K2-4K</t>
  </si>
  <si>
    <t>H1.1146.8201</t>
  </si>
  <si>
    <t>BOSTON 20 Acc. BLACK RING</t>
  </si>
  <si>
    <t>H1.1147.0118</t>
  </si>
  <si>
    <t>BOSTON 25-32  60º  WHITE  IP44  700-900mA  2K7-3K2-4K</t>
  </si>
  <si>
    <t>H1.1147.8201</t>
  </si>
  <si>
    <t>BOSTON 25-32 Acc. BLACK RING</t>
  </si>
  <si>
    <t>H1.1141.0111</t>
  </si>
  <si>
    <t>ZERMATT 7W 36º  IP20  TRIMLESS 350mA  REFLECTOR WHITE 2700K</t>
  </si>
  <si>
    <t>H1.1141.0211</t>
  </si>
  <si>
    <t>ZERMATT 7W 36º  IP20  TRIMLESS 350mA  REFLECTOR BLACK 2700K</t>
  </si>
  <si>
    <t>H1.1141.0112</t>
  </si>
  <si>
    <t>ZERMATT 7W 36º  IP20  TRIMLESS 350mA  REFLECTOR WHITE 3000K</t>
  </si>
  <si>
    <t>H1.1141.0212</t>
  </si>
  <si>
    <t>ZERMATT 7W 36º  IP20  TRIMLESS 350mA  REFLECTOR BLACK 3000K</t>
  </si>
  <si>
    <t>H1.1141.8001</t>
  </si>
  <si>
    <t>ZERMATT  Acc. INDOOR REFLECTOR GOLD</t>
  </si>
  <si>
    <t>H1.1141.8002</t>
  </si>
  <si>
    <t>ZERMATT  Acc. INDOOR REFLECTOR BRASS</t>
  </si>
  <si>
    <t>H1.1141.8003</t>
  </si>
  <si>
    <t>ZERMATT  Acc. INDOOR REFLECTOR GOLD PINK</t>
  </si>
  <si>
    <t>H1.1141.8004</t>
  </si>
  <si>
    <t>ZERMATT  Acc. INDOOR REFLECTOR BLACK</t>
  </si>
  <si>
    <t>H1.1082.0112</t>
  </si>
  <si>
    <t>PALERMO 3 ADJUST  3W 24º IP20 WHITE 3000K</t>
  </si>
  <si>
    <t>H1.1082.0212</t>
  </si>
  <si>
    <t>PALERMO 3 ADJUST  3W 24º IP20 BLACK 3000K</t>
  </si>
  <si>
    <t>H1.1083.0112</t>
  </si>
  <si>
    <t>PALERMO 6 ADJUST  6W 24º IP20 WHITE 3000K</t>
  </si>
  <si>
    <t>H1.1083.0212</t>
  </si>
  <si>
    <t>PALERMO 6 ADJUST  6W 24º IP20 BLACK 3000K</t>
  </si>
  <si>
    <t>H1.1050.0111</t>
  </si>
  <si>
    <t>LUXEMBOURG 3  WHITE 10º ADJUST. 3W 2700K</t>
  </si>
  <si>
    <t>H1.1050.0112</t>
  </si>
  <si>
    <t>LUXEMBOURG 3  WHITE 10º ADJUST. 3W 3000K</t>
  </si>
  <si>
    <t>H1.1051.0111</t>
  </si>
  <si>
    <t>LUXEMBOURG 5  WHITE 10º ADJUST. 5W 2700K</t>
  </si>
  <si>
    <t>H1.1051.0112</t>
  </si>
  <si>
    <t>LUXEMBOURG 5  WHITE 10º ADJUST. 5W 3000K</t>
  </si>
  <si>
    <t>H1.1150.7118</t>
  </si>
  <si>
    <t>LIBERTAD ADJUST 6  40º TRIAC  220-240V WHITE  SWITCH 2K7-3K2-4K</t>
  </si>
  <si>
    <t>H1.1150.7218</t>
  </si>
  <si>
    <t>LIBERTAD ADJUST 6  40º TRIAC  220-240V BLACK  SWITCH 2K7-3K2-4K</t>
  </si>
  <si>
    <t>H1.1150.8001</t>
  </si>
  <si>
    <t>LIBERTAD ADJUST 6 Acc. REFLECTOR 60º</t>
  </si>
  <si>
    <t>H1.1151.7118</t>
  </si>
  <si>
    <t>LIBERTAD ADJUST 9  40º TRIAC  220-240V WHITE  SWITCH 2K7-3K2-4K</t>
  </si>
  <si>
    <t>H1.1151.7218</t>
  </si>
  <si>
    <t>LIBERTAD ADJUST 9  40º TRIAC  220-240V BLACK  SWITCH 2K7-3K2-4K</t>
  </si>
  <si>
    <t>H1.1151.8001</t>
  </si>
  <si>
    <t>LIBERTAD ADJUST 9 Acc. REFLECTOR 60º</t>
  </si>
  <si>
    <t>H1.1055.0111</t>
  </si>
  <si>
    <t>AMSTERDAM  WHITE 36º ADJUST. 6.5W 2700K</t>
  </si>
  <si>
    <t>H1.1055.0112</t>
  </si>
  <si>
    <t>AMSTERDAM  WHITE 36º ADJUST. 6.5W 3000K</t>
  </si>
  <si>
    <t>H1.1055.0211</t>
  </si>
  <si>
    <t>AMSTERDAM  BLACK 36º ADJUST. 6.5W 2700K</t>
  </si>
  <si>
    <t>H1.1055.0212</t>
  </si>
  <si>
    <t>AMSTERDAM  BLACK 36º ADJUST. 6.5W 3000K</t>
  </si>
  <si>
    <t>H1.1107.0112</t>
  </si>
  <si>
    <t>LAOS ADJUST. 12W WHITE 25º ADJUST. IP40  3000K</t>
  </si>
  <si>
    <t>H1.1107.0114</t>
  </si>
  <si>
    <t>LAOS ADJUST. 12W WHITE 25º ADJUST. IP40  4000K</t>
  </si>
  <si>
    <t>H1.1107.0212</t>
  </si>
  <si>
    <t>LAOS ADJUST. 12W BLACK 25º ADJUST. IP40  3000K</t>
  </si>
  <si>
    <t>H1.1107.0214</t>
  </si>
  <si>
    <t>LAOS ADJUST. 12W BLACK 25º ADJUST. IP40  4000K</t>
  </si>
  <si>
    <t>H1.1105.0112</t>
  </si>
  <si>
    <t>LAOS DEEP 12W WHITE 25º ADJUST. IP40  3000K</t>
  </si>
  <si>
    <t>H1.1105.0114</t>
  </si>
  <si>
    <t>LAOS DEEP 12W WHITE 25º ADJUST. IP40  4000K</t>
  </si>
  <si>
    <t>H1.1105.0212</t>
  </si>
  <si>
    <t>LAOS DEEP 12W BLACK 25º ADJUST. IP40  3000K</t>
  </si>
  <si>
    <t>H1.1105.0214</t>
  </si>
  <si>
    <t>LAOS DEEP 12W BLACK 25º ADJUST. IP40  4000K</t>
  </si>
  <si>
    <t>H1.1135.0118</t>
  </si>
  <si>
    <t>COLOMBIA 10W  SINGLE  IP20  ADJUSTABLE 250mA  WHITE  2K7-3K-4K</t>
  </si>
  <si>
    <t>H1.1135.0218</t>
  </si>
  <si>
    <t>COLOMBIA 10W  SINGLE  IP20  ADJUSTABLE 250mA  BLACK  2K7-3K-4K</t>
  </si>
  <si>
    <t>H1.1136.0118</t>
  </si>
  <si>
    <t>COLOMBIA 20W  DOUBLE  IP20  ADJUSTABLE 450mA  WHITE  2K7-3K-4K</t>
  </si>
  <si>
    <t>H1.1136.0218</t>
  </si>
  <si>
    <t>COLOMBIA 20W  DOUBLE  IP20  ADJUSTABLE 450mA  BLACK  2K7-3K-4K</t>
  </si>
  <si>
    <t>H1.1068.0111</t>
  </si>
  <si>
    <t>OSAKA  WHITE  15º-60º ADJUST. 15W 2700K</t>
  </si>
  <si>
    <t>H1.1068.0112</t>
  </si>
  <si>
    <t>OSAKA  WHITE  15º-60º ADJUST. 15W 3000K</t>
  </si>
  <si>
    <t>H1.1073.0112</t>
  </si>
  <si>
    <t>ANDORRA 5 ADJUST  5W  24º IP20 WHITE 3000K</t>
  </si>
  <si>
    <t>H1.1073.0212</t>
  </si>
  <si>
    <t>ANDORRA 5 ADJUST  5W  24º IP20 BLACK 3000K</t>
  </si>
  <si>
    <t>H1.1074.0112</t>
  </si>
  <si>
    <t>ANDORRA 7 ADJUST  7W  24º IP20 WHITE 3000K</t>
  </si>
  <si>
    <t>H1.1074.0212</t>
  </si>
  <si>
    <t>ANDORRA 7 ADJUST  7W  24º IP20 BLACK 3000K</t>
  </si>
  <si>
    <t>H1.1070.0112</t>
  </si>
  <si>
    <t>ANDORRA 12  WHITE 24º ADJUST. 12W 3000K</t>
  </si>
  <si>
    <t>H1.1070.0212</t>
  </si>
  <si>
    <t>ANDORRA 12  BLACK 24º ADJUST. 12W 3000K</t>
  </si>
  <si>
    <t>H1.1071.0112</t>
  </si>
  <si>
    <t>ANDORRA 20  WHITE 24º ADJUST. 20W 3000K</t>
  </si>
  <si>
    <t>H1.1071.0212</t>
  </si>
  <si>
    <t>ANDORRA 20  BLACK 24º ADJUST. 20W 3000K</t>
  </si>
  <si>
    <t>H1.1072.0112</t>
  </si>
  <si>
    <t>ANDORRA 30  WHITE 24º ADJUST.  30W 3000K</t>
  </si>
  <si>
    <t>H1.1072.0212</t>
  </si>
  <si>
    <t>ANDORRA 30  BLACK 24º ADJUST.  30W 3000K</t>
  </si>
  <si>
    <t>H1.1080.0118</t>
  </si>
  <si>
    <t>BONN  WHITE 14-28W 30º IP20 350-500-700mA  SWITCH 2K7-3K2-4K</t>
  </si>
  <si>
    <t>H1.1080.0218</t>
  </si>
  <si>
    <t>BONN  BLACK 14-28W 30º IP20 350-500-700mA  SWITCH 2K7-3K2-4K</t>
  </si>
  <si>
    <t>H1.5035.8001</t>
  </si>
  <si>
    <t>BONN Acc. LENS 20º</t>
  </si>
  <si>
    <t>H1.5035.8002</t>
  </si>
  <si>
    <t>BONN Acc. LENS 40º</t>
  </si>
  <si>
    <t>H1.5035.8003</t>
  </si>
  <si>
    <t>BONN Acc. LENS 50º</t>
  </si>
  <si>
    <t>H1.5035.8101</t>
  </si>
  <si>
    <t>BONN Acc. WHITE RING</t>
  </si>
  <si>
    <t>H1.5035.8005</t>
  </si>
  <si>
    <t>BONN Acc. HONEYCOMB ANTI-GLARE</t>
  </si>
  <si>
    <t>H1.1075.0112</t>
  </si>
  <si>
    <t>SLOVAKIA 20  WHITE 24º ADJUST. 19W 3000K</t>
  </si>
  <si>
    <t>H1.1075.0114</t>
  </si>
  <si>
    <t>SLOVAKIA 20  WHITE 24º ADJUST. 19W 4000K</t>
  </si>
  <si>
    <t>H1.1076.0112</t>
  </si>
  <si>
    <t>SLOVAKIA 30  WHITE 24º ADJUST. 27W 3000K</t>
  </si>
  <si>
    <t>H1.1076.0114</t>
  </si>
  <si>
    <t>SLOVAKIA 30  WHITE 24º ADJUST. 27W 4000K</t>
  </si>
  <si>
    <t>H1.1122.0218</t>
  </si>
  <si>
    <t>MALTA MODULE 9-12  38º IP20 200-300mA  2K7-3K2-4K</t>
  </si>
  <si>
    <t>H1.1122.8005</t>
  </si>
  <si>
    <t>MALTA Gen.3 Acc. LENS 15º</t>
  </si>
  <si>
    <t>H1.1122.8006</t>
  </si>
  <si>
    <t>MALTA Gen.3 Acc. LENS 24º</t>
  </si>
  <si>
    <t>H1.1122.8007</t>
  </si>
  <si>
    <t>MALTA Gen.3 Acc. LENS 60º</t>
  </si>
  <si>
    <t>H1.1122.8008</t>
  </si>
  <si>
    <t>MALTA Gen.3  Acc. HONEYCOMB ANTI-GLARE</t>
  </si>
  <si>
    <t>H1.1123.0218</t>
  </si>
  <si>
    <t>MALTA Gen.2 MODULE 15  38º IP20 350mA  2K7-3K2-4K</t>
  </si>
  <si>
    <t>H1.1120.8114</t>
  </si>
  <si>
    <t>MALTA Acc. WHITE RING Gen2 ADJUSTABLE - FOR GU10</t>
  </si>
  <si>
    <t>H1.1120.8115</t>
  </si>
  <si>
    <t>MALTA Acc. BLACK RING Gen2 ADJUSTABLE - FOR GU10</t>
  </si>
  <si>
    <t>H1.1120.8116</t>
  </si>
  <si>
    <t>MALTA Acc. COMFORT WHITE-BLACK RING Gen2 ADJUSTABLE - FOR GU10</t>
  </si>
  <si>
    <t>H1.1120.8001</t>
  </si>
  <si>
    <t>GU10 LAMPHOLDER W/CABLE 18cm</t>
  </si>
  <si>
    <t>H1.1120.8117</t>
  </si>
  <si>
    <t>MALTA Acc. ROUND SINGLE  HVC  WHITE ADJUSTABLE 45º - FOR GU10</t>
  </si>
  <si>
    <t>H1.1120.8217</t>
  </si>
  <si>
    <t>MALTA Acc. ROUND SINGLE  HVC  BLACK ADJUSTABLE 45º - FOR GU10</t>
  </si>
  <si>
    <t>H1.1120.8118</t>
  </si>
  <si>
    <t>MALTA Acc. SQUARE SINGLE  HVC  WHITE ADJUSTABLE 45º - FOR GU10</t>
  </si>
  <si>
    <t>H1.1120.8218</t>
  </si>
  <si>
    <t>MALTA Acc. SQUARE SINGLE  HVC  BLACK ADJUSTABLE 45º - FOR GU10</t>
  </si>
  <si>
    <t>H1.1120.8119</t>
  </si>
  <si>
    <t>MALTA Acc. SQUARE DOUBLE  HVC  WHITE ADJUSTABLE 45º - FOR GU10</t>
  </si>
  <si>
    <t>H1.1120.8219</t>
  </si>
  <si>
    <t>MALTA Acc. ROUND DOUBLE  HVC  BLACK ADJUSTABLE 45º - FOR GU10</t>
  </si>
  <si>
    <t>H1.1120.8104</t>
  </si>
  <si>
    <t>MALTA Acc. SQUARE WHITE NOT ADJUSTABLE - FOR GU10</t>
  </si>
  <si>
    <t>H1.1120.8105</t>
  </si>
  <si>
    <t>MALTA Acc. SQUARE WHITE-BLACK NOT ADJUSTABLE - FOR GU10</t>
  </si>
  <si>
    <t>H1.1120.8108</t>
  </si>
  <si>
    <t>MALTA Acc. ROUND IP20 WHITE NOT ADJUSTABLE - FOR GU10</t>
  </si>
  <si>
    <t>H1.1120.8208</t>
  </si>
  <si>
    <t>MALTA Acc. ROUND IP20 BLACK NOT ADJUSTABLE - FOR GU10</t>
  </si>
  <si>
    <t>H1.1120.8109</t>
  </si>
  <si>
    <t>MALTA Acc. ROUND IP65 WHITE NOT ADJUSTABLE - FOR GU10</t>
  </si>
  <si>
    <t>H1.1120.8209</t>
  </si>
  <si>
    <t>MALTA Acc. ROUND IP65 BLACK NOT ADJUSTABLE - FOR GU10</t>
  </si>
  <si>
    <t>H1.1120.8110</t>
  </si>
  <si>
    <t>MALTA Acc. CARDAN SQUARE SINGLE WHITE ADJUSTABLE - FOR GU10</t>
  </si>
  <si>
    <t>H1.1120.8111</t>
  </si>
  <si>
    <t>MALTA Acc. CARDAN SQUARE DOUBLE WHITE ADJUSTABLE - FOR GU10</t>
  </si>
  <si>
    <t>H1.1120.8106</t>
  </si>
  <si>
    <t>MALTA Acc. TRIMLESS ROUND WHITE NOT ADJUSTABLE - FOR GU10</t>
  </si>
  <si>
    <t>H1.1120.8206</t>
  </si>
  <si>
    <t>MALTA Acc. TRIMLESS ROUND BLACK NOT ADJUSTABLE - FOR GU10</t>
  </si>
  <si>
    <t>H1.1120.8107</t>
  </si>
  <si>
    <t>MALTA Acc. TRIMLESS SQUARE WHITE NOT ADJUSTABLE - FOR GU10</t>
  </si>
  <si>
    <t>H1.1120.8207</t>
  </si>
  <si>
    <t>MALTA Acc. TRIMLESS SQUARE BLACK NOT ADJUSTABLE - FOR GU10</t>
  </si>
  <si>
    <t>H1.1120.8112</t>
  </si>
  <si>
    <t>MALTA Acc. SEMI RECESSED ROUND WHITE NOT ADJUSTABLE - FOR GU10</t>
  </si>
  <si>
    <t>H1.1120.8212</t>
  </si>
  <si>
    <t>MALTA Acc. SEMI RECESSED ROUND BLACK NOT ADJUSTABLE - FOR GU10</t>
  </si>
  <si>
    <t>H1.1120.8113</t>
  </si>
  <si>
    <t>MALTA Acc. SEMI RECESSED SQUARE WHITE NOT ADJUSTABLE - FOR GU10</t>
  </si>
  <si>
    <t>H1.1120.8213</t>
  </si>
  <si>
    <t>MALTA Acc. SEMI RECESSED SQUARE BLACK NOT ADJUSTABLE - FOR GU10</t>
  </si>
  <si>
    <t>H1.2023.1190</t>
  </si>
  <si>
    <t>BOGOTA DOWNLIGHT SURFACE 50W  100-240V SQUARE  WHITE  GU10</t>
  </si>
  <si>
    <t>H1.2023.1290</t>
  </si>
  <si>
    <t>BOGOTA DOWNLIGHT SURFACE 50W  100-240V SQUARE  BLACK  GU10</t>
  </si>
  <si>
    <t>H1.2024.1190</t>
  </si>
  <si>
    <t>BOGOTA DOWNLIGHT SURFACE 2x50W  100-240V SQUARE  WHITE  GU10</t>
  </si>
  <si>
    <t>H1.2024.1290</t>
  </si>
  <si>
    <t>BOGOTA DOWNLIGHT SURFACE 2x50W  100-240V SQUARE  BLACK  GU10</t>
  </si>
  <si>
    <t>H1.2020.1190</t>
  </si>
  <si>
    <t>BOGOTA DOWNLIGHT SURFACE 50W  100-240V WHITE  GU10</t>
  </si>
  <si>
    <t>H1.2020.1290</t>
  </si>
  <si>
    <t>BOGOTA DOWNLIGHT SURFACE 50W  100-240V BLACK  GU10</t>
  </si>
  <si>
    <t>H1.2020.8101</t>
  </si>
  <si>
    <t>BOGOTA Acc. HONEYCOMB WITH PLIERS</t>
  </si>
  <si>
    <t>H1.2021.1190</t>
  </si>
  <si>
    <t>BOGOTA SURFACE SPOTLIGHT 50W  100-240V WHITE  GU10</t>
  </si>
  <si>
    <t>H1.2021.1290</t>
  </si>
  <si>
    <t>BOGOTA SURFACE SPOTLIGHT 50W  100-240V BLACK  GU10</t>
  </si>
  <si>
    <t>H1.2000.1112</t>
  </si>
  <si>
    <t>NEPAL  7W ROUND 24º IP20  220-240V FROSTED DIFFUSER WHITE  3000K</t>
  </si>
  <si>
    <t>H1.2000.1212</t>
  </si>
  <si>
    <t>NEPAL  7W ROUND 24º IP20  220-240V FROSTED DIFFUSER BLACK  3000K</t>
  </si>
  <si>
    <t>H1.2001.1112</t>
  </si>
  <si>
    <t>NEPAL  7W SQUARE 24º IP20  220-240V FROSTED DIFFUSER WHITE  3000K</t>
  </si>
  <si>
    <t>H1.2001.1212</t>
  </si>
  <si>
    <t>NEPAL  7W SQUARE 24º IP20  220-240V FROSTED DIFFUSER BLACK  3000K</t>
  </si>
  <si>
    <t>H1.2000.8101</t>
  </si>
  <si>
    <t>NEPAL  7W Acc. WHITE RING</t>
  </si>
  <si>
    <t>H1.2000.8201</t>
  </si>
  <si>
    <t>NEPAL  7W Acc. BLACK RING</t>
  </si>
  <si>
    <t>H1.2000.8901</t>
  </si>
  <si>
    <t>NEPAL  7W Acc. BRASS RING</t>
  </si>
  <si>
    <t>H1.2002.1112</t>
  </si>
  <si>
    <t>NEPAL  12W ROUND 45º IP20  100-240V CLEAR DIFFUSER WHITE  CRI90 3000K</t>
  </si>
  <si>
    <t>H1.2002.1212</t>
  </si>
  <si>
    <t>NEPAL  12W ROUND 45º IP20  100-240V CLEAR DIFFUSER BLACK  CRI90 3000K</t>
  </si>
  <si>
    <t>H1.2004.1112</t>
  </si>
  <si>
    <t>NEPAL  20W ROUND 45º IP20  100-240V CLEAR DIFFUSER WHITE  CRI90 3000K</t>
  </si>
  <si>
    <t>H1.2004.1212</t>
  </si>
  <si>
    <t>NEPAL  20W ROUND 45º IP20  100-240V CLEAR DIFFUSER BLACK  CRI90 3000K</t>
  </si>
  <si>
    <t>H1.2006.1112</t>
  </si>
  <si>
    <t>NEPAL  30W ROUND 45º IP20  100-240V CLEAR DIFFUSER WHITE  CRI90 3000K</t>
  </si>
  <si>
    <t>H1.2006.1212</t>
  </si>
  <si>
    <t>NEPAL  30W ROUND 45º IP20  100-240V CLEAR DIFFUSER BLACK  CRI90 3000K</t>
  </si>
  <si>
    <t>H1.2010.1111</t>
  </si>
  <si>
    <t>PARIS  7W WHITE 35º IP20 100-240V 2700K</t>
  </si>
  <si>
    <t>H1.2010.1112</t>
  </si>
  <si>
    <t>PARIS  7W WHITE 35º IP20 100-240V 3000K</t>
  </si>
  <si>
    <t>H1.2010.1211</t>
  </si>
  <si>
    <t>PARIS  7W BLACK 35º IP20 100-240V 2700K</t>
  </si>
  <si>
    <t>H1.2010.1212</t>
  </si>
  <si>
    <t>PARIS  7W BLACK 35º IP20 100-240V 3000K</t>
  </si>
  <si>
    <t>H1.2030.1118</t>
  </si>
  <si>
    <t>IBIZA 15  110º IP55  220-240V WHITE  SWITCH 2K7-3K2-4K</t>
  </si>
  <si>
    <t>H1.2031.1118</t>
  </si>
  <si>
    <t>IBIZA 18  110º IP55  220-240V WHITE  SWITCH 2K7-3K2-4K</t>
  </si>
  <si>
    <t>H1.2032.1118</t>
  </si>
  <si>
    <t>IBIZA 32  110º IP55  220-240V WHITE  SWITCH 2K7-3K2-4K</t>
  </si>
  <si>
    <t>H1.2030.8101</t>
  </si>
  <si>
    <t>IBIZA Acc. SUSPENSION KIT 1.5m WHITE</t>
  </si>
  <si>
    <t>H1.2025.6118</t>
  </si>
  <si>
    <t>BRUSSELS 26W  90º  450mm IP20  1-10V/DALI/PUSH   220-240V  WHITE  3K-3K5-4K</t>
  </si>
  <si>
    <t>H1.2025.6218</t>
  </si>
  <si>
    <t>BRUSSELS 26W  90º  450mm IP20  1-10V/DALI/PUSH   220-240V  BLACK  3K-3K5-4K</t>
  </si>
  <si>
    <t>H1.2026.6118</t>
  </si>
  <si>
    <t>BRUSSELS 40W  90º  600mm IP20  1-10V/DALI/PUSH   220-240V  WHITE  3K-3K5-4K</t>
  </si>
  <si>
    <t>H1.2026.6218</t>
  </si>
  <si>
    <t>BRUSSELS 40W  90º  600mm IP20  1-10V/DALI/PUSH   220-240V  BLACK  3K-3K5-4K</t>
  </si>
  <si>
    <t>H1.2100.1112</t>
  </si>
  <si>
    <t>PISA 7,5W  38º  26.5x450mm 220-240V  WHITE  3000K</t>
  </si>
  <si>
    <t>H1.2100.1212</t>
  </si>
  <si>
    <t>PISA 7,5W  38º  26.5x450mm 220-240V  BLACK  3000K</t>
  </si>
  <si>
    <t>H1.2105.1112</t>
  </si>
  <si>
    <t>BOLOGNA 7,5W  24º  80x185mm 220-240V  WHITE  3000K</t>
  </si>
  <si>
    <t>H1.2105.1212</t>
  </si>
  <si>
    <t>BOLOGNA 7,5W  24º  80x185mm 220-240V  BLACK  3000K</t>
  </si>
  <si>
    <t>H1.2022.1190</t>
  </si>
  <si>
    <t>BOGOTA PENDANT 50W  100-240V WHITE  GU10</t>
  </si>
  <si>
    <t>H1.2022.1290</t>
  </si>
  <si>
    <t>BOGOTA PENDANT 50W  100-240V BLACK  GU10</t>
  </si>
  <si>
    <t>H1.2020.8100</t>
  </si>
  <si>
    <t>BOGOTA Acc. CANOPY RECESSED WHITE</t>
  </si>
  <si>
    <t>H1.2020.8200</t>
  </si>
  <si>
    <t>BOGOTA Acc. CANOPY RECESSED BLACK</t>
  </si>
  <si>
    <t>H1.2025.8101</t>
  </si>
  <si>
    <t>BRUSSELS Acc. SUSPENSION KIT 2m. WHITE 1-10V/DALI/PUSH</t>
  </si>
  <si>
    <t>H1.2025.8201</t>
  </si>
  <si>
    <t>BRUSSELS Acc. SUSPENSION KIT 2m. BLACK 1-10V/DALI/PUSH</t>
  </si>
  <si>
    <t>H1.3005.1190</t>
  </si>
  <si>
    <t>BOGOTA S  READING  3.5W  GU10 MR11 100-240V WHITE</t>
  </si>
  <si>
    <t>H1.3005.1290</t>
  </si>
  <si>
    <t>BOGOTA S  READING  3.5W  GU10 MR11 100-240V BLACK</t>
  </si>
  <si>
    <t>H1.3001.1112</t>
  </si>
  <si>
    <t>ICELAND 3W  40º IP20 100-240V WHITE  3000K</t>
  </si>
  <si>
    <t>H1.3001.1212</t>
  </si>
  <si>
    <t>ICELAND 3W  40º IP20 100-240V BLACK  3000K</t>
  </si>
  <si>
    <t>H1.3002.1112</t>
  </si>
  <si>
    <t>ENGLAND  6W (BACK 3W) LECTURE F. IP20 100-240V WHITE  3000K</t>
  </si>
  <si>
    <t>H1.3002.1212</t>
  </si>
  <si>
    <t>ENGLAND  6W (BACK 3W) LECTURE F. IP20 100-240V BLACK  3000K</t>
  </si>
  <si>
    <t>H1.3003.1112</t>
  </si>
  <si>
    <t>SPAIN  3W LECTURE F. 40º IP20 USB Port 100-240V WHITE  3000K</t>
  </si>
  <si>
    <t>H1.3003.1212</t>
  </si>
  <si>
    <t>SPAIN  3W LECTURE F. 40º IP20 USB Port 100-240V BLACK  3000K</t>
  </si>
  <si>
    <t>H1.3004.1111</t>
  </si>
  <si>
    <t>USA  3W LECTURE F. 60º IP20 USB Port 100-240V WHITE  2700K</t>
  </si>
  <si>
    <t>H1.3004.1211</t>
  </si>
  <si>
    <t>USA  3W LECTURE F. 60º IP20 USB Port 100-240V BLACK  2700K</t>
  </si>
  <si>
    <t>H1.3010.1111</t>
  </si>
  <si>
    <t>GREECE  8W IP20 Dir&amp;Ind. LIGHT 100-240V WHITE  2700K</t>
  </si>
  <si>
    <t>H1.3010.1112</t>
  </si>
  <si>
    <t>GREECE  8W IP20 Dir&amp;Ind. LIGHT 100-240V WHITE  3000K</t>
  </si>
  <si>
    <t>H1.3011.1111</t>
  </si>
  <si>
    <t>COPENHAGUE 150mm UP&amp;DOWN 6W 100-240V WHITE  2700K</t>
  </si>
  <si>
    <t>H1.3012.1111</t>
  </si>
  <si>
    <t>COPENHAGUE 260mm UP&amp;DOWN 6W 100-240V WHITE  2700K</t>
  </si>
  <si>
    <t>H1.4005.0511</t>
  </si>
  <si>
    <t>MADEIRA 1W (350mA) - 2W (700mA) IP65 ALUMINIUM CRI90 2700K</t>
  </si>
  <si>
    <t>H1.4005.0512</t>
  </si>
  <si>
    <t>MADEIRA 1W (350mA) - 2W (700mA) IP65 ALUMINIUM CRI90 3000K</t>
  </si>
  <si>
    <t>H1.4005.8001</t>
  </si>
  <si>
    <t>MADEIRA Acc. FRAME R1 Dia.37mm WHITE</t>
  </si>
  <si>
    <t>H1.4005.8002</t>
  </si>
  <si>
    <t>MADEIRA Acc. FRAME R2 Dia.37mm WHITE</t>
  </si>
  <si>
    <t>H1.4005.8003</t>
  </si>
  <si>
    <t>MADEIRA Acc. FRAME R3 Dia.37mm WHITE</t>
  </si>
  <si>
    <t>H1.4005.8004</t>
  </si>
  <si>
    <t>MADEIRA Acc. FRAME R4 Dia.37mm WHITE</t>
  </si>
  <si>
    <t>H1.4005.8005</t>
  </si>
  <si>
    <t>MADEIRA Acc. FRAME S1 37x37mm WHITE</t>
  </si>
  <si>
    <t>H1.4001.0511</t>
  </si>
  <si>
    <t>LISBON 1W (350mA) - 2W (700mA) IP54 ALUMINIUM CRI85 2700K</t>
  </si>
  <si>
    <t>H1.4001.0111</t>
  </si>
  <si>
    <t>LISBON 1W (350mA) - 2W (700mA) IP54 WHITE CRI85 2700K</t>
  </si>
  <si>
    <t>H1.4002.0111</t>
  </si>
  <si>
    <t>PORTO 1W (350mA) - 2W (700mA) 36º  IP65 WHITE CRI85 2700K</t>
  </si>
  <si>
    <t>H1.4004.0111</t>
  </si>
  <si>
    <t>ALGARVE 1W (350mA) - 2W (700mA)  IP65 WHITE CRI85 2700K</t>
  </si>
  <si>
    <t>H1.4003.0111</t>
  </si>
  <si>
    <t>SINTRA 1W (350mA) - 2W (700mA)  IP65 WHITE CRI85 2700K</t>
  </si>
  <si>
    <t>H1.5190.1190</t>
  </si>
  <si>
    <t>BOGOTA TRACK SPOTLIGHT 50W  100-240V WHITE  GU10</t>
  </si>
  <si>
    <t>H1.5190.1290</t>
  </si>
  <si>
    <t>BOGOTA TRACK SPOTLIGHT 50W  100-240V BLACK  GU10</t>
  </si>
  <si>
    <t>H1.5020.7111</t>
  </si>
  <si>
    <t>PORTUGAL 7W  24º IP20 3 PHASES TRIAC 220-240V  WHITE  2700K</t>
  </si>
  <si>
    <t>H1.5020.7211</t>
  </si>
  <si>
    <t>PORTUGAL 7W  24º IP20 3 PHASES TRIAC 220-240V  BLACK  2700K</t>
  </si>
  <si>
    <t>H1.5020.8001</t>
  </si>
  <si>
    <t>PORTUGAL 7 Acc. LENS 15º</t>
  </si>
  <si>
    <t>H1.5020.8002</t>
  </si>
  <si>
    <t>PORTUGAL 7 Acc. LENS 36º</t>
  </si>
  <si>
    <t>H1.5020.8003</t>
  </si>
  <si>
    <t>PORTUGAL 7 Acc. LENS 45º</t>
  </si>
  <si>
    <t>H1.5020.8005</t>
  </si>
  <si>
    <t>PORTUGAL 7  Acc. HONEYCOMB ANTI-GLARE</t>
  </si>
  <si>
    <t>H1.5031.1112</t>
  </si>
  <si>
    <t>AUSTRALIA 8W  24º IP20 220-240V 3 FASES  WHITE  3000K</t>
  </si>
  <si>
    <t>H1.5031.1212</t>
  </si>
  <si>
    <t>AUSTRALIA 8W  24º IP20 220-240V 3 FASES  BLACK  3000K</t>
  </si>
  <si>
    <t>H1.5031.8001</t>
  </si>
  <si>
    <t>AUSTRALIA Acc. LENS 15º</t>
  </si>
  <si>
    <t>H1.5031.8002</t>
  </si>
  <si>
    <t>AUSTRALIA Acc. LENS 36º</t>
  </si>
  <si>
    <t>H1.5031.8005</t>
  </si>
  <si>
    <t>AUSTRALIA Acc. HONEYCOMB ANTI-GLARE</t>
  </si>
  <si>
    <t>H1.5051.1112</t>
  </si>
  <si>
    <t>GERMANY 10W  24º IP20 100-240V 3 FASES  WHITE  3000K</t>
  </si>
  <si>
    <t>H1.5051.1212</t>
  </si>
  <si>
    <t>GERMANY 10W  24º IP20 100-240V 3 FASES  BLACK  3000K</t>
  </si>
  <si>
    <t>H1.5051.8001</t>
  </si>
  <si>
    <t>GERMANY 10W Acc. LENS 15º</t>
  </si>
  <si>
    <t>H1.5051.8002</t>
  </si>
  <si>
    <t>GERMANY 10W Acc. LENS 36º</t>
  </si>
  <si>
    <t>H1.5056.1112</t>
  </si>
  <si>
    <t>GERMANY 20W  24º IP20 100-240V 3 FASES  WHITE  3000K</t>
  </si>
  <si>
    <t>H1.5056.1212</t>
  </si>
  <si>
    <t>GERMANY 20W  24º IP20 100-240V 3 FASES  BLACK  3000K</t>
  </si>
  <si>
    <t>H1.5056.8001</t>
  </si>
  <si>
    <t>GERMANY 20W Acc. LENS 15º</t>
  </si>
  <si>
    <t>H1.5056.8002</t>
  </si>
  <si>
    <t>GERMANY 20W Acc. LENS 36º</t>
  </si>
  <si>
    <t>H1.5026.1118</t>
  </si>
  <si>
    <t>BERLIN 14-20  45º  IP20 220-240V 3 PHASES  WHITE  2K7-3K2-4K</t>
  </si>
  <si>
    <t>H1.5026.1218</t>
  </si>
  <si>
    <t>BERLIN 14-20  45º  IP20 220-240V 3 PHASES  BLACK  2K7-3K2-4K</t>
  </si>
  <si>
    <t>H1.5026.8001</t>
  </si>
  <si>
    <t>BERLIN 14-20 Acc. REFLECTOR 60º</t>
  </si>
  <si>
    <t>H1.5027.1118</t>
  </si>
  <si>
    <t>BERLIN 21-30  45º  IP20 220-240V 3 PHASES  WHITE  2K7-3K2-4K</t>
  </si>
  <si>
    <t>H1.5027.1218</t>
  </si>
  <si>
    <t>BERLIN 21-30  45º  IP20 220-240V 3 PHASES  BLACK  2K7-3K2-4K</t>
  </si>
  <si>
    <t>H1.5027.8001</t>
  </si>
  <si>
    <t>BERLIN 21-30 Acc. REFLECTOR 60º</t>
  </si>
  <si>
    <t>H1.5112.1112</t>
  </si>
  <si>
    <t>FRANCE 10W WHITE 36º IP20 100-240V  3 PHASES  3000K</t>
  </si>
  <si>
    <t>H1.5112.1114</t>
  </si>
  <si>
    <t>FRANCE 10W WHITE 36º IP20 100-240V  3 PHASES  4000K</t>
  </si>
  <si>
    <t>H1.5112.1212</t>
  </si>
  <si>
    <t>FRANCE 10W BLACK 36º IP20 100-240V  3 PHASES  3000K</t>
  </si>
  <si>
    <t>H1.5112.1214</t>
  </si>
  <si>
    <t>FRANCE 10W BLACK 36º IP20 100-240V  3 PHASES  4000K</t>
  </si>
  <si>
    <t>H1.5112.8001</t>
  </si>
  <si>
    <t>FRANCE 10W Acc. REFLECTOR 15º</t>
  </si>
  <si>
    <t>H1.5112.8002</t>
  </si>
  <si>
    <t>FRANCE 10W Acc. REFLECTOR 24º</t>
  </si>
  <si>
    <t>H1.5122.1112</t>
  </si>
  <si>
    <t>FRANCE 20W WHITE 36º IP20 100-240V  3 PHASES  3000K</t>
  </si>
  <si>
    <t>H1.5122.1114</t>
  </si>
  <si>
    <t>FRANCE 20W WHITE 36º IP20 100-240V  3 PHASES  4000K</t>
  </si>
  <si>
    <t>H1.5122.1212</t>
  </si>
  <si>
    <t>FRANCE 20W BLACK 36º IP20 100-240V  3 PHASES  3000K</t>
  </si>
  <si>
    <t>H1.5122.1214</t>
  </si>
  <si>
    <t>FRANCE 20W BLACK 36º IP20 100-240V  3 PHASES  4000K</t>
  </si>
  <si>
    <t>H1.5122.8001</t>
  </si>
  <si>
    <t>FRANCE 20W Acc. REFLECTOR 15º</t>
  </si>
  <si>
    <t>H1.5122.8002</t>
  </si>
  <si>
    <t>FRANCE 20W Acc. REFLECTOR 24º</t>
  </si>
  <si>
    <t>H1.5132.1112</t>
  </si>
  <si>
    <t>FRANCE 30W WHITE 36º IP20 100-240V  3 PHASES  3000K</t>
  </si>
  <si>
    <t>H1.5132.1114</t>
  </si>
  <si>
    <t>FRANCE 30W WHITE 36º IP20 100-240V  3 PHASES  4000K</t>
  </si>
  <si>
    <t>H1.5132.1212</t>
  </si>
  <si>
    <t>FRANCE 30W BLACK 36º IP20 100-240V  3 PHASES  3000K</t>
  </si>
  <si>
    <t>H1.5132.1214</t>
  </si>
  <si>
    <t>FRANCE 30W BLACK 36º IP20 100-240V  3 PHASES  4000K</t>
  </si>
  <si>
    <t>H1.5132.8001</t>
  </si>
  <si>
    <t>FRANCE 30W Acc. REFLECTOR 15º</t>
  </si>
  <si>
    <t>H1.5132.8002</t>
  </si>
  <si>
    <t>FRANCE 30W Acc. REFLECTOR 24º</t>
  </si>
  <si>
    <t>H1.5142.1112</t>
  </si>
  <si>
    <t>FRANCE 40W WHITE 36º IP20 100-240V  3 PHASES  3000K</t>
  </si>
  <si>
    <t>H1.5142.1114</t>
  </si>
  <si>
    <t>FRANCE 40W WHITE 36º IP20 100-240V  3 PHASES  4000K</t>
  </si>
  <si>
    <t>H1.5142.1212</t>
  </si>
  <si>
    <t>FRANCE 40W BLACK 36º IP20 100-240V  3 PHASES  3000K</t>
  </si>
  <si>
    <t>H1.5142.1214</t>
  </si>
  <si>
    <t>FRANCE 40W BLACK 36º IP20 100-240V  3 PHASES  4000K</t>
  </si>
  <si>
    <t>H1.5142.8001</t>
  </si>
  <si>
    <t>FRANCE 40W Acc. REFLECTOR 15º</t>
  </si>
  <si>
    <t>H1.5142.8002</t>
  </si>
  <si>
    <t>FRANCE 40W Acc. REFLECTOR 24º</t>
  </si>
  <si>
    <t>H1.5035.1118</t>
  </si>
  <si>
    <t>BONN 20  20W 30º 3 PHASES 220-240V WHITE  SWITCH 2K7-3K2-4K</t>
  </si>
  <si>
    <t>H1.5035.1218</t>
  </si>
  <si>
    <t>BONN 20  20W 30º 3 PHASES 220-240V BLACK  SWITCH 2K7-3K2-4K</t>
  </si>
  <si>
    <t>H1.5036.1118</t>
  </si>
  <si>
    <t>BONN 30  30W 30º 3 PHASES 220-240V WHITE  SWITCH 2K7-3K2-4K</t>
  </si>
  <si>
    <t>H1.5036.1218</t>
  </si>
  <si>
    <t>BONN 30  30W 30º 3 PHASES 220-240V BLACK  SWITCH 2K7-3K2-4K</t>
  </si>
  <si>
    <t>H1.5005.2118</t>
  </si>
  <si>
    <t>TOKYO 15  15º-50º IP20 3PH. 1-10V 15W 100-240V  WHITE  SWITCH 2K7-3K-4K</t>
  </si>
  <si>
    <t>H1.5005.2218</t>
  </si>
  <si>
    <t>TOKYO 15  15º-50º IP20 3PH. 1-10V 15W 100-240V  BLACK  SWITCH 2K7-3K-4K</t>
  </si>
  <si>
    <t>H1.5005.8001</t>
  </si>
  <si>
    <t>TOKYO Acc. HONEYCOMB ANTI-GLARE</t>
  </si>
  <si>
    <t>H1.5006.2118</t>
  </si>
  <si>
    <t>TOKYO 25  15º-50º IP20 3PH. 1-10V 25W 100-240V  WHITE  SWITCH 2K7-3K-4K</t>
  </si>
  <si>
    <t>H1.5006.2218</t>
  </si>
  <si>
    <t>TOKYO 25  15º-50º IP20 3PH. 1-10V 25W 100-240V  BLACK  SWITCH 2K7-3K-4K</t>
  </si>
  <si>
    <t>H1.5001.2112</t>
  </si>
  <si>
    <t>JAPAN ZOOM 25W  15º-50º  100-240V  1-10V  IP20 3 PHASES  WHITE  3000K</t>
  </si>
  <si>
    <t>H1.5001.2114</t>
  </si>
  <si>
    <t>JAPAN ZOOM 25W  15º-50º  100-240V  1-10V  IP20 3 PHASES  WHITE  4000K</t>
  </si>
  <si>
    <t>H1.5001.2212</t>
  </si>
  <si>
    <t>JAPAN ZOOM 25W  15º-50º  100-240V  1-10V  IP20 3 PHASES  BLACK  3000K</t>
  </si>
  <si>
    <t>H1.5001.2214</t>
  </si>
  <si>
    <t>JAPAN ZOOM 25W  15º-50º  100-240V  1-10V  IP20 3 PHASES  BLACK  4000K</t>
  </si>
  <si>
    <t>H1.5000.8102</t>
  </si>
  <si>
    <t>3PH. SURFACE TRACK 2m ON-OFF  WHITE</t>
  </si>
  <si>
    <t>H1.5000.8202</t>
  </si>
  <si>
    <t>3PH. SURFACE TRACK 2m ON-OFF  BLACK</t>
  </si>
  <si>
    <t>H1.5000.8103</t>
  </si>
  <si>
    <t>3PH. SURFACE TRACK 3m ON-OFF  WHITE</t>
  </si>
  <si>
    <t>H1.5000.8203</t>
  </si>
  <si>
    <t>3PH. SURFACE TRACK 3m ON-OFF  BLACK</t>
  </si>
  <si>
    <t>H1.5000.8110</t>
  </si>
  <si>
    <t>3PH. TRACK Acc. LIVE END LEFT ON-OFF  WHITE</t>
  </si>
  <si>
    <t>H1.5000.8111</t>
  </si>
  <si>
    <t>3PH. TRACK Acc. LIVE END RIGHT ON-OFF  WHITE</t>
  </si>
  <si>
    <t>H1.5000.8210</t>
  </si>
  <si>
    <t>3PH. TRACK Acc. LIVE END LEFT ON-OFF  BLACK</t>
  </si>
  <si>
    <t>H1.5000.8211</t>
  </si>
  <si>
    <t>3PH. TRACK Acc. LIVE END RIGHT ON-OFF  BLACK</t>
  </si>
  <si>
    <t>H1.5000.8118</t>
  </si>
  <si>
    <t>3PH. TRACK Acc. END CAP  ON-OFF / DALI WHITE</t>
  </si>
  <si>
    <t>H1.5000.8218</t>
  </si>
  <si>
    <t>3PH. TRACK Acc. END CAP  ON-OFF / DALI BLACK</t>
  </si>
  <si>
    <t>H1.5000.8116</t>
  </si>
  <si>
    <t>3PH TRACK Acc. JOINT CONNECTOR  ON-OFF WHITE</t>
  </si>
  <si>
    <t>H1.5000.8216</t>
  </si>
  <si>
    <t>3PH TRACK Acc. JOINT CONNECTOR  ON-OFF BLACK</t>
  </si>
  <si>
    <t>H1.5000.8112</t>
  </si>
  <si>
    <t>3PH TRACK Acc. LIVE CONNECTOR ON-OFF  WHITE</t>
  </si>
  <si>
    <t>H1.5000.8212</t>
  </si>
  <si>
    <t>3PH. TRACK Acc. LIVE CONNECTOR ON-OFF  BLACK</t>
  </si>
  <si>
    <t>H1.5000.8113</t>
  </si>
  <si>
    <t>3PH TRACK Acc. LEFT CORNER ON-OFF  WHITE</t>
  </si>
  <si>
    <t>H1.5000.8114</t>
  </si>
  <si>
    <t>3PH TRACK Acc. RIGHT CORNER ON-OFF  WHITE</t>
  </si>
  <si>
    <t>H1.5000.8213</t>
  </si>
  <si>
    <t>3PH. TRACK Acc. LEFT CORNER ON-OFF  BLACK</t>
  </si>
  <si>
    <t>H1.5000.8214</t>
  </si>
  <si>
    <t>3PH. TRACK Acc. RIGHT CORNER ON-OFF  BLACK</t>
  </si>
  <si>
    <t>H1.5000.8120</t>
  </si>
  <si>
    <t>3PH TRACK Acc. T CONNECTOR LEFT L1-L2  ON-OFF  WHITE</t>
  </si>
  <si>
    <t>H1.5000.8121</t>
  </si>
  <si>
    <t>3PH TRACK Acc. T CONNECTOR RIGHT R1-R2  ON-OFF  WHITE</t>
  </si>
  <si>
    <t>H1.5000.8220</t>
  </si>
  <si>
    <t>3PH TRACK Acc. T CONNECTOR LEFT L1-L2  ON-OFF  BLACK</t>
  </si>
  <si>
    <t>H1.5000.8221</t>
  </si>
  <si>
    <t>3PH TRACK Acc. T CONNECTOR RIGHT R1-R2  ON-OFF  BLACK</t>
  </si>
  <si>
    <t>H1.5000.8117</t>
  </si>
  <si>
    <t>3PH. TRACK Acc. FLEX. CONNECTOR  ON-OFF WHITE</t>
  </si>
  <si>
    <t>H1.5000.8217</t>
  </si>
  <si>
    <t>3PH. TRACK Acc. FLEX. CONNECTOR  ON-OFF BLACK</t>
  </si>
  <si>
    <t>H1.5000.8001</t>
  </si>
  <si>
    <t>3PH TRACK Acc. SUSPENSION KIT 5m ADJUST. ON-OFF / DALI  WHITE</t>
  </si>
  <si>
    <t>H1.5000.8002</t>
  </si>
  <si>
    <t>3PH TRACK Acc. SUSPENSION KIT 5m ADJUST. ON-OFF / DALI  BLACK</t>
  </si>
  <si>
    <t>H1.5000.8101</t>
  </si>
  <si>
    <t>3PH. MOUNTING BASE WHITE</t>
  </si>
  <si>
    <t>H1.5000.8201</t>
  </si>
  <si>
    <t>3PH. MOUNTING BASE BLACK</t>
  </si>
  <si>
    <t>H1.5005.3118</t>
  </si>
  <si>
    <t>TOKYO 15W  15º-50º IP20 3PH. DALI  220-240V  WHITE  SWITCH 2K7-3K-4K</t>
  </si>
  <si>
    <t>H1.5005.3218</t>
  </si>
  <si>
    <t>TOKYO 15W  15º-50º IP20 3PH. DALI  220-240V  BLACK  SWITCH 2K7-3K-4K</t>
  </si>
  <si>
    <t>H1.5006.3118</t>
  </si>
  <si>
    <t>TOKYO 30W  15º-50º IP20 3PH. DALI  220-240V  WHITE  SWITCH 2K7-3K-4K</t>
  </si>
  <si>
    <t>H1.5006.3218</t>
  </si>
  <si>
    <t>TOKYO 30W  15º-50º IP20 3PH. DALI  220-240V  BLACK  SWITCH 2K7-3K-4K</t>
  </si>
  <si>
    <t>H1.5012.3118</t>
  </si>
  <si>
    <t>ROME 30W 38º IP20 3PH. DALI  220-240V  WHITE  SWITCH 2K7-3K-4K</t>
  </si>
  <si>
    <t>H1.5012.3218</t>
  </si>
  <si>
    <t>ROME 30W 38º IP20 3PH. DALI  220-240V  BLACK  SWITCH 2K7-3K-4K</t>
  </si>
  <si>
    <t>H1.5012.8001</t>
  </si>
  <si>
    <t>ROME Acc. LENS 15º</t>
  </si>
  <si>
    <t>H1.5012.8002</t>
  </si>
  <si>
    <t>ROME Acc. LENS 24º</t>
  </si>
  <si>
    <t>H1.5012.8003</t>
  </si>
  <si>
    <t>ROME Acc. HONEYCOMB ANTI-GLARE</t>
  </si>
  <si>
    <t>H1.5000.8152</t>
  </si>
  <si>
    <t>3PH. SURFACE TRACK 2m DALI  WHITE</t>
  </si>
  <si>
    <t>H1.5000.8252</t>
  </si>
  <si>
    <t>3PH. SURFACE TRACK 2m DALI  BLACK</t>
  </si>
  <si>
    <t>H1.5000.8153</t>
  </si>
  <si>
    <t>3PH. SURFACE TRACK 3m DALI  WHITE</t>
  </si>
  <si>
    <t>H1.5000.8253</t>
  </si>
  <si>
    <t>3PH. SURFACE TRACK 3m DALI  BLACK</t>
  </si>
  <si>
    <t>H1.5000.8160</t>
  </si>
  <si>
    <t>3PH. TRACK Acc. LIVE END LEFT DALI  WHITE</t>
  </si>
  <si>
    <t>H1.5000.8161</t>
  </si>
  <si>
    <t>3PH. TRACK Acc. LIVE END RIGHT DALI  WHITE</t>
  </si>
  <si>
    <t>H1.5000.8260</t>
  </si>
  <si>
    <t>3PH. TRACK Acc. LIVE END LEFT DALI  BLACK</t>
  </si>
  <si>
    <t>H1.5000.8261</t>
  </si>
  <si>
    <t>3PH. TRACK Acc. LIVE END RIGHT DALI  BLACK</t>
  </si>
  <si>
    <t>H1.5000.8166</t>
  </si>
  <si>
    <t>3PH TRACK Acc. JOINT CONNECTOR  DALI WHITE</t>
  </si>
  <si>
    <t>H1.5000.8266</t>
  </si>
  <si>
    <t>3PH TRACK Acc. JOINT CONNECTOR  DALI BLACK</t>
  </si>
  <si>
    <t>H1.5000.8162</t>
  </si>
  <si>
    <t>3PH TRACK Acc. LIVE CONNECTOR DALI  WHITE</t>
  </si>
  <si>
    <t>H1.5000.8262</t>
  </si>
  <si>
    <t>3PH. TRACK Acc. LIVE CONNECTOR DALI  BLACK</t>
  </si>
  <si>
    <t>H1.5000.8163</t>
  </si>
  <si>
    <t>3PH TRACK Acc. LEFT CORNER DALI  WHITE</t>
  </si>
  <si>
    <t>H1.5000.8164</t>
  </si>
  <si>
    <t>3PH TRACK Acc. RIGHT CORNER DALI  WHITE</t>
  </si>
  <si>
    <t>H1.5000.8263</t>
  </si>
  <si>
    <t>3PH. TRACK Acc. LEFT CORNER DALI  BLACK</t>
  </si>
  <si>
    <t>H1.5000.8264</t>
  </si>
  <si>
    <t>3PH. TRACK Acc. RIGHT CORNER DALI  BLACK</t>
  </si>
  <si>
    <t>H1.5000.8170</t>
  </si>
  <si>
    <t>3PH TRACK Acc. T CONNECTOR LEFT L1  DALI  WHITE</t>
  </si>
  <si>
    <t>H1.5000.8171</t>
  </si>
  <si>
    <t>3PH TRACK Acc. T CONNECTOR RIGHT R1  DALI  WHITE</t>
  </si>
  <si>
    <t>H1.5000.8270</t>
  </si>
  <si>
    <t>3PH TRACK Acc. T CONNECTOR LEFT L1  DALI  BLACK</t>
  </si>
  <si>
    <t>H1.5000.8271</t>
  </si>
  <si>
    <t>3PH TRACK Acc. T CONNECTOR RIGHT R1  DALI  BLACK</t>
  </si>
  <si>
    <t>H1.5000.8172</t>
  </si>
  <si>
    <t>3PH TRACK Acc. T CONNECTOR LEFT L2  DALI  WHITE</t>
  </si>
  <si>
    <t>H1.5000.8173</t>
  </si>
  <si>
    <t>3PH TRACK Acc. T CONNECTOR RIGHT R2  DALI  WHITE</t>
  </si>
  <si>
    <t>H1.5000.8272</t>
  </si>
  <si>
    <t>3PH TRACK Acc. T CONNECTOR LEFT L2  DALI  BLACK</t>
  </si>
  <si>
    <t>H1.5000.8273</t>
  </si>
  <si>
    <t>3PH TRACK Acc. T CONNECTOR RIGHT R2  DALI  BLACK</t>
  </si>
  <si>
    <t>H1.5000.8167</t>
  </si>
  <si>
    <t>3PH. TRACK Acc. FLEX. CONNECTOR  DALI WHITE</t>
  </si>
  <si>
    <t>H1.5000.8267</t>
  </si>
  <si>
    <t>3PH. TRACK Acc. FLEX. CONNECTOR  DALI BLACK</t>
  </si>
  <si>
    <t>H1.5601.1211</t>
  </si>
  <si>
    <t>ASSEN 10  10W 30º IP20  48V ON-OFF BLACK  2700K</t>
  </si>
  <si>
    <t>H1.5601.1212</t>
  </si>
  <si>
    <t>ASSEN 10  10W 30º IP20  48V ON-OFF BLACK  3000K</t>
  </si>
  <si>
    <t>H1.5601.3211</t>
  </si>
  <si>
    <t>ASSEN 10  10W 30º IP20  48V DALI BLACK  2700K</t>
  </si>
  <si>
    <t>H1.5601.3212</t>
  </si>
  <si>
    <t>ASSEN 10  10W 30º IP20  48V DALI BLACK  3000K</t>
  </si>
  <si>
    <t>H1.5602.1211</t>
  </si>
  <si>
    <t>ASSEN 15  15W 30º IP20  48V ON-OFF BLACK  2700K</t>
  </si>
  <si>
    <t>H1.5602.1212</t>
  </si>
  <si>
    <t>ASSEN 15  15W 30º IP20  48V ON-OFF BLACK  3000K</t>
  </si>
  <si>
    <t>H1.5602.3211</t>
  </si>
  <si>
    <t>ASSEN 15  15W 30º IP20  48V DALI BLACK  2700K</t>
  </si>
  <si>
    <t>H1.5602.3212</t>
  </si>
  <si>
    <t>ASSEN 15  15W 30º IP20  48V DALI BLACK  3000K</t>
  </si>
  <si>
    <t>H1.5603.1211</t>
  </si>
  <si>
    <t>ASSEN 20  20W 30º IP20  48V ON-OFF BLACK  2700K</t>
  </si>
  <si>
    <t>H1.5603.1212</t>
  </si>
  <si>
    <t>ASSEN 20  20W 30º IP20  48V ON-OFF BLACK  3000K</t>
  </si>
  <si>
    <t>H1.5603.3211</t>
  </si>
  <si>
    <t>ASSEN 20  20W 30º IP20  48V DALI BLACK  2700K</t>
  </si>
  <si>
    <t>H1.5603.3212</t>
  </si>
  <si>
    <t>ASSEN 20  20W 30º IP20  48V DALI BLACK  3000K</t>
  </si>
  <si>
    <t>H1.5601.8001</t>
  </si>
  <si>
    <t>ASSEN 10 Acc. HONEYCOMB ANTI-GLARE</t>
  </si>
  <si>
    <t>H1.5602.8001</t>
  </si>
  <si>
    <t>ASSEN 15 Acc. HONEYCOMB ANTI-GLARE</t>
  </si>
  <si>
    <t>H1.5603.8001</t>
  </si>
  <si>
    <t>ASSEN 20 Acc. HONEYCOMB ANTI-GLARE</t>
  </si>
  <si>
    <t>H1.5605.1211</t>
  </si>
  <si>
    <t>ASSEN 10 ZOOM  10W 15-36º 48V ON-OFF  IP20 BLACK  2700K</t>
  </si>
  <si>
    <t>H1.5605.1212</t>
  </si>
  <si>
    <t>ASSEN 10 ZOOM  10W 15-36º 48V ON-OFF  IP20 BLACK  3000K</t>
  </si>
  <si>
    <t>H1.5605.3211</t>
  </si>
  <si>
    <t>ASSEN 10 ZOOM  10W 15-36º 48V DALI  IP20 BLACK  2700K</t>
  </si>
  <si>
    <t>H1.5605.3212</t>
  </si>
  <si>
    <t>ASSEN 10 ZOOM  10W 15-36º 48V DALI  IP20 BLACK  3000K</t>
  </si>
  <si>
    <t>H1.5606.1211</t>
  </si>
  <si>
    <t>ASSEN 20 ZOOM  20W 15-36º 48V ON-OFF  IP20 BLACK  2700K</t>
  </si>
  <si>
    <t>H1.5606.1212</t>
  </si>
  <si>
    <t>ASSEN 20 ZOOM  20W 15-36º 48V ON-OFF  IP20 BLACK  3000K</t>
  </si>
  <si>
    <t>H1.5606.3211</t>
  </si>
  <si>
    <t>ASSEN 20 ZOOM  20W 15-36º 48V DALI  IP20 BLACK  2700K</t>
  </si>
  <si>
    <t>H1.5606.3212</t>
  </si>
  <si>
    <t>ASSEN 20 ZOOM  20W 15-36º 48V DALI  IP20 BLACK  3000K</t>
  </si>
  <si>
    <t>H1.5607.1211</t>
  </si>
  <si>
    <t>ASSEN 10 ZOOM PENDANT 10W 15-36º 48V ON-OFF  IP20 BLACK  2700K</t>
  </si>
  <si>
    <t>H1.5607.1212</t>
  </si>
  <si>
    <t>ASSEN 10 ZOOM PENDANT 10W 15-36º 48V ON-OFF  IP20 BLACK  3000K</t>
  </si>
  <si>
    <t>H1.5607.3211</t>
  </si>
  <si>
    <t>ASSEN 10 ZOOM PENDANT 10W 15-36º 48V DALI  IP20 BLACK  2700K</t>
  </si>
  <si>
    <t>H1.5607.3212</t>
  </si>
  <si>
    <t>ASSEN 10 ZOOM PENDANT 10W 15-36º 48V DALI  IP20 BLACK  3000K</t>
  </si>
  <si>
    <t>H1.5611.1211</t>
  </si>
  <si>
    <t>ASSEN 16 LENS 16W  30º  48V ON-OFF  IP20 BLACK  2700K</t>
  </si>
  <si>
    <t>H1.5611.1212</t>
  </si>
  <si>
    <t>ASSEN 16 LENS 16W  30º  48V ON-OFF  IP20 BLACK  3000K</t>
  </si>
  <si>
    <t>H1.5611.3211</t>
  </si>
  <si>
    <t>ASSEN 16 LENS 16W  30º  48V DALI  IP20 BLACK  2700K</t>
  </si>
  <si>
    <t>H1.5611.3212</t>
  </si>
  <si>
    <t>ASSEN 16 LENS 16W  30º  48V DALI  IP20 BLACK  3000K</t>
  </si>
  <si>
    <t>H1.5612.1211</t>
  </si>
  <si>
    <t>ASSEN 16 OPAL 16W  48V ON-OFF  IP20 BLACK  2700K</t>
  </si>
  <si>
    <t>H1.5612.1212</t>
  </si>
  <si>
    <t>ASSEN 16 OPAL 16W  48V ON-OFF  IP20 BLACK  3000K</t>
  </si>
  <si>
    <t>H1.5612.3211</t>
  </si>
  <si>
    <t>ASSEN 16 OPAL 16W  48V DALI  IP20 BLACK  2700K</t>
  </si>
  <si>
    <t>H1.5612.3212</t>
  </si>
  <si>
    <t>ASSEN 16 OPAL 16W  48V DALI  IP20 BLACK  3000K</t>
  </si>
  <si>
    <t>H1.5600.8201</t>
  </si>
  <si>
    <t>48V SURFACE TRACK 1m BLACK</t>
  </si>
  <si>
    <t>H1.5600.8202</t>
  </si>
  <si>
    <t>48V SURFACE TRACK 2m BLACK</t>
  </si>
  <si>
    <t>H1.5600.8210</t>
  </si>
  <si>
    <t>48V TRACK Acc. EMBELLISHMENT 2m BLACK</t>
  </si>
  <si>
    <t>H1.5600.8215</t>
  </si>
  <si>
    <t>48V SURFACE TRACK Acc. END CAP</t>
  </si>
  <si>
    <t>H1.5600.8211</t>
  </si>
  <si>
    <t>48V SURFACE TRACK Acc. JOINT L LEFT BLACK</t>
  </si>
  <si>
    <t>H1.5600.8212</t>
  </si>
  <si>
    <t>48V SURFACE TRACK Acc. JOINT L RIGHT BLACK</t>
  </si>
  <si>
    <t>H1.5600.8213</t>
  </si>
  <si>
    <t>48V SURFACE TRACK Acc. JOINT L WALL-CEILING BLACK</t>
  </si>
  <si>
    <t>H1.5600.8204</t>
  </si>
  <si>
    <t>48V DEEP TRACK 1m BLACK WITH EMBELLISHMENT</t>
  </si>
  <si>
    <t>H1.5600.8205</t>
  </si>
  <si>
    <t>48V DEEP TRACK 2m BLACK WITH EMBELLISHMENT</t>
  </si>
  <si>
    <t>H1.5600.8220</t>
  </si>
  <si>
    <t>48V DEEP TRACK Acc. END CAP</t>
  </si>
  <si>
    <t>H1.5600.8216</t>
  </si>
  <si>
    <t>48V DEEP TRACK Acc. JOINT L LEFT BLACK</t>
  </si>
  <si>
    <t>H1.5600.8217</t>
  </si>
  <si>
    <t>48V DEEP TRACK Acc. JOINT L RIGHT BLACK</t>
  </si>
  <si>
    <t>H1.5600.8218</t>
  </si>
  <si>
    <t>48V DEEP TRACK Acc. JOINT L WALL-CEILING BLACK</t>
  </si>
  <si>
    <t>H1.5600.8207</t>
  </si>
  <si>
    <t>48V RECESSED TRACK 1m BLACK WITH EMBELLISHMENT</t>
  </si>
  <si>
    <t>H1.5600.8208</t>
  </si>
  <si>
    <t>48V RECESSED TRACK 2m BLACK WITH EMBELLISHMENT</t>
  </si>
  <si>
    <t>H1.5600.8225</t>
  </si>
  <si>
    <t>48V RECESSED TRACK Acc. END CAP</t>
  </si>
  <si>
    <t>H1.5600.8221</t>
  </si>
  <si>
    <t>48V RECESSED TRACK Acc. JOINT L LEFT BLACK</t>
  </si>
  <si>
    <t>H1.5600.8222</t>
  </si>
  <si>
    <t>48V RECESSED TRACK Acc. JOINT L RIGHT BLACK</t>
  </si>
  <si>
    <t>H1.5600.8223</t>
  </si>
  <si>
    <t>48V RECESSED TRACK Acc. JOINT L WALL-CEILING BLACK</t>
  </si>
  <si>
    <t>H1.5600.8233</t>
  </si>
  <si>
    <t>48V RECESSED TRACK Acc. LIVE CONNECTOR BLACK</t>
  </si>
  <si>
    <t>H1.5600.8230</t>
  </si>
  <si>
    <t>48V TRACK Acc. LIVE END LEFT BLACK</t>
  </si>
  <si>
    <t>H1.5600.8231</t>
  </si>
  <si>
    <t>48V TRACK Acc. LIVE END RIGHT BLACK</t>
  </si>
  <si>
    <t>H1.5600.8232</t>
  </si>
  <si>
    <t>48V TRACK Acc. LIVE CONNECTOR BLACK</t>
  </si>
  <si>
    <t>H1.5600.8234</t>
  </si>
  <si>
    <t>48V TRACK Acc. LIVE CORNER BLACK</t>
  </si>
  <si>
    <t>H1.5600.8235</t>
  </si>
  <si>
    <t>48V TRACK Acc. FLEXIBLE CONNECTOR BLACK</t>
  </si>
  <si>
    <t>H1.5600.8001</t>
  </si>
  <si>
    <t>48V TRACK Acc. SUSPENSION KIT 3m BLACK</t>
  </si>
  <si>
    <t>H1.5600.8002</t>
  </si>
  <si>
    <t>48V TRACK Acc. INTEGRATED POWER SUPPLY 48V 220-240V 100W ON-OFF DALI BLACK</t>
  </si>
  <si>
    <t>H1.5600.8003</t>
  </si>
  <si>
    <t>48V TRACK Acc. INTEGRATED POWER SUPPLY 48V 220-240V 250W ON-OFF DALI BLACK</t>
  </si>
  <si>
    <t>H1.6004.0118</t>
  </si>
  <si>
    <t>CANADA Gen2 60x60  IP20 UGR19 WHITE  SWITCH 3K-3K5-4K</t>
  </si>
  <si>
    <t>H1.6004.8101</t>
  </si>
  <si>
    <t>CANADA Gen2 60x60  IP20 UGR19 Acc. SURFACE FRAME WHITE</t>
  </si>
  <si>
    <t>H1.6004.8001</t>
  </si>
  <si>
    <t>CANADA Gen2 60x60  IP20 UGR19 Acc. SPRINGS KIT (4 UDS)</t>
  </si>
  <si>
    <t>H1.6004.8002</t>
  </si>
  <si>
    <t>CANADA Gen2 60x60  IP20 UGR19 Acc. SUSPENSION KIT 1.5m (4 UDS)</t>
  </si>
  <si>
    <t>H1.6101.1414</t>
  </si>
  <si>
    <t>FINLAND 20W LED 120º IP65 100-240V GREY-OPAL  4000K</t>
  </si>
  <si>
    <t>H1.6102.1414</t>
  </si>
  <si>
    <t>FINLAND 40W LED 120º IP65 100-240V GREY-OPAL  4000K</t>
  </si>
  <si>
    <t>H1.6103.1414</t>
  </si>
  <si>
    <t>FINLAND 50W LED 120º IP65 100-240V GREY-OPAL  4000K</t>
  </si>
  <si>
    <t>H1.6153.2218</t>
  </si>
  <si>
    <t>POLAND Gen.2 100-125-150W LED 90º IP65 100-277V  1-10V  BLACK  3K5-4K-5K</t>
  </si>
  <si>
    <t>H1.6153.8204</t>
  </si>
  <si>
    <t>POLAND Gen.2  100-125-150W Acc. ALUMINIUM REFLECTOR BLACK</t>
  </si>
  <si>
    <t>H1.6153.8202</t>
  </si>
  <si>
    <t>POLAND Gen.2  100-125-150W Acc. WIRE GUARD BLACK</t>
  </si>
  <si>
    <t>H1.6153.8201</t>
  </si>
  <si>
    <t>POLAND Gen.2  100-125-150W Acc. CEILING/WALL BRACKET BLACK</t>
  </si>
  <si>
    <t>H1.6151.8003</t>
  </si>
  <si>
    <t>POLAND LED 100/150 Acc. SECURITY SLING</t>
  </si>
  <si>
    <t>H1.6153.8010</t>
  </si>
  <si>
    <t>POLAND Gen.2  100-125-150W Acc. MICROWAVE SENSOR w/REMOTE CONTROL</t>
  </si>
  <si>
    <t>H1.6153.8011</t>
  </si>
  <si>
    <t>POLAND Gen.2  100-125-150W Acc. BLUETOOTH MICROWAVE SENSOR</t>
  </si>
  <si>
    <t>H2.1001.0112</t>
  </si>
  <si>
    <t>ROMANIA 20  WHITE 60º IP65 18W 3000K</t>
  </si>
  <si>
    <t>H2.1001.0114</t>
  </si>
  <si>
    <t>ROMANIA 20  WHITE 60º IP65 18W 4000K</t>
  </si>
  <si>
    <t>H2.1002.0112</t>
  </si>
  <si>
    <t>ROMANIA 30  WHITE 60º IP65 26W 3000K</t>
  </si>
  <si>
    <t>H2.1002.0114</t>
  </si>
  <si>
    <t>ROMANIA 30  WHITE 60º IP65 26W 4000K</t>
  </si>
  <si>
    <t>H2.9005.1118</t>
  </si>
  <si>
    <t>MALMO S  3,5 - LUM. w/BATTERY IP65 WHITE  DIM  2K7-4K</t>
  </si>
  <si>
    <t>H2.9006.1118</t>
  </si>
  <si>
    <t>MALMO M  3,5 - LUM. w/BATTERY IP65 WHITE  DIM  2K7-4K</t>
  </si>
  <si>
    <t>H2.9003.1118</t>
  </si>
  <si>
    <t>SWEDEN Gen.2 2.2W - LUM. w/BATTERY IP65 WHITE  SWITCH  2K7-3K</t>
  </si>
  <si>
    <t>H2.9003.1318</t>
  </si>
  <si>
    <t>SWEDEN Gen.2 2.2W - LUM. w/BATTERY IP65 ANTHRACITE  SWITCH  2K7-3K</t>
  </si>
  <si>
    <t>H2.9001.1112</t>
  </si>
  <si>
    <t>MONACO 2W - LUM. w/BATTERY IP54 WHITE  3000K</t>
  </si>
  <si>
    <t>H2.2033.1190</t>
  </si>
  <si>
    <t>HELSINKI  SQUARE 50W  IP65  100-240V WHITE  GU10</t>
  </si>
  <si>
    <t>H2.2033.1390</t>
  </si>
  <si>
    <t>HELSINKI  SQUARE 50W  IP65  100-240V ANTHRACITE  GU10</t>
  </si>
  <si>
    <t>H2.2033.8001</t>
  </si>
  <si>
    <t>HELSINKI  Acc. HONEYCOMB ANTI-GLARE</t>
  </si>
  <si>
    <t>H2.2031.1190</t>
  </si>
  <si>
    <t>ESTONIA ROUND 35W  IP54 100-240V WHITE  GU10</t>
  </si>
  <si>
    <t>H2.2031.1390</t>
  </si>
  <si>
    <t>ESTONIA ROUND 35W  IP54 100-240V ANTHRACITE  GU10</t>
  </si>
  <si>
    <t>H2.2032.1190</t>
  </si>
  <si>
    <t>ESTONIA SQUARE 35W  IP54 100-240V WHITE  GU10</t>
  </si>
  <si>
    <t>H2.2032.1390</t>
  </si>
  <si>
    <t>ESTONIA SQUARE 35W  IP54 100-240V ANTHRACITE  GU10</t>
  </si>
  <si>
    <t>H2.2021.1112</t>
  </si>
  <si>
    <t>DENMARK ROUND 6W  IP54 100-240V WHITE  3000K</t>
  </si>
  <si>
    <t>H2.2021.1312</t>
  </si>
  <si>
    <t>DENMARK ROUND 6W  IP54 100-240V ANTHRACITE  3000K</t>
  </si>
  <si>
    <t>H2.2022.1112</t>
  </si>
  <si>
    <t>DENMARK SQUARE 6W  IP54 100-240V WHITE  3000K</t>
  </si>
  <si>
    <t>H2.2022.1312</t>
  </si>
  <si>
    <t>DENMARK SQUARE 6W  IP54 100-240V ANTHRACITE  3000K</t>
  </si>
  <si>
    <t>H2.2051.1112</t>
  </si>
  <si>
    <t>LATVIA PLAFO 25W IP54 220-240V WHITE  3000K</t>
  </si>
  <si>
    <t>H2.2051.1312</t>
  </si>
  <si>
    <t>LATVIA PLAFO 25W IP54 220-240V ANTHRACITE  3000K</t>
  </si>
  <si>
    <t>H2.2050.1112</t>
  </si>
  <si>
    <t>LITHUANIA PLAFO 30W IP54 100-240V WHITE  3000K</t>
  </si>
  <si>
    <t>H2.2050.1312</t>
  </si>
  <si>
    <t>LITHUANIA PLAFO 30W IP54 100-240V ANTHRACITE  3000K</t>
  </si>
  <si>
    <t>H2.3005.1112</t>
  </si>
  <si>
    <t>SCOTLAND 6W IP65 100-240V WHITE  3000K</t>
  </si>
  <si>
    <t>H2.3005.1312</t>
  </si>
  <si>
    <t>SCOTLAND 6W IP65 100-240V ANTHRACITE  3000K</t>
  </si>
  <si>
    <t>H2.3011.1112</t>
  </si>
  <si>
    <t>GHANA 6W  IP54 100-240V WHITE  3000K</t>
  </si>
  <si>
    <t>H2.3011.1312</t>
  </si>
  <si>
    <t>GHANA 6W  IP54 100-240V ANTHRACITE  3000K</t>
  </si>
  <si>
    <t>H2.3012.1112</t>
  </si>
  <si>
    <t>GHANA UP&amp;DOWN 12W  IP54 100-240V WHITE  3000K</t>
  </si>
  <si>
    <t>H2.3012.1312</t>
  </si>
  <si>
    <t>GHANA UP&amp;DOWN 12W  IP54 100-240V ANTHRACITE  3000K</t>
  </si>
  <si>
    <t>H2.3061.1112</t>
  </si>
  <si>
    <t>NAMIBIA 4W  IP54 100-240V WHITE  3000K</t>
  </si>
  <si>
    <t>H2.3061.1312</t>
  </si>
  <si>
    <t>NAMIBIA 4W  IP54 100-240V ANTHRACITE  3000K</t>
  </si>
  <si>
    <t>H2.3065.1112</t>
  </si>
  <si>
    <t>ZAMBIA UP&amp;DOWN 6W  IP54 100-240V WHITE  3000K</t>
  </si>
  <si>
    <t>H2.3065.1312</t>
  </si>
  <si>
    <t>ZAMBIA UP&amp;DOWN 6W  IP54 100-240V ANTHRACITE  3000K</t>
  </si>
  <si>
    <t>H2.3031.1112</t>
  </si>
  <si>
    <t>CHILE UP&amp;DOWN 6W  IP54 100-240V WHITE  3000K</t>
  </si>
  <si>
    <t>H2.3031.1312</t>
  </si>
  <si>
    <t>CHILE UP&amp;DOWN 6W  IP54 100-240V ANTHRACITE  3000K</t>
  </si>
  <si>
    <t>H2.3032.1112</t>
  </si>
  <si>
    <t>CHILE UP&amp;DOWN 12W  IP54 100-240V WHITE  3000K</t>
  </si>
  <si>
    <t>H2.3032.1312</t>
  </si>
  <si>
    <t>CHILE UP&amp;DOWN 12W  IP54 100-240V ANTHRACITE  3000K</t>
  </si>
  <si>
    <t>H2.3041.1112</t>
  </si>
  <si>
    <t>KOREA UP&amp;DOWN 9W  IP54 100-240V WHITE  3000K</t>
  </si>
  <si>
    <t>H2.3041.1312</t>
  </si>
  <si>
    <t>KOREA UP&amp;DOWN 9W  IP54 100-240V ANTHRACITE  3000K</t>
  </si>
  <si>
    <t>H2.3051.1112</t>
  </si>
  <si>
    <t>PANAMA UP&amp;DOWN 8W  IP54 100-240V WHITE  3000K</t>
  </si>
  <si>
    <t>H2.3051.1312</t>
  </si>
  <si>
    <t>PANAMA UP&amp;DOWN 8W  IP54 100-240V ANTHRACITE  3000K</t>
  </si>
  <si>
    <t>H2.3052.1112</t>
  </si>
  <si>
    <t>PANAMA UP&amp;DOWN 13W  IP54 100-240V WHITE  3000K</t>
  </si>
  <si>
    <t>H2.3052.1312</t>
  </si>
  <si>
    <t>PANAMA UP&amp;DOWN 13W  IP54 100-240V ANTHRACITE  3000K</t>
  </si>
  <si>
    <t>H2.3071.1112</t>
  </si>
  <si>
    <t>BENIN 6W  IP54 100-240V WHITE  3000K</t>
  </si>
  <si>
    <t>H2.3071.1312</t>
  </si>
  <si>
    <t>BENIN 6W  IP54 100-240V ANTHRACITE  3000K</t>
  </si>
  <si>
    <t>H2.3072.1112</t>
  </si>
  <si>
    <t>BENIN UP&amp;DOWN 12W  IP54 100-240V WHITE  3000K</t>
  </si>
  <si>
    <t>H2.3072.1312</t>
  </si>
  <si>
    <t>BENIN UP&amp;DOWN 12W  IP54 100-240V ANTHRACITE  3000K</t>
  </si>
  <si>
    <t>H2.3075.1112</t>
  </si>
  <si>
    <t>GUINEA UP&amp;DOWN 20W  IP65 220-240V WHITE  3000K</t>
  </si>
  <si>
    <t>H2.3075.1312</t>
  </si>
  <si>
    <t>GUINEA UP&amp;DOWN 20W  IP65 220-240V ANTHRACITE  3000K</t>
  </si>
  <si>
    <t>H2.3025.1112</t>
  </si>
  <si>
    <t>OSLO UP&amp;DOWN 9W 2x0º-100º IP54 100-240V WHITE  3000K</t>
  </si>
  <si>
    <t>H2.3025.1312</t>
  </si>
  <si>
    <t>OSLO UP&amp;DOWN 9W 2x0º-100º IP54 100-240V ANTHRACITE  3000K</t>
  </si>
  <si>
    <t>H2.3086.1118</t>
  </si>
  <si>
    <t>PALMA SQUARE  UP&amp;DOWN 2x5W 0-90º  IP65 100-240V WHITE  SWITCH 2K7-3K2-4K</t>
  </si>
  <si>
    <t>H2.3086.1318</t>
  </si>
  <si>
    <t>PALMA SQUARE  UP&amp;DOWN 2x5W 0-90º  IP65 100-240V ANTHRACITE  SWITCH 2K7-3K2-4K</t>
  </si>
  <si>
    <t>H2.3086.1618</t>
  </si>
  <si>
    <t>PALMA SQUARE  UP&amp;DOWN 2x5W 0-90º  IP65 100-240V CORTEN  SWITCH 2K7-3K2-4K</t>
  </si>
  <si>
    <t>H2.3085.1118</t>
  </si>
  <si>
    <t>PALMA ROUND  UP&amp;DOWN 2x5W 0-90º  IP65 100-240V WHITE  SWITCH 2K7-3K2-4K</t>
  </si>
  <si>
    <t>H2.3085.1318</t>
  </si>
  <si>
    <t>PALMA ROUND  UP&amp;DOWN 2x5W 0-90º  IP65 100-240V ANTHRACITE  SWITCH 2K7-3K2-4K</t>
  </si>
  <si>
    <t>H2.3085.1618</t>
  </si>
  <si>
    <t>PALMA ROUND  UP&amp;DOWN 2x5W 0-90º  IP65 100-240V CORTEN  SWITCH 2K7-3K2-4K</t>
  </si>
  <si>
    <t>H2.3055.1112</t>
  </si>
  <si>
    <t>KYOTO UP&amp;DOWN 2x6W  IP65 100-240V WHITE  3000K</t>
  </si>
  <si>
    <t>H2.3055.1312</t>
  </si>
  <si>
    <t>KYOTO UP&amp;DOWN 2x6W  IP65 100-240V ANTHRACITE  3000K</t>
  </si>
  <si>
    <t>H2.3100.1318</t>
  </si>
  <si>
    <t>JAMAICA 13  IP65 100-240V ANTHRACITE  SWITCH 3K-4K</t>
  </si>
  <si>
    <t>H2.3081.1112</t>
  </si>
  <si>
    <t>DUBAI 20 WHITE LED 20W 3000K CRI&gt;80 IP65 IK08 220-240V</t>
  </si>
  <si>
    <t>H2.3081.1312</t>
  </si>
  <si>
    <t>DUBAI 20 ANTHRACITE LED 20W 3000K CRI&gt;80 IP65 IK08 220-240V</t>
  </si>
  <si>
    <t>H2.3082.1112</t>
  </si>
  <si>
    <t>DUBAI 40 WHITE UP&amp;DOWN LED 2X20W 3000K CRI&gt;80 IP65 IK08 220-240V</t>
  </si>
  <si>
    <t>H2.3082.1312</t>
  </si>
  <si>
    <t>DUBAI 40 ANTHRACITE UPDOWN LED 2X20W 3000K CRI&gt;80 IP65 IK08 220-240V</t>
  </si>
  <si>
    <t>H2.3015.1412</t>
  </si>
  <si>
    <t>INDIA 4W  IP65 230V CONCRETE  3000K</t>
  </si>
  <si>
    <t>H2.2041.1190</t>
  </si>
  <si>
    <t>RUSSIA ROUND 35W IP54 100-240V WHITE  GU10</t>
  </si>
  <si>
    <t>H2.2041.1390</t>
  </si>
  <si>
    <t>RUSSIA ROUND 35W IP54 100-240V ANTHRACITE  GU10</t>
  </si>
  <si>
    <t>H2.2043.1190</t>
  </si>
  <si>
    <t>RUSSIA ROUND UP&amp;DOWN 35W  IP54 100-240V  WHITE  2xGU10</t>
  </si>
  <si>
    <t>H2.2043.1390</t>
  </si>
  <si>
    <t>RUSSIA ROUND UP&amp;DOWN 35W  IP54 100-240V  ANTHRACITE  2xGU10</t>
  </si>
  <si>
    <t>H2.2042.1190</t>
  </si>
  <si>
    <t>RUSSIA SQUARE 35W  IP54 100-240V WHITE  GU10</t>
  </si>
  <si>
    <t>H2.2042.1390</t>
  </si>
  <si>
    <t>RUSSIA SQUARE 35W  IP54 100-240V ANTHRACITE  GU10</t>
  </si>
  <si>
    <t>H2.2044.1190</t>
  </si>
  <si>
    <t>RUSSIA SQUARE UP&amp;DOWN 35W  IP54 100-240V  WHITE  2xGU10</t>
  </si>
  <si>
    <t>H2.2044.1390</t>
  </si>
  <si>
    <t>RUSSIA SQUARE UP&amp;DOWN 35W  IP54 100-240V  ANTHRACITE  2xGU10</t>
  </si>
  <si>
    <t>H2.4001.1112</t>
  </si>
  <si>
    <t>URUGUAY 3W  IP65 100-240V WHITE  3000K</t>
  </si>
  <si>
    <t>H2.4001.1312</t>
  </si>
  <si>
    <t>URUGUAY 3W  IP65 100-240V ANTHRACITE  3000K</t>
  </si>
  <si>
    <t>H2.4011.1112</t>
  </si>
  <si>
    <t>ATHENS ROUND 4W REC. IP54 100-240V  WHITE  3000K</t>
  </si>
  <si>
    <t>H2.4011.1312</t>
  </si>
  <si>
    <t>ATHENS ROUND 4W REC. IP54 100-240V  ANTHRACITE  3000K</t>
  </si>
  <si>
    <t>H2.4012.1112</t>
  </si>
  <si>
    <t>ATHENS SQUARE 4W REC. IP54 100-240V  WHITE  3000K</t>
  </si>
  <si>
    <t>H2.4012.1312</t>
  </si>
  <si>
    <t>ATHENS SQUARE 4W REC. IP54 100-240V  ANTHRACITE  3000K</t>
  </si>
  <si>
    <t>H2.4013.1112</t>
  </si>
  <si>
    <t>ATHENS RECTANGULAR 9W REC. IP54 100-240V  WHITE  3000K</t>
  </si>
  <si>
    <t>H2.4013.1312</t>
  </si>
  <si>
    <t>ATHENS RECTANGULAR 9W REC. IP54 100-240V  ANTHRACITE  3000K</t>
  </si>
  <si>
    <t>H2.3501.1112</t>
  </si>
  <si>
    <t>ATHENS ROUND 4W SURF. IP54 100-240V  WHITE  3000K</t>
  </si>
  <si>
    <t>H2.3501.1312</t>
  </si>
  <si>
    <t>ATHENS ROUND 4W SURF. IP54 100-240V  ANTHRACITE  3000K</t>
  </si>
  <si>
    <t>H2.3502.1112</t>
  </si>
  <si>
    <t>ATHENS SQUARE 4W SURF. IP54 100-240V  WHITE  3000K</t>
  </si>
  <si>
    <t>H2.3502.1312</t>
  </si>
  <si>
    <t>ATHENS SQUARE 4W SURF. IP54 100-240V  ANTHRACITE  3000K</t>
  </si>
  <si>
    <t>H2.3513.1112</t>
  </si>
  <si>
    <t>ATHENS RECTANGULAR 8W SURF. IP54 100-240V  WHITE  3000K</t>
  </si>
  <si>
    <t>H2.3513.1312</t>
  </si>
  <si>
    <t>ATHENS RECTANGULAR 8W SURF. IP54 100-240V  ANTHRACITE  3000K</t>
  </si>
  <si>
    <t>H2.3511.1112</t>
  </si>
  <si>
    <t>ATHENS ROUND 9W SURF. IP54 100-240V  WHITE  3000K</t>
  </si>
  <si>
    <t>H2.3511.1312</t>
  </si>
  <si>
    <t>ATHENS ROUND 9W SURF. IP54 100-240V  ANTHRACITE  3000K</t>
  </si>
  <si>
    <t>H2.3512.1112</t>
  </si>
  <si>
    <t>ATHENS SQUARE 9W SURF. IP54 100-240V  WHITE  3000K</t>
  </si>
  <si>
    <t>H2.3512.1312</t>
  </si>
  <si>
    <t>ATHENS SQUARE 9W SURF. IP54 100-240V  ANTHRACITE  3000K</t>
  </si>
  <si>
    <t>H2.5220.1390</t>
  </si>
  <si>
    <t>NETHERLANDS 35W  IP65 100-240V ANTHRACITE  GU10</t>
  </si>
  <si>
    <t>H2.5220.1490</t>
  </si>
  <si>
    <t>NETHERLANDS 35W  IP65 100-240V GREY  GU10</t>
  </si>
  <si>
    <t>H2.5220.1690</t>
  </si>
  <si>
    <t>NETHERLANDS 35W  IP65 100-240V CORTEN  GU10</t>
  </si>
  <si>
    <t>H2.5220.8001</t>
  </si>
  <si>
    <t>NETHERLAND 35W  Acc. HONEYCOMB ANTI-GLARE</t>
  </si>
  <si>
    <t>H2.5201.1312</t>
  </si>
  <si>
    <t>BELGIUM 3W  IP65 100-240V ANTHRACITE  3000K</t>
  </si>
  <si>
    <t>H2.5203.1312</t>
  </si>
  <si>
    <t>BELGIUM 9W  IP65 100-240V ANTHRACITE  3000K</t>
  </si>
  <si>
    <t>H2.5204.1312</t>
  </si>
  <si>
    <t>BELGIUM 12W  IP65 100-240V ANTHRACITE  3000K</t>
  </si>
  <si>
    <t>H2.5215.1312</t>
  </si>
  <si>
    <t>CANNES 10  45º IP65 220-240V ANTHRACITE  3000K</t>
  </si>
  <si>
    <t>H2.5216.1312</t>
  </si>
  <si>
    <t>CANNES 20  70º IP65 220-240V ANTHRACITE  3000K</t>
  </si>
  <si>
    <t>H2.5211.1312</t>
  </si>
  <si>
    <t>HAITI ZOOM 8W  18º-60º IP65 100-240V  ANTHRACITE  3000K</t>
  </si>
  <si>
    <t>H2.4101.1512</t>
  </si>
  <si>
    <t>BULGARIA 1W  25º IP67 350mA INOX 316   3000K</t>
  </si>
  <si>
    <t>H2.4105.0512</t>
  </si>
  <si>
    <t>MOROCCO (1 SIDE) 1W(350mA) - 2W(700mA) IP67 ALUMINIUM CRI85 3000K</t>
  </si>
  <si>
    <t>H2.4106.0512</t>
  </si>
  <si>
    <t>MOROCCO (2 SIDES) 1W (350mA) 2W (700mA) IP67 ALUMINIUM CRI85 3000K</t>
  </si>
  <si>
    <t>H2.4111.1512</t>
  </si>
  <si>
    <t>SERBIA 9W  50º IP67 100-240V INOX316  3000K</t>
  </si>
  <si>
    <t>H2.4112.1512</t>
  </si>
  <si>
    <t>SERBIA 20W Dim.  80º IP67 220-240V INOX316  3000K</t>
  </si>
  <si>
    <t>H2.4210.1512</t>
  </si>
  <si>
    <t>UKRAINE 6W  25º ORIENT. IP67 220-240V  INOX 316  3000K</t>
  </si>
  <si>
    <t>H2.4130.0512</t>
  </si>
  <si>
    <t>ZURICH 3W 36º IP67 IK08 24V  INOX 316  3000K</t>
  </si>
  <si>
    <t>H2.4131.0512</t>
  </si>
  <si>
    <t>ZURICH 3W 36º IP67 IK08 - HONEYCOMB 24V  INOX 316  3000K</t>
  </si>
  <si>
    <t>H2.4132.0512</t>
  </si>
  <si>
    <t>ZURICH 13W 36º IP67 IK08 24V  INOX 316  3000K</t>
  </si>
  <si>
    <t>H2.4133.0512</t>
  </si>
  <si>
    <t>ZURICH 13W 36º IP67 IK08 - HONEYCOMB 24V  INOX 316  3000K</t>
  </si>
  <si>
    <t>H2.4115.0512</t>
  </si>
  <si>
    <t>SWITZERLAND 8  5º IP67 IK08 700mA 8.5W ALUMINIUM CRI90 3000K</t>
  </si>
  <si>
    <t>H2.4116.0512</t>
  </si>
  <si>
    <t>SWITZERLAND 10  20º IP67 IK08 500mA 9.5W ALUMINIUM CRI90 3000K</t>
  </si>
  <si>
    <t>H2.4120.1590</t>
  </si>
  <si>
    <t>IRELAND 35W  IP67 100-240V INOX 316  GU10</t>
  </si>
  <si>
    <t>H2.4220.1590</t>
  </si>
  <si>
    <t>HUNGARY 35W  ADJUST. IP67 100-240V INOX 316  GU10</t>
  </si>
  <si>
    <t>H2.4121.1312</t>
  </si>
  <si>
    <t>DUBLIN (1 SIDE) 6W 30ºIP67 IK10 100-240V ANTHRACITE 3000K</t>
  </si>
  <si>
    <t>H2.4122.1312</t>
  </si>
  <si>
    <t>DUBLIN (2 SIDES) 2x6W 2x30ºIP67 IK10 100-240V ANTHRACITE 3000K</t>
  </si>
  <si>
    <t>H2.4124.1312</t>
  </si>
  <si>
    <t>DUBLIN (4 SIDES) 4x3W 4x30ºIP67 IK10 100-240V ANTHRACITE 3000K</t>
  </si>
  <si>
    <t>H2.7020.1311</t>
  </si>
  <si>
    <t>BELIZE 250  BOLLARD  8W  IP65  IK06 100-240V ANTHRACITE  2700K</t>
  </si>
  <si>
    <t>H2.7020.1312</t>
  </si>
  <si>
    <t>BELIZE 250  BOLLARD  8W  IP65  IK06 100-240V ANTHRACITE  3000K</t>
  </si>
  <si>
    <t>H2.7021.1311</t>
  </si>
  <si>
    <t>BELIZE 650  BOLLARD  8W  IP65  IK06 100-240V ANTHRACITE  2700K</t>
  </si>
  <si>
    <t>H2.7021.1312</t>
  </si>
  <si>
    <t>BELIZE 650  BOLLARD  8W  IP65  IK06 100-240V ANTHRACITE  3000K</t>
  </si>
  <si>
    <t>H2.7015.1112</t>
  </si>
  <si>
    <t>CYPRUS 12W BOLLARD 80cm Dia.12cm IP65 100-240V WHITE 3000K</t>
  </si>
  <si>
    <t>H2.7015.1312</t>
  </si>
  <si>
    <t>CYPRUS 12W BOLLARD 80cm Dia.12cm IP65 100-240V ANTHRACITE  3000K</t>
  </si>
  <si>
    <t>H2.7013.1318</t>
  </si>
  <si>
    <t>JAMAICA 13  BOLLARD 45cm IP65 100-240V ANTHRACITE  SWITCH 3K-4K</t>
  </si>
  <si>
    <t>H2.7001.1412</t>
  </si>
  <si>
    <t>INDIA 8W BOLLARD 35x28cm IP65 100-240V CONCRETE  3000K</t>
  </si>
  <si>
    <t>H2.7005.1412</t>
  </si>
  <si>
    <t>INDIA 8W BOLLARD 30cm IP65 100-240V CONCRETE  3000K</t>
  </si>
  <si>
    <t>H2.7006.1412</t>
  </si>
  <si>
    <t>INDIA 8W BOLLARD 70cm IP65 100-240V CONCRETE  3000K</t>
  </si>
  <si>
    <t>H4.1031.1102</t>
  </si>
  <si>
    <t>DRIVER 220-240V  120mA  4.8W ON-OFF  IP20 - LS-6-xxx-SI E</t>
  </si>
  <si>
    <t>H4.1031.1103</t>
  </si>
  <si>
    <t>DRIVER 220-240V  180mA  7.2W ON-OFF  IP20 - LS-6-xxx-SI E</t>
  </si>
  <si>
    <t>H4.1031.1101</t>
  </si>
  <si>
    <t>DRIVER 220-240V  300-700mA  21W ON-OFF  IP20</t>
  </si>
  <si>
    <t>H4.1011.1303</t>
  </si>
  <si>
    <t>DRIVER 100-240V  350mA  3.5W ON-OFF  IP65</t>
  </si>
  <si>
    <t>H4.1069.1101</t>
  </si>
  <si>
    <t>DRIVER 240V CB  150-500mA  21W ON-OFF  IP20</t>
  </si>
  <si>
    <t>H4.1022.1101</t>
  </si>
  <si>
    <t>DRIVER 100-277V  500mA  3.5W ON-OFF  IP20</t>
  </si>
  <si>
    <t>H4.1032.1103</t>
  </si>
  <si>
    <t>DRIVER 220-240V  500mA  2.5-5W MINI ON-OFF  IP20</t>
  </si>
  <si>
    <t>H4.1012.1101</t>
  </si>
  <si>
    <t>DRIVER 100-240V  500mA   6-9W ON-OFF  IP20</t>
  </si>
  <si>
    <t>H4.1012.1102</t>
  </si>
  <si>
    <t>DRIVER 100-240V  500mA  14W-20W ON-OFF  IP20</t>
  </si>
  <si>
    <t>H4.1012.1301</t>
  </si>
  <si>
    <t>DRIVER 100-240V  500mA  4-12W ON-OFF  IP65</t>
  </si>
  <si>
    <t>H4.1131.1101</t>
  </si>
  <si>
    <t>DRIVER 1-3W  600mA  100-240V ON-OFF  IP20 CONECTOR T7</t>
  </si>
  <si>
    <t>H4.1013.1103</t>
  </si>
  <si>
    <t>DRIVER 100-240V  600mA  12-25W ON-OFF  IP20</t>
  </si>
  <si>
    <t>H4.1013.1304</t>
  </si>
  <si>
    <t>DRIVER 100-240V  700mA   3W ON-OFF  IP65</t>
  </si>
  <si>
    <t>H4.1013.1301</t>
  </si>
  <si>
    <t>DRIVER 100-240V  700mA  4W-12W ON-OFF  IP65</t>
  </si>
  <si>
    <t>H4.1013.1106</t>
  </si>
  <si>
    <t>DRIVER 100-240V  700mA   19-30W ON-OFF  IP20</t>
  </si>
  <si>
    <t>H4.1013.1105</t>
  </si>
  <si>
    <t>DRIVER 100-240V  700mA  19-30W ON-OFF  IP20</t>
  </si>
  <si>
    <t>H4.1033.1102</t>
  </si>
  <si>
    <t>DRIVER 220-240V  700mA  3.1W ON-OFF  IP20 - LS-3-xxx-SI E</t>
  </si>
  <si>
    <t>H4.1033.1103</t>
  </si>
  <si>
    <t>DRIVER 220-240V  700mA  6.3W ON-OFF  IP20 - LS-6-xxx-SI E</t>
  </si>
  <si>
    <t>H4.1025.1101</t>
  </si>
  <si>
    <t>DRIVER 100-277V  950mA  25-40W ON-OFF  IP20</t>
  </si>
  <si>
    <t>H4.1015.1101</t>
  </si>
  <si>
    <t>DRIVER 100-240V  1000mA  2W-4W ON-OFF  IP20</t>
  </si>
  <si>
    <t>H4.1035.1102</t>
  </si>
  <si>
    <t>DRIVER 220-240V  1000mA  33-40W ON-OFF  IP20</t>
  </si>
  <si>
    <t>H4.1013.3101</t>
  </si>
  <si>
    <t>DRIVER 100-240V  600mA  15-25W DALI  IP20</t>
  </si>
  <si>
    <t>H4.1025.2101</t>
  </si>
  <si>
    <t>DRIVER 100-277V  950mA  25-40W 0-10V  IP20</t>
  </si>
  <si>
    <t>H4.1035.6101</t>
  </si>
  <si>
    <t>DRIVER 220-240V  950mA  29-40W 1-10V/DALI/PUSH  IP20</t>
  </si>
  <si>
    <t>H4.1039.6101</t>
  </si>
  <si>
    <t>DRIVER 200-240V  150-400mA  Max.12W DALI-PUSH  IP20</t>
  </si>
  <si>
    <t>H4.1069.6101</t>
  </si>
  <si>
    <t>DRIVER 240V CB  150-700mA  Max.26W DALI-PUSH  IP20</t>
  </si>
  <si>
    <t>H4.1069.6102</t>
  </si>
  <si>
    <t>DRIVER 240V CB  150-1050mA  8-42W DALI-PUSH  IP20</t>
  </si>
  <si>
    <t>H4.1019.6102</t>
  </si>
  <si>
    <t>DRIVER 100-265V  Max. 350-500mA  4.5-20W DALI-PUSH  IP20</t>
  </si>
  <si>
    <t>H4.1019.6103</t>
  </si>
  <si>
    <t>DRIVER 100-250V  Max. 550-700mA  18-30W DALI-PUSH  IP20</t>
  </si>
  <si>
    <t>H4.2042.1501</t>
  </si>
  <si>
    <t>POWER SUPPLY  100-240 CB  24V DC  20W ON-OFF  IP67</t>
  </si>
  <si>
    <t>H4.2042.1502</t>
  </si>
  <si>
    <t>POWER SUPPLY  100-240 CB  24V DC  60W ON-OFF  IP67</t>
  </si>
  <si>
    <t>H4.2014.1101</t>
  </si>
  <si>
    <t>POWER SUPPLY  100-240V  48V DC  150W ON-OFF  IP20</t>
  </si>
  <si>
    <t>H4.2034.1101</t>
  </si>
  <si>
    <t>POWER SUPPLY  200-240V  48V DC  240W ON-OFF  IP20</t>
  </si>
  <si>
    <t>H4.9101.5002</t>
  </si>
  <si>
    <t>FUENTE DE ALIMENTACION 120W 24V DC DIMERIZABLE BLUETOOTH IP67 CASAMBI</t>
  </si>
  <si>
    <t>H4.9231.0101</t>
  </si>
  <si>
    <t>KIT EMERGENCIA 1 HORA 220-240V  9-58V</t>
  </si>
  <si>
    <t>H4.3061.1101</t>
  </si>
  <si>
    <t>DRIVER 240V CB  250mA  3-12W ON-OFF  IP20</t>
  </si>
  <si>
    <t>H4.3061.1102</t>
  </si>
  <si>
    <t>DRIVER 240V CB  300mA  3-13W ON-OFF  IP20</t>
  </si>
  <si>
    <t>H4.3061.1103</t>
  </si>
  <si>
    <t>DRIVER 240V CB  350mA  3-15W ON-OFF  IP20</t>
  </si>
  <si>
    <t>H4.3041.1102</t>
  </si>
  <si>
    <t>DRIVER 100-240V CB  350mA  Max.9W ON-OFF  IP20</t>
  </si>
  <si>
    <t>H4.3041.1201</t>
  </si>
  <si>
    <t>DRIVER 100-240V CB  350mA  Max.8W ON-OFF  IP54</t>
  </si>
  <si>
    <t>H4.3062.1101</t>
  </si>
  <si>
    <t>DRIVER 240V CB  500mA  3-22W ON-OFF  IP20</t>
  </si>
  <si>
    <t>H4.3042.1101</t>
  </si>
  <si>
    <t>DRIVER 100-240V CB  500mA  Max.6W ON-OFF  IP20</t>
  </si>
  <si>
    <t>H4.3042.1601</t>
  </si>
  <si>
    <t>DRIVER 100-240V CB  500mA  Max.24W ON-OFF  IP68</t>
  </si>
  <si>
    <t>H4.3063.1101</t>
  </si>
  <si>
    <t>DRIVER 240V CB  700mA  3-30W ON-OFF  IP20</t>
  </si>
  <si>
    <t>H4.3043.1101</t>
  </si>
  <si>
    <t>DRIVER 100-240V CB  700mA  Max.3W ON-OFF  IP20</t>
  </si>
  <si>
    <t>H4.3043.1201</t>
  </si>
  <si>
    <t>DRIVER 100-240V CB  700mA  Max.6W ON-OFF  IP54</t>
  </si>
  <si>
    <t>H4.3043.1601</t>
  </si>
  <si>
    <t>DRIVER 100-240V CB  700mA  Max.30W ON-OFF  IP68</t>
  </si>
  <si>
    <t>H4.3064.1101</t>
  </si>
  <si>
    <t>DRIVER 240V CB  900mA  4.5-36W ON-OFF  IP20</t>
  </si>
  <si>
    <t>H4.3069.1101</t>
  </si>
  <si>
    <t>DRIVER 240V CB  125-500mA  3-22W ON-OFF  IP20</t>
  </si>
  <si>
    <t>H4.3069.1102</t>
  </si>
  <si>
    <t>DRIVER 240V CB  350-725mA  3-32W ON-OFF  IP20</t>
  </si>
  <si>
    <t>H4.3049.3102</t>
  </si>
  <si>
    <t>DRIVER 100-240V CB  250-700mA  Max.20W DALI  IP20</t>
  </si>
  <si>
    <t>H4.3069.6102</t>
  </si>
  <si>
    <t>DRIVER 240V CB  125-500mA  1.5-22W DALI-PUSH  IP20</t>
  </si>
  <si>
    <t>H4.3069.6101</t>
  </si>
  <si>
    <t>DRIVER 240V CB  300-1050mA  3-38W DALI-PUSH  IP20</t>
  </si>
  <si>
    <t>H4.9101.5001</t>
  </si>
  <si>
    <t>DRIVER MULTIPOWER BLUETOOTH 38W 300-1050 mA (10-36V)  CASAMBI</t>
  </si>
  <si>
    <t>H4.9102.5001</t>
  </si>
  <si>
    <t>DRIVER MULTIPOWER BLUETOOTH 38W 300-1050 mA (10-36V)  ZIGBEE</t>
  </si>
  <si>
    <t>H4.9103.5001</t>
  </si>
  <si>
    <t>H4.9101.1001</t>
  </si>
  <si>
    <t>BLUETOOTH SWITCH  WHITE CASAMBI</t>
  </si>
  <si>
    <t>H4.9101.1002</t>
  </si>
  <si>
    <t>BLUETOOTH SWITCH  BLACK CASAMBI</t>
  </si>
  <si>
    <t>H4.9101.1003</t>
  </si>
  <si>
    <t>BLUETOOTH DOUBLE FLAT PUSH BUTTON CASAMBI</t>
  </si>
  <si>
    <t>H4.9101.2001</t>
  </si>
  <si>
    <t>RELAY BLUETOOTH 1NA 10A CASAMBI</t>
  </si>
  <si>
    <t>H4.9101.2002</t>
  </si>
  <si>
    <t>DIMMER BROADCAST DALI BLUETOOTH 60 GROUPS  CASAMBI</t>
  </si>
  <si>
    <t>H4.9101.3001</t>
  </si>
  <si>
    <t>CENTRAL GATEWAY ANDROID  CASAMBI</t>
  </si>
  <si>
    <t>H4.9101.4001</t>
  </si>
  <si>
    <t>PRESENCE / BRIGHTNESS SENSOR RECESSED CASAMBI</t>
  </si>
  <si>
    <t>H4.9101.4002</t>
  </si>
  <si>
    <t>PRESENCE / BRIGHTNESS SENSOR SURFACE CASAMBI</t>
  </si>
  <si>
    <t>H5.0130.1122</t>
  </si>
  <si>
    <t>BORA BORA 100-265V 25W DC 5 Sp. IP20 28'' WHITE ABS / WHITE. LED 3K-4K5-6K</t>
  </si>
  <si>
    <t>H5.0160.0211</t>
  </si>
  <si>
    <t>GOMERA 220-240V 80W AC 3 Sp. IP44 52'' BEECH ABS / BEECH</t>
  </si>
  <si>
    <t>H5.0160.0222</t>
  </si>
  <si>
    <t>GOMERA 220-240V 80W AC 3 Sp. IP44 52'' WHITE ABS / WHITE</t>
  </si>
  <si>
    <t>H5.0110.2211</t>
  </si>
  <si>
    <t>POLYNESIA 220-240V 38W DC 6 Sp. IP20 52'' WASH OAK-WHITE PLYWOOD / WHITE</t>
  </si>
  <si>
    <t>H5.0110.2222</t>
  </si>
  <si>
    <t>POLYNESIA 220-240V 38W DC 6 Sp. IP20 52'' WALNUT-TEAK PLYWOOD / SATIN NICKEL</t>
  </si>
  <si>
    <t>H5.0100.8111</t>
  </si>
  <si>
    <t>ACC. KIT LED 18W 3K-4K-5K7 220-240V WHITE for SEYCHELLES/POLYNESIA</t>
  </si>
  <si>
    <t>H5.0100.8112</t>
  </si>
  <si>
    <t>ACC. KIT LED 18W 3K-4K-5K7 220-240V SATIN NICKEL for SEYCHELLES/POLYNESIA</t>
  </si>
  <si>
    <t>H5.0150.0211</t>
  </si>
  <si>
    <t>PASCUA 100-265V 32W DC 5 Sp. IP20 52'' WALNUT ABS  / MATT BLACK</t>
  </si>
  <si>
    <t>H5.0120.0222</t>
  </si>
  <si>
    <t>ZANZIBAR 100-240V 26W DC 5 Sp. IP20 52'' BEECH SOLID WOOD / SATIN NICKEL</t>
  </si>
  <si>
    <t>H5.0120.0211</t>
  </si>
  <si>
    <t>ZANZIBAR 100-240V 26W DC 5 Sp. IP20 52'' WALNUT SOLID WOOD / OLD BLACK</t>
  </si>
  <si>
    <t>H5.0120.8232</t>
  </si>
  <si>
    <t>ACC. DOWNROD 60cm SATIN NICKEL for ZANZIBAR</t>
  </si>
  <si>
    <t>H5.0120.8231</t>
  </si>
  <si>
    <t>ACC. DOWNROD 60cm OLD BLACK for ZANZIBAR</t>
  </si>
  <si>
    <t>H5.0100.2222</t>
  </si>
  <si>
    <t>SEYCHELLES 220-240V 38W DC 6 Sp. IP20 54'' BEECH SOLID WOOD / SATIN NICKEL</t>
  </si>
  <si>
    <t>H5.0100.2211</t>
  </si>
  <si>
    <t>SEYCHELLES 220-240V 38W DC 6 Sp. IP20 54'' WALNUT SOLID WOOD / MATT BLACK</t>
  </si>
  <si>
    <t>H5.0100.8113</t>
  </si>
  <si>
    <t>ACC. KIT LED 18W 3K-4K-5K7 220-240V OIL RUBBER BRONZE for SEYCHELLES/POLYNES</t>
  </si>
  <si>
    <t>H5.0140.1211</t>
  </si>
  <si>
    <t>KOBE 100-265V 38W DC 5 Sp. IP20 58'' SILVER ABS / SILVER. LED 3K-4K5-6K</t>
  </si>
  <si>
    <t>3ETLLED002MV30N</t>
  </si>
  <si>
    <t>APLIQUE DE PARED GUIA, 3000K, 3W.</t>
  </si>
  <si>
    <t>AVR_S970H</t>
  </si>
  <si>
    <t>PROCESADOR 7.2, RESOLUCION 4K, 90W POR CANAL.</t>
  </si>
  <si>
    <t>ALTAVOZ CENTRAL DE 5.25", 200 WATTS, 55 Hz → 40,000 Hz.</t>
  </si>
  <si>
    <t>XT20</t>
  </si>
  <si>
    <t>PAREJA DE ALTAVOCES DE 200 WATTS, 38 Hz → 40,000 Hz</t>
  </si>
  <si>
    <t>ES8SUB</t>
  </si>
  <si>
    <t>SUBWOOFER 8", 100W. 28HZ – 400Hz</t>
  </si>
  <si>
    <t>TE_CUS_12060</t>
  </si>
  <si>
    <t>TABLERO ELECTRICO CUSTOM CON BARRAJES, BORNERAS Y OTROS ACCESORIOS. 120cm X 60cm O SIMILAR</t>
  </si>
  <si>
    <t>LEDVANCE</t>
  </si>
  <si>
    <t>WW36W</t>
  </si>
  <si>
    <t>WALL WASHER DMX DE 36W</t>
  </si>
  <si>
    <t>VENTILADOR DE 3 ASPAS EN NOGAL</t>
  </si>
  <si>
    <t>RRD_PRO_BL</t>
  </si>
  <si>
    <t>RRD_8ANS_BL</t>
  </si>
  <si>
    <t>HQRA_8ANS_MN</t>
  </si>
  <si>
    <t>INTERRUPTOR HOMEWORKS RF DE 8 AMPERIOS</t>
  </si>
  <si>
    <t>ECO_66_A_2000</t>
  </si>
  <si>
    <t>SPOT DE 15W, ON-OFF, 4000K, CHASIS NEGRO O BLANCO, 2000Lm.</t>
  </si>
  <si>
    <t>ECO_66_A_3000</t>
  </si>
  <si>
    <t>SPOT DE 20W, ON-OFF, 4000K, CHASIS NEGRO O BLANCO, 3000Lm.</t>
  </si>
  <si>
    <t>R3F6M</t>
  </si>
  <si>
    <t>RIEL DE 6 METROS CON ACOPLAMIENTO DE FASE</t>
  </si>
  <si>
    <t>R3F4.5M</t>
  </si>
  <si>
    <t>RIEL DE 4.5 METROS CON ACOPLAMIENTO DE FASE</t>
  </si>
  <si>
    <t>R3F2.8M</t>
  </si>
  <si>
    <t>RIEL DE 2.8 METROS CON ACOPLAMIENTO DE FASE</t>
  </si>
  <si>
    <t>R3FC</t>
  </si>
  <si>
    <t>CONECTOR DE UNION DE FASE</t>
  </si>
  <si>
    <t>IL_CON_CIL</t>
  </si>
  <si>
    <t>COILINDRO EN CONCRETO DECORATIVO CON BOMBILLA PAR30 Y CORDON TEXTIL.</t>
  </si>
  <si>
    <t>IL_CAMP_CON</t>
  </si>
  <si>
    <t>CAMPANA EN CONCRETO DE CON CORDON TEXTIL DE ILUMINACION</t>
  </si>
  <si>
    <t>AW6_LS_BR</t>
  </si>
  <si>
    <t>ALTAVOZ DE EXTERIOR TIPO ESTACA DE 6 PULGADAS</t>
  </si>
  <si>
    <t>K_REV_STAR_LINK</t>
  </si>
  <si>
    <t>REVISION DE CONEXIÓN Y AJUSTES DE STAR LINK</t>
  </si>
  <si>
    <t>EXTXLR10</t>
  </si>
  <si>
    <t>EXTENSION DE CABLE CANON XLR DE 10 METROS</t>
  </si>
  <si>
    <t>RGEG105GV3</t>
  </si>
  <si>
    <t>ROUTER GIGA 5 PUERTOS ADMINISTRABLE NUBE.</t>
  </si>
  <si>
    <t>QP6_1L</t>
  </si>
  <si>
    <t xml:space="preserve">PROCESADOR ATHENA PRE ENSAMBLADO CON </t>
  </si>
  <si>
    <t>GENESIS</t>
  </si>
  <si>
    <t>G44035504</t>
  </si>
  <si>
    <t>CABLE DE INSTRUMENTACION DE 4 HILOS 4X18, 500Ft.</t>
  </si>
  <si>
    <t>LIGHTING SOLUTION</t>
  </si>
  <si>
    <t>L2669272</t>
  </si>
  <si>
    <t>LUMINARIA DOWNLIGHT DALI DE 26W</t>
  </si>
  <si>
    <t>Nuevo</t>
  </si>
  <si>
    <t>LUMINAROA DOWNLIGH DE 18W, 4000K</t>
  </si>
  <si>
    <t>TECNO_LAMP</t>
  </si>
  <si>
    <t>TPL_DL_25W_4000K</t>
  </si>
  <si>
    <t>LUMINARIA DOWNLIGHT DE 25W</t>
  </si>
  <si>
    <t>HERDIO</t>
  </si>
  <si>
    <t>HCS418</t>
  </si>
  <si>
    <t>PARLANTE 4", 80W.</t>
  </si>
  <si>
    <t>WB05</t>
  </si>
  <si>
    <t>MIRRORING DE PRESENTACION POR STREAMING DIGITAL</t>
  </si>
  <si>
    <t>FC12X54</t>
  </si>
  <si>
    <t>LUMINARIA DE SOBREPONER DE 2X54 LED</t>
  </si>
  <si>
    <t>TNP121</t>
  </si>
  <si>
    <t>GROMET DE CONEXIÓN VGA Y HDMI</t>
  </si>
  <si>
    <t>HWI_MI_120</t>
  </si>
  <si>
    <t>MODULOINTERACTIVO PARA HOMEWORKS SERIE 8</t>
  </si>
  <si>
    <t>MP_403H</t>
  </si>
  <si>
    <t>PROYECTOR</t>
  </si>
  <si>
    <t>NUEVO</t>
  </si>
  <si>
    <t>QSGRJ_6E</t>
  </si>
  <si>
    <t>GRAFIK EYE DE 6 ZONAS CON DIRECCIONAMIENTO DALI</t>
  </si>
  <si>
    <t>HWI_CCI_8</t>
  </si>
  <si>
    <t>TARJETA DE CONTACTOS SECOS DE ENTRADA</t>
  </si>
  <si>
    <t>TARJETA DE CONTACTOS SECOS DE SALIDA</t>
  </si>
  <si>
    <t>RG_AP810_L</t>
  </si>
  <si>
    <t>PUNTO DE ACCESO 1.775 Gbps, WIFI 6. ALIMENTACIÓN PoE</t>
  </si>
  <si>
    <t>DHI_NVR5216_EI</t>
  </si>
  <si>
    <t>PCCAT5_1M</t>
  </si>
  <si>
    <t>PATCH CORE DE 1M CAT5</t>
  </si>
  <si>
    <t>K_PROG_TABLE_I</t>
  </si>
  <si>
    <t>INICIALIZACION DE TABLETS CON SISTEMA OPERATIVO</t>
  </si>
  <si>
    <t>F03.8631.40B</t>
  </si>
  <si>
    <t>LIGHT SHADOW DOTS - Set of 1 Spot Designed by FLOS
Architectural, 2019
2.7W - 195lm - 3000K - CRI&gt; 90 - Beam° 45</t>
  </si>
  <si>
    <t>Bonalux</t>
  </si>
  <si>
    <t>F08.0580.00</t>
  </si>
  <si>
    <t>LIGHT SHADOW DOTS Pre-installation frame. 1L</t>
  </si>
  <si>
    <t>F03.8647.40B</t>
  </si>
  <si>
    <t>LIGHT SHADOW DOTS - Set of 2 Spots Designed by FLOS
Architectural, 2019
2 x 2.</t>
  </si>
  <si>
    <t>F08.0581.00</t>
  </si>
  <si>
    <t>PRE-INSTALLATION FRAME 2L - int 43</t>
  </si>
  <si>
    <t>FOSCARINI</t>
  </si>
  <si>
    <t>GREGG_LARGE</t>
  </si>
  <si>
    <t>LUMINARIA DECORATIVA DE EXTERIOR PARA BOMBILLA E27, 47CM X 40CM.</t>
  </si>
  <si>
    <t>GREGG_MEDIUM</t>
  </si>
  <si>
    <t>LUMINARIA DECORATIVA DE EXTERIOR PARA BOMBILLA E27. 31CM X 27CM</t>
  </si>
  <si>
    <t>BRISA_4635</t>
  </si>
  <si>
    <t>LUMINARIA DECORATIVA DE 3 MODULOS</t>
  </si>
  <si>
    <t>F03.8636.40B</t>
  </si>
  <si>
    <t>LIGHT SHADOW DOTS - Set of 4 Spots Designed by FLOS
Architectural, 2019
2 x 2.7W - 2 x 195lm - 3000K - CRI&gt; 90 - Beam° 45</t>
  </si>
  <si>
    <t>F08.0582.00</t>
  </si>
  <si>
    <t>PRE-INSTALLATION FRAME 4L - int 43</t>
  </si>
  <si>
    <t>LS6337</t>
  </si>
  <si>
    <t>CINTA LED IP65 3000K, 6W/M. CRI&gt;90, ROLLO POR 5 METROS</t>
  </si>
  <si>
    <t>https://www.amazon.com/PAUTIX-Waterproof-UL-Listed-Lighting-Projects/dp/B099RZ6RGW/ref=sr_1_16?crid=1G95G720U2ZBP&amp;dib=eyJ2IjoiMSJ9.mpciiDlR9TeMnvRFeO6kA9uIVnBRvSTeRO8A5R6tgxakmgX4RBWx04lCqG5b66JWhfxFFSDBVOWPuYLsXDeti2kM2N3ZKSoy_8W4VSGwhxbedYBxt7ovV6QJ1o82-Tlqv8xABSusq_QWOE6FSxf-_pkNQwbpWXqWWfcUA8tp2tURRl9JbG-8PAAdu2kJf1ZQU7fZ2Jg_X4pQ6c9ETPdFVswLGiWidoKOVr1fyu04yRZ2tfISYDuVi4C64Al-lM2T1HwraRlrkn6-la28Wuu6yUXgX3t_d2WR0zJ5-PapVdyNBjfGzoTWO5YUMWrHx8-dDf2jofhqszJ_AeZlf1SLkQnanbBoKPGpkkASp6yK3ugQ9kxpvRGDlrbxhmLWJpLRuqaih7LjGrRaKkWGnpLK67KNfsNEI3NZSvwg1iDq8MmjJ9U4uRyiRE4wbvL5Owwl.oZJhnff34VOI9fHrhcmz7A60Fryg9dOEMyOW1zGV_m0&amp;dib_tag=se&amp;keywords=led%2Bstrip%2Bip65&amp;qid=1742657208&amp;sprefix=les%2Bstrip%2Bip6%2Caps%2C175&amp;sr=8-16&amp;th=1</t>
  </si>
  <si>
    <t>AMK1</t>
  </si>
  <si>
    <t>SISTEMA DE ALUMBRADO DE FIBRA OPTICA DE 300 HILOS</t>
  </si>
  <si>
    <t>https://www.amazon.com/AMKI-Starlight-Headliner-Activated-Decoration/dp/B09MDGKW1K/ref=sr_1_10?crid=2ML3HRP24QZKX&amp;dib=eyJ2IjoiMSJ9.5xdpMtv6_TZK-M6ohuhOO0ZO4sSNMbVYb4IomIkyaMsPyfqQ3DLlz6HHfqj153SaQT5at4FqqSYb3DdexfhMkmAK2VuaUHnRWuimD0N-W8lxekdd3i6rbyWq8au5O0V3_UgTxBH8zfT7r54vm8cVN2TRhtL6FnK_FsUDI1vWzzBhAmWLuNQ60Jbz4SAb7X-JhtLHf8vV6vHgH99vaXYNEgiQIXT5W3ytUB2vWVoLqWOhY8ol82cUEgO_cEXYhlLOihGHFTykGCM3pePIMt8v_F8i2y1rVVHhrKG2Tux6csiH-kv_7j1wapAdc08tZP418ByJjl5Gibw8keKrzgEYZOPi8SQ8mdRYWAvWIDizSqY.7upr2cGWlbNIpqWL8RwKjjsM4nDDGyhSBIRjkQl-NjA&amp;dib_tag=se&amp;keywords=luz%2Bfibra%2Boptica&amp;qid=1742658003&amp;refinements=p_72%3A1248909011&amp;rnid=1248907011&amp;s=hi&amp;sprefix=luz%2Bfibra%2Boptica%2Caps%2C237&amp;sr=1-10&amp;th=1</t>
  </si>
  <si>
    <t>H2.1010.0112</t>
  </si>
  <si>
    <t xml:space="preserve">LUMINARIA 3000K PARA ZONAS HUMEDAS, 480Lm, </t>
  </si>
  <si>
    <t>P272410</t>
  </si>
  <si>
    <t>CINTA LED DE 2700K, 24V, ALTA LUMINOSIDAD. IP65, ROLLO POR 10 METROS</t>
  </si>
  <si>
    <t>https://www.amazon.com/-/es/PAUTIX-COB-impermeable-brillante-iluminaci%C3%B3n/dp/B09WMZ4GQF/ref=sr_1_47?__mk_es_US=%C3%85M%C3%85%C5%BD%C3%95%C3%91&amp;crid=36IC3TVKOGP6C&amp;dib=eyJ2IjoiMSJ9.YneV1IsnHG441t15byckUvDto-jdPiWycPGdEu4LpC23o3znbnRrFH30Kx2atvB4jRub50SqjvaXVZ2z7bm_L_ari9hfIRlKU7f-IDrCvpOGmEe369IQj3PGmUG61LrZexscHf_8aaOKNNDlc0N_IGYfBb-YThmAIbAlR_icOc9t7l8Iv68uHsBoQVk9iH6gdUmuK1fahG5B7AqWZx5WjaX-riRO_WGusrmzQYgil5xTdFvzJiP9Ei8Ib1xjE7Z7O2zuuAUp-EVTwyVFmCjjkBBHb6rjvWa6AQOhtT_oF1YsngJF06RXIjkknEn4ecbMXSmiDdS4T676-OY4pfsgwC5fESK7orZ3pTIjA7ruBF3pt6ZkYj6FJ6hA6-WIVe6Of2DlV9fTKgHSBS573Ec-q5ELJ5X_fCzD-d-0zYJUIPVSDqQX5nl0tJkf6hzxe4de.KwokkxyVxGA3Yv_kfBi8lce20CaE6m74fJESXUw1Kww&amp;dib_tag=se&amp;keywords=cinta%2Bled%2BIntemperie&amp;qid=1743080046&amp;sprefix=cinta%2Bled%2Bintemperie%2Caps%2C172&amp;sr=8-47&amp;th=1</t>
  </si>
  <si>
    <t>MARINE_6</t>
  </si>
  <si>
    <t>PARLANTES DE 80W PARA AMBIENTE HUMEDO Y SALINO. 8OHM.</t>
  </si>
  <si>
    <t>K_APP_PHONE</t>
  </si>
  <si>
    <t>AJUSTE DE APLICACIÓN DE CONTROL EN TELEFONO O TABLET</t>
  </si>
  <si>
    <t>V22VG5</t>
  </si>
  <si>
    <t>MONITOR HDMI DE 22"</t>
  </si>
  <si>
    <t>K_ENSAMBLE_TE</t>
  </si>
  <si>
    <t>ARMADO DE TABLERO CUSTOM PARA CONTROL DE ILUMINACION</t>
  </si>
  <si>
    <t>K_MANT_CCTV</t>
  </si>
  <si>
    <t>MANTENIMIENTO DE SISTEMA DE CCTV</t>
  </si>
  <si>
    <t>MAS137</t>
  </si>
  <si>
    <t>MASTIL PARA ANTENA STARLINK, ALTURA 60cm-137cm.</t>
  </si>
  <si>
    <t>https://articulo.mercadolibre.com.co/MCO-1515065623-kit-de-montaje-tripode-para-antena-starlink-v4-gen-3-_JM?searchVariation=182421051526#polycard_client=search-nordic&amp;searchVariation=182421051526&amp;position=33&amp;search_layout=stack&amp;type=item&amp;tracking_id=8b4e93e3-d56a-4e81-808b-73d6e8fd0341</t>
  </si>
  <si>
    <t>STARLINK</t>
  </si>
  <si>
    <t>STGEN4</t>
  </si>
  <si>
    <t>ANTENA STARLINK GENERACION 4</t>
  </si>
  <si>
    <t>STCABLE100</t>
  </si>
  <si>
    <t>CABLE DE 100Ft ORIGINAL PARA ANTENA STARLINK</t>
  </si>
  <si>
    <t>https://www.amazon.com/extensi%C3%B3n-velocidad-resistente-intemperie-generaci%C3%B3n/dp/B0DN1H8D29/ref=sr_1_1_sspa?__mk_es_US=%C3%85M%C3%85%C5%BD%C3%95%C3%91&amp;crid=YP29GBZA73YG&amp;dib=eyJ2IjoiMSJ9.NSxnXeGlxlBceJeSxV1jPIkQHVQBoePh2rkRM6iGIIXixSRzkXhAkwZAP8AUAn3gIc_uUyKxqmFypM4TNpDjpLPSVxnGysqCc0tawGqVGM3gYgpQDAkunCPTjS1-CebQlOh1CZEaBJPe_xGswmUG7IglNLStfctVra6RFTorIqQHgaZYxZAdNzOZk44uB3Um1X_7FnKy-EaeeKXp4j1xZX2iFAZ40O9c95DyQK0thB0.3-bQFdOcIc8h-2P4u2ki19vAM8JVYCbQ0ZYHn0lY0kk&amp;dib_tag=se&amp;keywords=starlink%2Bgeneracion%2B4%2Bcable&amp;qid=1743446298&amp;sprefix=starlink%2Bgeneracion%2B4%2Bcable%2Caps%2C182&amp;sr=8-1-spons&amp;sp_csd=d2lkZ2V0TmFtZT1zcF9hdGY&amp;th=1</t>
  </si>
  <si>
    <t>RG_EG209GS</t>
  </si>
  <si>
    <t>ROUTER 10/100/1000 CON DOS WAN ADMINISTRABLE POR CLOUD</t>
  </si>
  <si>
    <t>16_2CS_500FT</t>
  </si>
  <si>
    <t>CABLE DE AUDIO POR 500 PIES AWG16</t>
  </si>
  <si>
    <t>NAKYMATONE</t>
  </si>
  <si>
    <t>MOOI</t>
  </si>
  <si>
    <t>Welded aluminum back box 80 watts RMS 75Hz ~ 20KHz (+/- 3dB) 86dB@1m/1W, 105dB@1m/40W (with 2mm plaster skim) Nominal 8 ohms (minimum 8 ohms)</t>
  </si>
  <si>
    <t>MARINE6</t>
  </si>
  <si>
    <t>ALTAVOZ DE 6#, PARA AMBIENTES HUMEDOS. Rango de frecuencia (-6dB): 36Hz a 26kHz</t>
  </si>
  <si>
    <t>LEX6500</t>
  </si>
  <si>
    <t>CINTA LED A 110 CON PROTECTOR CILICONADA, 5W/M, EN 6500K. ROLLO POR 100 METROS, ALIMENTACION A 110VAC.</t>
  </si>
  <si>
    <t>AVR2200VA</t>
  </si>
  <si>
    <t>REGULADOR DE VOLTAGE DE HASTA 10 AMPERIOS. 2200VA.</t>
  </si>
  <si>
    <t>https://www.homecenter.com.co/homecenter-co/product/693688/regulador-de-voltaje-powest-avr-2200va/693688/</t>
  </si>
  <si>
    <t>ECOBP1L</t>
  </si>
  <si>
    <t>LUMINARIA DE PISO CON UN SOLO HAZ DE LUZ, 3W, IP65 PARA INTEMPERIE. 3000K. GARANTIA DE DOS AÑOS.</t>
  </si>
  <si>
    <t>ECO21X2_DAL</t>
  </si>
  <si>
    <t>LUMINARIA LINEAL LED DE 4100K, 2.24M DE LARGO. PARA CONFIGURACIÓN EN TÁNDEM. 4000 LUMENS ATENUABLEDALI. DE SOBREPONER O DESCOLGAR.</t>
  </si>
  <si>
    <t>ECO21X4_DAL</t>
  </si>
  <si>
    <t>LUMINARIA LINEAL LED DE 4100K, 4.48M DE LARGO. PARA CONFIGURACIÓN EN TÁNDEM. 4000 LUMENS ATENUABLEDALI. DE SOBREPONER O DESCOLGAR.</t>
  </si>
  <si>
    <t>PTLLED_005_30_N</t>
  </si>
  <si>
    <t>LUMINARIA DECORATIVA 3000K, ON/OFF</t>
  </si>
  <si>
    <t xml:space="preserve">K21SF3540OP840NRB </t>
  </si>
  <si>
    <t>KOMBIC 150 SF 3500 IP43 NW OPAL BR/BK Obs. CRI90</t>
  </si>
  <si>
    <t>TLWD_N</t>
  </si>
  <si>
    <t>TRACK LIGHT 35W 3000K</t>
  </si>
  <si>
    <t>TS2M3V_N</t>
  </si>
  <si>
    <t>RIEL DE ALIMENTACION DE DOS METROS 3 VIAS</t>
  </si>
  <si>
    <t>TLCR3V_N</t>
  </si>
  <si>
    <t>UNION PARA RIEL</t>
  </si>
  <si>
    <t>BLINR4</t>
  </si>
  <si>
    <t>LUMINARIA DE 20W, 1800LM, DRIVER INDEPENDIENTE. INCRUSTAR, APERTURA 50°. CRI80.</t>
  </si>
  <si>
    <t>ECO21X3.5</t>
  </si>
  <si>
    <t>LUMINARIA LINEAL LED DE 4100K, 3.92M DE LARGO. PARA CONFIGURACIÓN EN TANDEM. 3850 LUMENS ATENUABLE 0-10. DE SOBREPONER O DESCOLGAR.</t>
  </si>
  <si>
    <t>15DAR111LED40V24</t>
  </si>
  <si>
    <t>BOMBILLA AR111 ATENUABLE POR FASE, 4000K, CRI80. 15W, 1350Lm.</t>
  </si>
  <si>
    <t>H1.1016.0111</t>
  </si>
  <si>
    <t>LUMINARIA DE 800Lm, 2700K, 30°.</t>
  </si>
  <si>
    <t>RC6S</t>
  </si>
  <si>
    <t>ALTAVOZ ESTEREO DE 6.5", PARA AMBIENTES DE ALTA HUMEDAD</t>
  </si>
  <si>
    <t>RC60I</t>
  </si>
  <si>
    <t>ALTAVOZ DE 6.5", 100W, PARA AMBIENTES HUMEDOS</t>
  </si>
  <si>
    <t>RGES228GSP</t>
  </si>
  <si>
    <t>SWITCH PoE DE 24 PUERTOS 10/100/1000.</t>
  </si>
  <si>
    <t>DHI_NVR5208_EI</t>
  </si>
  <si>
    <t>DWR_M921</t>
  </si>
  <si>
    <t>ROUTER DOBLE BANDA CON TARJETA SIM Y 4 PUERTOS LAN</t>
  </si>
  <si>
    <t>K_INT_Y</t>
  </si>
  <si>
    <t>SERVICIO DE INTERNET POR TARJETA SIM DURANTE UN AÑO. PLAN 85GBTS MENSUALES. SUJETO A COVERTURA DEL LUGAR DE INSTALACION. INCLUYE MANTENIMIENTO, CAMBIOS DE SIM, ETC.</t>
  </si>
  <si>
    <t>https://www.claro.com.co/personas/servicios/servicios-moviles/postpago/</t>
  </si>
  <si>
    <t>04SMT</t>
  </si>
  <si>
    <t>SENSOR DE PRESENIA INFRA ROJO 6M, 360.</t>
  </si>
  <si>
    <t>FIX40W120</t>
  </si>
  <si>
    <t>LUMINARIA HERMETICA DE 40W, IP65, 6500K</t>
  </si>
  <si>
    <t>H2.1010.0111</t>
  </si>
  <si>
    <t>LUMINARIA IP65 PARA AMBIENTES HUMEDOS 2700K. 460Lm, 25°. DIAMETRO DE 5Cm.</t>
  </si>
  <si>
    <t>STR1M</t>
  </si>
  <si>
    <t>SERVICIO DE DATOS ILUMITADIO DE STARLINK POR 1 MES</t>
  </si>
  <si>
    <t>SC_4_MN</t>
  </si>
  <si>
    <t>TAPA DECORATIVA DE CUATRO VENTANAS EN COLOR NEGRO MATE.</t>
  </si>
  <si>
    <t>K_INT_M</t>
  </si>
  <si>
    <t>SERVICIO DE INTERNET POR TARJETA SIM DURANTE UN MES. PLAN 85GBTS MENSUALES. SUJETO A COVERTURA DEL LUGAR DE INSTALACION. INCLUYE MANTENIMIENTO, CAMBIOS DE SIM, ETC.</t>
  </si>
  <si>
    <t>DVSCFSQ_F_MN</t>
  </si>
  <si>
    <t>ATENUADOR PARA CARGAS INDUCTIVAS O VENTILADORES</t>
  </si>
  <si>
    <t>HS1TK40MF840DBW</t>
  </si>
  <si>
    <t>HANCE TRACK 220 4000 NW MFL DALI WH.</t>
  </si>
  <si>
    <t>HS1TK40SP840DBW</t>
  </si>
  <si>
    <t>HANCE TRACK 220 4000 NW SP DALI WH.</t>
  </si>
  <si>
    <t>TKSUPR2000DNW</t>
  </si>
  <si>
    <t>TRACK 220/230V SUR 2M DALI/ONOFF WH</t>
  </si>
  <si>
    <t>TKAARDNW</t>
  </si>
  <si>
    <t>TRACK ACC RIGHT MAIN SUPPL DALI/ONOFF WH</t>
  </si>
  <si>
    <t>TKAAIDNB</t>
  </si>
  <si>
    <t>TRACK ACC INT MAIN SUPPLY DALI/ONOFF BK</t>
  </si>
  <si>
    <t>TKAECW</t>
  </si>
  <si>
    <t>TRACK ACC. END COVER WH.</t>
  </si>
  <si>
    <t>L5701833</t>
  </si>
  <si>
    <t>BAULINE AIR 5000 NW SP AND</t>
  </si>
  <si>
    <t>L5700033</t>
  </si>
  <si>
    <t>BAULINE AIR ACC. ADJ END BRACKET AND.</t>
  </si>
  <si>
    <t>LRS_350_24</t>
  </si>
  <si>
    <t>FUENTE DE VOLTAJE 24V 29AMP 350W</t>
  </si>
  <si>
    <t>MER5RGB</t>
  </si>
  <si>
    <t>LUMINARIA GU10 DE 5W, RGB.</t>
  </si>
  <si>
    <t>TOM_9W_RGB</t>
  </si>
  <si>
    <t>REFLECTOR RBG CON APERURA DE 7°, 9W.</t>
  </si>
  <si>
    <t>SKY</t>
  </si>
  <si>
    <t>SKY40DALI</t>
  </si>
  <si>
    <t>KIT DE 280 CABLES DE 1.5mm CON COVER, PARA AREA APROXIMADA DE 3.0x3.0m. EQUIPO IP TEMPERATURA 3000K CONTROLADO POR DALI, 40W.</t>
  </si>
  <si>
    <t>DVSCFSQ_F_L_MN</t>
  </si>
  <si>
    <t>CONTROL PARA CARGAS INDUCTIVAS DE VENTILADOR</t>
  </si>
  <si>
    <t>RG_RAP1260</t>
  </si>
  <si>
    <t>PUNTO DE ACCESO INALAMBRICO DE 180°, CON WIFI 6, 4 PUERTOS DE RED.</t>
  </si>
  <si>
    <t>RG_EG310GH_P_E</t>
  </si>
  <si>
    <t>ROUTER PoE, ADMINISTRABLE EN NUBE. 10 PUERTOS GIGA.</t>
  </si>
  <si>
    <t>OFILED</t>
  </si>
  <si>
    <t>CLC20419</t>
  </si>
  <si>
    <t xml:space="preserve">METRO DE CINTA LED 240L/M, 6000K. </t>
  </si>
  <si>
    <t>VING4_C</t>
  </si>
  <si>
    <t>OMBILLA VINTAGE ATEUABLE DE 4W</t>
  </si>
  <si>
    <t>HAT</t>
  </si>
  <si>
    <t>LUMINARIA EN CONCRETO CILINDRICA PARA BOMBILLA E27</t>
  </si>
  <si>
    <t>EMBLEMA</t>
  </si>
  <si>
    <t>KAP_T1</t>
  </si>
  <si>
    <t>TOYOTA BLANCO CON ALAS</t>
  </si>
  <si>
    <t>KAP_T1#</t>
  </si>
  <si>
    <t>KAP_T10</t>
  </si>
  <si>
    <t>TOYOTA CURVO (FJ 40'S)</t>
  </si>
  <si>
    <t>KAP_T10#</t>
  </si>
  <si>
    <t>KAP_T20</t>
  </si>
  <si>
    <t>4 WHEEL DRIVE AMARILLO Y ROJO (FJ 40'S)</t>
  </si>
  <si>
    <t>KAP_T20#</t>
  </si>
  <si>
    <t>KAP_T3</t>
  </si>
  <si>
    <t>TOYOTA AMARILLO RAYAS (FJ 40'S)</t>
  </si>
  <si>
    <t>KAP_T5</t>
  </si>
  <si>
    <t>TOYOTA LAND CRUISER CORTO LATERAL (FJ 40'S)</t>
  </si>
  <si>
    <t>KAP_T5#</t>
  </si>
  <si>
    <t>TOYOTA LAND CRUISER CORTO LATERAL (FJ 40'S) ORG.</t>
  </si>
  <si>
    <t>RGES209GCP</t>
  </si>
  <si>
    <t>SWITCH PoE GIGA DE 9 PUERTOS CAPA 2 ADMINISTRABLE EN REMOTO.</t>
  </si>
  <si>
    <t>WEBOOST</t>
  </si>
  <si>
    <t>W952350</t>
  </si>
  <si>
    <t>CABLE COAXIAL DE 50 OHM. 15M</t>
  </si>
  <si>
    <t>XTU</t>
  </si>
  <si>
    <t>J9_</t>
  </si>
  <si>
    <t>Cámara de timbre de video inalámbrica, CAMARA 2K, WIFi</t>
  </si>
  <si>
    <t>COBI</t>
  </si>
  <si>
    <t>COBIP65</t>
  </si>
  <si>
    <t>CINTA LED 3000K, IP65</t>
  </si>
  <si>
    <t>KINTER</t>
  </si>
  <si>
    <t>MA170</t>
  </si>
  <si>
    <t>AMPLIFICADOR 2X18 ESTEREO</t>
  </si>
  <si>
    <t>TS2M_N</t>
  </si>
  <si>
    <t>RIEL DE DOS VIAS NEGRO DE DOS METROS</t>
  </si>
  <si>
    <t>TS1M_N</t>
  </si>
  <si>
    <t>RIEL DE DOS VIAS NEGRO DE UN METRO</t>
  </si>
  <si>
    <t>TLCR_N</t>
  </si>
  <si>
    <t>CONECTOR LINEAL PARA RIEL.</t>
  </si>
  <si>
    <t>TL30W_N</t>
  </si>
  <si>
    <t>TRACK LIGHT NEGRO 3000K</t>
  </si>
  <si>
    <t>DH_IPC_HDPW1431R1N</t>
  </si>
  <si>
    <t>CAMARA IP 20FPS, 4MP</t>
  </si>
  <si>
    <t>WD8002PURP</t>
  </si>
  <si>
    <t>H1.1016.0211</t>
  </si>
  <si>
    <t>LUMINARIA LED 2700K, 750 LUMENS, CRI&gt;90.</t>
  </si>
  <si>
    <t>H1.1007.0212</t>
  </si>
  <si>
    <t>LUMINARIA LED 3000K, 1450 LUMENS, CRI&gt;90.</t>
  </si>
  <si>
    <t>LEDRIEL_CEI</t>
  </si>
  <si>
    <t>RIEL DE SOBREPONER DE TEMINACION FINAL PARA INCRUSTAR EN TECHO</t>
  </si>
  <si>
    <t>MEIJIA</t>
  </si>
  <si>
    <t>NEON16</t>
  </si>
  <si>
    <t>CINTA LED EN NEON DE 5 METROS, 2700K. 12W X M</t>
  </si>
  <si>
    <t>https://www.amazon.com/-/es/LED-impermeable-decoraci%C3%B3n-interiores-exteriores/dp/B096FHZ6L6/ref=sr_1_23?__mk_es_US=%C3%85M%C3%85%C5%BD%C3%95%C3%91&amp;crid=1GB6I9XN15SMW&amp;dib=eyJ2IjoiMSJ9.s4Ol_GM12i8NuJjZxT_HExXPPNlcdwj3X8bbm76H4Zy1RskYfd0i7FNX4iW5EV14iKscJlU_QUoBiaxqQprxD-7gUcbf1-uVW7V34VxazCGEW54IIJ9eNTQoZp8GHHOusJIrk-xZmYImUhwwdfYD67Snn4LZaW9OYFZGQvhntpLnxun673iKMKIXj5ci7zz_JzK_9gy5YOKOz8qGv_AqjTCKw1Sjth_6QP252KwHfLGTGgV8S9UDxGTPRDtSauUmShmF-O_Qao4UfLgveNPkNqRWAqwWLr80EtnSoA_tx2U.8YDG8LuH14xY60Ojzd2a21ErbfMetThwKw88O5BsVjg&amp;dib_tag=se&amp;keywords=led%2Bfachada%2Bcinta%2Bneon&amp;qid=1747617990&amp;sprefix=led%2Bfachada%2Bcinta%2Bneo%2Caps%2C280&amp;sr=8-23&amp;th=1</t>
  </si>
  <si>
    <t>LEDRIEL_CEI_TEN</t>
  </si>
  <si>
    <t>METRO DE RIEL DIFUMINADO PARA INSTALACION EN TECHO. INCLUYE INSTALACION, ALIMENTACION, CINTA/REGLETA Y FUENTES.</t>
  </si>
  <si>
    <t>LEDRIEL_DPRO</t>
  </si>
  <si>
    <t>RIEL DE 3 MTROS PARA CINTA LED DOBLE, ANCHO 3.5cm.</t>
  </si>
  <si>
    <t xml:space="preserve">EL DENON AVR-S960H ES UN RECEPTOR AV DE 7.2 CANALES CON SOPORTE PARA 8K/60HZ Y 4K/120HZ, IDEAL PARA CINE EN CASA. INCLUYE DOLBY ATMOS, DTS:X, HDMI 2.1 Y COMPATIBILIDAD CON HEOS PARA AUDIO MULTISALA INALÁMBRICO.
</t>
  </si>
  <si>
    <t>IPC_S2XN_10M0WED_IMOU</t>
  </si>
  <si>
    <t>CAMARA DUAL DE CON CAPACIDAD DE MEMORIA SD Y 5MP</t>
  </si>
  <si>
    <t>WDD256G1P0C</t>
  </si>
  <si>
    <t>MICROSD WD PURPLE CLASE 10 256GB PARA VIDEOVIGILANCIA</t>
  </si>
  <si>
    <t>HEKA_2_CUST</t>
  </si>
  <si>
    <t>LUMINARIA DECORATIVA DE DESCOLGAR PARA BOMBILLA E27. CON SUPLEMENTO DE DISCO</t>
  </si>
  <si>
    <t>K_ARRANQUE_NAHIKU</t>
  </si>
  <si>
    <t>VISITA TECNICA DE HASTA UNA HORA PARA CONFIGURACION DE SISTEMA DE CONTROL DE ILUMINACION. VISITA EN HORARIO DE OFICINA.</t>
  </si>
  <si>
    <t>C30X70</t>
  </si>
  <si>
    <t>CAJA DE PASO ELECTRICA DE 30X70X12 Cm.</t>
  </si>
  <si>
    <t>MS_OP600M_WH</t>
  </si>
  <si>
    <t>DIMMER CON SENSOR DE OCUPACION</t>
  </si>
  <si>
    <t>PJ2_4B_TMN_L41</t>
  </si>
  <si>
    <t>PJ2_4B_TMN_P13</t>
  </si>
  <si>
    <t>HQR_VCRX_WH</t>
  </si>
  <si>
    <t>INTERFAZ PARA CONTROL DE DE CONTACTOS SECOS</t>
  </si>
  <si>
    <t>INTERFAZ DE CONTROL PARA CONTROL REMOTO DESDE AUTOMOVIL</t>
  </si>
  <si>
    <t>SMC55_RESI_2</t>
  </si>
  <si>
    <t>CONTROLADOR HVAC PARA INTEGRACION DE SISTEMA D CLIMATIZACION.</t>
  </si>
  <si>
    <t>HQWT_T_HW_BL_A</t>
  </si>
  <si>
    <t>TERMOSTATO DE CONTROL E INTEGRACION DE SENSORES PARA CONTROL DE TEMPERATURA.</t>
  </si>
  <si>
    <t>TYC</t>
  </si>
  <si>
    <t>BLO4X7</t>
  </si>
  <si>
    <t>BLOQUE DE DISTRIBUCION 2X11</t>
  </si>
  <si>
    <t>BLO4X11</t>
  </si>
  <si>
    <t>BLOQUE DE DISTRIBUCION 4X11</t>
  </si>
  <si>
    <t>BLO2X7</t>
  </si>
  <si>
    <t>BLOQUE DE DISTRIBUCION 2X7</t>
  </si>
  <si>
    <t>BLO2X11</t>
  </si>
  <si>
    <t>CUS_TE_40X90X15</t>
  </si>
  <si>
    <t>TABLERO ELECTRICO CUSTOM CON TAPA TORNILLO DE 40cm X 90cm X 15cm.</t>
  </si>
  <si>
    <t>CUS_TE_40X120X15</t>
  </si>
  <si>
    <t>TABLERO ELECTRICO CUSTOM CON TAPA TORNILLO DE 40cm X 120cm X 15cm.</t>
  </si>
  <si>
    <t>CUS_TE_40X140X15</t>
  </si>
  <si>
    <t>TABLERO ELECTRICO CUSTOM CON TAPA TORNILLO DE 40cm X 140cm X 15cm.</t>
  </si>
  <si>
    <t>CUS_TE_40X160X15</t>
  </si>
  <si>
    <t>TABLERO ELECTRICO CUSTOM CON TAPA TORNILLO DE 40cm X 160cm X 15cm.</t>
  </si>
  <si>
    <t>CABLE DE AUDIO DE ALTA PUREZA POR 500 PIES AWG16</t>
  </si>
  <si>
    <t>14_2CS_BOX_500</t>
  </si>
  <si>
    <t>SMZ8</t>
  </si>
  <si>
    <t>MATRIZ DE AUDIO DE 8 ZONAS CON UN STREAMING DE AUDIO</t>
  </si>
  <si>
    <t>ZIMULONG</t>
  </si>
  <si>
    <t>JK_X1_01</t>
  </si>
  <si>
    <t xml:space="preserve">LUMINARIA DE PEDESTAL DECORATIVA </t>
  </si>
  <si>
    <t>https://www.aliexpress.com/item/1005006176466276.html?spm=a2g0o.imagesearchproductlist.main.60.6888Xw2xXw2xOB&amp;algo_pvid=14a9438c-1cff-4ad0-a96e-bd5fecbe2016&amp;algo_exp_id=14a9438c-1cff-4ad0-a96e-bd5fecbe2016&amp;pdp_ext_f=%7B%22order%22%3A%223%22%7D&amp;pdp_npi=4%40dis%21COP%211092145.43%21513306.75%21%21%211844.41%21866.87%21%402103010b17481296995112400e45ed%2112000036139689549%21sea%21CO%210%21ABX&amp;curPageLogUid=g9sj8jmWFhb8&amp;utparam-url=scene%3Aimage_search%7Cquery_from%3Apc_web_image_search</t>
  </si>
  <si>
    <t>P_BDG_PKG2W_CUS</t>
  </si>
  <si>
    <t>KIT DE 2 DIMMERS Y CONTROLADOR BDG COMPATIBLE CON ALEXA Y GOOGLE.</t>
  </si>
  <si>
    <t>RGRAP1200_F</t>
  </si>
  <si>
    <t>ACCESS POINT DE PARED CON PUERTO DE RED</t>
  </si>
  <si>
    <t>C40X70</t>
  </si>
  <si>
    <t>CAJA CUSTOM DE 40X70X15</t>
  </si>
  <si>
    <t>ADAP24V2A</t>
  </si>
  <si>
    <t>FUENTE DE 24V 2A</t>
  </si>
  <si>
    <t>01PA25S09C4</t>
  </si>
  <si>
    <t>BOMBA DE REPUESTO PARA LUMINARIA,  VIDRIO B25 SC TRANSPARENTE.</t>
  </si>
  <si>
    <t>K_REV_GRAFIK</t>
  </si>
  <si>
    <t>REVISION TECNICA DE SISTEMA GRAFIK EYE</t>
  </si>
  <si>
    <t>YDLED_101_08_30B</t>
  </si>
  <si>
    <t>LUMINARIA LED DE 6.5W, 540 LUMENS, MULTIVOLAJE 3000K, CONTROL ON/OFF.</t>
  </si>
  <si>
    <t>SB_NT_1000_WH</t>
  </si>
  <si>
    <t>DIMER PARA CARGAS ALTAS CON DISIPADOR EXTERNO</t>
  </si>
  <si>
    <t>EZ400NMHX</t>
  </si>
  <si>
    <t>CONECTOR MACHO DE ANILLO PLEGABLE</t>
  </si>
  <si>
    <t>SOLUS</t>
  </si>
  <si>
    <t>FD134_I75_BK_LA</t>
  </si>
  <si>
    <t>APLIQUE CILINDRIVO PEQUEÑO PARA LED AMBAR, 400Lm. LAMPARA CERTIFICADA.</t>
  </si>
  <si>
    <t>https://www.amazon.com/FD134-I75-BK-Cylindrical-Friendly-Approved-Resistant/dp/B07YX8VHRS?th=1</t>
  </si>
  <si>
    <t>BRIGHLEDS</t>
  </si>
  <si>
    <t>WSR_15K20_DBK_A</t>
  </si>
  <si>
    <t>LUMINARIA TURTLE FRIENDLY MULTIVOLTAGE DE 50.000 HORAS</t>
  </si>
  <si>
    <t>https://www.industrialcommerciallighting.com/outdoor/wildlife-friendly-lighting/wsr-15k20-dx-a+housingcolor-White</t>
  </si>
  <si>
    <t>GLAN_SA9A_AMB_U_5MQ_AP</t>
  </si>
  <si>
    <t>Galleon II, 16 LED Light Square, 9 Light Squares
Output Level 1, Amber, 590nm, 120-277V,
Type V Square Medium, Grey</t>
  </si>
  <si>
    <t>GLAN_SA7A_AMB_U_5MQ_AP</t>
  </si>
  <si>
    <t>Galleon II, 16 LED Light Square, 7 Light Squares
Output Level 1, Amber, 590nm, 120-277V,
Type V Square Medium, Grey</t>
  </si>
  <si>
    <t>SPHB_9SE_M_UNV_L840_CD_U</t>
  </si>
  <si>
    <t>SelectPro High Bay, 9,000 lumens, Standard
Efficacy, Low-glare Medium, 120–277, 80 CRI,
4000K, 0-10V Dimming Driver, Unit Pack</t>
  </si>
  <si>
    <t>4SLSTPSLC_UNV</t>
  </si>
  <si>
    <t>LED Striplight, 4ft, selectable CCT 3500K-5000K</t>
  </si>
  <si>
    <t>GWC_SA2A_AMB_U_5MQ_AP</t>
  </si>
  <si>
    <t>GALLEON WALL, 2 SQUARES, 615MA, AMBER, 590NM, 120-277V, TYPE V SQUARE MEDIUM, GREY.</t>
  </si>
  <si>
    <t>TTN_D1_AMB_U_MQ_BK</t>
  </si>
  <si>
    <t>TOPTIER NANO, 3,000 NOMINAL LUMENS, AMBER 590NM, 120-277V, MEDIUM, BLACK.</t>
  </si>
  <si>
    <t>SEAGULL</t>
  </si>
  <si>
    <t>93401S</t>
  </si>
  <si>
    <t>OUDOOR STEP LIGTH TURTLE FRIENDLY, 90Lm, 120VAC.</t>
  </si>
  <si>
    <t>https://www.hortonshome.com/led-step-lighting-led-step-light-in-painted-antique-bronze-1-93401s-171/</t>
  </si>
  <si>
    <t>ALCON</t>
  </si>
  <si>
    <t>14127_TF_8</t>
  </si>
  <si>
    <t>MULTI VOLTAGE GROUND LIGHT, 1250Lm, CRI 80&gt;, Amber (590 nm).</t>
  </si>
  <si>
    <t>https://www.alconlighting.com/14127-tf-8.html</t>
  </si>
  <si>
    <t>KM_TRANS_LOGIS</t>
  </si>
  <si>
    <t>EQUIPMENT TRANSPORTATION WITH DELIVERY TO OFFICE OR PROJECT SITE LOCATION, INCLUDING LOAD CONSOLIDATION LOGISTICS, WAREHOUSING, AND DELIVERY COORDINATION.</t>
  </si>
  <si>
    <t>CINEMA_BAR_3.0</t>
  </si>
  <si>
    <t>BARRA DE SONIDO 3.0 PASIBA DE ALTA FIDELADAD.</t>
  </si>
  <si>
    <t>ECO_DOT_5GEN</t>
  </si>
  <si>
    <t>PARLANTE DE 5 GENERACION ECO CON ALEXA INTEGRADO.</t>
  </si>
  <si>
    <t>https://www.amazon.com/-/es/Amazon-Echo-Dot-modelo-reciente/dp/B09B93ZDG4/ref=cs_sr_dp_2?__mk_es_US=%C3%85M%C3%85%C5%BD%C3%95%C3%91&amp;crid=29IUV2RTHDAAX&amp;dib=eyJ2IjoiMSJ9.h8GVEqjw8li_E5SynpC-rT_m1mq6gunrQgE6sp6oAXFURCSQDEzqEOgLp5pwyTV3RFzsYSjnhE1-yLkHTgvVrhVqIFsfDvl9wY4Cam7Eo4IstFn6iQ98UIkFLOWkB6WIgrtjooCx5YIdZY5iJnoyGAaHHHCgPdxAP-ltnHG-goALXAK_9hhEN2sOxo26KyI0cBypj1c4oNHpPnMSaJqALS3XROt14glEkSfonYFKJZE.nJiFzaKoJp55rhwIVGaJZLTo4a4gIzpqnziwBS_wnnc&amp;dib_tag=se&amp;keywords=alexa%2Beco%2Bdot&amp;qid=1749000682&amp;sprefix=alexa%2Beco%2Bd%2Caps%2C1421&amp;sr=8-1&amp;th=1</t>
  </si>
  <si>
    <t>DS_UPS3000X</t>
  </si>
  <si>
    <t>UPS INTERACTIVA DE 3000KVA, 1800W</t>
  </si>
  <si>
    <t>SMARTZONE</t>
  </si>
  <si>
    <t>UPS ONLINE DE 3KVA ONLINE</t>
  </si>
  <si>
    <t>KIF_020_TDW</t>
  </si>
  <si>
    <t>DRIVER CON SALIDA DE CORRIENTE VARIABLE 300-700mA 20W.</t>
  </si>
  <si>
    <t>QSN2_4T20_S</t>
  </si>
  <si>
    <t>PROCESADOR MULTI VOLTAJE PARA MANEJO DE 4 RETORNOS DE 0-10 VOLTIOS Y CARGAS A 20 AMPERIOS.</t>
  </si>
  <si>
    <t>TKSUPR2000DNB</t>
  </si>
  <si>
    <t>TKAARDNB</t>
  </si>
  <si>
    <t>CONECTOR PARA INICIO DE CONEXIÓN ELECTRICA</t>
  </si>
  <si>
    <t>TKATLODNB</t>
  </si>
  <si>
    <t>CONEXIÓN DE DERIVACION EN T PARA RIEL</t>
  </si>
  <si>
    <t>TKALIODNB</t>
  </si>
  <si>
    <t>CONEXIÓN DE DERIVACION EN L PARA RIEL</t>
  </si>
  <si>
    <t>TKAXJODNB</t>
  </si>
  <si>
    <t>CONEXIÓN DE DERIVACION EN CRUZ</t>
  </si>
  <si>
    <t>CONECTOR DE UNION LINEAL.</t>
  </si>
  <si>
    <t>TKAECB</t>
  </si>
  <si>
    <t>CONEXIÓN DE FINALIZACION PARA RIEL DALI.</t>
  </si>
  <si>
    <t>DRIVE</t>
  </si>
  <si>
    <t>FUENTES PARA CARGAS DALI</t>
  </si>
  <si>
    <t>HS2TK40MF940DB</t>
  </si>
  <si>
    <t>REFLECTOR 36,7W LED COB de 3907lm, 4000K, CRI90, APERTURA MEDIA DE 25°, GIRO 355° E INCLINACION DE HASTA 90°.</t>
  </si>
  <si>
    <t>HS2TK40FL940DB</t>
  </si>
  <si>
    <t>REFLECTOR 36,7W LED COB, 3800lm a 4000K (CRI90), APERTURA 35°, GIRO 355° E INCLINACION HASTA 90°</t>
  </si>
  <si>
    <t>HS2TK30FL930DB</t>
  </si>
  <si>
    <t>REFLECTOR 27,5W, 2678lm, 3000K, CRI90, OPTICA DE  34‑38°, GIRO 355°, INCLINACION HASTA 90°.</t>
  </si>
  <si>
    <t>HS2TK40FL930DB</t>
  </si>
  <si>
    <t>REFLECTOR DE 36,7W 3606lm, 3000K, CRI90, OPTICA 34‑38°, GIRO 355° E INCLINACION HASTA 90°.</t>
  </si>
  <si>
    <t>LEDC4</t>
  </si>
  <si>
    <t>90_6690_14_60+KI_040_DP2</t>
  </si>
  <si>
    <t>LUMINARIA DE 8.5W, FLUJO LUMINICO HASTA 627lm, APERTURA DE 34°, 3000K. CONDRIVER DALI</t>
  </si>
  <si>
    <t>HS2TK20FL930DB</t>
  </si>
  <si>
    <t xml:space="preserve"> REFLECTOR DE 20,5W 1918lm, 3000K, CRI90, OPTICA 35°, GIRO 355° E INCLINACION DE HASTA 90°.</t>
  </si>
  <si>
    <t>BH11-27X9F2BB60</t>
  </si>
  <si>
    <t>DOWNLIGHT LED 23,8W 3061lm), 4000K, CRI ≥92, OPTICA 57°, CUERPO NEGRO IP20.</t>
  </si>
  <si>
    <t>IM3TK20WF930NB 0-10</t>
  </si>
  <si>
    <t>REFLECTOR LED COB 16W, 1607lm),  3000K, CRI90, OPTICA56°, GIRO 355° E INCLINACION 90°.</t>
  </si>
  <si>
    <t>F52SF120MOOP830NB1900</t>
  </si>
  <si>
    <t>LUMINARIA LINEAL DE 1900Lm, 21.3W, 107! APERTURA, 3000K, 1900Lm.</t>
  </si>
  <si>
    <t>F52SF120MOOP830NB2100</t>
  </si>
  <si>
    <t>LUMINARIA LINEAL DE 1900Lm, 21.3W, 107! APERTURA, 3000K, 2100Lm.</t>
  </si>
  <si>
    <t>KOMBIC_100_SQ_1500_IP43_9WW</t>
  </si>
  <si>
    <t>BALA WALL WASHER, TEMPERATURA 3000K, 1234Lm, APERTURA DE 67°.</t>
  </si>
  <si>
    <t>P25609</t>
  </si>
  <si>
    <t>LUMINARIA HERMETICA DE 36W, 4500Lm, 6500K.APERTURA 100°</t>
  </si>
  <si>
    <t>UHV_822M</t>
  </si>
  <si>
    <t>KIT DE MICROFONIA INALAMBRICA DUAL DE MANO DE CAPSULA CARDIOIDE.</t>
  </si>
  <si>
    <t>CB_763A</t>
  </si>
  <si>
    <t>CABLE HDMI DE 7 METROS PLANO</t>
  </si>
  <si>
    <t>HS2TK20FL940NB</t>
  </si>
  <si>
    <t>HANCE G2 TRACK 220 2000 9NW FL BK</t>
  </si>
  <si>
    <t>L4605052</t>
  </si>
  <si>
    <t>TRACK 3PH 2M BK</t>
  </si>
  <si>
    <t>L4606402</t>
  </si>
  <si>
    <t>TRACK ACC. END COVER BK</t>
  </si>
  <si>
    <t>L4605272</t>
  </si>
  <si>
    <t>TRACK ACC. SRT W/O SPACER JOINT BK.</t>
  </si>
  <si>
    <t>L4605282</t>
  </si>
  <si>
    <t>TRACK ACC. RIGHT MAIN SUPPLY BK.</t>
  </si>
  <si>
    <t>CP232911</t>
  </si>
  <si>
    <t>CAJA DE PASO HERMETICA 23X30X12cm.</t>
  </si>
  <si>
    <t>C10_R9861611NAB1</t>
  </si>
  <si>
    <t>SISTEMA DE PRESENTACION INALAMBRICO CON 1 BOTON PARA TRANSMISION POR USB.</t>
  </si>
  <si>
    <t>AP_123_A</t>
  </si>
  <si>
    <t>SISTEMA DE PRESENTACION INALAMBRICO CON 2 BOTONES PARA TRANSMISION POR USB Y APLICACION.</t>
  </si>
  <si>
    <t>K11SQ1543WW930NMW</t>
  </si>
  <si>
    <t>DOWNLIGHT LED EN POLICARBONATO DE 1263Lm, 13.7W. ATENUABLE. CRI &gt;90.  APERTURA 58°.</t>
  </si>
  <si>
    <t>K711523RF830NBB</t>
  </si>
  <si>
    <t>DOWNLIGHT ATENUABLE POR FASE DE 9.5W, 1029Lm. NEGRO MATE. 3000K. APERTURA 33°.</t>
  </si>
  <si>
    <t>FL318MOAS840DA</t>
  </si>
  <si>
    <t>PROYECTOR EXTERIOR, 49.2W, 4000K, CONTROL ON/OFF O DALI.</t>
  </si>
  <si>
    <t>F41SF224MOIO840NW</t>
  </si>
  <si>
    <t>LUMINARIA DE 52.9W, FLUJO 5322Lm, 4000K.</t>
  </si>
  <si>
    <t>F41SF168MOIO840NW</t>
  </si>
  <si>
    <t>LUMINARIA DE 36W, FLUJO 3922Lm, 4000K.</t>
  </si>
  <si>
    <t>F41SF112MOIO840NW</t>
  </si>
  <si>
    <t>LUMINARIA DE 28.3W, FLUJO 2661Lm, 4000K.</t>
  </si>
  <si>
    <t>F4SUECW</t>
  </si>
  <si>
    <t>ACCESORIO DE FINALIZACION</t>
  </si>
  <si>
    <t>SUWIDE1000G</t>
  </si>
  <si>
    <t>ACCESORIO DE ANCLAJE</t>
  </si>
  <si>
    <t>F42JO</t>
  </si>
  <si>
    <t>ACCESORIO DE UNION</t>
  </si>
  <si>
    <t>14127_TF_6</t>
  </si>
  <si>
    <t>MULTI VOLTAGE GROUND LIGHT, 525Lm, CRI 80&gt;, Amber (590 nm).</t>
  </si>
  <si>
    <t>SUPERBRIGHT</t>
  </si>
  <si>
    <t>STW_BYEL_B3C_08B5M_12V</t>
  </si>
  <si>
    <t xml:space="preserve">TURTLE-FRIENDLY 590NM AMBER LIGHT PROTECTS MARINE, NOCTURNAL, AND MIGRATORY SPECIES IP64-RATED TO RESIST DUST AND SPLASHING WATER DURABLE SILICONE COATING PROTECTS AGAINST ABRASION AND HARSH CONDITIONS CUTTABLE DESIGN FOR EASY LENGTH CUSTOMIZATION WHILE MAINTAINING PERFORMANCE.
</t>
  </si>
  <si>
    <t>THMOOTHER</t>
  </si>
  <si>
    <t>B0DP9HL6Y3</t>
  </si>
  <si>
    <t xml:space="preserve">ALUMINUM PROFILE FOR LED STRIP, ONE METER LONG.
</t>
  </si>
  <si>
    <t>BEACHSUDE</t>
  </si>
  <si>
    <t>E3_RL_2W_A_FL</t>
  </si>
  <si>
    <t>ROUND, RECESSED, LOUVERED STEPLIGHT WITH A MINIMAL 2.17” (55MM) FOOTPRINT. POSITIONING OF LOUVERS MILLED AT 30° ANGLE THROW LIGHT OUT AND DOWN WITHOUT GLARE AT FIXTURE LEVEL.</t>
  </si>
  <si>
    <t>CFK</t>
  </si>
  <si>
    <t>THE CONCRETE FORM KIT (CFK) IS USED WHEN INSTALLING E3-SERIES FIXTURES INTO NEW MASONRY. IT USES A PVC FLANGE WITH A TEMPORARY POSITIONING CYLINDER TO SECURE THE E3-SERIES FIXTURES.</t>
  </si>
  <si>
    <t>HUPER</t>
  </si>
  <si>
    <t>HTMT_MIDVIEWW1.1120</t>
  </si>
  <si>
    <t>TELON TENSIONADO DE 120" (2656mm x 1494mm). EN FORMATO 16:9</t>
  </si>
  <si>
    <t>T120P169</t>
  </si>
  <si>
    <t>TELON MOTORIZADO FORMATO 16:9 DE 124"</t>
  </si>
  <si>
    <t xml:space="preserve">ELEVADOR DE 45CM x 45CM x 25CM, CAPACIDAD DE 8Kg, CONTROL REMOTO.
</t>
  </si>
  <si>
    <t>HA58x58x50</t>
  </si>
  <si>
    <t>ASCENSOR DE MARCO, CON CAPACIDAD INTERNA DE 46X40X15. CAPACIDAD DE 7Kg.</t>
  </si>
  <si>
    <t>T110P169</t>
  </si>
  <si>
    <t>TELON MOTORIZADO FORMATO 16:9 DE 110"</t>
  </si>
  <si>
    <t>HD30LV</t>
  </si>
  <si>
    <t>PROYECTOR Full HD (1920x1080), 4500LM, ENTRADA HDMI</t>
  </si>
  <si>
    <t>HUN</t>
  </si>
  <si>
    <t>CH_01_6</t>
  </si>
  <si>
    <t>2M TRACK WITH INTERNAL CAPACITY OF 16.26mm, HEIGHT OF 13mm, INCLUDES DIFFUSER.</t>
  </si>
  <si>
    <t>https://www.amazon.com/-/es/Paquete-canales-aluminio-cubierta-especial/dp/B07V499JHN/ref=sr_1_10?__mk_es_US=%C3%85M%C3%85%C5%BD%C3%95%C3%91&amp;crid=2J1P51IEMKDZE&amp;dib=eyJ2IjoiMSJ9.wOzOQAlrlG3JYcbLVnAlgJXQLLEqsfhfJ9jEJ1-sSeRRBKzyYEAHjIfoVi2HeTVnqhwoLthm3Ln30pN2eteH1n0E3_XHYm4OkDjBsDWm1FLDe_t1ru-jS1DUbC9utfJpxz1nM6JTzLlwMRMpfwCgDOrWAJUYaCMVUGjbm4F1x2JbdXD07QYtSb_8uPVJ577V5zhFRzvZ90GnmF5rHvHrN2rtj1N6So-enp7rCLzI_9UHmfUMGLR8-CluzcaMAR1tKvZgJDXSRwoFTDG4aXbvsZy8jhGyxDEMdwItnUQSi_g.kFlCwmCfI0C7WtJSozINd1GjmVxy_FVFi-uq8quuOJs&amp;dib_tag=se&amp;keywords=perfil%2Bcinta%2Bled&amp;qid=1750707605&amp;sprefix=perfil%2Bc%2Bled%2Caps%2C160&amp;sr=8-10&amp;th=1</t>
  </si>
  <si>
    <t>DIODEDRIVE</t>
  </si>
  <si>
    <t>DVEH_180W_24V</t>
  </si>
  <si>
    <t>CONSTANT VOLTAGE DRIVER WITH CERTIFICATION, 180W POWER, 24VDC.</t>
  </si>
  <si>
    <t>https://www.superbrightleds.com/power-supplies/constant-voltage-power-supplies/dveh-xw-24v+wattconsume-180~Watts~Max</t>
  </si>
  <si>
    <t>STW_BYEL_C6F_10B5M_24V</t>
  </si>
  <si>
    <t xml:space="preserve">TURTLE-FRIENDLY 590NM AMBER LIGHT PROTECTS MARINE, NOCTURNAL, AND MIGRATORY SPECIES IP64-RATED TO RESIST DUST AND SPLASHING WATER DURABLE SILICONE COATING PROTECTS AGAINST ABRASION AND HARSH CONDITIONS CUTTABLE DESIGN FOR EASY LENGTH CUSTOMIZATION WHILE MAINTAINING PERFORMANCE. 12W/m. METER
</t>
  </si>
  <si>
    <t>GLAN_SA2A_AMB_U_5MQ_AP</t>
  </si>
  <si>
    <t>GALLEON, 2 SQUARES, 600MA, AMBER, 590NM, 120-277V, TYPE V SQUARE MEDIUM, GREY.</t>
  </si>
  <si>
    <t>GLAN_SA4A_AMB_U_5MQ_AP</t>
  </si>
  <si>
    <t>GALLEON, 4 SQUARES, 600MA, AMBER, 590NM, 120-277V, TYPE V SQUARE MEDIUM, GREY</t>
  </si>
  <si>
    <t>DVEH_120W_12V</t>
  </si>
  <si>
    <t>CONSTANT VOLTAGE DRIVER WITH CERTIFICATION, 120W POWER, 12VDC.</t>
  </si>
  <si>
    <t>KIT+E3_RL_MR11+LED_2W_A_MR11_NFL+CFK</t>
  </si>
  <si>
    <t>ROUND, RECESSED, LOUVERED STEPLIGHT WITH A MINIMAL 2.17” (55MM) FOOTPRINT WITH LED AMBAR AND KIT FOR INSTALATION.</t>
  </si>
  <si>
    <t>12HLED1169MV30B</t>
  </si>
  <si>
    <t>TORTUGA DE INSTALACION EN PARED, 12W, 3000K</t>
  </si>
  <si>
    <t>20YDLED015MV40B</t>
  </si>
  <si>
    <t>DOWNLIGHT DE 20W, 4000K, 1440 Lm.</t>
  </si>
  <si>
    <t>RK_D_WH</t>
  </si>
  <si>
    <t>SUPLEMENTO PLASTICO PARA CAMBIO DE COLOR DE TAPA DECORATIVA DE ATENUADOR.</t>
  </si>
  <si>
    <t>RK_S_WH</t>
  </si>
  <si>
    <t>SUPLEMENTO PLASTICO PARA CAMBIO DE COLOR DE TAPA DECORATIVA DE INTERRUPTOR.</t>
  </si>
  <si>
    <t>DH_IPC_HDPW1431R1N_0280B_S4</t>
  </si>
  <si>
    <t>CAMARA IP DOMO SEMIMETALICO 1/3" CMOS 4MP@20FPS LENTE 2,8MM FOV 101° WDR 120DB IR 30M H.265+ POE</t>
  </si>
  <si>
    <t>WD43PURZ</t>
  </si>
  <si>
    <t>ND43CMA</t>
  </si>
  <si>
    <t>MONITOR INDUSTRIAL 7X24, RESOLUCION 4K, BRILLO DE 500 NITS</t>
  </si>
  <si>
    <t>LEDRIEL_MICRO</t>
  </si>
  <si>
    <t>PERIFIL PARA CINTA LED, ANCHO DE 1cm Y PROFUNDIDA DE 1cm</t>
  </si>
  <si>
    <t>https://www.fervicom.com/producto/r1010-perfil-de-aluminio-difusor-opal/</t>
  </si>
  <si>
    <t>BANUR</t>
  </si>
  <si>
    <t>PLATINA FLEXIBLE PARA INSTALACION DE CINTA LED</t>
  </si>
  <si>
    <t>LRS_100_24</t>
  </si>
  <si>
    <t>FUENTE DE VOLTAJE CONSTANTE DE 24V, 4.5AMP. DE USO INTERIOR</t>
  </si>
  <si>
    <t>DJ1202408NO_8NW</t>
  </si>
  <si>
    <t>CINTA LED 3000K, 24V, 960Lm/M, 9.6W/M. ROLLO DE 5 METROS</t>
  </si>
  <si>
    <t>K_INST_TIMBRE</t>
  </si>
  <si>
    <t>INSTALACION DE TIMBRE ESPECIFICADO EN PROPUESTA</t>
  </si>
  <si>
    <t>CA_4PS_WH</t>
  </si>
  <si>
    <t>INTERRUPTOR DE 4 VIAS</t>
  </si>
  <si>
    <t>OD1RE612WF830NBB</t>
  </si>
  <si>
    <t>LED LINEAL OCULT 6 MODULOS 14W</t>
  </si>
  <si>
    <t>OD1RE306WF830NBB</t>
  </si>
  <si>
    <t>LED LINEAL OCULT 3 MODULOS 8W</t>
  </si>
  <si>
    <t>D81282408NO_9WW</t>
  </si>
  <si>
    <t>CINTA LED 3000K, 24V, 500Lm/M, 4.4W/M. ROLLO DE 5 METROS</t>
  </si>
  <si>
    <t>LRS_150_24</t>
  </si>
  <si>
    <t>FUENTE DE VOLTAJE CONSTANTE DE 24V, 6.5AMP. 150W. DE USO INTERIOR</t>
  </si>
  <si>
    <t>LUMINAIRA DE 3 MODULOS, OCULT REC 3 600 WW WFL</t>
  </si>
  <si>
    <t>LUMINARIA DE 6 MODULOS OCULT REC 6 1200 WW WFL BK/BK</t>
  </si>
  <si>
    <t>OD1RE306WF830NBB_S</t>
  </si>
  <si>
    <t>LUMINAIRA DE 3 MODULOS, OCULT REC 3 600 WW WFL, SOBREPONER</t>
  </si>
  <si>
    <t>SALTO</t>
  </si>
  <si>
    <t>AM958L62IMB48K</t>
  </si>
  <si>
    <t>XS4 ONE S KEYPAD ANSI ESCUTCHEON. 2 HANDLES, ANY TYPE, INSIDE THUMBTURN 90°, WITH CONNECTOR FOR MORTISE LOCK WITH MICROSWITCH. TECHNOLOGY: MIFARE, BLUETOOTH LE + HSE.
Preguntar a ChatGPT</t>
  </si>
  <si>
    <t>LA1T1570A21IM8RH</t>
  </si>
  <si>
    <t>SALTO ANSI MORTISE LOCK WITH LATCH AND DEADBOLT. WITH PANIC FUNCTION (AXE DISTANCE 62MM)
SALTO ANSI MORTISE LOCK WITH LATCH AND DEADBOLT. WITH PANIC FUNCTION (AXE DISTANCE 62MM)</t>
  </si>
  <si>
    <t>IQ21W300KS</t>
  </si>
  <si>
    <t>KS IQ 2.0: ETHERNET + POE. ID TECHNOLOGY: BLUENET LOCKS. WHITE COVER.</t>
  </si>
  <si>
    <t>VOUCHKS_S</t>
  </si>
  <si>
    <t>SMART ACCESS CORE FUNCTIONALITIES // WEB &amp; MOBILE APPS // CREDENTIALS (TAG, DIGITAL KEY, PIN, REMOTE OPENING) // TWO-FACTOR AUTHENTICATION &amp; SOCIAL LOGIN // EXPORT / IMPORT FUNCTIONALITIES // CHECK-IN &amp; CHECKOUT.
THIS IS A ONE-YEAR SOFTWARE LICENSE.</t>
  </si>
  <si>
    <t>EKEY</t>
  </si>
  <si>
    <t>XLINE_203702</t>
  </si>
  <si>
    <t>FINGER PRINT SET WITH DRM CONTROLER</t>
  </si>
  <si>
    <t>PS_DRM</t>
  </si>
  <si>
    <t>POWER SUPLY FOR SYSTEM</t>
  </si>
  <si>
    <t>UPS_DRM</t>
  </si>
  <si>
    <t>UPS WITH 5A, 12VDC OUTPUT.</t>
  </si>
  <si>
    <t>MCKINNEY</t>
  </si>
  <si>
    <t>MK100</t>
  </si>
  <si>
    <t>Concealed Hinge MK100 MCKINNEY ASSA ABLOY 6 1⁄4" x 1 1⁄16"
BRAND: MCKINNEY</t>
  </si>
  <si>
    <t>MK100ME</t>
  </si>
  <si>
    <t>Electrified Concealed Hinge MK100ME MCKINNEY ASSA ABLOY 6
1⁄4" x 1 1⁄16" BRAND: MCKINNEY</t>
  </si>
  <si>
    <t>P25609_36</t>
  </si>
  <si>
    <t>KIT HERMETICA LED 36W 6500K DL 4500LM 100-277V SYLVANIA</t>
  </si>
  <si>
    <t>RGRAP6262_G</t>
  </si>
  <si>
    <t>ACCESS POINT WIFI 6 IP 68PARA EXTERIOR.</t>
  </si>
  <si>
    <t>CINTNEOFLEX</t>
  </si>
  <si>
    <t>CINTA NEOFLEX DE 3000K 12W/M 12V</t>
  </si>
  <si>
    <t>QSPS_DH_1_75</t>
  </si>
  <si>
    <t>FUEBTE DE ALIMENTACION DE 75W, 24W</t>
  </si>
  <si>
    <t>ADB_1Y_NEW</t>
  </si>
  <si>
    <t>DASHBOARD, TABLERO DE CONTROL, LICENCIA ANUAL, COSTO DE PRIMER AÑO INCLUIDO EN SISTEMA</t>
  </si>
  <si>
    <t>MERSIVE</t>
  </si>
  <si>
    <t>SP_8000_E1</t>
  </si>
  <si>
    <t>STREAMER DE VIDEO CON PROTOCOLO AIRPAY, MIRACAST Y HADMI DUAL.</t>
  </si>
  <si>
    <t>DA4_D</t>
  </si>
  <si>
    <t>ATENCUADO DE CORRIENTE DE 4 CANALES HASTA 5A, CONTROL INDEPENDIENTE DALI</t>
  </si>
  <si>
    <t>DH4</t>
  </si>
  <si>
    <t>CONTROLADOR DALI DE 4 SALIDAS A 16 AMERIOS</t>
  </si>
  <si>
    <t>DT_B</t>
  </si>
  <si>
    <t>ATENUADOR PARA CARGAS MAGNETICAS CONTROLADO POR DALI</t>
  </si>
  <si>
    <t>DT_D</t>
  </si>
  <si>
    <t>ATENUADOR DE 4 CANALES CON AJUSTE DE CURVA Y TIPO DE ATENUACION, CONTROLADO POR DALI</t>
  </si>
  <si>
    <t>SIGHCOMPLEX</t>
  </si>
  <si>
    <t>2835T1120LWW</t>
  </si>
  <si>
    <t>METRO DE CINTA NEON FLEX CALIDA 3000K, 12V</t>
  </si>
  <si>
    <t>PFM_LED_36W_4000</t>
  </si>
  <si>
    <t>LUMINARIA HERMETICA DE 36W, 4000K</t>
  </si>
  <si>
    <t>PFM_LED_43W_4000</t>
  </si>
  <si>
    <t>LUMINARIA HERMETICA DE 43W, 4000K</t>
  </si>
  <si>
    <t>FN2640071_1071U</t>
  </si>
  <si>
    <t>LUMINARIA DECORATIVA DESCOLGADA SEGÚN FICHA TECNICA</t>
  </si>
  <si>
    <t>SHELLY</t>
  </si>
  <si>
    <t>PLUS2PM</t>
  </si>
  <si>
    <t>RELE WIFI DE 2 SALIDAS CON INTEGRACION POR APP</t>
  </si>
  <si>
    <t>K_LINCEN_C4</t>
  </si>
  <si>
    <t>LICENCIA PARA INTEGRACION CON CONTROL 4</t>
  </si>
  <si>
    <t>MC8</t>
  </si>
  <si>
    <t>PREMIUM IN-CEILING SPEAKER FEATURING AN 8" WOVEN FIBERGLASS WOOFER AND FOLDED MOTION® TWEETER, DELIVERING CLEAR HIGHS AND DEEP, BALANCED SOUND. IDEAL FOR HIGH-PERFORMANCE DISTRIBUTED AUDIO OR IMMERSIVE HOME THEATER CEILING INSTALLATIONS.</t>
  </si>
  <si>
    <t>IC6</t>
  </si>
  <si>
    <t>HIGH-QUALITY IN-CEILING SPEAKER EQUIPPED WITH A 6.5" WOVEN FIBERGLASS WOOFER AND FOLDED MOTION® TWEETER, OFFERING CRISP HIGHS AND SMOOTH MIDRANGE. PERFECT FOR DISCREET, HIGH-FIDELITY AUDIO IN MULTI-ROOM OR HOME THEATER.</t>
  </si>
  <si>
    <t>IC6_ST</t>
  </si>
  <si>
    <t>HIGH-PERFORMANCE STEREO IN-CEILING SPEAKER FEATURING DUAL FOLDED MOTION® TWEETERS AND A 6.5" WOVEN FIBERGLASS WOOFER, DESIGNED TO DELIVER FULL LEFT AND RIGHT CHANNELS FROM A SINGLE LOCATION. IDEAL FOR SMALL ROOMS.</t>
  </si>
  <si>
    <t>FOUNDATION_8.1</t>
  </si>
  <si>
    <t>PREMIUM PERFORMANCE OUTDOOR SPEAKERS FROM MARTINLOGAN, DESIGNED FOR POWERFUL, CLEAR SOUND IN ALL WEATHER CONDITIONS. IDEAL FOR PATIOS, POOLSIDES, AND OPEN-AIR INSTALLATIONS.</t>
  </si>
  <si>
    <t>KK_INST_PROG_GENERAL</t>
  </si>
  <si>
    <t xml:space="preserve">PROGRAMMING AND INSTALLATION OF THE EQUIPMENT INCLUDED IN THIS PROPOSAL
</t>
  </si>
  <si>
    <t>16_2CS_BOX</t>
  </si>
  <si>
    <t>TWO-CONDUCTOR STRANDED OXYGEN-FREE COPPER FOR HIGH-QUALITY AUDIO SIGNAL TRANSMISSION. RATED FOR IN-WALL INSTALLATION WITH CL3 AND FT4 CERTIFICATIONS FOR SAFETY AND CODE COMPLIANCE.</t>
  </si>
  <si>
    <t>K_MATERIALS</t>
  </si>
  <si>
    <t>MATERIALS FOR INSTALLATION, TOOLS, CONNECTORS, TAPE, TIES, OTHERS.</t>
  </si>
  <si>
    <t>CINEMA_60</t>
  </si>
  <si>
    <t>PREMIUM 7.2 CHANNEL AV RECEIVER WITH 8K SUPPORT AND DOLBY ATMOS FOR IMMERSIVE HOME THEATER EXPERIENCES. FEATURES HEOS BUILT-IN FOR MULTI-ROOM STREAMING AND IP CONTROL FOR SYSTEM INTEGRATION.</t>
  </si>
  <si>
    <t>IW_S</t>
  </si>
  <si>
    <t>IN-WALL POWERED SUBWOOFER DESIGNED FOR HIGH-PERFORMANCE BASS IN DISCREET INSTALLATIONS.
FEATURES A 600-WATT AMPLIFIER AND LOW-PROFILE DESIGN FOR SEAMLESS HOME THEATER INTEGRATION.
Preguntar a ChatGPT</t>
  </si>
  <si>
    <t>MP500</t>
  </si>
  <si>
    <t xml:space="preserve"> AMPLIFIER DESIGNED FOR CUSTOM AUDIO INSTALLATIONS. DELIVERS 500 WATTS OF CLEAN, EFFICIENT POWER WITH IP CONTROL AND BRIDGEABLE CHANNELS.</t>
  </si>
  <si>
    <t>MOTION_SLM_X3</t>
  </si>
  <si>
    <t>ULTRA-SLIM 3-CHANNEL SOUND BAR DESIGNED FOR DYNAMIC, ROOM-FILLING PERFORMANCE.
FEATURING FOLDING MOTION TRANSDUCERS FOR CRYSTAL-CLEAR DIALOGUE AND DETAILED SOUND.</t>
  </si>
  <si>
    <t>ABYSS_8</t>
  </si>
  <si>
    <t xml:space="preserve">8-INCH COMPACT SUBWOOFER DELIVERING DEEP, CLEAN BASS PERFORMANCE. DESIGNED FOR SPACE-SAVING FLOOR OR CABINET PLACEMENT IN AUDIO AND HOME THEATER SYSTEMS.
</t>
  </si>
  <si>
    <t>LQSE_4T20_120_D</t>
  </si>
  <si>
    <t>MODULO DE CONTROL DE 4 LAZOS 0-10, CON TECNOLOGIA SOFTSWITCH</t>
  </si>
  <si>
    <t>BY</t>
  </si>
  <si>
    <t>GEN_NORTH_17A</t>
  </si>
  <si>
    <t>LUMINARIA TIPO NORTH DE 17 CM DE DIAMETRO BASE ALTA</t>
  </si>
  <si>
    <t>GEN_NORTH_17B</t>
  </si>
  <si>
    <t>LUMINARIA TIPO NORTH DE 17 CM DE DIAMETRO BASE BAJA</t>
  </si>
  <si>
    <t>GEN_NORTH_40</t>
  </si>
  <si>
    <t>LUMINARIA TIPO NORTH DE 40CM DE DIAMETRO</t>
  </si>
  <si>
    <t>GEN_NORTH_60</t>
  </si>
  <si>
    <t>LUMINARIA TIPO NORTH DE 60CM DE DIAMETRO</t>
  </si>
  <si>
    <t>B18W</t>
  </si>
  <si>
    <t>BOMBILLO LED 18W 1800LM 3000K</t>
  </si>
  <si>
    <t>B28W</t>
  </si>
  <si>
    <t>BOMBILLO LED 28W 1800LM 3000K</t>
  </si>
  <si>
    <t>B38W</t>
  </si>
  <si>
    <t>BOMBILLO LED 38W 1800LM 3000K</t>
  </si>
  <si>
    <t>D121203</t>
  </si>
  <si>
    <t>TRIM KIT FOR CEALING INSTALLATION</t>
  </si>
  <si>
    <t>D300319</t>
  </si>
  <si>
    <t>AEROLIFT 100 MOTORIZED LIFT FOR PROJECTORS, DESIGNED FOR CEILINGS WITH LIMITED SPACE. 16KG CAPACITY.
SUPPORTS UP TO 100 LBS AND OFFERS SMOOTH, QUIET OPERATION WITH ADJUSTABLE DROP DISTANCE.</t>
  </si>
  <si>
    <t>NP_P547UL</t>
  </si>
  <si>
    <t>HIGH-BRIGHTNESS 3LCD LASER PROJECTOR WITH 5400 LUMENS AND WUXGA RESOLUTION.
FEATURES MAINTENANCE-FREE OPERATION, LENS SHIFT, AND INTEGRATED NETWORK CONTROL.
Preguntar a ChatGPT</t>
  </si>
  <si>
    <t>GTB_UHD600_HBT</t>
  </si>
  <si>
    <t>4K ULTRA HD HDMI EXTENDER OVER HDBaseT WITH HDR SUPPORT UP TO 70 METERS.
SUPPORTS HDMI 2.0, HDCP 2.2, 18.2 GBPS BANDWIDTH, AND BI-DIRECTIONAL IR.</t>
  </si>
  <si>
    <t>D101640</t>
  </si>
  <si>
    <t>123" MOTORIZED CEILING-RECESSED PROJECTION SCREEN WITH XT1000VB MATT WHITE SURFACE AND TAB-TENSIONED DESIGN. DELIVERS 180° VIEWING ANGLE, 1.0 GAIN, AND SMOOTH, QUIET OPERATION FOR PREMIUM IMAGE QUALITY.</t>
  </si>
  <si>
    <t>POLY STUDIO X52_+_TC10</t>
  </si>
  <si>
    <t>SISTEMA DE VIDEOCONFERENCIA TODO EN UNO CON CÁMARA 4K, AUDIO INTELIGENTE Y CONTROL TÁCTIL TC10. IDEAL PARA SALAS MEDIANAS, COMPATIBLE CON TEAMS, ZOOM Y GOOGLE MEET.</t>
  </si>
  <si>
    <t>https://www.323.tv/product/poly-studio-x52-7200-88085-001/?srsltid=AfmBOorBgyx5fhI3SXJ_kbljke9n3r43cHu5yGizTQaiYa2MYIl-4hJo&amp;utm_source=chatgpt.com</t>
  </si>
  <si>
    <t>875M66A</t>
  </si>
  <si>
    <t>MICROFONO DE EXPANSION PARA COMFERENCIA X52</t>
  </si>
  <si>
    <t>FC_46H2</t>
  </si>
  <si>
    <t>EXTRACTOR DE AUDIO HDMI 4K HDR CON SALIDAS ANALÓGICA Y DIGITAL.
SOPORTA 4K@60 HZ (4:4:4), HDCP 2.2 Y ARC PARA AUDIO DESDE TV.</t>
  </si>
  <si>
    <t>PC6M</t>
  </si>
  <si>
    <t>PATCH CORE DE 20 PIES</t>
  </si>
  <si>
    <t>https://www.amazon.com/-/es/Folishine-Ethernet-velocidad-conexi%C3%B3n-enrutador/dp/B08XPL1G1S/ref=sr_1_3?__mk_es_US=%C3%85M%C3%85%C5%BD%C3%95%C3%91&amp;crid=2P37OVN5Z0EWT&amp;dib=eyJ2IjoiMSJ9.BaHPCM4M5SlUoevLAbgaUQhoUc5HSShezbGaZj8Kd3Q.28NtSWbpcUXXkx0g3rV9Xa3kvEa3vHMwivfprTl7lDE&amp;dib_tag=se&amp;keywords=patch%2Bcore%2B6m&amp;qid=1753646534&amp;refinements=p_n_feature_four_browse-bin%3A23949368011&amp;rnid=23949337011&amp;sprefix=patch%2Bcore%2B6m%2Caps%2C175&amp;sr=8-3&amp;th=1</t>
  </si>
  <si>
    <t>HOHASSLE</t>
  </si>
  <si>
    <t>HDM88</t>
  </si>
  <si>
    <t>MATRIZ DE VIDEO HDMI 8x8 CON EXTRACTOR DE AUDIO Y CONTROL SERIAL.</t>
  </si>
  <si>
    <t>https://www.amazon.com/HDMI-Matrix-Switcher-18GBPS-Ultra/dp/B01GKFQNG8?ref_=ast_sto_dp</t>
  </si>
  <si>
    <t>REI</t>
  </si>
  <si>
    <t>UHD_808</t>
  </si>
  <si>
    <t>QBA</t>
  </si>
  <si>
    <t>B0F13W3V1K</t>
  </si>
  <si>
    <t>GROMMET CON CONEXIÓN HDMI, CORRIENTE Y USB.</t>
  </si>
  <si>
    <t>https://www.amazon.com/-/es/alimentaci%C3%B3n-empotrado-corriente-pulgadas-tomacorrientes/dp/B0F13W3V1K/ref=sr_1_1?crid=3BC0LY91RMOIU&amp;dib=eyJ2IjoiMSJ9.RO7-BIIjA_PVm3de6X5x-pLpK2lr3mDl5-dfwEMfzIbAxCIXde3nDPTnopI0LrjdOOs7m0Xe3BlBvPZJxYoy5SNIpLwGgAJt8m8Em7IOSMvC1O1ai9gDaAjhCLRELUmiBeewnDM6jBDpyd6YCziiaqazgKp0JPfCaujuVkxmIBEPZFnPyc4rtyMTx1Z8pUKevr9_rS-s9jc_9vKeT1ENd7ilpsMqefi3vveeqTyC4Bs.Aly4r4q8zEJEPfbAlVPPLxMrvLNJF0PXhGCvnb4_kyE&amp;dib_tag=se&amp;keywords=power+grommet+hdmi&amp;qid=1753650834&amp;sprefix=grommet+hdmi+%2Caps%2C394&amp;sr=8-1</t>
  </si>
  <si>
    <t>TLM65Z</t>
  </si>
  <si>
    <t xml:space="preserve">MONITOR PROFESIONAL DE 65” TRAULUX TLM65Z CON PANTALLA UHD 4K Y DISEÑO SLIM. IDEAL PARA USO EN SALAS DE REUNIONES, SEÑALIZACIÓN DIGITAL Y AULAS INTERACTIVAS.
</t>
  </si>
  <si>
    <t>MO_1016B</t>
  </si>
  <si>
    <t xml:space="preserve"> PANTALLA 4K UHD, DISEÑO SLIM Y 20 PUNTOS TÁCTILES. IDEAL PARA VIDEOCONFERENCIAS PROFESIONALES, COMPARTICIÓN INALÁMBRICA Y USO EN SALAS CORPORATIVAS Y EDUCATIVAS</t>
  </si>
  <si>
    <t>NP_PE456USL</t>
  </si>
  <si>
    <t>PROYECTOR NEC NP-PE456USL DE TIRO CORTO CON RESOLUCIÓN WUXGA Y 4.500 LÚMENES.
IDEAL PARA AULAS, SALAS DE REUNIÓN Y ESPACIOS CON POCA DISTANCIA DE PROYECCIÓN.</t>
  </si>
  <si>
    <t>KITQD003</t>
  </si>
  <si>
    <t>SOPORTE DE TECHO UNIVERSAL CHIEF KITQD003 CON MONTAJE RPMAU, COLUMNA FIJA CMS003 Y PLACA DE TECHO CMS115</t>
  </si>
  <si>
    <t>DIGITAL IMAGE</t>
  </si>
  <si>
    <t>B00DR7E7Z2</t>
  </si>
  <si>
    <t>GALON DE PINTURA PARA PROYECCIONES CON RESOLUCION 4K</t>
  </si>
  <si>
    <t>VARIA_80</t>
  </si>
  <si>
    <t>PANEL TÁCTIL AMX VARIA‑80 DE 8 PULGADAS CON DISEÑO MODULAR, INTERFAZ ANDROID Y MONTAJE VERSÁTIL.</t>
  </si>
  <si>
    <t>D145</t>
  </si>
  <si>
    <t>SISTEMA DE MOTORIZACION PARA CORTINA TIPO DRAPER, DE MONTAJE A TECHO Y PESO DE TELA HASTA 72Kg.</t>
  </si>
  <si>
    <t>DRAP01</t>
  </si>
  <si>
    <t>CORTINA DRAPER A MEDIDA EN ACABADO FINO, TELA DE ALTA DENSIDAD</t>
  </si>
  <si>
    <t>FG1906_0402</t>
  </si>
  <si>
    <t xml:space="preserve">ALL-IN-ONE 4K60 PRESENTATION SWITCHER WITH MULTI-FORMAT VIDEO, AUDIO DSP, CONTROL, AND USB 2.0 SWITCHING. IDEAL FOR CONFERENCE ROOMS, CLASSROOMS, AND TAA-COMPLIANT GOVERNMENT INSTALLATIONS. </t>
  </si>
  <si>
    <t>UTP0811</t>
  </si>
  <si>
    <t>8-PORT UNMANAGED POE+ GIGABIT SWITCH WITH 1 GIGABIT UPLINK PORT. SUPPORTS IEEE 802.3AF/AT, DESIGNED FOR IP CAMERAS AND NETWORK DEVICES.</t>
  </si>
  <si>
    <t>YTM8111</t>
  </si>
  <si>
    <t>8-PORT MANAGED POE+ GIGABIT SWITCH WITH 1 GIGABIT UPLINK AND WEB INTERFACE. SUPPORTS VLAN, QoS, AND REMOTE MANAGEMENT FOR NETWORKED DEVICES.</t>
  </si>
  <si>
    <t>FG1010_330_BLFX</t>
  </si>
  <si>
    <t>10.1” TOUCH PANEL WITH FULL HD RESOLUTION AND MULTI-TOUCH CAPABILITY. DESIGNED FOR ROOM CONTROL, SCHEDULING, AND INTEGRATION WITH AMX SYSTEMS.</t>
  </si>
  <si>
    <t>FG1010_312_02</t>
  </si>
  <si>
    <t xml:space="preserve">MODERO G5 10.1” WALL MOUNT TOUCH PANEL WITH CAPACITIVE MULTI-TOUCH DISPLAY. IDEAL FOR ROOM CONTROL, AUTOMATION INTERFACES, AND DYNAMIC USER EXPERIENCES. </t>
  </si>
  <si>
    <t>FG1010_512_02</t>
  </si>
  <si>
    <t xml:space="preserve">MODERO G5 10.1” TABLETOP TOUCH PANEL WITH HIGH-RESOLUTION MULTI-TOUCH DISPLAY. DESIGNED FOR INTUITIVE ROOM CONTROL, VIDEO PREVIEW, AND AUTOMATION INTERFACES. </t>
  </si>
  <si>
    <t>FG1010_722_01</t>
  </si>
  <si>
    <t>MODERO G5 7” WALL MOUNT TOUCH PANEL WITH MULTI-TOUCH CAPACITIVE DISPLAY. OPTIMIZED FOR ROOM SCHEDULING, ENVIRONMENTAL CONTROL, AND USER INTERACTION.</t>
  </si>
  <si>
    <t>BLU806M-US</t>
  </si>
  <si>
    <t>8X8 DIGITAL SIGNAL PROCESSOR WITH AEC, DANTE, AND BLU LINK EXPANSION. IDEAL FOR CONFERENCING, AUDIO DISTRIBUTION, AND NETWORKED SOUND SYSTEMS.</t>
  </si>
  <si>
    <t>BLUCARDIN-M</t>
  </si>
  <si>
    <t>INPUT EXPANSION CARD WITH 8 CHANNELS OF MIC/LINE ANALOG INPUT FOR BLU LINK DEVICES. DESIGNED FOR USE WITH COMPATIBLE BSS SOUNDWEB LONDON PROCESSORS.</t>
  </si>
  <si>
    <t>BLUCARDOUT-M</t>
  </si>
  <si>
    <t>OUTPUT EXPANSION CARD WITH 8 CHANNELS OF ANALOG LINE-LEVEL OUTPUT FOR BLU LINK DEVICES. DESIGNED FOR COMPATIBILITY WITH BSS SOUNDWEB LONDON PROCESSORS.</t>
  </si>
  <si>
    <t>DCI8X600DA-U-USFX</t>
  </si>
  <si>
    <t>8-CHANNEL POWER AMPLIFIER WITH 600W PER CHANNEL, BUILT-IN DSP, AND DANTE NETWORKING. IDEAL FOR LARGE-SCALE INSTALLATIONS REQUIRING FLEXIBLE AUDIO DISTRIBUTION.</t>
  </si>
  <si>
    <t>VRX932LAP</t>
  </si>
  <si>
    <t>12" TWO-WAY POWERED LINE ARRAY LOUDSPEAKER WITH 1750W PEAK OUTPUT. DESIGNED FOR PORTABLE SOUND REINFORCEMENT AND PERMANENT INSTALLATIONS.</t>
  </si>
  <si>
    <t>VRX918SP</t>
  </si>
  <si>
    <t>18" POWERED SUBWOOFER WITH 1500W PEAK OUTPUT AND INTEGRATED DSP. DESIGNED TO COMPLEMENT VRX LINE ARRAY SYSTEMS FOR DEEP, POWERFUL BASS.</t>
  </si>
  <si>
    <t>VRX_AF_II</t>
  </si>
  <si>
    <t>ARRAY FRAME FOR SUSPENDING VRX900 SERIES LINE ARRAY SPEAKERS IN INSTALLATIONS. DESIGNED FOR SAFE AND FLEXIBLE RIGGING OF VRX932LAP AND VRX918SP MODULES.</t>
  </si>
  <si>
    <t>AC26</t>
  </si>
  <si>
    <t>2-IN/6-OUT DIGITAL LOUDSPEAKER PROCESSOR WITH CROSSOVER, EQ, AND DELAY FUNCTIONS. IDEAL FOR SMALL TO MID-SIZE SOUND SYSTEM MANAGEMENT AND SPEAKER TUNING.</t>
  </si>
  <si>
    <t>MTU_26</t>
  </si>
  <si>
    <t>2-IN/6-OUT DIGITAL AUDIO MATRIX PROCESSOR WITH BUILT-IN DSP AND USER CONTROL OPTIONS. SUITABLE FOR AUDIO ROUTING, MIXING, AND ZONE MANAGEMENT IN COMMERCIAL INSTALLATIONS.</t>
  </si>
  <si>
    <t>305PMKII</t>
  </si>
  <si>
    <t>5” POWERED STUDIO MONITOR WITH NEXT-GENERATION JBL WAVEGUIDE TECHNOLOGY. DESIGNED FOR ACCURATE AUDIO MONITORING IN MUSIC PRODUCTION AND MIXING ENVIRONMENTS.</t>
  </si>
  <si>
    <t>CONTROL_25_1L</t>
  </si>
  <si>
    <t>5.25” TWO-WAY SURFACE-MOUNT LOUDSPEAKER WITH WEATHER-RESISTANT DESIGN. IDEAL FOR INDOOR AND OUTDOOR COMMERCIAL SOUND APPLICATIONS.</t>
  </si>
  <si>
    <t>MTC_25UB_1</t>
  </si>
  <si>
    <t>U-BRACKET MOUNTING KIT FOR JBL CONTROL 25 SERIES LOUDSPEAKERS. DESIGNED FOR EASY AND SECURE WALL OR CEILING INSTALLATION.</t>
  </si>
  <si>
    <t xml:space="preserve">8” TWO-WAY SURFACE-MOUNT LOUDSPEAKER WITH BROAD COVERAGE AND HIGH OUTPUT. WEATHER-RESISTANT DESIGN FOR INDOOR OR OUTDOOR COMMERCIAL INSTALLATIONS. </t>
  </si>
  <si>
    <t>MTC_28UB_1</t>
  </si>
  <si>
    <t>U-BRACKET MOUNTING KIT FOR JBL CONTROL 28 SERIES LOUDSPEAKERS. ENABLES SECURE WALL OR CEILING INSTALLATION WITH ADJUSTABLE ANGLES.</t>
  </si>
  <si>
    <t>CONTROL_24CT</t>
  </si>
  <si>
    <t xml:space="preserve">4” TWO-WAY CEILING SPEAKER WITH TRANSFORMER FOR 70V/100V DISTRIBUTED SYSTEMS. DESIGNED FOR BACKGROUND MUSIC AND PAGING IN COMMERCIAL CEILING INSTALLATIONS. </t>
  </si>
  <si>
    <t>STUDIO_X52</t>
  </si>
  <si>
    <t xml:space="preserve">SISTEMA DE VIDEOCONFERENCIA TODO EN UNO CON CÁMARA 4K, ALTAVOCES ESTÉREO Y CUATRO MICRÓFONOS. IDEAL PARA SALAS MEDIANAS Y GRANDES, INCLUYE CONTROLADOR TÁCTIL TC10 PARA GESTIÓN INTUITIVA. </t>
  </si>
  <si>
    <t>M9</t>
  </si>
  <si>
    <t>TABLET ANDROID DE 9" HD (1340×800) CON PROCESADOR MEDIATEK HELIO G80, HASTA 4 GB DE RAM, ALTAVOCES DOLBY ATMOS Y BATERÍA DE 5100 mAh PARA MÁS DE 13 HORAS DE USO</t>
  </si>
  <si>
    <t>5-34-26</t>
  </si>
  <si>
    <t>RACK DE 1.6 M DE ALTURA.</t>
  </si>
  <si>
    <t>PDX_915R</t>
  </si>
  <si>
    <t>MÓDULO DE ENERGÍA RACKMOUNT DE 1U CON 9 SALIDAS Y PROTECCIÓN CONTRA SOBRETENSIONES. IDEAL PARA INSTALACIONES AV PROFESIONALES, INCLUYE FILTRO EMI Y CABLE DE 2.7 M.</t>
  </si>
  <si>
    <t>PA1505UL_W</t>
  </si>
  <si>
    <t>PROYECTOR LÁSER DE ALTA BRILLANTEZ CON 15.000 LÚMENES Y RESOLUCIÓN WUXGA, IDEAL PARA AUDITORIOS, SALONES DE CONFERENCIAS Y APLICACIONES DE GRAN FORMATO.
OFRECE OPERACIÓN LIBRE DE MANTENIMIENTO, CON INSTALACIÓN FLEXIBLE 360°, CONECTIVIDAD HDBaseT Y VIDA ÚTIL DE HASTA 20.000 HORAS</t>
  </si>
  <si>
    <t>101391CD</t>
  </si>
  <si>
    <t xml:space="preserve">PANTALLA MOTORIZADA DRAPER PREMIER XL 101391CB DE 220″ (16:9) CON SUPERFICIE TAB‑TENSIONED CineFlex CH1200V GAIN 1.2, GARANTIZANDO UN PLANO PERFECTO Y ALTA CALIDAD DE IMAGEN. CAJA DE ALUMINIO EXTRUIDO DE ACABADO NEGRO, FUNCIONAMIENTO SILENCIOSO SOBRE AISLANTES DE VIBRACIÓN, PARA INSTALACIÓN EN MURO O TECHO. </t>
  </si>
  <si>
    <t>ANI4IN_XLR</t>
  </si>
  <si>
    <t>INTERFAZ DE AUDIO CON 4 ENTRADAS ANALÓGICAS BALANCEADAS XLR PARA REDES DANTE. PERMITE INTEGRAR FUENTES DE AUDIO TRADICIONALES A SISTEMAS AV SOBRE IP CON ALTA CALIDAD.</t>
  </si>
  <si>
    <t>BLX24_PG58</t>
  </si>
  <si>
    <t>SISTEMA INALÁMBRICO SHURE CON MICRÓFONO DE MANO PG58 Y TRANSMISOR INTEGRADO. IDEAL PARA VOCES EN VIVO, OFRECE SONIDO CLARO, OPERACIÓN SENCILLA Y ALCANCE DE HASTA 100M.</t>
  </si>
  <si>
    <t>QSWE_8BRLN_MC_NST</t>
  </si>
  <si>
    <t>TECLADO DE 8 BOTONES LUTRON SEETOUCH QS CON GRABADO PERSONALIZADO. ACABADO METÁLICO EN COLOR MIDNIGHT CON LUZ DE NOCHE INCORPORADA.</t>
  </si>
  <si>
    <t>QSWS2_3BN_BL_NST,3</t>
  </si>
  <si>
    <t xml:space="preserve">TECLADO DE 3 BOTONES LUTRON SEETOUCH QS CON GRABADO PERSONALIZADO. ACABADO EN COLOR NEGRO BRILLANTE CON LUZ DE NOCHE INTEGRADA. </t>
  </si>
  <si>
    <t>QSWS2_3BRLN_BL_NST,4</t>
  </si>
  <si>
    <t>TECLADO DE 3 BOTONES LUTRON SEETOUCH QS CON GRABADO PERSONALIZADO. ACABADO METÁLICO EN COLOR NEGRO BRILLANTE CON LUZ DE NOCHE INTEGRADA.</t>
  </si>
  <si>
    <t>QSWS2_5BRLN_BL_NST,1</t>
  </si>
  <si>
    <t xml:space="preserve">TECLADO DE 5 BOTONES LUTRON SEETOUCH QS CON GRABADO PERSONALIZADO. ACABADO METÁLICO EN COLOR NEGRO BRILLANTE CON LUZ DE NOCHE INTEGRADA. </t>
  </si>
  <si>
    <t>ALPD10S-ZZZZZZZZZZ</t>
  </si>
  <si>
    <t>PANEL PRE ENSAMBLADO CON 10 MODULOS 0-10 Y BREAKERS DE PROTECCIÓN.</t>
  </si>
  <si>
    <t>BUYANG</t>
  </si>
  <si>
    <t>WY33_96_36</t>
  </si>
  <si>
    <t>PUERTA DE SEGURIDAD EN HIERRO CON MEDIDAS DE 36" DE ANCHO Y 96" DE ALTURA. ESTA MEDIDA PUEDE SER AJUSTADA A NECESIDAD DEL PROYECTO. ESTRUCTURA ENCHAPADA EN LAMINA TIPO MADERA. POSIBILIDAD DE SELECCIÓN DE COLORES. Y ACABADO.</t>
  </si>
  <si>
    <t>AKUBELA</t>
  </si>
  <si>
    <t>SL30</t>
  </si>
  <si>
    <t>CERRADURA INTELIGENTE AKUBELA SL30 CON LECTOR DE HUELLA, CLAVE, TARJETA Y LLAVE MECÁNICA.
CUERPO RESISTENTE, APTO PARA PUERTAS DE MADERA O METÁLICAS, FÁCIL INTEGRACIÓN CON SISTEMAS DE CONTROL</t>
  </si>
  <si>
    <t>SC52714</t>
  </si>
  <si>
    <t>ROLLO DE 5 METROS DE NEON FLEX 4mm LUZ LATERAL SMD2835 7.6W CALIDO IP67 24V</t>
  </si>
  <si>
    <t>FUENTE DE ALIMENTACIÓN CONMUTADA MEAN WELL LRS-150-24, SALIDA DE 24V DC Y 6.5A, POTENCIA DE 156W</t>
  </si>
  <si>
    <t>L80401W</t>
  </si>
  <si>
    <t>TAPA DECORATIVA SENCILLA DE TORNILLO BLANCA</t>
  </si>
  <si>
    <t>L80409W</t>
  </si>
  <si>
    <t>TAPA DECORATIVA DOBLE DE TORNILLO BLANCA</t>
  </si>
  <si>
    <t>PWM_60_24DA2</t>
  </si>
  <si>
    <t>FUENTE DE ALIMENTACION 60W DALI</t>
  </si>
  <si>
    <t>PS_467A</t>
  </si>
  <si>
    <t>ADAPTADOR DE HDMI A DVI</t>
  </si>
  <si>
    <t>SGF15BK</t>
  </si>
  <si>
    <t>TOMA GFCI EN COLOR NEGRO MATE, FORMATO DECORA.</t>
  </si>
  <si>
    <t>DH_IPC_HDBW1230EN_0</t>
  </si>
  <si>
    <t>CÁMARA DOMO IP DE 2MP CON LENTE FIJO, RESOLUCIÓN FULL HD 1080P, ILUMINACIÓN IR PARA VISIÓN NOCTURNA HASTA 30M.</t>
  </si>
  <si>
    <t>DISCO DURO 1TB CACHE 256MB 3.5" SATA 5400 RPM 1GB/S</t>
  </si>
  <si>
    <t>CIN_NEO_3000</t>
  </si>
  <si>
    <t>LUMINARIA LINEAL LED DE 4100K, 1.12M DE LARGO. PARA CONFIGURACIÓN EN TÁNDEM. 4000 LUMENS ATENUABLEDALI. DE SOBREPONER O DESCOLGAR.</t>
  </si>
  <si>
    <t>D300_FHD</t>
  </si>
  <si>
    <t>MONITOR SAMSUNG D300 FHD DE 24” CON RESOLUCIÓN FULL HD 1920X1080, BRINDANDO IMÁGENES NÍTIDAS Y COLORES VIBRANTES.</t>
  </si>
  <si>
    <t>HUNTER</t>
  </si>
  <si>
    <t>CASSIUS</t>
  </si>
  <si>
    <t>FAN CASSIUS DE HUNTER, VENTILADOR DE TECHO DE 52” CON MOTOR DE ALTO RENDIMIENTO Y CONSUMO PROMEDIO DE 64W EN OPERACIÓN</t>
  </si>
  <si>
    <t>ATENUADOR PARA CARGAS INDUCTIVAS O VENTILADORES, LINEA CASETA</t>
  </si>
  <si>
    <t>DH_IPC_HDBW1230EN_0280B_S5</t>
  </si>
  <si>
    <t>CÁMARA DOMO FIJA , 2MP FULL HD, LENTE 2.8MM, IR 30M, IP67.</t>
  </si>
  <si>
    <t>DHI_NVR1104HS_P_S3H_V2</t>
  </si>
  <si>
    <t>GRABADOR DE VIDEO EN RED DAHUA DHI_NVR1104HS_P_S3H_V2, 4 CANALES, SOPORTE H.265/H.264, HASTA 8MP</t>
  </si>
  <si>
    <t>DS_K1T344MBFWX_E1</t>
  </si>
  <si>
    <t>TERMINAL DE RECONOCIMIENTO FACIAL, MULTIMODAL CON TARJETA, HUELLA, PIN Y CÓDIGO QR. PANTALLA TÁCTIL 4.5”, IP65, POE, AUDIO BIDIRECCIONAL Y CAPACIDAD PARA 3000 USUARIOS.</t>
  </si>
  <si>
    <t>SPI500W</t>
  </si>
  <si>
    <t>SUPRESOR DE PICOS PARA CARGAS INDUCTIVAS</t>
  </si>
  <si>
    <t>INSTALACION DE MODULO DE ATENUACION O INTERRUPCION DE 4 SALIDAS</t>
  </si>
  <si>
    <t>PROGRAMACION DE MODULO DE ATENUACION O INTERRUPCION DE 4 SALIDAS</t>
  </si>
  <si>
    <t>K_INST_HQP7</t>
  </si>
  <si>
    <t>INSTALACION DE PROCESADOR HOMEWORKS</t>
  </si>
  <si>
    <t>K_PROG_HQP7</t>
  </si>
  <si>
    <t>PROGRAMACION DE PROCESADOR HOMEWORKS</t>
  </si>
  <si>
    <t>K_PROG_HQR_REP_120</t>
  </si>
  <si>
    <t>PROGRAMACION DE UNIDAD WIRELESS</t>
  </si>
  <si>
    <t>LSC_PRG_AST_RMTE</t>
  </si>
  <si>
    <t>ASISTENCIA REMOTA DE PROGRAMACIÓN – UNA SESIÓN REMOTA DE 4 HORAS PARA AJUSTES DE PROGRAMACIÓN SEGÚN INDICACIONES DEL ADMINISTRADOR O ESPECIFICADOR. APLICA PARA SISTEMAS LUTRON QUANTUM Y ATHENA.</t>
  </si>
  <si>
    <t>K_REP_X1</t>
  </si>
  <si>
    <t>REPOTENCIACION DE LAMPARA LINEAL DE T5 A REGLETA LED DE UNA UNIDAD LINEAL. CON MATERIALES, REGLETA BJB O SIMILAR, DRIVER UNIVERSAL 0-10, Y AJUSTE A 1050mA.</t>
  </si>
  <si>
    <t>K_REP_X2</t>
  </si>
  <si>
    <t>REPOTENCIACION DE LAMPARA LINEAL DE T5 A REGLETA LED DE DOS UNIDADES LINEALES. CON MATERIALES, REGLETA BJB O SIMILAR, DRIVER UNIVERSAL 0-10, Y AJUSTE A 1050mA.</t>
  </si>
  <si>
    <t>K_REP_X3</t>
  </si>
  <si>
    <t>REPOTENCIACION DE LAMPARA LINEAL DE T5 A REGLETA LED DE TRES UNIDADES LINEALES. CON MATERIALES, REGLETA BJB O SIMILAR, DRIVER UNIVERSAL 0-10, Y AJUSTE A 1050mA.</t>
  </si>
  <si>
    <t>K_REP_X4</t>
  </si>
  <si>
    <t>REPOTENCIACION DE LAMPARA LINEAL DE T5 A REGLETA LED DE CUATRO UNIDADES LINEALES. CON MATERIALES, REGLETA BJB O SIMILAR, DRIVER UNIVERSAL 0-10, Y AJUSTE A 1050mA.</t>
  </si>
  <si>
    <t>K_REP_X5</t>
  </si>
  <si>
    <t>REPOTENCIACION DE LAMPARA LINEAL DE T5 A REGLETA LED DE CINCO UNIDADES LINEALES. CON MATERIALES, REGLETA BJB O SIMILAR, DRIVER UNIVERSAL 0-10, Y AJUSTE A 1050mA.</t>
  </si>
  <si>
    <t>ATENUADOR 150 W LED / 600 W INCANDESCENTE, 1 POLO / 3 VÍAS, DESLIZADOR CON INTERRUPTOR; TECNOLOGÍA C•L PARA LED/CFL.</t>
  </si>
  <si>
    <t>ECODLV15</t>
  </si>
  <si>
    <t xml:space="preserve">BALA LED DOWNLIGHT 15W EMPOTRABLE, DISEÑO COMPACTO EN ALUMINIO Y POLICARBONATO, EMISIÓN DIRECTA DE LUZ Y ALTA EFICIENCIA PARA INTERIORES COMERCIALES. </t>
  </si>
  <si>
    <t>TL543N</t>
  </si>
  <si>
    <t>REFLECTOR DE 35W, CRI93, ANGULO DE APERTURA DE 24°, LED DE 50.000 HORAS</t>
  </si>
  <si>
    <t>SILV</t>
  </si>
  <si>
    <t>CONTI:4K1.12</t>
  </si>
  <si>
    <t>LUMINARIA DE PERFIL LINEAL 4000K, 31W, 3600LM.</t>
  </si>
  <si>
    <t>CONTI:4K2.24</t>
  </si>
  <si>
    <t>LUMINARIA DE PERFIL LINEAL 4000K, 62W, 7200LM.</t>
  </si>
  <si>
    <t>CONTI:4K3.36</t>
  </si>
  <si>
    <t>LUMINARIA DE PERFIL LINEAL 4000K, 94W, 10800LM.</t>
  </si>
  <si>
    <t>CONTI:4K4.48</t>
  </si>
  <si>
    <t>LUMINARIA DE PERFIL LINEAL 4000K, 124W, 14400LM.</t>
  </si>
  <si>
    <t>OF4250BBCA</t>
  </si>
  <si>
    <t>LUMINARIA LINEAL NO ATENUABLE DE 4000K, 38W.</t>
  </si>
  <si>
    <t>AC8254S</t>
  </si>
  <si>
    <t>GUAYA DE SUSPENSION</t>
  </si>
  <si>
    <t>CP4_R</t>
  </si>
  <si>
    <t>CONTROLADOR CRESTRON CP4-R, PROCESADOR CENTRAL DE AUTOMATIZACIÓN PARA SISTEMAS DE AUDIO, VIDEO Y CONTROL.</t>
  </si>
  <si>
    <t>MD_NAX_8ZSA</t>
  </si>
  <si>
    <t>MATRIZ DE AUDIO SOBRE RED CON 8 ZONAS Y AMPLIFICACIÓN INTEGRADA.
SOPORTA STREAMING, PROCESAMIENTO DIGITAL Y CONTROL ESCALABLE PARA INSTALACIONES MULTIROOM</t>
  </si>
  <si>
    <t>CEN_IO_IR_104</t>
  </si>
  <si>
    <t>INTERFAZ DE CONTROL CON 4 PUERTOS INFRARROJOS PARA DISPOSITIVOS AUDIOVISUALES.</t>
  </si>
  <si>
    <t>CEN_IO_RY_104</t>
  </si>
  <si>
    <t>INTERFAZ DE CONTROL CON 4 RELEVOS PROGRAMABLES PARA AUTOMATIZACIÓN</t>
  </si>
  <si>
    <t>TS_1070_B_S</t>
  </si>
  <si>
    <t>PANTALLA TÁCTIL DE 10.1” EN COLOR NEGRO PARA CONTROL INTUITIVO DE SISTEMAS</t>
  </si>
  <si>
    <t>TSW_1070_B_S</t>
  </si>
  <si>
    <t>PANTALLA TÁCTIL DE 10.1” CON MONTAJE EN PARED COLOR NEGRO.
OFRECE CONTROL CENTRALIZADO DE AUDIO, VIDEO, ILUMINACIÓN Y OTROS SISTEMAS DE AUTOMATIZACIÓN</t>
  </si>
  <si>
    <t>IRF_1</t>
  </si>
  <si>
    <t>EMISOR INFRARROJO PARA CONTROL DE EQUIPOS AUDIOVISUALES.
SE UTILIZA CON INTERFACES CRESTRON PARA ENVIAR COMANDOS IR A DISPOSITIVOS EXTERNOS</t>
  </si>
  <si>
    <t>TSR_310</t>
  </si>
  <si>
    <t>CONTROL REMOTO TÁCTIL INALÁMBRICO CON PANTALLA A COLOR.
DISEÑADO PARA GESTIONAR AUDIO, VIDEO, ILUMINACIÓN Y AUTOMATIZACIÓN EN ENTORNOS RESIDENCIALES O COMERCIALES</t>
  </si>
  <si>
    <t>S93489</t>
  </si>
  <si>
    <t>ENCLOSURE PARA SPEAKER INVISIBLE</t>
  </si>
  <si>
    <t>ORIGIN ACUSTICS</t>
  </si>
  <si>
    <t>D85</t>
  </si>
  <si>
    <t>ALTAVOZ DE TECHO TRINIVEL DE 8″ (IMAGEN IN-MÚRO), CON UN CONTROLADOR DE GRAVES IMG DE 8″, CONTROLADOR MEDIO DE 4″ Y TWEETER DE SEDA DPSD DE ¾″. RESPUESTA DE FRECUENCIA DE 36 Hz A 20 kHz, MANEJO DE POTENCIA RMS DE 50 W (175–150 W MÁXIMO) E IMPEDANCIA NOMINAL DE 6 Ω, CON SENSIBILIDAD DE APROX. 91 dB</t>
  </si>
  <si>
    <t>MARINER_86</t>
  </si>
  <si>
    <t>ALTAVOZ EXTERIOR DE 8" (203 MM) CON CONO LAMINADO KEVLAR/NOMEX Y TWEETER DE CÁMARA DE 1" ALUMINIO REFRIGERADO POR FERROFLUIDO, CON RESPUESTA DE FRECUENCIA DE 45 HZ A 20 KHZ, SENSIBILIDAD DE 91 DB, IMPEDANCIA NOMINAL DE 8 Ω (MÍNIMO 6 Ω), POTENCIA MÁXIMA DE 125 W Y CERTIFICACIÓN IP-66 PARA USO AL AIRE LIBRE</t>
  </si>
  <si>
    <t>R_101SW</t>
  </si>
  <si>
    <t>SUBWOOFER POTENCIADO DE 10″ CON AMPLIFICADOR DIGITAL TODO EN UNO (150 W RMS, 300 W PICO), RESPUESTA EN FRECUENCIA DE 29.5 HZ A 120 HZ, MÁXIMO NIVEL DE PRESIÓN SONORA DE 115 DB, DISEÑO BASS-REFLEX CON PRINCIPIO DE REFLEJO TRASERO Y FILTRO PASO BAJO AJUSTABLE</t>
  </si>
  <si>
    <t>FLEXUS_SUB_100</t>
  </si>
  <si>
    <t>SUBWOOFER INALÁMBRICO DE 10″ CON CONO DE PAPEL DE LARGO RECORRIDO, AMPLIFICADOR CLASE D DE 80 W RMS (160 W MÁXIMO), RESPUESTA DE FRECUENCIA DE 26 HZ A 250 HZ (±3 dB), SALIDA ACÚSTICA MÁXIMA DE 103.7 DB</t>
  </si>
  <si>
    <t>IZA_2120_HZ</t>
  </si>
  <si>
    <t>AMPLIFICADOR INTEGRADO DE 2 CANALES CON 120 W A 4/8 Ω O LÍNEA DE 70/100 V, RESPUESTA DE FRECUENCIA DE 40 HZ–16 KHZ (±3 DB) Y RELACIÓN SEÑAL/RUIDO &gt; 88 DB.
DISEÑADO PARA SISTEMAS DE INSTALACIÓN COMERCIAL, INCLUYE PROCESAMIENTO DE SEÑAL DSP, ENTRADAS ANALÓGICAS, SALIDA AUXILIAR Y CONTROL REMOTO DE VOLUMEN</t>
  </si>
  <si>
    <t>FS4SE</t>
  </si>
  <si>
    <t>BOSE FS4SE, ALTAVOZ DE SUPERFICIE DE 4.5″ DE GAMA COMPLETA, POTENCIA NOMINAL DE 40 W RMS (160 W MÁXIMO), IMPEDANCIA DE 8 Ω Y TRANSFORMADOR INTEGRADO PARA LÍNEA DE 70/100 V.
RESPUESTA EN FRECUENCIA DE 70 HZ–20 KHZ (±3 DB), SENSIBILIDAD DE 89 DB SPL, COBERTURA DE 125° Y DISEÑO RESISTENTE A INTEMPERIE CERTIFICADO IP55 PARA INSTALACIONES COMERCIALES.</t>
  </si>
  <si>
    <t>CC_1</t>
  </si>
  <si>
    <t>CONTROL REMOTO DE PARED ANALÓGICO PARA AJUSTE DE VOLUMEN EN SISTEMAS FREESPACE IZA Y POWERMATCH.
OFRECE CONTROL ROTATIVO DE NIVEL, DISPONIBLE EN VERSIONES DE 1 A 4 CANALES, COMPATIBLE CON CABLEADO CAT5 Y DISEÑO ENCASTRABLE EN CAJA ELÉCTRICA ESTÁNDAR</t>
  </si>
  <si>
    <t>K_CAP_LUT</t>
  </si>
  <si>
    <t>CAPACITACION Y ENTREGA DE SISTEMA DE CONTROL DE ILUMINACION. INCLUYE JORNADA DE 2 HORAS DE CAPACITACION PRESENCIAL EN SITIO SUMINISTRADO POR EL CLIENTE. INCUYE CAPACITACION DE OPERACIÓN Y DE MANTENIMIENTO.</t>
  </si>
  <si>
    <t>LUMINARIA EMPOTRABLE HOFFLIGHTS, CUERPO EN ALUMINIO, DIMENSIONES 1120 MM DE LARGO X 81 MM DE ANCHO X 16 MM DE ALTO.</t>
  </si>
  <si>
    <t>MOD_ACRI</t>
  </si>
  <si>
    <t>MODULO DE ACRILICO PARA SUPLEMENTO DE ILUMINACION</t>
  </si>
  <si>
    <t>SK711544OP830NWW</t>
  </si>
  <si>
    <t>LUMINARIA DE 44W, FLUJO LUMINOSO 4800 LM, TEMPERATURA DE COLOR 3000K CRI&gt;80. CUERPO DE ALUMINIO EXTRUIDO, DIFUSOR OPAL, VIDA ÚTIL 50.000 H L80B10,</t>
  </si>
  <si>
    <t>CCBAN</t>
  </si>
  <si>
    <t>CABLE CONECTOR PARA REFLECTOR</t>
  </si>
  <si>
    <t>NORTH_BAYOU</t>
  </si>
  <si>
    <t>NB_P6</t>
  </si>
  <si>
    <t>SOPORTE DOBLE BRAZO VESA 600 X 400 PARA PANTALLAS DE 40 A 80 PULGADAS</t>
  </si>
  <si>
    <t>SHS2TK30FL930DB</t>
  </si>
  <si>
    <t>PROYECTOR LED LED 30W, 3000K CRI≥90, HAZ FLOOD, CUERPO DE ALUMINIO PARA ILUMINACIÓN ARQUITECTÓNICA</t>
  </si>
  <si>
    <t>SHS2TK20FL930DB</t>
  </si>
  <si>
    <t>PROYECTOR LED LED 20W, 3000K CRI≥90, HAZ FLOOD, CUERPO DE ALUMINIO PARA ILUMINACIÓN ARQUITECTÓNICA</t>
  </si>
  <si>
    <t>BY_LIGHT</t>
  </si>
  <si>
    <t>NORTH17A</t>
  </si>
  <si>
    <t>LUMINARIA GENERICA DE 17 CM TIPO NORTH, PLANA</t>
  </si>
  <si>
    <t>NORTH17B</t>
  </si>
  <si>
    <t>LUMINARIA GENERICA DE 17 CM TIPO NORTH ALARGADA</t>
  </si>
  <si>
    <t>NORTH40</t>
  </si>
  <si>
    <t>LUMINARIA GENERICA DE 40 CM TIPO NORTH</t>
  </si>
  <si>
    <t>NORTH60</t>
  </si>
  <si>
    <t>LUMINARIA GENERICA DE 60 CM TIPO NORTH</t>
  </si>
  <si>
    <t>VERBATIM</t>
  </si>
  <si>
    <t>LED30KUFO</t>
  </si>
  <si>
    <t>BOMBILLA E27 PARA LUMINARIAS TIPO NORTH, BOMBILLA 14W</t>
  </si>
  <si>
    <t>BMBLED18</t>
  </si>
  <si>
    <t>BOMBILLA E27 PARA LUMINARIAS TIPO NORTH, BOMBILLA 18W</t>
  </si>
  <si>
    <t>BMB2830KUFO</t>
  </si>
  <si>
    <t>BOMBILLA E27 PARA LUMINARIAS TIPO NORTH, BOMBILLA 28W</t>
  </si>
  <si>
    <t>TER_HV</t>
  </si>
  <si>
    <t>TERMINAL DE RECONOCIMIENTO FACIAL.</t>
  </si>
  <si>
    <t>SUPP</t>
  </si>
  <si>
    <t>PAN7</t>
  </si>
  <si>
    <t>PANTALLA TACTIL</t>
  </si>
  <si>
    <t>CAN22</t>
  </si>
  <si>
    <t>CANTONERA</t>
  </si>
  <si>
    <t>CPY</t>
  </si>
  <si>
    <t>CIERRA PUERTA</t>
  </si>
  <si>
    <t>MTI</t>
  </si>
  <si>
    <t>KIT ELECTROIMAN</t>
  </si>
  <si>
    <t>STYLO</t>
  </si>
  <si>
    <t>1USU0102</t>
  </si>
  <si>
    <t>STYLO KIT 1.8MT ZLXM</t>
  </si>
  <si>
    <t>AC_215IP_BU</t>
  </si>
  <si>
    <t>CONTROLADOR DE ACCESO EN RED PARA 2 LECTORES CON INTERFAZ TCP/IP, 4 ENTRADAS SUPERVISADAS Y 4 SALIDAS RELÉ PROGRAMABLES.</t>
  </si>
  <si>
    <t>CABLE COMPUESTO PARA CONTROL DE ACCESOS, CON CUBIERTA CLASE PLENUM, INCLUYE VARIAS SECCIONES EN UN MISMO CABLE (2HILOS 22 AWG + 4HILOS 22 AWG + 4HILOS 18 AWG + 6HILOS 22 AWG) PARA DATOS, ALIMENTACIÓN Y SEÑALES. ROLLO 500Ft.</t>
  </si>
  <si>
    <t>ALCEA</t>
  </si>
  <si>
    <t>DS_7600</t>
  </si>
  <si>
    <t xml:space="preserve">MLR Mortise Lock, Locked Outside Only, Failsecure, LH, 626, REX, Eclipse Rose
Z7652 AA ALCEA - motorized </t>
  </si>
  <si>
    <t xml:space="preserve">CY403T </t>
  </si>
  <si>
    <t>CLOUD-CONNECTED STANDBY UPS WITH 350VA / 210W CAPACITY, PROVIDING BATTERY BACKUP AND SURGE PROTECTION FOR SMALL DEVICES, POINT-OF-SALE SYSTEMS, ROUTERS, COMPUTERS AND NETWORK EQUIPMENT.</t>
  </si>
  <si>
    <t>BIOSTATION_3</t>
  </si>
  <si>
    <t>TERMINAL BIOMÉTRICO DE CONTROL DE ACCESO FACIAL, ULTRA COMPACTO, CON RECONOCIMIENTO RÁPIDO, ANTI-SPOOFING Y SOPORTE PARA CREDENCIALES SIN CONTACTO (RFID, MÓVIL, QR, PIN).
DISEÑO ROBUSTO IP65/IK06</t>
  </si>
  <si>
    <t>BISAGRA OCULTA DE ALTA CALIDAD, GRADO 1 ANSI/BHMA, PARA PUERTAS DE MADERA O METAL HUECO DE AL MENOS 1-3/8" DE ESPESOR, QUE SOPORTA HASTA 282 LB Y PERMITE AJUSTES EN 3 DIMENSIONES</t>
  </si>
  <si>
    <t>BISAGRA OCULTA ELECTRIFICADA MARCA McKINNEY, PARA PUERTAS DE MADERA O DE METAL HUECO DE MÍNIMO 1-3/8" DE ESPESOR, INCLUYE CUBIERTAS MAGNÉTICAS ("MAGNETIC COVERS") PARA UN ACABADO LIMPIO</t>
  </si>
  <si>
    <t>ETM672BH450WWWB</t>
  </si>
  <si>
    <t>PANEL SOLAR MONOCRISTALINO DE 450 W, FORMADO POR 144 CELDAS TIPO HALF-CUT QUE GARANTIZAN MAYOR EFICIENCIA Y MENOR PÉRDIDA POR SOMBREAMIENTO.</t>
  </si>
  <si>
    <t>EPEVER</t>
  </si>
  <si>
    <t>TRACER8415AN</t>
  </si>
  <si>
    <t>CONTROLADOR DE CARGA SOLAR MPPT DE 40 A Y 12/24 VDC AUTOMÁTICO, OPTIMIZADO PARA MODULOS FOTOVOLTAICOS DE ALTA POTENCIA</t>
  </si>
  <si>
    <t>IP150021PLUS</t>
  </si>
  <si>
    <t>INVERSOR SOLAR HÍBRIDO DE ONDA SENOIDAL PURA, CAPAZ DE OPERAR EN SISTEMAS DE 48 VDC CON POTENCIA NOMINAL DE 5 KW</t>
  </si>
  <si>
    <t>KITPLSOLAR25W</t>
  </si>
  <si>
    <t>KIT SOLAR PORTÁTIL DE 25 W, INCLUYE PANEL FOTOVOLTAICO MONOCRISTALINO, CONTROLADOR DE CARGA Y ACCESORIOS BÁSICOS DE CONEXIÓN.</t>
  </si>
  <si>
    <t>KITPLSOLAR50W</t>
  </si>
  <si>
    <t>KIT SOLAR PORTÁTIL DE 50 W, INCLUYE PANEL FOTOVOLTAICO MONOCRISTALINO, CONTROLADOR DE CARGA Y ACCESORIOS BÁSICOS DE CONEXIÓN.</t>
  </si>
  <si>
    <t>PL_200_12</t>
  </si>
  <si>
    <t>BATERIA 12V @ 200 Ah / AGM-VRLA / USO EN APLICACIÓN FOTOVOLTAICA</t>
  </si>
  <si>
    <t>EPI_MB225_V1</t>
  </si>
  <si>
    <t>KIT DE ANCLAJE PARA PANELES SOLARES</t>
  </si>
  <si>
    <t>TEQUENDAMA</t>
  </si>
  <si>
    <t>TQ8</t>
  </si>
  <si>
    <t>POSTE METALICO DE 8 METROS AISLADO</t>
  </si>
  <si>
    <t>PRECISION</t>
  </si>
  <si>
    <t>PST_3040_20P</t>
  </si>
  <si>
    <t>GABINETE DE POLIESTER 300 x 400 x 200 mm, IP65.</t>
  </si>
  <si>
    <t>DH_SDT4E425_4F_GB_A_PV1_0400</t>
  </si>
  <si>
    <t>CAMARA IP DUAL DE 4MP, CON LENTE FIJO Y LENTE ADICIONAL PTZ.</t>
  </si>
  <si>
    <t>RG_EST350V2</t>
  </si>
  <si>
    <t>PUENTE INALÁMBRICO DE 5 GHZ 2×2 MIMO, DISEÑADO PARA ENLACES PUNTO A PUNTO O PUNTO A MULTIPUNTO DE HASTA 5 KM</t>
  </si>
  <si>
    <t>MC200CM</t>
  </si>
  <si>
    <t>CONVERTIDOR DE MEDIOS DE FIBRA TP-LINK, QUE PERMITE LA CONVERSIÓN ENTRE SEÑALES ETHERNET 10/100 MBPS Y FIBRA ÓPTICA.</t>
  </si>
  <si>
    <t>EF_300_LC</t>
  </si>
  <si>
    <t>PATCH CORD DE FIBRA ÓPTICA MONOMODO DE 300 METROS, CON CONECTORES LC DUPLEX DE ALTA PRECISIÓN</t>
  </si>
  <si>
    <t>100090_9300_B_B</t>
  </si>
  <si>
    <t xml:space="preserve">INFORM 40 SQ F1 T DOWN-UP 930 B-B, INFORM 40 SQ F1 DOWN-UP 930 B-B, T-FOOT B </t>
  </si>
  <si>
    <t>100096_9300_B_B</t>
  </si>
  <si>
    <t>INFORM 40 SQ T1 CLAMP-ON DOWN-UP 930 B-B</t>
  </si>
  <si>
    <t>20111_9300_N</t>
  </si>
  <si>
    <t>STIEVIE 75 930 N</t>
  </si>
  <si>
    <t>21012_0101</t>
  </si>
  <si>
    <t>LED POWER SUPPLY 24V-DC / 60W IP67 DIM1</t>
  </si>
  <si>
    <t>FD1282408NO_8SWCDN012WC0500</t>
  </si>
  <si>
    <t>CINTA LED 2700K, 24V, 940Lm/M, 8.8W/M. ROLLO DE 5 METROS</t>
  </si>
  <si>
    <t>CAN25X25</t>
  </si>
  <si>
    <t>CANALETA 25 X 25 2MTS RANURADA GRIS DXN10032</t>
  </si>
  <si>
    <t>AMPLIFICADOR INTEGRADO DE DOS ZONAS, 120 W DE POTENCIA POR CANAL A 4 Ω, CON ENTRADAS BALANCEADAS Y CONTROL INDEPENDIENTE DE VOLUMEN POR ZONA.</t>
  </si>
  <si>
    <t>CONTROLADOR DE VOLUMEN Y SELECCIÓN DE FUENTE BOSE CC-1, DISEÑADO PARA SISTEMAS DE AUDIO COMERCIAL</t>
  </si>
  <si>
    <t>ECODLVD</t>
  </si>
  <si>
    <t>LUMINARIA TIPO DOWNLIGHT LED ECOLITE ECODLVD DE ALTO RENDIMIENTO Y BAJO CONSUMO. CUERPO COMPACTO PARA EMPOTRAR EN TECHO, CON DIFUSOR OPALINO Y TEMPERATURA DE COLOR SELECCIONABLE.</t>
  </si>
  <si>
    <t>CON_DC_M</t>
  </si>
  <si>
    <t>CONECTOR DC MACHO</t>
  </si>
  <si>
    <t>CON_DC_H</t>
  </si>
  <si>
    <t>CONECTOR DC HEMBRA</t>
  </si>
  <si>
    <t>P33718_36</t>
  </si>
  <si>
    <t>AVISO SALIDA DE EMERGENCIA</t>
  </si>
  <si>
    <t>P37649</t>
  </si>
  <si>
    <t>LED HERMETICA 1X18W T8 4000K DL 100-240 SYLVANIA</t>
  </si>
  <si>
    <t>RFD2015</t>
  </si>
  <si>
    <t>PERFIL DE ALUMINIO DE 20mm DE ANCHO y 15mm DE ALTO</t>
  </si>
  <si>
    <t>FLR1616</t>
  </si>
  <si>
    <t>PERFIL FLEXIBLE EN SILICONA</t>
  </si>
  <si>
    <t>VING4</t>
  </si>
  <si>
    <t>BOMBILLO LED FILAMENTO DIM ST94 E27 4W 2200K</t>
  </si>
  <si>
    <t>VINST64DIM</t>
  </si>
  <si>
    <t>BOMBILLO LED FILAMENTO DIM ST64 E27 4W 2200K</t>
  </si>
  <si>
    <t>VINFA</t>
  </si>
  <si>
    <t>BOMBILLO LED FILAMENTO MALLA E27 2,5W 1800K</t>
  </si>
  <si>
    <t>GEMMA2</t>
  </si>
  <si>
    <t>LUMINARIA OVOIDE DE 45cm DE DIÁMETRO CON BOMBILLA PAR 38 CÁLIDA DIMERIZABLE.</t>
  </si>
  <si>
    <t>HY4GO</t>
  </si>
  <si>
    <t>LUMINARIA HYDRA 4 NEGRO CABLE GRIS OSCURO</t>
  </si>
  <si>
    <t>CABLE TEJIDO GRIS OSCURO X 1 MT</t>
  </si>
  <si>
    <t>RLLAM2284U</t>
  </si>
  <si>
    <t>REGLETA LED 1400mA 112CM 4K</t>
  </si>
  <si>
    <t>LINFU</t>
  </si>
  <si>
    <t>DL40LF</t>
  </si>
  <si>
    <t>DRIVER LED 40W 1000mA 120/277V</t>
  </si>
  <si>
    <t>DL15</t>
  </si>
  <si>
    <t>DRIVER LED 65W 1550mA 120/277V</t>
  </si>
  <si>
    <t>DLDLOT12277RPU</t>
  </si>
  <si>
    <t>DRIVER LED 65W 1550mA 120/277V DALI</t>
  </si>
  <si>
    <t>PV710UL_W1_13ZL</t>
  </si>
  <si>
    <t>PROYECTOR LÁSER BLANCO DE ALTO BRILLO CON RESOLUCIÓN WUXGA Y POTENCIA DE 7100 LÚMENES. DISEÑADO PARA GRANDES ESPACIOS, OFRECE INSTALACIÓN FLEXIBLE Y CAPACIDAD DE DESPLAZAMIENTO DE LENTE. MODELO PV710UL_W1_13ZL INCLUYE LENTE ZOOM ESTÁNDAR PARA AJUSTE PRECISO DE IMAGEN.</t>
  </si>
  <si>
    <t>PV710UL_B1_13ZL</t>
  </si>
  <si>
    <t>PROYECTOR LÁSER NEGRO DE ALTO BRILLO CON RESOLUCIÓN WUXGA Y POTENCIA DE 7100 LÚMENES. DISEÑADO PARA GRANDES ESPACIOS, OFRECE INSTALACIÓN FLEXIBLE Y CAPACIDAD DE DESPLAZAMIENTO DE LENTE. MODELO PV710UL_W1_13ZL INCLUYE LENTE ZOOM ESTÁNDAR PARA AJUSTE PRECISO DE IMAGEN.</t>
  </si>
  <si>
    <t>TL_1020_GV</t>
  </si>
  <si>
    <t>TELON DE 137" FORMATO 16:10 TENSIONADO (2.94x1.84m), GANANCIA 1.0.</t>
  </si>
  <si>
    <t>MF10GB</t>
  </si>
  <si>
    <t>PARLANTE DE PISO MARTINLOGAN MOTION F10 ACABADO EN NEGRO BRILLANTE. DISEÑO DE 3 VIAS CON TWEETER FMT Y DOBLES WOOFERS DE 5.5” PARA SONIDO DE ALTA FIDELIDAD.</t>
  </si>
  <si>
    <t>SUBWOOFER ACTIVADO ABYSS 8, DISEÑO COMPACTO DE 8 PULGADAS PARA GRAVES PRECISOS.
IDEAL PARA SISTEMAS ESTÉREO Y HOME THEATER DE GAMAS MEDIA Y ALTA.</t>
  </si>
  <si>
    <t>KI_010_DP2</t>
  </si>
  <si>
    <t>DRIVER 400mA @ 10W</t>
  </si>
  <si>
    <t>H2.5207.1212</t>
  </si>
  <si>
    <t>PROYECTOR LED ORIENTABLE TIPO ESTACA PARA EXTERIOR, 3 W, 3000 K, ÍNDICE DE PROTECCIÓN IP67.</t>
  </si>
  <si>
    <t>K_UP_VLAN</t>
  </si>
  <si>
    <t>UPGRADE DE ROUTER A ROUTER CON CAPACIDAD DE VLAN</t>
  </si>
  <si>
    <t>K_VLAN</t>
  </si>
  <si>
    <t>MENSUALIDAD Y MANTENIMIENTO DE SISTEMA VLAN</t>
  </si>
  <si>
    <t>GUI48</t>
  </si>
  <si>
    <t>GUIRNALDA DE 48 PIES</t>
  </si>
  <si>
    <t>https://www.amazon.com/-/es/Guirnalda-exteriores-resistente-bombillas-inastillable/dp/B09W9ZWFZL?th=1</t>
  </si>
  <si>
    <t>E27_1W</t>
  </si>
  <si>
    <t>BOMBILLA 3000K, 1W, E27</t>
  </si>
  <si>
    <t>https://www.amazon.com/-/es/Bombilla-regulable-equivalente-dormitorio-maquillaje/dp/B08BFZDYZT/ref=sr_1_2?__mk_es_US=%C3%85M%C3%85%C5%BD%C3%95%C3%91&amp;crid=28AVFYJA268GQ&amp;dib=eyJ2IjoiMSJ9.SJs1myfg34wdtbfXx9hxx83sEwERDr1mf3KHaenRY1pDlbiOf6wF8NX6NrAt6Qj589sCrp82XbyHQY8mkF3ibsc0EigwiHyh365M1AE1Kbw5eekn3f1foOfKrZcES14Gl9ncB_SO1j0Ux0vBV1CBPRbzubh38xOJahm6vsp99vkwxdhhFEy-5xZ4ZqbH6yUesQdqj3Jp9Lv7ZfIB5IiFO8Kl8hsmMn8gIFZGQceU7vygDH9nQzB-CveB_7DGNMrYaWDYgxIxSvkAz0jPDiRobs9YbFsJ30MXdlWfxHYJpJU.gsp1a16XvCY2v7TACCydyBP8MAsyKzyeYkbHw5GbvA8&amp;dib_tag=se&amp;keywords=E27%2Bping%2Bpong&amp;qid=1760828369&amp;sprefix=e27%2Bping%2Bpon%2Caps%2C156&amp;sr=8-2&amp;th=1</t>
  </si>
  <si>
    <t>8HLED751MV30N</t>
  </si>
  <si>
    <t>ESTACA 3000K, LED INTEGRADO</t>
  </si>
  <si>
    <t>GRDGU10A</t>
  </si>
  <si>
    <t>ESTACA PARA BOMBILLA GU10</t>
  </si>
  <si>
    <t>SB_RK_D_WH</t>
  </si>
  <si>
    <t>SB_RRD_6NA_WH</t>
  </si>
  <si>
    <t>SB_RRD_3LD_SW</t>
  </si>
  <si>
    <t>SB_RR_AUX_REP_WH</t>
  </si>
  <si>
    <t>SB_LRF2_TWRB_SW</t>
  </si>
  <si>
    <t>SENSOR DE TEMPERATURA INALAMBRICO</t>
  </si>
  <si>
    <t>K_43_DAL</t>
  </si>
  <si>
    <t>HERMETICA DE ENSAMBLE NACIONAL CON DRIVER DALI, 43W, 4000K.</t>
  </si>
  <si>
    <t>ELECTROEXTERT</t>
  </si>
  <si>
    <t>BC092A</t>
  </si>
  <si>
    <t>ROLLO DE 305 METROS DE CABLE PARA SENSOR, 4 HILOS</t>
  </si>
  <si>
    <t>HQWT_U_PRW_SB_E</t>
  </si>
  <si>
    <t>TECLADO PALLADIUM DORADO CON MARCACION PERSONALIZADA</t>
  </si>
  <si>
    <t>ST2_128_S1</t>
  </si>
  <si>
    <t>MEMORIA MD OPTIMIZADA PARA VIDEO DE 125GB</t>
  </si>
  <si>
    <t>IPC_A26HN_V2_IMOU</t>
  </si>
  <si>
    <t>CÁMARA IP BULLET IMOU IPC_A26HN_V2 CON RESOLUCIÓN FULL HD 1080P, CONEXIÓN WI-FI Y FUNCIÓN DE GIRO/INCLINACIÓN</t>
  </si>
  <si>
    <t>XMP_8552</t>
  </si>
  <si>
    <t>REPRODUCTOR 4K DE DIGITAL SIGNAGE CON PROCESADOR CORE4 Y CONECTIVIDAD WIRELESS.</t>
  </si>
  <si>
    <t>K2ACERO_4000</t>
  </si>
  <si>
    <t>LUMINARIA DE 35X200X2000 mm, ACABADO SATINADO EN ACERO INOXIDABLE, 4000K, 50W, KIT GUAYA 1M</t>
  </si>
  <si>
    <t>K2ACERO_RGB</t>
  </si>
  <si>
    <t>LUMINARIA DE 35X200X2000 mm, ACABADO SATINADO EN ACERO INOXIDABLE,LED ROJO, 50W, KIT GUAYA 1M</t>
  </si>
  <si>
    <t>LIFUT</t>
  </si>
  <si>
    <t xml:space="preserve">DLDLOT12277RPU </t>
  </si>
  <si>
    <t>DRIVER LED 800mA DALI 120/277V</t>
  </si>
  <si>
    <t>RGEG105GPV3</t>
  </si>
  <si>
    <t>ROUTER POE 5 PORT
GIGABIT CLOUD MANAGED</t>
  </si>
  <si>
    <t>LWT_U_PP_WH</t>
  </si>
  <si>
    <t>PALLADIUM FACE PLATE DE 2 GANG</t>
  </si>
  <si>
    <t>K_INST_LINEAL</t>
  </si>
  <si>
    <t>INSTALACIÓN DE LÁMPARA TIPO LED LINEAL</t>
  </si>
  <si>
    <t>PORT_E27</t>
  </si>
  <si>
    <t>PORTA LAMPARA CERAMICO PARA BOMBILLA E27, CUSTOM PARA LUMINARIA DECORATIVA</t>
  </si>
  <si>
    <t>HRST_8ANS_WH</t>
  </si>
  <si>
    <t>DIMMER TÁCTIL LUTRON SUNNATA RF DE 8 AMPERIOS, COLOR BLANCO.
COMPATIBLE CON TECNOLOGÍA CLEAR CONNECT TYPE X PARA SISTEMAS HOMEWORKS QSX O RADIORA 3</t>
  </si>
  <si>
    <t>RRST_HN2B_WH</t>
  </si>
  <si>
    <t>BOTONERA HÍBRIDA DE 2 BOTONES PARA EL SISTEMA SUNNATA RF (TYPE X), QUE INTEGRA FUNCIÓN DE TECLADO Y DIMMER EN UN SOLO DISPOSITIVO</t>
  </si>
  <si>
    <t>IC3</t>
  </si>
  <si>
    <t>PARLANTE EMPOTRABLE DE TRES VÍAS PARA INSTALACIÓN EN TECHO O MURO, CON DISEÑO ACÚSTICO DE ALTA FIDELIDAD</t>
  </si>
  <si>
    <t>MOTION_2I</t>
  </si>
  <si>
    <t>PARLANTE SATELITE DE ALTA FIDELIDAD CON TECNOLOGÍA FOLD MOTION TWEETER Y WOOFER DE ALUMINIO DE 5,25</t>
  </si>
  <si>
    <t>CB_816_ZC</t>
  </si>
  <si>
    <t>CABLE DE 50 METROS EN FIBRA OPTICA PARA SENALES DE VIDEO 4K, 30 METROS</t>
  </si>
  <si>
    <t>MII</t>
  </si>
  <si>
    <t>K2BT</t>
  </si>
  <si>
    <t>TRANSMISON INALAMBRICO DE SENAL DE AUDIO</t>
  </si>
  <si>
    <t>https://www.amazon.com/-/es/1Mii-B06set-transmisor-inal%C3%A1mbrico-adaptador/dp/B0D91VV9KZ/ref=sr_1_10?__mk_es_US=%C3%85M%C3%85%C5%BD%C3%95%C3%91&amp;crid=2VZZJ0EQNXCU&amp;dib=eyJ2IjoiMSJ9.s9ynR5F3WQ_Tl-sRNp22K0yac2J4uP5RpR3O9ky_pe-rOQhtfkJVmypVxrtITgZ8EC_I3DpuHcllIxyCYJzFjgij7LyI4T8sqEjn7dTaAnLowANEJKpYGADu4S0GweiPi4jxWPMYUVbcpX-qr0YxKH1LsTDXUHqeYYr60aeAOmehrlJ3C6i99Wwoub0eEwML5DrzMkkzsQ848f1O7_jDG2hLVem92dPm1sI-Zvv9nH8N2LAFT4SiyZ9n1FO2ktmKqKNIEwBoZsUntbbtijf-DbfRQmc2Rw5sSW0M7yZhHgI.oCl33o9JBHIQUIeDXFryOAbYU-UIkFbbQe7uBKXM-iA&amp;dib_tag=se&amp;keywords=subwoofer+transmitter+utp&amp;qid=1761938518&amp;s=electronics&amp;sprefix=subwoofer+transmitter+utp%2Celectronics%2C150&amp;sr=1-10</t>
  </si>
  <si>
    <t>SUNRISER</t>
  </si>
  <si>
    <t>KR1M</t>
  </si>
  <si>
    <t>SISTEMA DE RIEL TRACK DE 1M</t>
  </si>
  <si>
    <t>https://es.aliexpress.com/item/1005006088828411.html?spm=a2g0o.productlist.main.20.474f4803BGvOpy&amp;algo_pvid=e6cbf64b-2f51-42d6-b397-b892e3cf564f&amp;algo_exp_id=e6cbf64b-2f51-42d6-b397-b892e3cf564f-19&amp;pdp_ext_f=%7B%22order%22%3A%2266%22%2C%22eval%22%3A%221%22%2C%22fromPage%22%3A%22search%22%7D&amp;pdp_npi=6%40dis%21COP%2123757.69%2112354.00%21%21%2143.00%2122.36%21%402101c59117622139595645416ee4f3%2112000035679887688%21sea%21CO%210%21ABX%211%210%21n_tag%3A-29910%3Bd%3A55ddf2f0%3Bm03_new_user%3A-29895&amp;curPageLogUid=vpqvcTSplEwq&amp;utparam-url=scene%3Asearch%7Cquery_from%3A%7Cx_object_id%3A1005006088828411%7C_p_origin_prod%3A</t>
  </si>
  <si>
    <t>PC100W</t>
  </si>
  <si>
    <t>FUENTE DE PODER 48V, 100W</t>
  </si>
  <si>
    <t>PCCON</t>
  </si>
  <si>
    <t>CONECTOR DE RIEL</t>
  </si>
  <si>
    <t>KR1MT</t>
  </si>
  <si>
    <t>SISTEMA DE RIEL TRACK DE 1M TRIMLESS</t>
  </si>
  <si>
    <t>KEND</t>
  </si>
  <si>
    <t>TAPA DE FINALIZACION</t>
  </si>
  <si>
    <t>KGO</t>
  </si>
  <si>
    <t>INICIADOR DE CORRIENTE</t>
  </si>
  <si>
    <t>https://es.aliexpress.com/item/1005004954229753.html?spm=a2g0o.productlist.main.40.474f4803BGvOpy&amp;algo_pvid=e6cbf64b-2f51-42d6-b397-b892e3cf564f&amp;algo_exp_id=e6cbf64b-2f51-42d6-b397-b892e3cf564f-39&amp;pdp_ext_f=%7B%22order%22%3A%2222%22%2C%22eval%22%3A%221%22%2C%22fromPage%22%3A%22search%22%7D&amp;pdp_npi=6%40dis%21COP%2190018.21%2122071.00%21%21%2122.88%215.61%21%402101c59117622139595645416ee4f3%2112000031140829417%21sea%21CO%210%21ABX%211%210%21n_tag%3A-29910%3Bd%3A55ddf2f0%3Bm03_new_user%3A-29895%3BpisId%3A5000000190660230&amp;curPageLogUid=L0NjabSmrx0g&amp;utparam-url=scene%3Asearch%7Cquery_from%3A%7Cx_object_id%3A1005004954229753%7C_p_origin_prod%3A</t>
  </si>
  <si>
    <t>KLCON</t>
  </si>
  <si>
    <t>CONECTOR DE 90 GRADOS PARA RIEL</t>
  </si>
  <si>
    <t>SP12324</t>
  </si>
  <si>
    <t>SPOT 12W 3000K. 24°</t>
  </si>
  <si>
    <t>TL12336</t>
  </si>
  <si>
    <t>TRACK DE LED 12W 3000K</t>
  </si>
  <si>
    <t>VS_1</t>
  </si>
  <si>
    <t>ATENUADOR PARA FUENTES DE VOLTAJE CONSTANTE POR TRIACK</t>
  </si>
  <si>
    <t>RG_EG105G_P_V3</t>
  </si>
  <si>
    <t>ROUTER GIGABIT RUIJIE RG_EG105G_P_V3 CON PUERTOS POE Y FUNCIONES VPN INTEGRADAS.
SOPORTA IPSEC, L2TP, PPTP Y OPENVPN CON ADMINISTRACIÓN CLOUD REYEE</t>
  </si>
  <si>
    <t>SC51763</t>
  </si>
  <si>
    <t>METRO DE CINTA LED 2110 320 L/M 19.2W ROJA 24V</t>
  </si>
  <si>
    <t>S902</t>
  </si>
  <si>
    <t>BALA LED HERMETICA CALIDA DE 1W</t>
  </si>
  <si>
    <t>RA5035</t>
  </si>
  <si>
    <t>PERFIL DE ALUMINIO CR ALUM-DIFUSOR OPAL *1MTR CJ60, 3 METROS</t>
  </si>
  <si>
    <t>TCRA5035</t>
  </si>
  <si>
    <t>TAPA DE FINALIZACION PARA PERFIL RA5035</t>
  </si>
  <si>
    <t>MRF2S_8ANS120_WH</t>
  </si>
  <si>
    <t>INTERRUPTOR MAESTRO WIRELESS BLANCO BRILLANTE, PARA CARGAS DE HASTA 8 AMPERIOS.</t>
  </si>
  <si>
    <t>ACC_MO_003A</t>
  </si>
  <si>
    <t>WT13M USB DONGLE USB TIPO C - TIPO A</t>
  </si>
  <si>
    <t>K_INSTALL_ALPHBET</t>
  </si>
  <si>
    <t>INSTALACION DE LUMINARIA ALPHABET ORIGINAL DE ARTEMIDE</t>
  </si>
  <si>
    <t>K_INSTALL_VOILES</t>
  </si>
  <si>
    <t>INSTALACION DE LUMINARIA VOILES ORIGINAL DE LEDC4</t>
  </si>
  <si>
    <t>L01A</t>
  </si>
  <si>
    <t>LAMPARA COLGANTE 17CMS DIAMETRO X 15CMS DE ALTO AZUL - BLANCO SOCKET E27</t>
  </si>
  <si>
    <t>L01B</t>
  </si>
  <si>
    <t>LAMPARA COLGANTE 17CMS DIAMETRO X 15CMS DE ALTO BLANCO - BLANCO SOCKET E27</t>
  </si>
  <si>
    <t>L01C</t>
  </si>
  <si>
    <t>LAMPARA COLGANTE 40CMS DIAMETRO X 32CMS DE ALTO BLANCO - BLANCO SOCKET E2</t>
  </si>
  <si>
    <t>L01D</t>
  </si>
  <si>
    <t>LAMPARA COLGANTE 60CMS DIAMETRO X 14,5CMS DE ALTO NEGRO - BLANCO SOCKET E27</t>
  </si>
  <si>
    <t>RGEW3000GXPRO</t>
  </si>
  <si>
    <t>ROUTER DE DOBLE BANDA WIFI6 MESH</t>
  </si>
  <si>
    <t>RGRAP6202</t>
  </si>
  <si>
    <t>ACCESS POINT WIFI CAT6 DE EXTERIOR</t>
  </si>
  <si>
    <t>RGES106FP</t>
  </si>
  <si>
    <t>SWITCH NO ADMIN 6 PTOS 4 POE</t>
  </si>
  <si>
    <t>LEADER</t>
  </si>
  <si>
    <t>LPL75SP28N</t>
  </si>
  <si>
    <t>LUM PERFIL LED 2.80 SOBREPONER 3K 120/277 C/GUAYA</t>
  </si>
  <si>
    <t>LPLD42654KIM</t>
  </si>
  <si>
    <t>LUM PERFIL LED 2.80 INCRUSTAR 3K 120/277</t>
  </si>
  <si>
    <t>LPL75224N</t>
  </si>
  <si>
    <t>LUM PERFIL LED 2.24 SOBREPONER 3K 120/277 C/GUAYA</t>
  </si>
  <si>
    <t>HR</t>
  </si>
  <si>
    <t>TE150X80X15</t>
  </si>
  <si>
    <t>TABLERO ELECTRICO DE 150cm X 80cm X15cm. EN PINTURA ELECTRO ESTATICA</t>
  </si>
  <si>
    <t>TE100X80X15</t>
  </si>
  <si>
    <t>LUMINARIA DE EMERGENCIA DE 4.5W, MULTIVOLTAJE, 170 LUMENS, AUTONOMÍA MÍNIMA DE 90 MINUTOS, ASIMETRICA.</t>
  </si>
  <si>
    <t>D81282408NO_9SWC0500</t>
  </si>
  <si>
    <t>CINTA LED 2700K, 24V, 500Lm/M, 4.4W/M. ROLLO DE 5 METROS</t>
  </si>
  <si>
    <t>37LUK010</t>
  </si>
  <si>
    <t>LUMINARIA TIPO BALA DE EMERGENCIA DE 5W</t>
  </si>
  <si>
    <t>EMG01</t>
  </si>
  <si>
    <t>LUMINARIA DE EMERGENCIA DE 4W</t>
  </si>
  <si>
    <t>DHI_NVR1108HS_S3H_V2</t>
  </si>
  <si>
    <t>NVR DE 8 CANALES 4MP</t>
  </si>
  <si>
    <t>H1.5700.8201</t>
  </si>
  <si>
    <t>H1.5700.8214</t>
  </si>
  <si>
    <t>TAPA DE FINALIZACION DE RIEL</t>
  </si>
  <si>
    <t>H1.5700.8212</t>
  </si>
  <si>
    <t>MONZA TRACK SURF. Acc. L JOINT WALL CEILING &amp; ELECTRICAL CON. BLACK</t>
  </si>
  <si>
    <t>H1.5700.8220</t>
  </si>
  <si>
    <t>MONZA TRACK Acc. POWER CONNECTOR BLACK</t>
  </si>
  <si>
    <t>H4.2032.7101</t>
  </si>
  <si>
    <t>POWER SUPPLY 200-240V 24V DC 60W TRIAC IP20</t>
  </si>
  <si>
    <t>H1.5711.1211</t>
  </si>
  <si>
    <t>MODULO LED PARA RIEL, 2700K, 1180Lm., 24V</t>
  </si>
  <si>
    <t>ENSAMBLE DE LOS ELEMENTOS DE ESTA PROPUESTA</t>
  </si>
  <si>
    <t>V180024_13</t>
  </si>
  <si>
    <t>LUMINARIA ARRAY DE 2700K, CONTROL 0-10</t>
  </si>
  <si>
    <t>MESKLIU</t>
  </si>
  <si>
    <t>RP2012</t>
  </si>
  <si>
    <t>CONTROLADOR DE RELE WIRELESS DE 50M DE ALCANCE PARA EXTERIOR.</t>
  </si>
  <si>
    <t>PRO_N120_B</t>
  </si>
  <si>
    <t>RIEL ELECTRIFICADO ON/OFF COLOR NEGRO</t>
  </si>
  <si>
    <t>PRO_N131L_B</t>
  </si>
  <si>
    <t>ALIMENTADOR PARA RIEL NEGRO</t>
  </si>
  <si>
    <t>PRO_N133_B</t>
  </si>
  <si>
    <t>UNIÓN RECTA PARA RIEL NEGRO</t>
  </si>
  <si>
    <t>PRO_N132_B</t>
  </si>
  <si>
    <t>PRO_NC01</t>
  </si>
  <si>
    <t>KIT DE REFUERZO EN UNION DE RIEL</t>
  </si>
  <si>
    <t>PRO_N135FL_B</t>
  </si>
  <si>
    <t>UNIÓN EN "L" NEGRO SENTIDO IZQUIERDO, COLOR NEGRO</t>
  </si>
  <si>
    <t>PRO_N135_B</t>
  </si>
  <si>
    <t>ACCESORIO EN L UNIÓN ESTRUCTURAL COLOR (B) NEGRO</t>
  </si>
  <si>
    <t>VLM_218_Z_15W</t>
  </si>
  <si>
    <t>SPOT 15W CON ZOOM VARIABLE DE 15-36°</t>
  </si>
  <si>
    <t>BH11_27X9F2BB60</t>
  </si>
  <si>
    <t>DOWNLIGHT DE 23.8W, DRIVER EXTERNO</t>
  </si>
  <si>
    <t>DHI_NVR1108HS_8P_S3H_V2</t>
  </si>
  <si>
    <t>NVR DE 8 CANALES 4MP, 8 OUERTOS PoE.</t>
  </si>
  <si>
    <t>MTI_PTO</t>
  </si>
  <si>
    <t>SUMINISTRO E INSTALACION DE PISTON TIPO CERRADURA CON SENSOR DE PUERTA Y TEMPORIZADOR</t>
  </si>
  <si>
    <t>HQRD_PRO_MN</t>
  </si>
  <si>
    <t>DIMMER DE ATENUACION POR FASE ADAPTATIVA E INTEGRACION POR RF.</t>
  </si>
  <si>
    <t>HQRD_8ANS_MN</t>
  </si>
  <si>
    <t>INTERRUPTOR DE ATENUACION POR FASE ADAPTATIVA E INTEGRACION POR RF.</t>
  </si>
  <si>
    <t>LUMINARIA DE 24°, 2700K, 12W.</t>
  </si>
  <si>
    <t>LUMINARIA OUTDOOR PARA BOMBILLA GU10 IP65</t>
  </si>
  <si>
    <t>REFLECTOR OUTDOOR GRANITE, 9W, 840Lm.</t>
  </si>
  <si>
    <t>CL_200_24</t>
  </si>
  <si>
    <t>FUENTE DE ALIMENTACION 24V, 8.3A</t>
  </si>
  <si>
    <t>SCKCERE27</t>
  </si>
  <si>
    <t>SOCKET CERAMICO PARA LUMINARIA</t>
  </si>
  <si>
    <t>POWER_GEAR</t>
  </si>
  <si>
    <t>PRO_0433_B</t>
  </si>
  <si>
    <t>UNION RECTA PARA RIEL ON/OFF</t>
  </si>
  <si>
    <t>PRO_0432_B</t>
  </si>
  <si>
    <t>TAPA FINAL PARA RIEL</t>
  </si>
  <si>
    <t>RGL256423LMB</t>
  </si>
  <si>
    <t>REGLETA LED 2X56 42V 1,000mA 3K</t>
  </si>
  <si>
    <t xml:space="preserve">DL7516DC </t>
  </si>
  <si>
    <t>DRIVER LED DE 75W DALI</t>
  </si>
  <si>
    <t>LPLD404KIM</t>
  </si>
  <si>
    <t>LUM PERFIL 40W INCRUSTAR 1.14CMS 4K 120/277V DIM 0-10</t>
  </si>
  <si>
    <t>CBL_TER</t>
  </si>
  <si>
    <t>METRO DE FORRO TERMOENCOGIBLE</t>
  </si>
  <si>
    <t>KVP_24150_TDL</t>
  </si>
  <si>
    <t>DRIVER C.V. 24V DIM TRIAC 150W, 6.25A</t>
  </si>
  <si>
    <t>SI CARD 4G</t>
  </si>
  <si>
    <t>DH_IPC_HDW1439T1P_A_IL0280B_S6</t>
  </si>
  <si>
    <t>CAMARA IP DOMO DE 4MP 30 FPS</t>
  </si>
  <si>
    <t>CAME</t>
  </si>
  <si>
    <t>001FROG_A24</t>
  </si>
  <si>
    <t>24V SELF-LOCKING OPERATOR UP TO 3,5m PER LEAF</t>
  </si>
  <si>
    <t>001FROG_CFN</t>
  </si>
  <si>
    <t>FOUNDATION CASING</t>
  </si>
  <si>
    <t>001A4364</t>
  </si>
  <si>
    <t>LEVER KEY RELEASE</t>
  </si>
  <si>
    <t>801QA_0080</t>
  </si>
  <si>
    <t xml:space="preserve">ZLX24SR 120V TOP CONTROL PAN. MOT. 24V </t>
  </si>
  <si>
    <t>001AF43S</t>
  </si>
  <si>
    <t>PLUG-IN RADIO FREQUENCY CARD 433,92 MHz</t>
  </si>
  <si>
    <t>806TS_0300</t>
  </si>
  <si>
    <t>TOP42FGN TRASM.433MHZ CODICE FISSO</t>
  </si>
  <si>
    <t>RZ050</t>
  </si>
  <si>
    <t>CONTROLADOR PARA AIRE ACONDICIONADO TIPO CASSETE</t>
  </si>
  <si>
    <t>K_DES_TF</t>
  </si>
  <si>
    <t>Servcio monte y desmonte de stretch ceilling</t>
  </si>
  <si>
    <t>K_DES_ILU</t>
  </si>
  <si>
    <t>Servicio de monte y desmonte de iluminación</t>
  </si>
  <si>
    <t>A19VDC</t>
  </si>
  <si>
    <t>ADAPTADOR DE 19VDC</t>
  </si>
  <si>
    <t>NUL6C04BUFE</t>
  </si>
  <si>
    <t>CABLE CATEGORIA 6 INTERIOR 100% COBRE CATEGORIA 6 COLOR AZUL.</t>
  </si>
  <si>
    <t>NUL6C04IGFE</t>
  </si>
  <si>
    <t>CABLE CATEGORIA 6 INTERIOR 100% COBRE CATEGORIA 6 COLOR GRIS.</t>
  </si>
  <si>
    <t>CBL3.5_RCA_8</t>
  </si>
  <si>
    <t>CABLE 2 A 1 DIGITAL DE 8 METROS</t>
  </si>
  <si>
    <t>PORT_LAMP</t>
  </si>
  <si>
    <t>PORTA LAMPARA CON CABLE TEXTIL DE UN METRO</t>
  </si>
  <si>
    <t>K7705946474726</t>
  </si>
  <si>
    <t>CONVERSOR DE USB B A TIPO C</t>
  </si>
  <si>
    <t>D-LINK</t>
  </si>
  <si>
    <t>G403</t>
  </si>
  <si>
    <t>ROUTER DOBLE BANDA PARA TARJETA SIM CARD</t>
  </si>
  <si>
    <t>CB_814_ZC</t>
  </si>
  <si>
    <t>CABLE HDMI DE 15 METROS CON TRANSMISION EN FIBRA OPTICA.</t>
  </si>
  <si>
    <t>MODULO CIEGO EN COLOR NEGRO MATE</t>
  </si>
  <si>
    <t>CÁMARA IP TIPO BULLET PARA VIDEOVIGILANCIA, RESOLUCIÓN 4 MEGAPÍXELES (2688 × 1520), LENTE VARIFOCAL</t>
  </si>
  <si>
    <t>DHI_NVR5416_EI</t>
  </si>
  <si>
    <t>GRABADOR DE VIDEO EN RED (NVR) PROFESIONAL DE 16 CANALES IP, COMPATIBLE CON CÁMARAS DE ALTA RESOLUCIÓN, SOPORTE DE COMPRESIÓN H.265+/H.265</t>
  </si>
  <si>
    <t>ROTOMSDS</t>
  </si>
  <si>
    <t>ROTOMARTILLO INALAMBRICO BOSCH</t>
  </si>
  <si>
    <t>PULIDORA41</t>
  </si>
  <si>
    <t>PULIDORA INSLAMBRICA</t>
  </si>
  <si>
    <t>PELADN</t>
  </si>
  <si>
    <t>WI_5</t>
  </si>
  <si>
    <t>MINI PC CON PROCESADOR INTEL, DISEÑO COMPACTO PARA USO PROFESIONAL Y HOGAR.
IDEAL PARA OFIMATICA, MULTIMEDIA Y APLICACIONES LIGERAS, BAJO CONSUMO ENERGETICO Y OPERACION SILENCIOSA</t>
  </si>
  <si>
    <t>TIEBUTIE</t>
  </si>
  <si>
    <t>BWB300</t>
  </si>
  <si>
    <t>BASE PARA BARRA DE SONITO BOSE WB_300</t>
  </si>
  <si>
    <t>FAB</t>
  </si>
  <si>
    <t>B3435</t>
  </si>
  <si>
    <t>TERMOCUPLA PARA MEDICIONES EN PISO</t>
  </si>
  <si>
    <t>H50260</t>
  </si>
  <si>
    <t>VENTILADOR DE TECHO HUNTER 50260 CON MOTOR AC DE ALTO TORQUE, DISEÑADO PARA OPERACION CONTINUA Y BAJO NIVEL DE RUIDO</t>
  </si>
  <si>
    <t>PCOP3000</t>
  </si>
  <si>
    <t>CINTA LED 12V, 3000K IP65, 8.8W/M. ROLLO POR 5 METROS.</t>
  </si>
  <si>
    <t>https://www.amazon.com/dp/B099RNWSXB?ref_=ppx_hzod_title_dt_b_fed_asin_title_0_0&amp;th=1</t>
  </si>
  <si>
    <t>GMKTEC</t>
  </si>
  <si>
    <t>N97</t>
  </si>
  <si>
    <t>MINI PC DE 25GGRAM, DUAL HDMI</t>
  </si>
  <si>
    <t>amazon.com/dp/B0D4QYB13T?ref_=ppx_hzod_title_dt_b_fed_asin_title_0_0</t>
  </si>
  <si>
    <t>NETION</t>
  </si>
  <si>
    <t>10MF2200</t>
  </si>
  <si>
    <t>UPS INTERACTIVA DE 2200VA</t>
  </si>
  <si>
    <t>BJB40</t>
  </si>
  <si>
    <t>REGLETA DE 56CM, 4000K LUZ CALIDA, 700mA. 17W.</t>
  </si>
  <si>
    <t>593513_1B</t>
  </si>
  <si>
    <t>LUMINARIA CON TECNOLOGÍA LED INTEGRADA, ALTA EFICIENCIA LUMÍNICA Y ÓPTICA DISEÑADA PARA UNA EMISIÓN HOMOGÉNEA Y CONTROLADA</t>
  </si>
  <si>
    <t>1213000A</t>
  </si>
  <si>
    <t>LUMINARIA TIPO O DECORATIVA DE SUSPENSION.</t>
  </si>
  <si>
    <t>14HLED1500LLAZMVG</t>
  </si>
  <si>
    <t>REFLECTOR WALL WASHER DE 14.5W</t>
  </si>
  <si>
    <t>KW1TX_RX</t>
  </si>
  <si>
    <t>TRANSMISOR INALAMBRICO PARA SUB</t>
  </si>
  <si>
    <t>KOWET</t>
  </si>
  <si>
    <t>K403014</t>
  </si>
  <si>
    <t>CAJA IP HERMETICA PARA EXTERIOR DE 40x30x14cm.</t>
  </si>
  <si>
    <t>ARQ40C</t>
  </si>
  <si>
    <t>LUMINARIA LINEAL DE 36W, TEMPERATURA SELECCIONABLE, CHASIS NEGRO, IRC 90. ALTA EFICIENCIA: 120Lm/W</t>
  </si>
  <si>
    <t>ECO_HB_05</t>
  </si>
  <si>
    <t>LUMINARIA HIGH BAY DE ALTO FLUJO, 200W, 6500K, 50.000 HORAS, 24.000Lm</t>
  </si>
  <si>
    <t>REPRODUCTOR 4K DE DIGITAL SIGNAGE CON PROCESADOR CORE4 INALAMBRICO</t>
  </si>
  <si>
    <t>TORKASE</t>
  </si>
  <si>
    <t>GU102700</t>
  </si>
  <si>
    <t>BOMBILLA LED ATENUABLE 2700K, FORMATO GU10, 500Lm</t>
  </si>
  <si>
    <t>https://www.amazon.com/Dimmable-Equivalent-Replacement-Recessed-Torkase/dp/B07BQ2G31V/ref=sr_1_1_sspa?crid=CFOCVVINIBE9&amp;dib=eyJ2IjoiMSJ9._pqwaLdnfdCLUEprXCB3UNLYWv9muFS79zYjjTFzegREulfcu4TtWThu2pj1LJHJl9dPkjPqcaLzRr3RVcyO-uS7jtXchg2k4Hgjz8kZjLjQwTXj7WBda88uXk6NpK3oU3aVZXe2yQF-9Ri5p1YTfpW6F8iKfZwlWzIk5tzgvpvrcANOSMwLa9uge0Q5L68tCcDCSXOdvj3az9bjBHxXCL2dHa5Rz5KnyQrak6jdgXgd2qvoSMaERKXJD6KmfFwytdWzvHkW3QcRZPw__ni3tfHJ093UZZYRsr1oD5qNLWg.uEIONZ9TO5_1P1SBSphK1WMzW7MFOllvJfbs7h6fVp8&amp;dib_tag=se&amp;keywords=Gu10%2B2700k%2Bdimmable&amp;qid=1768182444&amp;sprefix=gu10%2B2700k%2Bdimmab%2Caps%2C1019&amp;sr=8-1-spons&amp;sp_csd=d2lkZ2V0TmFtZT1zcF9hdGY&amp;th=1</t>
  </si>
  <si>
    <t>BALA DE SOBREPONER PARA BOMBILLA GU10</t>
  </si>
  <si>
    <t>LUMINARIA RECESADA 2700K, 750LM, APERTURA 30°. DRIVER EXTERNO</t>
  </si>
  <si>
    <t>V1_S</t>
  </si>
  <si>
    <t>MODULO DE ATENUACION DE FUENTES DE VOLTAJE CONTINUO POR TRIAC</t>
  </si>
  <si>
    <t>FUENTE DE VOLTAJE CONSTANTE DE 8.8A, 24V.</t>
  </si>
  <si>
    <t>FUENTE DE VOLTAJE CONSTANTE DE 6.5A, 24V.</t>
  </si>
  <si>
    <t>LPV_60_24</t>
  </si>
  <si>
    <t>MODULO LED DE TEMPERATURA SELECCIONABLE 2K7-3K2-4K, 38°, 1330Lm.</t>
  </si>
  <si>
    <t>LENTE PARA MODULO LED 24°</t>
  </si>
  <si>
    <t>BALA DE GIRO PARA MODULOS MR16</t>
  </si>
  <si>
    <t>APL2XGU10</t>
  </si>
  <si>
    <t>APLIQUE DE PARED PARA BOMBILLAS GU10</t>
  </si>
  <si>
    <t>K_MAN_AUD</t>
  </si>
  <si>
    <t>MANTENIMIENTO GENERAL DE SISTEMAS DE AUDIO, REVISION DE CONEXIÓN Y/O ACTUALIZACION DE SISTEMAS OPERATIVOS</t>
  </si>
  <si>
    <t>ECO_MR_3024</t>
  </si>
  <si>
    <t>LUMINARIA 24°, 5000/4000K, POTENCIA 30W</t>
  </si>
  <si>
    <t>K_LEV_ELECTRICO</t>
  </si>
  <si>
    <t>LEVANTAMIENTO DE INFORMACIÓN EN SITIO PARA IDENTIFICAR, VERIFICAR Y DOCUMENTAR EN PLANOS LAS CONEXIONES ELÉCTRICAS EXISTENTES DE LA VIVIENDA, COMO BASE PARA DISEÑO, ADECUACIÓN O INTERVENCIÓN DEL SISTEMA ELÉCTRICO.</t>
  </si>
  <si>
    <t>K_DESIGN_ILU</t>
  </si>
  <si>
    <t>DISEÑO DE ILUMINACIÓN DE LA PROPIEDAD CON BASE EN LINEAMIENTOS DE ILUMINACIÓN ARQUITECTÓNICA, INCLUYE CÁLCULOS LUMÍNICOS, DEFINICIÓN Y PRESENTACIÓN DE EQUIPOS CON MARCAS SUGERIDAS; INCLUYE DOS REUNIONES VIRTUALES PARA PRESENTACIÓN Y AJUSTES; NO INCLUYE RENDERS.</t>
  </si>
  <si>
    <t>K_UP_DESI</t>
  </si>
  <si>
    <t>DISENO ELECTRICO COMPLEMENTARIO SOBRE LEVANTAMIENTO TECNICO. INCLUYE PLANO CON AJUSTES PARA CUMPLIMIENTO DE NORMA TECNICA. NO INCLUYE DOCMENTACION PARA PRESENTACION DE CERTIFICACION RETIE.</t>
  </si>
  <si>
    <t>SOLDAMAX18</t>
  </si>
  <si>
    <t>ADHESIVO ESPECIAL PARA UNIÓN DE TUBERÍA Y ACCESORIOS PVC, GARANTIZA SELLADO HERMÉTICO, ALTA RESISTENCIA MECÁNICA Y DURABILIDAD EN INSTALACIONES ELÉCTRICAS, APTO PARA CONDUIT SCH40, TARRO 1/8.</t>
  </si>
  <si>
    <t>165BK4A</t>
  </si>
  <si>
    <t>CINTA AISLANTE POR 18 METROS</t>
  </si>
  <si>
    <t>KLUB</t>
  </si>
  <si>
    <t>LUBRICANTE TIPO VASELINA PARA SONDEO DE CABLE, POR 1/16.</t>
  </si>
  <si>
    <t>TWTRAC_36BO</t>
  </si>
  <si>
    <t>TABLERO TRIFASICO DE 36 CIRCUITOS CON TOTALIZADOR</t>
  </si>
  <si>
    <t>3P125A</t>
  </si>
  <si>
    <t>TOTALIZADOR DE 125A TRIFASICO</t>
  </si>
  <si>
    <t>FOUNDATION_10</t>
  </si>
  <si>
    <t>SUBWOOFER DE 10 LITROS, 33Cm x 32Cm x 32cm, 25Hz – 200Hz.</t>
  </si>
  <si>
    <t>AWG12RLDA</t>
  </si>
  <si>
    <t>ROLLO DE 100 METROS DE ALAMBRE AWG12, LIBRE DE HALOGENO</t>
  </si>
  <si>
    <t>15_7723_21_14</t>
  </si>
  <si>
    <t>LÁMPARA COLGANTE LED DECORATIVA DE DISEÑO CONTEMPORÁNEO DE LEDS C4, CON ACABADO CROMADO Y DIFUSOR BLANCO DE ALTA CALIDAD.
ILUMINACIÓN LED INTEGRADA DE ALTA EFICIENCIA, LUZ CÁLIDA 2700K, ALTO CRI Y REGULACIÓN COMPATIBLE CON SISTEMAS PROFESIONALES (0-10V / DALI / PUSH).</t>
  </si>
  <si>
    <t>25_8567_05_05</t>
  </si>
  <si>
    <t>LUMINARIA DE PIE LED DE LEDS C4 CON BRAZO CURVO EXTENDIDO Y CABEZAL SUSPENDIDO, DISEÑADA PARA ILUMINACIÓN FUNCIONAL Y DECORATIVA DE ALTA PRECISIÓN.
INCORPORA FUENTE LED DE ALTA EFICIENCIA CON EMISIÓN DIRECTA CONTROLADA, IDEAL PARA ILUMINACIÓN DE LECTURA, MESAS O ZONAS PUNTUALES, GARANTIZANDO CONFORT VISUAL Y BAJO DESLUMBRAMIENTO.</t>
  </si>
  <si>
    <t>NNR25_120</t>
  </si>
  <si>
    <t>LUMINARIA 360 CILINDRICA FLEXIBLE DE 1.2M</t>
  </si>
  <si>
    <t>NNR25_A120</t>
  </si>
  <si>
    <t>ALCCESORIO EN POLICARBONATO PARA LINEAL DE 1.2M</t>
  </si>
  <si>
    <t>NNR25_180</t>
  </si>
  <si>
    <t>LUMINARIA 360 CILINDRICA FLEXIBLE DE 1.8M</t>
  </si>
  <si>
    <t>NNR25_A180</t>
  </si>
  <si>
    <t>ALCCESORIO EN POLICARBONATO PARA LINEAL DE 1.8M</t>
  </si>
  <si>
    <t>NNR25_240</t>
  </si>
  <si>
    <t>LUMINARIA 360 CILINDRICA FLEXIBLE DE 2.4M</t>
  </si>
  <si>
    <t>NNR25_A240</t>
  </si>
  <si>
    <t>ALCCESORIO EN POLICARBONATO PARA LINEAL DE 2.4M</t>
  </si>
  <si>
    <t>NNR25_160</t>
  </si>
  <si>
    <t>LUMINARIA 360 CILINDRICA FLEXIBLE DE 1.6M</t>
  </si>
  <si>
    <t>NNR25_A160</t>
  </si>
  <si>
    <t>ALCCESORIO EN POLICARBONATO PARA LINEAL DE 1.6M</t>
  </si>
  <si>
    <t>MARSET</t>
  </si>
  <si>
    <t>A704_001_16_27K+A704_006_16</t>
  </si>
  <si>
    <t>MODELO AMBROSIA 120 BLACK CON EXTENSIÓN DE 60 CM, DISEÑADA PARA APLICACIONES ARQUITECTÓNICAS DE ALTA PRECISIÓN Y ESTÉTICA MINIMALISTA.</t>
  </si>
  <si>
    <t>SIM3TK20WF930NB</t>
  </si>
  <si>
    <t>IMAG G3 TRACK 2000 9WW</t>
  </si>
  <si>
    <t>90_A028_60_TS</t>
  </si>
  <si>
    <t>F5SUECB</t>
  </si>
  <si>
    <t>ACCESORIO DE END COVER PARA LUMINARIA</t>
  </si>
  <si>
    <t>TKATIODNB</t>
  </si>
  <si>
    <t>CONECTOR DE INSERCION</t>
  </si>
  <si>
    <t>SHS2TK40MF930DB</t>
  </si>
  <si>
    <t>REFLECTOR 36,7W LED COB de 3907lm, 3000K, CRI90, APERTURA MEDIA DE 25°, GIRO 355° E INCLINACION DE HASTA 90°.</t>
  </si>
  <si>
    <t>SHS2TK40FL940DW</t>
  </si>
  <si>
    <t>SF53SF112MOOP830NW</t>
  </si>
  <si>
    <t>DHI_NVR5432_EI2</t>
  </si>
  <si>
    <t>NVR IP DAHUA WIZSENSE DE 32 CANALES (DHI-NVR5432-EI2), 4 BAHÍAS HDD, SOPORTA CÁMARAS HASTA 32 MP, SALIDA HDMI HASTA 8K Y COMPRESIÓN SMART H.265+/H.264+</t>
  </si>
  <si>
    <t>RG_RAP1200</t>
  </si>
  <si>
    <t>PUNTO DE ACCESO PARA INTERIOR, DOBLE BANDA 2.4/5 GHZ, ESTÁNDAR IEEE 802.11AC (WI-FI 5)</t>
  </si>
  <si>
    <t>RG_RAP2266</t>
  </si>
  <si>
    <t>ACCESS POINT PARA INTERIOR, DOBLE BANDA 2.4/5 GHZ, ESTÁNDAR IEEE 802.11AX (WI-FI 6).</t>
  </si>
  <si>
    <t>10_9733_05_CL</t>
  </si>
  <si>
    <t>BALIZA/ESTACA DE JARDÍN LEDSC4 (10_9733_05_CL) PARA EXTERIOR, CON LED INTEGRADO Y CABEZAL ORIENTABLE PARA ILUMINACIÓN DE RECORRIDOS Y VEGETACIÓN. POTENCIA 10.7 W, FLUJO 653 LM, 3000 K, CRI 80 Y ÓPTICA AMPLIA (≈111°), OPERACIÓN MULTIVOLTAJE. CUERPO EN ALUMINIO NEGRO CON DIFUSOR OPAL.</t>
  </si>
  <si>
    <t>BD13_67W8E6BBZ5</t>
  </si>
  <si>
    <t>LUMINARIA LINEAL DE EXTERIOR LEDSC4 CUBE LINEAR EFFICIENCY (BD13-67W8E6BBZ5), MONTAJE EN SUPERFICIE, CUERPO EN ALUMINIO ACABADO GRIS URBANO Y DIFUSOR EN VIDRIO TEMPLADO TRANSPARENTE, IP65 (IK06). FUENTE LED DE 67.6 W CON 4300 LM REALES, TEMPERATURA DE COLOR 3000 K (BLANCO CÁLIDO) Y ÓPTICA DE 38°</t>
  </si>
  <si>
    <t>71_E390_Z5_Z5</t>
  </si>
  <si>
    <t>PERFIL LED LINEAL LEDC4 71_E390_Z5_Z5 PARA MONTAJE EMPOTRADO O SUPERFICIE, CUERPO EN ALUMINIO EXTRUIDO Y DIFUSOR OPAL PARA LUZ UNIFORME.</t>
  </si>
  <si>
    <t>71_E112_00_00</t>
  </si>
  <si>
    <t>CONECTOR IP68 ANTICONDENSACIÓN LEDSC4 71-E112-00-00, ACCESORIO DE CONEXIÓN ESTANCA PARA INSTALACIONES EN EXTERIOR.</t>
  </si>
  <si>
    <t>71_E498_05_00</t>
  </si>
  <si>
    <t>CONECTOR HEMBRA PARA ENTRADA DE ALIMENTACIÓN (CABLE 0,2 M) DE 2 POLOS, PARA SISTEMAS LEDS C4</t>
  </si>
  <si>
    <t>ACCESORIO LED DRIVER DIM FASE</t>
  </si>
  <si>
    <t>LUMINARIAS HERMETICA DE 36W, 30.000 HORAS, MULTIVOLTAJE, 3500Lm.</t>
  </si>
  <si>
    <t>NEON_CLA</t>
  </si>
  <si>
    <t>ANCLAJE PARA CINTA NEON FLEX</t>
  </si>
  <si>
    <t>001_USU_0037</t>
  </si>
  <si>
    <t>KIT DE AUTOMATIZACION CAME 001-USU-0037 (AXO 3024) PARA PUERTAS ABATIBLES, MOTOR 24 VDC CON CUADRO DE MANDO 110 VAC, USO SEMI-INTENSIVO. APTO PARA HOJAS HASTA 3 M Y 400 KG, CON VELOCIDAD/LOGICA DE APERTURA CONFIGURABLE SEGUN EL CUADRO DE CONTROL.</t>
  </si>
  <si>
    <t>PA_KH6320_WTE</t>
  </si>
  <si>
    <t>K1T344MBFWX</t>
  </si>
  <si>
    <t>PA_MTI_MUL4</t>
  </si>
  <si>
    <t>PA_ITERB</t>
  </si>
  <si>
    <t>PA_24065A</t>
  </si>
  <si>
    <t>PA_B12_7AMP</t>
  </si>
  <si>
    <t>DS_PT_M1</t>
  </si>
  <si>
    <t>PA_CNT3</t>
  </si>
  <si>
    <t>PA_CIE8320</t>
  </si>
  <si>
    <t>PA_EL600</t>
  </si>
  <si>
    <t>SWICH 6 CANALES BASE 1000</t>
  </si>
  <si>
    <t>CANTONERA 12 VDV. PARA PUERTA ACTUAL.</t>
  </si>
  <si>
    <t>ELECTRO IMANES 600 LIBRAS UNO POR CADA PUERTA</t>
  </si>
  <si>
    <t>PANTALLA 7IN TACTIL INTERIOR ETHERNET WIFI, SOPORTA HIKCONNECT, LLMADO ENTRE APARTAMENTOS, BOTON CONSERJE, COMUNICACIÓN REMOTA Y PULSO APERTURA PUERTAS.</t>
  </si>
  <si>
    <t>TERMINALES PRINCIPAL Y AUXILIARES DE RECONOCIMIENTO FACIAL DEL PRINCIPAL Y MANEJO DE PUERTAS ECUNDARIAS DOS POR PUERTA. TERMINAL DE RECONOCIMIENTO FACIAL ULTRA RÁPIDO HASTA A 1.5 MTS</t>
  </si>
  <si>
    <t>CABLE MULTIPAR DE 4 PARES POR METROS CABLEADO DE CERRADURAS, REDES DE CONTROL DE ACCESO Y DATOS</t>
  </si>
  <si>
    <t>FUENTE CARGADORAS, ESTAS SOSPORTARAN LA CORRIENTE DE SISTEMA DE ACCESO O CERRADURAS COMO ELECTRO IMANES Y CERRADURAS ELECTRO MECANICAS.</t>
  </si>
  <si>
    <t>CIERRA PUERTAS PARA PUERTAS PEATONALES MARCA YALE 1 AÑO DE GARANTIA (PARA PUERTA PRINCIPAL ACTUAL)</t>
  </si>
  <si>
    <t>TARJETAS DE PROXIMIDAD</t>
  </si>
  <si>
    <t>BATERIAS DE RESPALDO 12V DC 7 Amp</t>
  </si>
  <si>
    <t>K_TOTEM</t>
  </si>
  <si>
    <t>ESTRUCTURA METALIZA A MEDIDA PARA EQUIPO ELECTRONICO</t>
  </si>
  <si>
    <t>MO_1034A</t>
  </si>
  <si>
    <t>MO_1035A</t>
  </si>
  <si>
    <t>MONITOR INTERACTIVO MAXHUB E7530 DE 75", CON RESOLUCIÓN 4K UHD (3840×2160), FORMATO 16:9 Y BRILLO TÍPICO DE 400 NITS. INTEGRA ANDROID 14 CON CERTIFICACIÓN GOOGLE EDLA, HASTA 40 PUNTOS TÁCTILES, AUDIO 2.2 CANALES Y 8 GB RAM / 128 GB ROM.</t>
  </si>
  <si>
    <t>MONITOR INTERACTIVO MAXHUB E8630 DE 86", RESOLUCION 4K UHD (3840×2160), BRILLO TIPICO DE 400 NITS Y HASTA 40 PUNTOS TACTILES.
INTEGRA ANDROID 14 CON CERTIFICACION GOOGLE EDLA, 8 GB RAM + 128 GB ROM, CONECTIVIDAD WIFI 6/BLUETOOTH 5.2 Y AUDIO 2.2 CANALES.</t>
  </si>
  <si>
    <t>OPS72_I5</t>
  </si>
  <si>
    <t>PROCESADOR INTERNO DE CON SISTEMA OPERATIVO WINDOWS CON RAM DE 8GB. PROCESADOR CORE I5.</t>
  </si>
  <si>
    <t>REPARACION DE LUMINARIA CON ACCESORIOS LOCALES</t>
  </si>
  <si>
    <t>PR_STONE</t>
  </si>
  <si>
    <t>PIEDRA REFRACTARIA REDONDA, BULTO POR 60 UNIDADES</t>
  </si>
  <si>
    <t>ES12P</t>
  </si>
  <si>
    <t>ESCALERA DE 12 PASOS</t>
  </si>
  <si>
    <t xml:space="preserve">COB_5Y_480L </t>
  </si>
  <si>
    <t>COMFERVI</t>
  </si>
  <si>
    <t>FLEX1806</t>
  </si>
  <si>
    <t>PERFIL FLEXIBLE PARA CINTA LED</t>
  </si>
  <si>
    <t>CINTA LED COB CONTINUA 24V 2700K 10W 1100LM/M, ROLLO 5 METROS.</t>
  </si>
  <si>
    <t>H1.1100.0111</t>
  </si>
  <si>
    <t xml:space="preserve"> MONITOR EDUCATIVO 75" SERIE E, E7530, CON SISTEMA INTERACTIVO ANDROID.</t>
  </si>
  <si>
    <t xml:space="preserve"> MONITOR EDUCATIVO 86" SERIE E, E5630, CON SISTEMA INTERACTIVO ANDROID.</t>
  </si>
  <si>
    <t>KOMBIC_100_SQ_1500_IP43_9WW_WW</t>
  </si>
  <si>
    <t>LUMINARIA DE 14W, 1176Lm, 3000K EFECTO WALL WASHER</t>
  </si>
  <si>
    <t>HS2TK30FL940DB</t>
  </si>
  <si>
    <t>REFLECTOR 36,7W LED COB, 3800lm a 3000K (CRI90), APERTURA 35°, GIRO 355° E INCLINACION HASTA 90°</t>
  </si>
  <si>
    <t>MOON_L_42W</t>
  </si>
  <si>
    <t>APEL_3W</t>
  </si>
  <si>
    <t>MOON_L_14W</t>
  </si>
  <si>
    <t>TWISTE_7W</t>
  </si>
  <si>
    <t>LEDA_7W</t>
  </si>
  <si>
    <t>MIN_TITANIA_1.14_CRISMATIC</t>
  </si>
  <si>
    <t>KIT_ORION</t>
  </si>
  <si>
    <t>HIGH_LIGHTS</t>
  </si>
  <si>
    <t>LUMINARIA DE EMERGENCIA DE 3W</t>
  </si>
  <si>
    <t>LUMINARIA DE 42W CON APERTURA DE 40° U 80°, CRI &gt;80.</t>
  </si>
  <si>
    <t>LUMINARIA DE 14W CON APERTURA DE 40° U 80°, CRI &gt;80.</t>
  </si>
  <si>
    <t>BALA DIRECCIONABLE PARA BOMBILLA GU10 FORMATO MR16</t>
  </si>
  <si>
    <t>LUMINARIA IP65 PARA PISO 7W, 3000K, BOMBILLA GU10.</t>
  </si>
  <si>
    <t>LUMINARIA LINEAL DE 40w CON DIFUSOR CRISMATICO</t>
  </si>
  <si>
    <t>KIT CON RIEL DE 3 METROS, 3 SPOTS ORION 9W.</t>
  </si>
  <si>
    <t>TERCOL</t>
  </si>
  <si>
    <t>TRP224T</t>
  </si>
  <si>
    <t>TABLERO BIGASICO CON ESPACIO PARA TOTALIZADOR</t>
  </si>
  <si>
    <t>H1.1005.0112</t>
  </si>
  <si>
    <t>LUMINARIA LED 3000K, 500 LUMENS, CRI&gt;90.</t>
  </si>
  <si>
    <t>H2.9007.1318</t>
  </si>
  <si>
    <t>LUMINARIA INALAMBRICA CON ACCESORIO CARGADOR, APERTURA DE 130°, 2700K, 105Lm.</t>
  </si>
  <si>
    <t>MULTI CARGADOR DE 6 ESPACIOS PARA LUMINARIAS SPLIT</t>
  </si>
  <si>
    <t>H2.9007.8200</t>
  </si>
  <si>
    <t>RR_3PD_1_SW</t>
  </si>
  <si>
    <t>DIMMER REMOTO INALAMBRICO</t>
  </si>
  <si>
    <t>H1.5700.8222</t>
  </si>
  <si>
    <t>PERFIL DECORATIVO PARA CIERRE DE PERFIL MONZA</t>
  </si>
  <si>
    <t>H1.5701.1211</t>
  </si>
  <si>
    <t>MINI SPOT MONZA 4 4W 24º 24V BLACK 2700K</t>
  </si>
  <si>
    <t>MONZA 4 Acc. HONEYCOMB ANTI-GLARE</t>
  </si>
  <si>
    <t>H1.5701.8001</t>
  </si>
  <si>
    <t>MONZA TRACK DE SOBREPONER</t>
  </si>
  <si>
    <t>KIT_MAG_TEM_SP</t>
  </si>
  <si>
    <t>KIT DE CONTROL DE ACCESO COMPLEMENTARIO CON MAGNETICO PESADO, TEMPORIZADOR, Y SENSOR DE PUERTA.</t>
  </si>
  <si>
    <t>RPGC25S</t>
  </si>
  <si>
    <t>LUMINARIA CON SELECTOR DE FLUJO, DE HASTA 60W, CON SELECTOR DE TEMPERATURA 4000/5000K. MULTIVOLTAJE. HASTA 8240 LUMENS</t>
  </si>
  <si>
    <t>CINTA LED 24V, 4000K, 16 WATTS/METRO, ROLLO POR 5 METROS</t>
  </si>
  <si>
    <t>Salidas electricas de Termostatos</t>
  </si>
  <si>
    <t>Salidas electricas de Audio</t>
  </si>
  <si>
    <t>Salidas electricas de Datos</t>
  </si>
  <si>
    <t>Puntos de Control Link QS</t>
  </si>
  <si>
    <t>Puntos de Iluminacion</t>
  </si>
  <si>
    <t>Puntos de CCTV</t>
  </si>
  <si>
    <t>Puntos de Video</t>
  </si>
  <si>
    <t>Salidas Electricas de Tomas</t>
  </si>
  <si>
    <t>Salidas electricas de Cortinas</t>
  </si>
  <si>
    <t>Salidas electricas de Termostatos (Infra estructura y cableado)</t>
  </si>
  <si>
    <t>K_FUS_TERMO</t>
  </si>
  <si>
    <t>K_FUS_AUDIO</t>
  </si>
  <si>
    <t>K_FUS_DATOS</t>
  </si>
  <si>
    <t>K_FUS_TOMAS</t>
  </si>
  <si>
    <t>K_FUS_QS</t>
  </si>
  <si>
    <t>K_FUS_CCTV</t>
  </si>
  <si>
    <t>K_FUS_VIDEO</t>
  </si>
  <si>
    <t>K_FUS_LIGHT</t>
  </si>
  <si>
    <t>K_FUS_SHADE</t>
  </si>
  <si>
    <t>Salidas electricas de Audio (Infra estructura y cableado)</t>
  </si>
  <si>
    <t>Salidas electricas de Datos (Infra estructura y cableado)</t>
  </si>
  <si>
    <t>Puntos de Control Link QS (Infra estructura y cableado)</t>
  </si>
  <si>
    <t>Puntos de Iluminacion (Infra estructura y cableado)</t>
  </si>
  <si>
    <t>Puntos de CCTV (Infra estructura y cableado)</t>
  </si>
  <si>
    <t>Puntos de Video (Infra estructura y cableado)</t>
  </si>
  <si>
    <t>Salidas Electricas de Tomas (Infra estructura y cableado)</t>
  </si>
  <si>
    <t>Salidas electricas de Cortinas (Infra estructura y cableado)</t>
  </si>
  <si>
    <t>K_FUS_TERMO_F</t>
  </si>
  <si>
    <t>K_FUS_AUDIO_F</t>
  </si>
  <si>
    <t>K_FUS_DATOS_F</t>
  </si>
  <si>
    <t>K_FUS_QS_F</t>
  </si>
  <si>
    <t>K_FUS_LIGHT_F</t>
  </si>
  <si>
    <t>K_FUS_CCTV_F</t>
  </si>
  <si>
    <t>K_FUS_VIDEO_F</t>
  </si>
  <si>
    <t>K_FUS_TOMAS_F</t>
  </si>
  <si>
    <t>K_FUS_SHADE_F</t>
  </si>
  <si>
    <t>W_1</t>
  </si>
  <si>
    <t>INTERRUPTOR PARA CONTROL DE RELE INALAMBRICO</t>
  </si>
  <si>
    <t>PLUS_2PM_1_UL</t>
  </si>
  <si>
    <t>RELE DOBLE PARA CONMUTACION</t>
  </si>
  <si>
    <t>F6604009</t>
  </si>
  <si>
    <t>F018E31K013</t>
  </si>
  <si>
    <t>TACCIA SMALL LED EU/UL/GB BCO</t>
  </si>
  <si>
    <t>IN VITRO UNPL B1 3000K W.DIMM EU 110-240V/5VD P.G IN VITRO UNPLUGGED</t>
  </si>
  <si>
    <t>BAS_ACRI</t>
  </si>
  <si>
    <t>BASE ACRILICA PINTADA EN NEGRO MATE</t>
  </si>
  <si>
    <t>LUCE_S1_GLASS</t>
  </si>
  <si>
    <t>LUMINARIA SUSPENDIDA PARA INTERIORES, CON ESTRUCTURA EN ALUMINIO Y DIFUSORES CILÍNDRICOS EN VIDRIO; EQUIPADA CON LED INTEGRADO DE 110 W, 5345 LM, 2700 K, CRI 95 E IP20.</t>
  </si>
  <si>
    <t>F05.8422.40</t>
  </si>
  <si>
    <t>SET DE 4 MINI DOTS DE 2700K, 1.5W, CRI &gt;90</t>
  </si>
  <si>
    <t>INTERRUPTOR DE EXTERIOR CON CAPACIDAD RF</t>
  </si>
  <si>
    <t>AWG14RLDA</t>
  </si>
  <si>
    <t>CABLE #14 LIBRE DE HALOGENO, ROLLO POR 100M</t>
  </si>
  <si>
    <t>DH_IPC_HFW1239S1P_A</t>
  </si>
  <si>
    <t>CAMARA IP BALAS SEMI METALICA 30 FPS</t>
  </si>
  <si>
    <t>GC2048</t>
  </si>
  <si>
    <t>GABINETE DE PARED DE 9 UNIDADES DE RACK</t>
  </si>
  <si>
    <t>ESC12</t>
  </si>
  <si>
    <t>COLOMBIA</t>
  </si>
  <si>
    <t>ESCALERA TIPO TIJERA 12 PASOS</t>
  </si>
  <si>
    <t>ESC7</t>
  </si>
  <si>
    <t>ESC8</t>
  </si>
  <si>
    <t>ESCALERA TIPO TIJERA 7 PASOS</t>
  </si>
  <si>
    <t>ESCALERA TIPO TIJERA 8 PASOS</t>
  </si>
  <si>
    <t>EE184</t>
  </si>
  <si>
    <t>METRO CABLE DE INSTRUMENTACION DE 4 HILOS, AWG18</t>
  </si>
  <si>
    <t>CLCOB2700</t>
  </si>
  <si>
    <t>ROLLO DE 5 METROS DE CINTA LED COB 2700, CRI&gt;90</t>
  </si>
  <si>
    <t>IPK_1</t>
  </si>
  <si>
    <t>TECLADO DE CONTROL PARA SISTEMA RUSSOUND</t>
  </si>
  <si>
    <t>F9520039</t>
  </si>
  <si>
    <t>F9520035</t>
  </si>
  <si>
    <t>LUMINARIA DECORATIVA TUBULAR DE SUSPENSION</t>
  </si>
  <si>
    <t>H1.1007.0112</t>
  </si>
  <si>
    <t>LUMINARIA MINI CARDAN CRI&gt;90, 1450Lm, 3000K COLOR BLANCO</t>
  </si>
  <si>
    <t>TWRAC_42</t>
  </si>
  <si>
    <t>TABLERO LEG TRIF CU/AL 150A 220V CON TOTALIZADOR</t>
  </si>
  <si>
    <t>BREAKER DE CORTE DE 30 AMPERIOS</t>
  </si>
  <si>
    <t>L027009</t>
  </si>
  <si>
    <t xml:space="preserve">BREAKER DE CORTE TOTALIZADOR DE 3X125 AMPERIOS </t>
  </si>
  <si>
    <t>3CC1TL1110</t>
  </si>
  <si>
    <t>BORNAS PARA CALIBRE 1/0</t>
  </si>
  <si>
    <t>BOX_S</t>
  </si>
  <si>
    <t>XIAOMI</t>
  </si>
  <si>
    <t>CONVERSOR SMART TV 3 GEN</t>
  </si>
  <si>
    <t>ILAP</t>
  </si>
  <si>
    <t>ILAPLLEDS_348</t>
  </si>
  <si>
    <t>PANEL TIPO PASTEL DE 6000K, 18W</t>
  </si>
  <si>
    <t>PAAA</t>
  </si>
  <si>
    <t>PILA TRIPLE A ALCALINA</t>
  </si>
  <si>
    <t>TL_WR840N</t>
  </si>
  <si>
    <t>EXT_P310M</t>
  </si>
  <si>
    <t>EXTENSION CON POLO A TIERRA DE 10M, 3X14</t>
  </si>
  <si>
    <t>DL150DIMGEPH</t>
  </si>
  <si>
    <t>DRIVER PROGRAMADO DE 100W, MULTIVOLTAJE</t>
  </si>
  <si>
    <t>INVTCS</t>
  </si>
  <si>
    <t>MRF2S_8SS_WH</t>
  </si>
  <si>
    <t>INTERRUPTOR DE LINEA VIVE PARA CARGAS CONMUTADAS HASTA 8 AMPERIOS</t>
  </si>
  <si>
    <t>C2020</t>
  </si>
  <si>
    <t>CAJA ELECTRICA DE PASO DE 20X20</t>
  </si>
  <si>
    <t>CORA_M_T</t>
  </si>
  <si>
    <t>TERMINAL PARA CORAZA AMERICANA DE 3/4</t>
  </si>
  <si>
    <t>46TWAC36BO</t>
  </si>
  <si>
    <t>TABLERO TRIFASICO CON TOTALIZADOR PARA 36 CIRCUITOS</t>
  </si>
  <si>
    <t>CINEMA70S</t>
  </si>
  <si>
    <t>PROCESADOR DE AV, 7.2 CON CONTROL IP, STREAMING Y CONTROL WEB.</t>
  </si>
  <si>
    <t>TABLERO DE BUS DE DATOS DOBLE ECOSYSTEM</t>
  </si>
  <si>
    <t>LSC_VALIDATION</t>
  </si>
  <si>
    <t>VISITA EN SITIO POR PARTE DE LA FABRICA DE LUTRONPARA VERIFICAR QUE LA PUESTA EN MARCHA REALIZADA. INCLUYE SOPORTE REMOTO SIN COSTO EN CASO DE PROBLEMAS DE PROGRAMACIÓN, SEGÚN EL ALCANCE DEL SERVICIO.</t>
  </si>
  <si>
    <t>FLEXUS_CORE_200</t>
  </si>
  <si>
    <t>BARRA DE SONIDO CON ENTRADA OPTICA, HDMI ARC Y BLUETOOTH</t>
  </si>
  <si>
    <t>FUENTE DE ALIMENTACIÓN 20AMP-120/277V 150mA</t>
  </si>
  <si>
    <t>L913703243109</t>
  </si>
  <si>
    <t>SENSOR IR TECHO 360° 7MTS X 35.6MTS CON RECEPTOR IR DUS360CS</t>
  </si>
  <si>
    <t>ENERGEX</t>
  </si>
  <si>
    <t>EE482</t>
  </si>
  <si>
    <t>METRO DE CABLE COBRE COBRE DE 4 FILAMENTOS</t>
  </si>
  <si>
    <t>P913703027409</t>
  </si>
  <si>
    <t>P913703079709</t>
  </si>
  <si>
    <t>P913703050809</t>
  </si>
  <si>
    <t>P913703072809</t>
  </si>
  <si>
    <t>PUERTA DE ENLACE SUPERVISOR ETHERNET - SUPERVISOR - V3 PDDEG-S</t>
  </si>
  <si>
    <t>CONTROLADOR DALI 3 CANALES DYNALITE DDBC320-DALI</t>
  </si>
  <si>
    <t>BOTONERA ANTUMBRA TÁCTIL DYNALITE BLANCO-ALUMINIO PATPA-WA-X</t>
  </si>
  <si>
    <t>INTERFACE DE USUARIO DYNALITE PARA BOTONERAS DACM-Dynet</t>
  </si>
  <si>
    <t>BACNET_INT</t>
  </si>
  <si>
    <t>DESARROLLO DE INTEGRACION BACNET CON BMS</t>
  </si>
  <si>
    <t>DVRF_5NE_WH</t>
  </si>
  <si>
    <t>DIMMER DE LINEA DIVA COPATIBLE CON CASETA WIRELESS</t>
  </si>
  <si>
    <t>INTERRUPTOR DE LINEA DIVA COPATIBLE CON CASETA WIRELESS</t>
  </si>
  <si>
    <t>DVRF_5NS_WH</t>
  </si>
  <si>
    <t>PJ2_P2B_GWH</t>
  </si>
  <si>
    <t>TECLADO PICO INALAMBRICO LINEA DIVA</t>
  </si>
  <si>
    <t>PJ2_4B_TSW_L31</t>
  </si>
  <si>
    <t>TECLADO PICO DE 4 BOTONES EN COLOR BLANCO MATE</t>
  </si>
  <si>
    <t>SISTEMA DE AUDIO STREAMING PRE AMPLIFICADO</t>
  </si>
  <si>
    <t>K_INST_ML</t>
  </si>
  <si>
    <t>INSTALACION DE METRO LINEAL DE CABLE EN TUBERIA, NO INCLUYE ACABADOS DE RESANE O PINTURA.</t>
  </si>
  <si>
    <t>K_INST_PROG_QP_2L</t>
  </si>
  <si>
    <t>INSTALACION Y PROGRAMACION DE EQUIPO QP_2L</t>
  </si>
  <si>
    <t>K_INST_PROG_QSN_2DALUNV_S</t>
  </si>
  <si>
    <t>INSTALACION Y PROGRAMACION DE EQUIPO QSN_2DALUNV_S</t>
  </si>
  <si>
    <t>K_INST_PROG_QSN2_4S20_S</t>
  </si>
  <si>
    <t>INSTALACION Y PROGRAMACION DE EQUIPO QSN2_4S20_S</t>
  </si>
  <si>
    <t>K_INST_PROG_QSM2_XW_C</t>
  </si>
  <si>
    <t>INSTALACION Y PROGRAMACION DE EQUIPO QSM2_XW_C</t>
  </si>
  <si>
    <t>K_INST_PROG_CA_1PS_WH</t>
  </si>
  <si>
    <t>INSTALACION Y PROGRAMACION DE EQUIPO CA_1PS_WH</t>
  </si>
  <si>
    <t>K_INST_PROG_MS_OPS2_WH</t>
  </si>
  <si>
    <t>INSTALACION Y PROGRAMACION DE EQUIPO MS_OPS2_WH</t>
  </si>
  <si>
    <t>K_INST_PROG_PJ2_3BRL_GWH_L01</t>
  </si>
  <si>
    <t>INSTALACION Y PROGRAMACION DE EQUIPO PJ2_3BRL_GWH_L01</t>
  </si>
  <si>
    <t>K_INST_PROG_PJ2_4B_GWH_L31</t>
  </si>
  <si>
    <t>INSTALACION Y PROGRAMACION DE EQUIPO PJ2_4B_GWH_L31</t>
  </si>
  <si>
    <t>K_INST_PROG_LRF2_DCRB_WH</t>
  </si>
  <si>
    <t>INSTALACION Y PROGRAMACION DE EQUIPO LRF2_DCRB_WH</t>
  </si>
  <si>
    <t>K_INST_PROG_LRF2_OCR2B_P_WH</t>
  </si>
  <si>
    <t>INSTALACION Y PROGRAMACION DE EQUIPO LRF2_OCR2B_P_WH</t>
  </si>
  <si>
    <t>K_INST_PROG_LRF2_OWLB_P_WH</t>
  </si>
  <si>
    <t>INSTALACION Y PROGRAMACION DE EQUIPO LRF2_OWLB_P_WH</t>
  </si>
  <si>
    <t>K_INST_PROG_TVI_LMF_2A</t>
  </si>
  <si>
    <t>INSTALACION Y PROGRAMACION DE EQUIPO TVI_LMF_2A</t>
  </si>
  <si>
    <t>K_INST_PROG_RMJS_5R_DV_B</t>
  </si>
  <si>
    <t>INSTALACION Y PROGRAMACION DE EQUIPO RMJS_5R_DV_B</t>
  </si>
  <si>
    <t>K_INST_PROG_QSPS_DH_1_75</t>
  </si>
  <si>
    <t>INSTALACION Y PROGRAMACION DE EQUIPO QSPS_DH_1_75</t>
  </si>
  <si>
    <t>MA270U</t>
  </si>
  <si>
    <t>MONITOR BENQ MA270U 27” 4K UHD CON PANEL IPS DISEÑADO PARA MAC, ALTA PRECISIÓN DE COLOR Y CONECTIVIDAD USB-C</t>
  </si>
  <si>
    <t>ROLLO DE CINTA LED POR 10 METROS CON LENTE DIFUMINADOR</t>
  </si>
  <si>
    <t>CCTLUPA18W24V</t>
  </si>
  <si>
    <t>K_TENSO_2.7X5</t>
  </si>
  <si>
    <t>MEMBRANA EN PVC CON PERFILERIA DE AJUSTE CON MEDIDAS APROXIMADAS DE 2.7m X 5m</t>
  </si>
  <si>
    <t>MS_PPS6_DDV_BL</t>
  </si>
  <si>
    <t>INTERRUPTOR DOBLE CON SENSOR DE PRESENCIA</t>
  </si>
  <si>
    <t>CONFERVI</t>
  </si>
  <si>
    <t>C3510105</t>
  </si>
  <si>
    <t>ROLLO DE 5 METROS DE CINTA LED 12V 10W, 1100Lm METRO, 5000K.</t>
  </si>
  <si>
    <t>ECO_43_C30W</t>
  </si>
  <si>
    <t>LUMINARIA DESCOLGADA DE 30W, FLUJO LUMINICO DE 4320Lm. PINTURA ELECTROESTATICA EN DUPPONT.</t>
  </si>
  <si>
    <t>RCAX0.9</t>
  </si>
  <si>
    <t>CABLE RCA X 0.9M</t>
  </si>
  <si>
    <t>VLT523_30W_9240_BK</t>
  </si>
  <si>
    <t>BK NOA SPOT PARARIEL 3P+N30W 4000K CRI 90 100-240V</t>
  </si>
  <si>
    <t>VLT523_30W_24</t>
  </si>
  <si>
    <t>NOA
REFLECTOR 24 ALUMINIO FACETEADO 30W IDEA</t>
  </si>
  <si>
    <t>HS2TK20MF830NB</t>
  </si>
  <si>
    <t>SPOT DE 28W, 3465 Lm, 3000K CON ANGULO DE 45°</t>
  </si>
  <si>
    <t>13PTLLED210MV30N</t>
  </si>
  <si>
    <t>LUMINARIA DE SOBREPONER 13W, 20°, 13W, 950Lm.</t>
  </si>
  <si>
    <t>C28355000</t>
  </si>
  <si>
    <t>CINTA LED DE 5000K, 10Wxm IP20, 2835.</t>
  </si>
  <si>
    <t>F3030417</t>
  </si>
  <si>
    <t>MODULO LED 12V DE 2W. 42mm X 42mm, 6000K.</t>
  </si>
  <si>
    <t>GL_012W</t>
  </si>
  <si>
    <t>VATIO</t>
  </si>
  <si>
    <t>PANEL DE SOBREPONER 3000K, 12W</t>
  </si>
  <si>
    <t>KIF_010_TDW</t>
  </si>
  <si>
    <t>DSE_3070</t>
  </si>
  <si>
    <t>BREAKER ENCHUFABLE DE 3X70A</t>
  </si>
  <si>
    <t>51749N</t>
  </si>
  <si>
    <t>ROLLO DE 5 METROS DE CINTA LED 4000K, 4.8W/m. CRI&gt;90</t>
  </si>
  <si>
    <t>MA270U_A</t>
  </si>
  <si>
    <t>MONITOR DE 27” 4K UHD, PANEL IPS, HDR10, DISPLAYHDR 400, 99% SRGB, 95% P3, 60 HZ, 400 NITS Y 5 MS GTG</t>
  </si>
  <si>
    <t>C25X25X10</t>
  </si>
  <si>
    <t>CAJA DE PASO DE 25Cm X 25Cm X 10Cm.</t>
  </si>
  <si>
    <t>POT_1K</t>
  </si>
  <si>
    <t>POTENCIOMETRO DE 1K</t>
  </si>
  <si>
    <t>DEMO_BOX</t>
  </si>
  <si>
    <t>MALETIN DEMO DE PERFILES</t>
  </si>
  <si>
    <t>INL006SB_3K</t>
  </si>
  <si>
    <t>INL006SB_4K</t>
  </si>
  <si>
    <t>VLD126_15W_4K</t>
  </si>
  <si>
    <t>LED INTEGRADA SPOT MR16 6W 3000K 100-240V VITTORIA</t>
  </si>
  <si>
    <t>LED INTEGRADA SPOT MR16 6W 4000K 100-240V VITTORIA</t>
  </si>
  <si>
    <t>SONIA DL 4
DIA 15W CRI90 70 4000K SCDM3 L70B10 IDEA</t>
  </si>
  <si>
    <t>VITTORIA</t>
  </si>
  <si>
    <t>KIF_060_TDW</t>
  </si>
  <si>
    <t>DRIVER CON SALIDA DE CORRIENTE VARIABLE 600-2100mA 60W.</t>
  </si>
  <si>
    <t>10MF1000</t>
  </si>
  <si>
    <t>IPC_S20EN_6M0S_IMOU</t>
  </si>
  <si>
    <t>CAMARA IP DUAL DE 3MP Y TRACKING AUTOMATICO</t>
  </si>
  <si>
    <t>RL2144L</t>
  </si>
  <si>
    <t>REGLETA 2X28 3000K</t>
  </si>
  <si>
    <t>C3120</t>
  </si>
  <si>
    <t>CINTA LED 3000K ALIMENTACION 120VAC, ROLLO POR 5 METROS</t>
  </si>
  <si>
    <t>CO5152NBCA30</t>
  </si>
  <si>
    <t>SPOT DE LED INTEGRADO CON TEMPERATURA VARIABLE, 2800LM.</t>
  </si>
  <si>
    <t>CONSTRULITA</t>
  </si>
  <si>
    <t>TL_1019</t>
  </si>
  <si>
    <t>TELON ELECTRICO TENSIONADO EN FORMATO 16:10, MEDIDAS DE 2.64m x 1.65m.</t>
  </si>
  <si>
    <t>15_A174_60_DU</t>
  </si>
  <si>
    <t>PROYECTOR LED DE SUPERFICIE LEDS C4 ATOM SURFACE Ø75, 40.5W, 3000K, 3685 LM, CRI 92, ÁNGULO 37°, ACABADO NEGRO.</t>
  </si>
  <si>
    <t>PROYECTOR LED DE SUPERFICIE LAMP HANCE G2 SUR 3000 WW FL DALI BK, 27.5W, 3000K, 3239 LM, CRI 80, ÁNGULO 34°.</t>
  </si>
  <si>
    <t>HS2SF30FL830DB</t>
  </si>
  <si>
    <t>71_E776_M1_M1</t>
  </si>
  <si>
    <t>ACCESORIO PANTALLA LEDS C4 CISNE SHADE Ø280 MM, ACABADO BLANCO OPAL, FABRICADO EN POLIETILENO, REFERENCIA 71-E776-M1-M1</t>
  </si>
  <si>
    <t>BASE LED PLUG &amp; PLAY LEDS C4 CISNE 48V, 4.2W, 2700K/3200K/4000K, 631 LM, CRI 80, ACABADO NEGRO.
IP66, IK10, ON-OFF, Ø120 MM, CUERPO EN POLICARBONATO, DIFUSOR EN POLIETILENO, APTO AMBIENTE MARINO.</t>
  </si>
  <si>
    <t>71_E777_05_EH</t>
  </si>
  <si>
    <t>05_7742_DN_DN</t>
  </si>
  <si>
    <t>APLIQUE LED INTERIOR LEDS C4 H, 17W, 2700K, 553 LM, CRI 90, UGR 18.4, ACABADO ORO MATE Y DIFUSOR ACRÍLICO ARENADO</t>
  </si>
  <si>
    <t>DHT_S316</t>
  </si>
  <si>
    <t>SISTEMA 2.1 CANALES CON SUBWOOFER INALÁMBRICO, CONECTIVIDAD HDMI ARC Y BLUETOOTH</t>
  </si>
  <si>
    <t>MW560C</t>
  </si>
  <si>
    <t>PROYECTOR DLP DE 4.000 LÚMENES ANSI, RESOLUCIÓN WXGA 1280×800 Y FORMATO NATIVO 16:10.
CONTRASTE 20.000:1, LÁMPARA DE HASTA 15.000 HORAS EN MODO LAMPSAVE, ZOOM 1.1X, HDMI/VGA/USB/RS232 Y ALTAVOZ INTEGRADO DE 10 W.</t>
  </si>
  <si>
    <t>PJ2_3BRL_TMN_F01</t>
  </si>
  <si>
    <t>TELADO PICO NEGRO MATE DE 5 BOTONES CON MARCACION PARA VENTILADOR.</t>
  </si>
  <si>
    <t>CONTROLADOR DE VIDEO WALL 1X4 DE 18 GBPS PARA DISTRIBUCIÓN DE SEÑAL HDMI/USB-C HASTA 4K@60HZ 4:4:4 EN CUATRO PANTALLAS.
COMPATIBLE CON HDMI 2.0, HDCP 2.2, CONTROL POR PANEL FRONTAL, CONTROL REMOTO IR Y COMANDOS RS-232.</t>
  </si>
  <si>
    <t>PS_342</t>
  </si>
  <si>
    <t>CORTE ACRILICO CUSTOM SEGÚN ESPECIFICACION</t>
  </si>
  <si>
    <t>CUS_ACR</t>
  </si>
  <si>
    <t>ECO21X1_I</t>
  </si>
  <si>
    <t>LUMINARIA LINEAL LED DE 4100K, 1.12M DE LARGO. PARA CONFIGURACIÓN EN TÁNDEM DE INCRUSTAR.</t>
  </si>
  <si>
    <t>V11HB57021</t>
  </si>
  <si>
    <t>PROYECTOR EPSON POWERLITE W53+ REFERENCIA V11HB57021, TECNOLOGÍA 3LCD, RESOLUCIÓN NATIVA WXGA 1280 X 800, BRILLO DE 4.000 LÚMENES, CONTRASTE 16.000:1 Y FORMATO 16:10 PARA PRESENTACIONES MULTIMEDIA DE ALTA CALIDAD</t>
  </si>
  <si>
    <t>FUENTE DE ALIMENTACION CON CONTRoL BLUETOOTH</t>
  </si>
  <si>
    <t>TLMF100_BT</t>
  </si>
  <si>
    <t>TRACK LINEAL DE ILUMINACION 8W, APERTURA 24°, TEMPERATURA GRADUABLE</t>
  </si>
  <si>
    <t>SPOT DE 12W APERTURA 24° TEMPERATURA GRADUABLE</t>
  </si>
  <si>
    <t>TRACK MAGNETICO DE 2 METROS</t>
  </si>
  <si>
    <t>LUMINARIA LINEAL DE 840Lm, APERTURA 120°, TEMPERATURA 2700K</t>
  </si>
  <si>
    <t>TLML0</t>
  </si>
  <si>
    <t>CONECTOR LINEAL</t>
  </si>
  <si>
    <t>CONECTOR EN ANGULO</t>
  </si>
  <si>
    <t>VLT536_28</t>
  </si>
  <si>
    <t>SPOT DE 28W, 3465 Lm, 3000K.</t>
  </si>
  <si>
    <t>LRS_600_24</t>
  </si>
  <si>
    <t>FUENTE DE ALIMENTACION DE 600W</t>
  </si>
  <si>
    <t>LUMINARIA CONTINUOM DE 50CM, 22W.</t>
  </si>
  <si>
    <t>ECO21X05</t>
  </si>
  <si>
    <t>LRS_350_12</t>
  </si>
  <si>
    <t>FUENTE DE VOLTAJE 12C, 350W.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</si>
</sst>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41" formatCode="_-* #,##0_-;\-* #,##0_-;_-* &quot;-&quot;_-;_-@_-"/>
    <numFmt numFmtId="44" formatCode="_-&quot;$&quot;* #,##0.00_-;\-&quot;$&quot;* #,##0.00_-;_-&quot;$&quot;* &quot;-&quot;??_-;_-@_-"/>
    <numFmt numFmtId="164" formatCode="0.0%"/>
    <numFmt numFmtId="165" formatCode="_-&quot;$&quot;* #,##0.00_-;\-&quot;$&quot;* #,##0.00_-;_-&quot;$&quot;* &quot;-&quot;_-;_-@_-"/>
    <numFmt numFmtId="166" formatCode="_-&quot;$&quot;* #,##0.000_-;\-&quot;$&quot;* #,##0.000_-;_-&quot;$&quot;* &quot;-&quot;_-;_-@_-"/>
  </numFmts>
  <fonts count="18" x14ac:knownFonts="1">
    <font>
      <sz val="11"/>
      <color theme="1"/>
      <name val="Calibri"/>
      <family val="2"/>
      <scheme val="minor"/>
    </font>
    <font>
      <sz val="11"/>
      <color theme="1"/>
      <name val="Calibri"/>
      <family val="2"/>
      <scheme val="minor"/>
    </font>
    <font>
      <b/>
      <sz val="9"/>
      <color theme="0"/>
      <name val="Calibri"/>
      <family val="2"/>
      <scheme val="minor"/>
    </font>
    <font>
      <b/>
      <sz val="8"/>
      <color theme="0"/>
      <name val="Calibri"/>
      <family val="2"/>
      <scheme val="minor"/>
    </font>
    <font>
      <sz val="8"/>
      <color theme="1"/>
      <name val="Calibri"/>
      <family val="2"/>
      <scheme val="minor"/>
    </font>
    <font>
      <sz val="8"/>
      <color rgb="FF222222"/>
      <name val="Arial"/>
      <family val="2"/>
    </font>
    <font>
      <sz val="12"/>
      <color theme="1"/>
      <name val="Calibri"/>
      <family val="2"/>
      <scheme val="minor"/>
    </font>
    <font>
      <u/>
      <sz val="11"/>
      <color theme="10"/>
      <name val="Calibri"/>
      <family val="2"/>
      <scheme val="minor"/>
    </font>
    <font>
      <b/>
      <sz val="11"/>
      <color theme="1"/>
      <name val="Calibri"/>
      <family val="2"/>
      <scheme val="minor"/>
    </font>
    <font>
      <sz val="8"/>
      <color rgb="FFFF0000"/>
      <name val="Calibri"/>
      <family val="2"/>
      <scheme val="minor"/>
    </font>
    <font>
      <sz val="8"/>
      <color rgb="FF002060"/>
      <name val="Calibri"/>
      <family val="2"/>
      <scheme val="minor"/>
    </font>
    <font>
      <sz val="10"/>
      <color theme="1"/>
      <name val="Calibri"/>
      <family val="2"/>
      <scheme val="minor"/>
    </font>
    <font>
      <b/>
      <sz val="8"/>
      <color theme="1"/>
      <name val="Calibri"/>
      <family val="2"/>
      <scheme val="minor"/>
    </font>
    <font>
      <sz val="8"/>
      <name val="Calibri"/>
      <family val="2"/>
      <scheme val="minor"/>
    </font>
    <font>
      <sz val="9"/>
      <color theme="1"/>
      <name val="Calibri"/>
      <family val="2"/>
      <scheme val="minor"/>
    </font>
    <font>
      <sz val="11"/>
      <color theme="1"/>
      <name val="Calibri"/>
      <family val="2"/>
    </font>
    <font>
      <sz val="9"/>
      <color rgb="FF000000"/>
      <name val="Arial"/>
      <family val="2"/>
    </font>
    <font>
      <sz val="3"/>
      <color rgb="FF000000"/>
      <name val="ArialMT"/>
    </font>
  </fonts>
  <fills count="15">
    <fill>
      <patternFill patternType="none"/>
    </fill>
    <fill>
      <patternFill patternType="gray125"/>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7" tint="0.59999389629810485"/>
        <bgColor theme="4" tint="0.79998168889431442"/>
      </patternFill>
    </fill>
    <fill>
      <patternFill patternType="solid">
        <fgColor rgb="FFFF0000"/>
        <bgColor indexed="64"/>
      </patternFill>
    </fill>
    <fill>
      <patternFill patternType="solid">
        <fgColor rgb="FFFF0000"/>
        <bgColor theme="4" tint="0.79998168889431442"/>
      </patternFill>
    </fill>
    <fill>
      <patternFill patternType="solid">
        <fgColor theme="5" tint="0.39997558519241921"/>
        <bgColor theme="4" tint="0.79998168889431442"/>
      </patternFill>
    </fill>
    <fill>
      <patternFill patternType="solid">
        <fgColor theme="4" tint="0.79998168889431442"/>
        <bgColor indexed="64"/>
      </patternFill>
    </fill>
    <fill>
      <patternFill patternType="solid">
        <fgColor theme="2" tint="-0.249977111117893"/>
        <bgColor theme="4" tint="0.79998168889431442"/>
      </patternFill>
    </fill>
    <fill>
      <patternFill patternType="solid">
        <fgColor rgb="FFFFFF00"/>
        <bgColor theme="4" tint="0.79998168889431442"/>
      </patternFill>
    </fill>
    <fill>
      <patternFill patternType="solid">
        <fgColor rgb="FFFFFF00"/>
        <bgColor indexed="64"/>
      </patternFill>
    </fill>
    <fill>
      <patternFill patternType="solid">
        <fgColor rgb="FFFFC000"/>
        <bgColor theme="4" tint="0.79998168889431442"/>
      </patternFill>
    </fill>
    <fill>
      <patternFill patternType="solid">
        <fgColor rgb="FF92D050"/>
        <bgColor indexed="64"/>
      </patternFill>
    </fill>
    <fill>
      <patternFill patternType="solid">
        <fgColor rgb="FF92D050"/>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auto="1"/>
      </left>
      <right style="thin">
        <color auto="1"/>
      </right>
      <top style="thin">
        <color theme="4" tint="0.39997558519241921"/>
      </top>
      <bottom style="thin">
        <color theme="4" tint="0.39997558519241921"/>
      </bottom>
      <diagonal/>
    </border>
    <border>
      <left style="thin">
        <color indexed="64"/>
      </left>
      <right style="thin">
        <color indexed="64"/>
      </right>
      <top/>
      <bottom/>
      <diagonal/>
    </border>
    <border>
      <left/>
      <right style="thin">
        <color indexed="64"/>
      </right>
      <top/>
      <bottom/>
      <diagonal/>
    </border>
    <border>
      <left style="thin">
        <color theme="4" tint="0.39997558519241921"/>
      </left>
      <right/>
      <top/>
      <bottom/>
      <diagonal/>
    </border>
    <border>
      <left style="thin">
        <color rgb="FF000000"/>
      </left>
      <right style="thin">
        <color indexed="64"/>
      </right>
      <top style="thin">
        <color indexed="64"/>
      </top>
      <bottom style="thin">
        <color indexed="64"/>
      </bottom>
      <diagonal/>
    </border>
    <border>
      <left style="thin">
        <color indexed="64"/>
      </left>
      <right/>
      <top/>
      <bottom/>
      <diagonal/>
    </border>
  </borders>
  <cellStyleXfs count="11">
    <xf numFmtId="0" fontId="0" fillId="0" borderId="0"/>
    <xf numFmtId="44" fontId="1" fillId="0" borderId="0"/>
    <xf numFmtId="42" fontId="1" fillId="0" borderId="0"/>
    <xf numFmtId="9" fontId="1" fillId="0" borderId="0"/>
    <xf numFmtId="42" fontId="1" fillId="0" borderId="0"/>
    <xf numFmtId="0" fontId="6" fillId="0" borderId="0"/>
    <xf numFmtId="42" fontId="6" fillId="0" borderId="0"/>
    <xf numFmtId="42" fontId="1" fillId="0" borderId="0"/>
    <xf numFmtId="41" fontId="1" fillId="0" borderId="0"/>
    <xf numFmtId="41" fontId="1" fillId="0" borderId="0"/>
    <xf numFmtId="0" fontId="7" fillId="0" borderId="0"/>
  </cellStyleXfs>
  <cellXfs count="138">
    <xf numFmtId="0" fontId="0" fillId="0" borderId="0" xfId="0"/>
    <xf numFmtId="0" fontId="2" fillId="2" borderId="1" xfId="0" applyFont="1" applyFill="1" applyBorder="1"/>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44" fontId="3" fillId="2" borderId="1" xfId="1" applyFont="1" applyFill="1" applyBorder="1" applyAlignment="1">
      <alignment horizontal="center" vertical="center"/>
    </xf>
    <xf numFmtId="44" fontId="2" fillId="2" borderId="3" xfId="1"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vertical="center" wrapText="1"/>
    </xf>
    <xf numFmtId="0" fontId="5" fillId="3" borderId="1" xfId="0" applyFont="1" applyFill="1" applyBorder="1" applyAlignment="1">
      <alignment vertical="center"/>
    </xf>
    <xf numFmtId="44" fontId="4" fillId="3" borderId="1" xfId="1" applyFont="1" applyFill="1" applyBorder="1" applyAlignment="1">
      <alignment vertical="center"/>
    </xf>
    <xf numFmtId="49" fontId="0" fillId="3" borderId="1" xfId="0" applyNumberFormat="1" applyFill="1" applyBorder="1"/>
    <xf numFmtId="9" fontId="4" fillId="3" borderId="1" xfId="0" applyNumberFormat="1" applyFont="1" applyFill="1" applyBorder="1" applyAlignment="1">
      <alignment horizontal="center" vertical="center"/>
    </xf>
    <xf numFmtId="9" fontId="4" fillId="3" borderId="3"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0" fillId="3" borderId="4" xfId="0" applyFill="1" applyBorder="1"/>
    <xf numFmtId="42" fontId="4" fillId="3" borderId="1" xfId="2" applyFont="1" applyFill="1" applyBorder="1" applyAlignment="1">
      <alignment vertical="center"/>
    </xf>
    <xf numFmtId="0" fontId="0" fillId="0" borderId="5" xfId="0" applyBorder="1"/>
    <xf numFmtId="42" fontId="0" fillId="0" borderId="0" xfId="2" applyFont="1"/>
    <xf numFmtId="44" fontId="0" fillId="0" borderId="0" xfId="0" applyNumberFormat="1"/>
    <xf numFmtId="164" fontId="0" fillId="0" borderId="0" xfId="3" applyNumberFormat="1" applyFont="1"/>
    <xf numFmtId="0" fontId="4" fillId="3" borderId="6" xfId="0" applyFont="1" applyFill="1" applyBorder="1" applyAlignment="1">
      <alignment horizontal="center" vertical="center"/>
    </xf>
    <xf numFmtId="0" fontId="0" fillId="3" borderId="5" xfId="0" applyFill="1" applyBorder="1"/>
    <xf numFmtId="0" fontId="5" fillId="3" borderId="5" xfId="0" applyFont="1" applyFill="1" applyBorder="1" applyAlignment="1">
      <alignment vertical="center"/>
    </xf>
    <xf numFmtId="42" fontId="0" fillId="3" borderId="5" xfId="2" applyFont="1" applyFill="1" applyBorder="1"/>
    <xf numFmtId="44" fontId="4" fillId="3" borderId="1" xfId="1" applyFont="1" applyFill="1" applyBorder="1" applyAlignment="1">
      <alignment horizontal="center" vertical="center"/>
    </xf>
    <xf numFmtId="41" fontId="4" fillId="3" borderId="1" xfId="9" applyFont="1" applyFill="1" applyBorder="1" applyAlignment="1">
      <alignment horizontal="center" vertical="center"/>
    </xf>
    <xf numFmtId="44" fontId="4" fillId="3" borderId="3" xfId="1" applyFont="1" applyFill="1" applyBorder="1" applyAlignment="1">
      <alignment horizontal="center" vertical="center"/>
    </xf>
    <xf numFmtId="9" fontId="0" fillId="3" borderId="1" xfId="0" applyNumberFormat="1" applyFill="1" applyBorder="1" applyAlignment="1">
      <alignment horizontal="center" vertical="center"/>
    </xf>
    <xf numFmtId="9" fontId="0" fillId="3" borderId="5" xfId="0" applyNumberFormat="1" applyFill="1" applyBorder="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vertical="center" wrapText="1"/>
    </xf>
    <xf numFmtId="0" fontId="5" fillId="3" borderId="0" xfId="0" applyFont="1" applyFill="1" applyAlignment="1">
      <alignment vertical="center"/>
    </xf>
    <xf numFmtId="0" fontId="5" fillId="0" borderId="5" xfId="0" applyFont="1" applyBorder="1" applyAlignment="1">
      <alignment vertical="center"/>
    </xf>
    <xf numFmtId="42" fontId="0" fillId="0" borderId="5" xfId="2" applyFont="1" applyBorder="1"/>
    <xf numFmtId="0" fontId="0" fillId="0" borderId="7" xfId="0" applyBorder="1"/>
    <xf numFmtId="0" fontId="0" fillId="0" borderId="0" xfId="0" applyAlignment="1">
      <alignment wrapText="1"/>
    </xf>
    <xf numFmtId="0" fontId="7" fillId="0" borderId="0" xfId="10"/>
    <xf numFmtId="0" fontId="4" fillId="3" borderId="8" xfId="0" applyFont="1" applyFill="1" applyBorder="1" applyAlignment="1">
      <alignment horizontal="center" vertical="center" wrapText="1"/>
    </xf>
    <xf numFmtId="0" fontId="5" fillId="3" borderId="8" xfId="0" applyFont="1" applyFill="1" applyBorder="1" applyAlignment="1">
      <alignment vertical="center"/>
    </xf>
    <xf numFmtId="165" fontId="0" fillId="0" borderId="0" xfId="2" applyNumberFormat="1" applyFont="1"/>
    <xf numFmtId="0" fontId="0" fillId="0" borderId="6" xfId="0" applyBorder="1"/>
    <xf numFmtId="0" fontId="4" fillId="3" borderId="8" xfId="0" applyFont="1" applyFill="1" applyBorder="1" applyAlignment="1">
      <alignment horizontal="center" vertical="center"/>
    </xf>
    <xf numFmtId="0" fontId="4" fillId="3" borderId="8" xfId="0" applyFont="1" applyFill="1" applyBorder="1" applyAlignment="1">
      <alignment vertical="center" wrapText="1"/>
    </xf>
    <xf numFmtId="0" fontId="5" fillId="4" borderId="0" xfId="0" applyFont="1" applyFill="1" applyAlignment="1">
      <alignment vertical="center"/>
    </xf>
    <xf numFmtId="42" fontId="0" fillId="0" borderId="0" xfId="2" applyFont="1" applyAlignment="1">
      <alignment vertical="center"/>
    </xf>
    <xf numFmtId="0" fontId="8" fillId="0" borderId="0" xfId="0" applyFont="1"/>
    <xf numFmtId="0" fontId="0" fillId="3" borderId="6" xfId="0" applyFill="1" applyBorder="1"/>
    <xf numFmtId="0" fontId="4" fillId="3" borderId="7" xfId="0" applyFont="1" applyFill="1" applyBorder="1" applyAlignment="1">
      <alignment horizontal="center" vertical="center" wrapText="1"/>
    </xf>
    <xf numFmtId="0" fontId="0" fillId="3" borderId="0" xfId="0" applyFill="1"/>
    <xf numFmtId="0" fontId="0" fillId="3" borderId="9" xfId="0" applyFill="1" applyBorder="1"/>
    <xf numFmtId="0" fontId="0" fillId="3" borderId="10" xfId="0" applyFill="1" applyBorder="1"/>
    <xf numFmtId="42" fontId="0" fillId="0" borderId="0" xfId="0" applyNumberFormat="1"/>
    <xf numFmtId="0" fontId="5" fillId="6" borderId="0" xfId="0" applyFont="1" applyFill="1" applyAlignment="1">
      <alignment vertical="center"/>
    </xf>
    <xf numFmtId="165" fontId="2" fillId="2" borderId="1" xfId="2" applyNumberFormat="1" applyFont="1" applyFill="1" applyBorder="1" applyAlignment="1">
      <alignment horizontal="center" vertical="center"/>
    </xf>
    <xf numFmtId="165" fontId="4" fillId="3" borderId="1" xfId="2" applyNumberFormat="1" applyFont="1" applyFill="1" applyBorder="1" applyAlignment="1">
      <alignment vertical="center"/>
    </xf>
    <xf numFmtId="165" fontId="0" fillId="5" borderId="0" xfId="2" applyNumberFormat="1" applyFont="1" applyFill="1"/>
    <xf numFmtId="165" fontId="0" fillId="0" borderId="5" xfId="2" applyNumberFormat="1" applyFont="1" applyBorder="1"/>
    <xf numFmtId="0" fontId="4" fillId="3" borderId="5" xfId="0" applyFont="1" applyFill="1" applyBorder="1" applyAlignment="1">
      <alignment vertical="center" wrapText="1"/>
    </xf>
    <xf numFmtId="0" fontId="9" fillId="3" borderId="1" xfId="0" applyFont="1" applyFill="1" applyBorder="1" applyAlignment="1">
      <alignment vertical="center" wrapText="1"/>
    </xf>
    <xf numFmtId="0" fontId="9" fillId="3" borderId="0" xfId="0" applyFont="1" applyFill="1" applyAlignment="1">
      <alignment vertical="center" wrapText="1"/>
    </xf>
    <xf numFmtId="0" fontId="10" fillId="7" borderId="1" xfId="0" applyFont="1" applyFill="1" applyBorder="1" applyAlignment="1">
      <alignment horizontal="center" vertical="center"/>
    </xf>
    <xf numFmtId="0" fontId="4" fillId="3" borderId="0" xfId="0" applyFont="1" applyFill="1" applyAlignment="1">
      <alignment horizontal="center" vertical="center" wrapText="1"/>
    </xf>
    <xf numFmtId="0" fontId="4" fillId="6" borderId="0" xfId="0" applyFont="1" applyFill="1" applyAlignment="1">
      <alignment vertical="center" wrapText="1"/>
    </xf>
    <xf numFmtId="0" fontId="11" fillId="8" borderId="0" xfId="0" applyFont="1" applyFill="1"/>
    <xf numFmtId="0" fontId="12" fillId="3" borderId="1" xfId="0" applyFont="1" applyFill="1" applyBorder="1" applyAlignment="1">
      <alignment horizontal="center" vertical="center"/>
    </xf>
    <xf numFmtId="44" fontId="0" fillId="3" borderId="4" xfId="0" applyNumberFormat="1" applyFill="1" applyBorder="1"/>
    <xf numFmtId="0" fontId="4" fillId="9" borderId="1" xfId="0" applyFont="1" applyFill="1" applyBorder="1" applyAlignment="1">
      <alignment horizontal="center" vertical="center"/>
    </xf>
    <xf numFmtId="0" fontId="0" fillId="0" borderId="0" xfId="0" applyAlignment="1">
      <alignment horizontal="center"/>
    </xf>
    <xf numFmtId="0" fontId="4" fillId="10" borderId="1" xfId="0" applyFont="1" applyFill="1" applyBorder="1" applyAlignment="1">
      <alignment horizontal="center" vertical="center"/>
    </xf>
    <xf numFmtId="0" fontId="4" fillId="3" borderId="5" xfId="0" applyFont="1" applyFill="1" applyBorder="1" applyAlignment="1">
      <alignment horizontal="center" vertical="center"/>
    </xf>
    <xf numFmtId="165" fontId="0" fillId="3" borderId="5" xfId="2" applyNumberFormat="1" applyFont="1" applyFill="1" applyBorder="1"/>
    <xf numFmtId="165" fontId="1" fillId="0" borderId="0" xfId="2" applyNumberFormat="1"/>
    <xf numFmtId="0" fontId="0" fillId="0" borderId="5" xfId="0" applyBorder="1" applyAlignment="1">
      <alignment wrapText="1"/>
    </xf>
    <xf numFmtId="0" fontId="0" fillId="0" borderId="0" xfId="0" applyAlignment="1">
      <alignment vertical="center"/>
    </xf>
    <xf numFmtId="165" fontId="0" fillId="0" borderId="0" xfId="2" applyNumberFormat="1" applyFont="1" applyAlignment="1">
      <alignment vertical="center"/>
    </xf>
    <xf numFmtId="49" fontId="0" fillId="3" borderId="1" xfId="0" applyNumberFormat="1" applyFill="1" applyBorder="1" applyAlignment="1">
      <alignment vertical="center"/>
    </xf>
    <xf numFmtId="0" fontId="4" fillId="0" borderId="11"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horizontal="center" vertical="center"/>
    </xf>
    <xf numFmtId="42" fontId="4" fillId="0" borderId="1" xfId="2" applyFont="1" applyBorder="1" applyAlignment="1">
      <alignment vertical="center"/>
    </xf>
    <xf numFmtId="44" fontId="4" fillId="0" borderId="1" xfId="1" applyFont="1" applyBorder="1" applyAlignment="1">
      <alignment vertical="center"/>
    </xf>
    <xf numFmtId="0" fontId="4" fillId="0" borderId="3" xfId="0" applyFont="1" applyBorder="1" applyAlignment="1">
      <alignment horizontal="center" vertical="center"/>
    </xf>
    <xf numFmtId="0" fontId="0" fillId="0" borderId="1" xfId="0" applyBorder="1"/>
    <xf numFmtId="9" fontId="4" fillId="0" borderId="1" xfId="0" applyNumberFormat="1" applyFont="1" applyBorder="1" applyAlignment="1">
      <alignment horizontal="center" vertical="center"/>
    </xf>
    <xf numFmtId="9" fontId="4" fillId="0" borderId="5" xfId="0" applyNumberFormat="1" applyFont="1" applyBorder="1" applyAlignment="1">
      <alignment horizontal="center" vertical="center"/>
    </xf>
    <xf numFmtId="0" fontId="4" fillId="0" borderId="5" xfId="0" applyFont="1" applyBorder="1" applyAlignment="1">
      <alignment vertical="center"/>
    </xf>
    <xf numFmtId="0" fontId="4" fillId="3" borderId="12" xfId="0" applyFont="1" applyFill="1" applyBorder="1" applyAlignment="1">
      <alignment vertical="center" wrapText="1"/>
    </xf>
    <xf numFmtId="0" fontId="4" fillId="0" borderId="11" xfId="0" applyFont="1" applyBorder="1" applyAlignment="1">
      <alignment vertical="center"/>
    </xf>
    <xf numFmtId="0" fontId="4"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wrapText="1"/>
    </xf>
    <xf numFmtId="42" fontId="14" fillId="0" borderId="1" xfId="2" applyFont="1" applyBorder="1" applyAlignment="1">
      <alignment vertical="center"/>
    </xf>
    <xf numFmtId="44" fontId="4" fillId="0" borderId="1" xfId="1" applyFont="1" applyBorder="1" applyAlignment="1">
      <alignment horizontal="center" vertical="center"/>
    </xf>
    <xf numFmtId="41" fontId="4" fillId="0" borderId="1" xfId="9" applyFont="1" applyBorder="1" applyAlignment="1">
      <alignment horizontal="center" vertical="center"/>
    </xf>
    <xf numFmtId="44" fontId="4" fillId="0" borderId="3" xfId="1" applyFont="1" applyBorder="1" applyAlignment="1">
      <alignment horizontal="center" vertical="center"/>
    </xf>
    <xf numFmtId="9" fontId="0" fillId="0" borderId="1" xfId="0" applyNumberFormat="1" applyBorder="1" applyAlignment="1">
      <alignment horizontal="center" vertical="center"/>
    </xf>
    <xf numFmtId="9" fontId="0" fillId="0" borderId="5" xfId="0" applyNumberForma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15" fillId="0" borderId="0" xfId="0" applyFont="1" applyAlignment="1">
      <alignment vertical="center"/>
    </xf>
    <xf numFmtId="0" fontId="4" fillId="3" borderId="0" xfId="0" applyFont="1" applyFill="1" applyAlignment="1">
      <alignment vertical="center"/>
    </xf>
    <xf numFmtId="0" fontId="4" fillId="3" borderId="1" xfId="0" applyFont="1" applyFill="1" applyBorder="1" applyAlignment="1">
      <alignment vertical="center"/>
    </xf>
    <xf numFmtId="9" fontId="4" fillId="3" borderId="1" xfId="0" applyNumberFormat="1" applyFont="1" applyFill="1" applyBorder="1" applyAlignment="1">
      <alignment vertical="center"/>
    </xf>
    <xf numFmtId="9" fontId="4" fillId="3" borderId="3" xfId="0" applyNumberFormat="1" applyFont="1" applyFill="1" applyBorder="1" applyAlignment="1">
      <alignment vertical="center"/>
    </xf>
    <xf numFmtId="0" fontId="0" fillId="11" borderId="0" xfId="0" applyFill="1"/>
    <xf numFmtId="9" fontId="4" fillId="3" borderId="8" xfId="0" applyNumberFormat="1" applyFont="1" applyFill="1" applyBorder="1" applyAlignment="1">
      <alignment horizontal="center" vertical="center"/>
    </xf>
    <xf numFmtId="9" fontId="4" fillId="3" borderId="12" xfId="0" applyNumberFormat="1" applyFont="1" applyFill="1" applyBorder="1" applyAlignment="1">
      <alignment horizontal="center" vertical="center"/>
    </xf>
    <xf numFmtId="0" fontId="0" fillId="0" borderId="0" xfId="0" applyAlignment="1">
      <alignment horizontal="center" vertical="center"/>
    </xf>
    <xf numFmtId="0" fontId="0" fillId="3" borderId="5" xfId="0" applyFill="1" applyBorder="1" applyAlignment="1">
      <alignment horizontal="center" vertical="center"/>
    </xf>
    <xf numFmtId="0" fontId="8" fillId="0" borderId="0" xfId="0" applyFont="1" applyAlignment="1">
      <alignment vertical="center"/>
    </xf>
    <xf numFmtId="0" fontId="5" fillId="3" borderId="0" xfId="0" applyFont="1" applyFill="1" applyAlignment="1">
      <alignment horizontal="center" vertical="center"/>
    </xf>
    <xf numFmtId="165" fontId="0" fillId="0" borderId="0" xfId="2" applyNumberFormat="1" applyFont="1" applyAlignment="1">
      <alignment horizontal="center" vertical="center"/>
    </xf>
    <xf numFmtId="49" fontId="0" fillId="3" borderId="1" xfId="0" applyNumberFormat="1" applyFill="1" applyBorder="1" applyAlignment="1">
      <alignment horizontal="center" vertical="center"/>
    </xf>
    <xf numFmtId="165" fontId="0" fillId="0" borderId="1" xfId="2" applyNumberFormat="1" applyFont="1" applyBorder="1"/>
    <xf numFmtId="0" fontId="0" fillId="0" borderId="1" xfId="0" applyBorder="1" applyAlignment="1">
      <alignment wrapText="1"/>
    </xf>
    <xf numFmtId="0" fontId="0" fillId="0" borderId="1" xfId="0" applyBorder="1" applyAlignment="1">
      <alignment vertical="center"/>
    </xf>
    <xf numFmtId="165" fontId="0" fillId="0" borderId="1" xfId="2" applyNumberFormat="1" applyFont="1" applyBorder="1" applyAlignment="1">
      <alignment vertical="center"/>
    </xf>
    <xf numFmtId="0" fontId="4" fillId="3" borderId="10" xfId="0" applyFont="1" applyFill="1" applyBorder="1" applyAlignment="1">
      <alignment horizontal="center" vertical="center"/>
    </xf>
    <xf numFmtId="0" fontId="4" fillId="3" borderId="0" xfId="0" applyFont="1" applyFill="1" applyAlignment="1">
      <alignment horizontal="center"/>
    </xf>
    <xf numFmtId="0" fontId="4" fillId="12" borderId="0" xfId="0" applyFont="1" applyFill="1" applyAlignment="1">
      <alignment horizontal="center" vertical="center"/>
    </xf>
    <xf numFmtId="0" fontId="0" fillId="0" borderId="0" xfId="0" applyAlignment="1">
      <alignment horizontal="left" vertical="center" wrapText="1"/>
    </xf>
    <xf numFmtId="42" fontId="7" fillId="0" borderId="0" xfId="10" applyNumberFormat="1"/>
    <xf numFmtId="166" fontId="4" fillId="3" borderId="1" xfId="2" applyNumberFormat="1" applyFont="1" applyFill="1" applyBorder="1" applyAlignment="1">
      <alignment vertical="center"/>
    </xf>
    <xf numFmtId="2" fontId="0" fillId="0" borderId="0" xfId="0" applyNumberFormat="1"/>
    <xf numFmtId="165" fontId="0" fillId="13" borderId="0" xfId="2" applyNumberFormat="1" applyFont="1" applyFill="1"/>
    <xf numFmtId="165" fontId="4" fillId="14" borderId="1" xfId="2" applyNumberFormat="1" applyFont="1" applyFill="1" applyBorder="1" applyAlignment="1">
      <alignment vertical="center"/>
    </xf>
    <xf numFmtId="0" fontId="0" fillId="3" borderId="5" xfId="0" applyFill="1" applyBorder="1" applyAlignment="1">
      <alignment wrapText="1"/>
    </xf>
    <xf numFmtId="44" fontId="4" fillId="3" borderId="8" xfId="1" applyFont="1" applyFill="1" applyBorder="1" applyAlignment="1">
      <alignment vertical="center"/>
    </xf>
    <xf numFmtId="9" fontId="0" fillId="0" borderId="0" xfId="0" applyNumberFormat="1"/>
    <xf numFmtId="9" fontId="4" fillId="3" borderId="12" xfId="0" applyNumberFormat="1" applyFont="1" applyFill="1" applyBorder="1" applyAlignment="1">
      <alignment vertical="center"/>
    </xf>
    <xf numFmtId="0" fontId="16" fillId="0" borderId="0" xfId="0" applyFont="1"/>
    <xf numFmtId="3" fontId="0" fillId="0" borderId="0" xfId="0" applyNumberFormat="1"/>
    <xf numFmtId="0" fontId="17" fillId="0" borderId="0" xfId="0" applyFont="1"/>
  </cellXfs>
  <cellStyles count="11">
    <cellStyle name="Hipervínculo" xfId="10" builtinId="8"/>
    <cellStyle name="Millares [0]" xfId="9" builtinId="6"/>
    <cellStyle name="Millares [0] 2" xfId="8" xr:uid="{00000000-0005-0000-0000-000008000000}"/>
    <cellStyle name="Moneda" xfId="1" builtinId="4"/>
    <cellStyle name="Moneda [0]" xfId="2" builtinId="7"/>
    <cellStyle name="Moneda [0] 2" xfId="4" xr:uid="{00000000-0005-0000-0000-000004000000}"/>
    <cellStyle name="Moneda [0] 2 2" xfId="6" xr:uid="{00000000-0005-0000-0000-000006000000}"/>
    <cellStyle name="Moneda [0] 3" xfId="7" xr:uid="{00000000-0005-0000-0000-000007000000}"/>
    <cellStyle name="Normal" xfId="0" builtinId="0"/>
    <cellStyle name="Normal 2" xfId="5" xr:uid="{00000000-0005-0000-0000-00000500000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homedepot.com/b/Electrical-Electrical-Boxes-Conduit-Fittings/Carlon/N-5yc1vZbm4mZ2dq" TargetMode="External"/><Relationship Id="rId671" Type="http://schemas.openxmlformats.org/officeDocument/2006/relationships/hyperlink" Target="http://www.homedepot.com/p/Carlon-2-Gang-25-cu-in-Non-Metallic-Old-Work-Switch-and-Outlet-Box-B225R-UPC/100404169" TargetMode="External"/><Relationship Id="rId769" Type="http://schemas.openxmlformats.org/officeDocument/2006/relationships/hyperlink" Target="http://www.homedepot.com/b/Electrical-Electrical-Boxes-Conduit-Fittings/Carlon/N-5yc1vZbm4mZ2dq" TargetMode="External"/><Relationship Id="rId21" Type="http://schemas.openxmlformats.org/officeDocument/2006/relationships/hyperlink" Target="https://www.amazon.com/dp/B00ECUWKIO/ref=sr_1_12_sspa?__mk_es_US=%C3%85M%C3%85%C5%BD%C3%95%C3%91&amp;dchild=1&amp;keywords=3.5+to+fm&amp;qid=1625093837&amp;sr=8-12-spons&amp;psc=1&amp;smid=A1L6FVPAS5W33&amp;spLa=ZW5jcnlwdGVkUXVhbGlmaWVyPUEyTkZLMDhaUVhQNkJDJmVuY3J5cHRlZElkPUEwMDU2MjE0MTZHTloxUEYwUjYxRyZlbmNyeXB0ZWRBZElkPUEwNjU3NjA2MVBGOVM4VFVBRFc3NSZ3aWRnZXROYW1lPXNwX210ZiZhY3Rpb249Y2xpY2tSZWRpcmVjdCZkb05vdExvZ0NsaWNrPXRydWU=" TargetMode="External"/><Relationship Id="rId324" Type="http://schemas.openxmlformats.org/officeDocument/2006/relationships/hyperlink" Target="http://www.homedepot.com/p/Carlon-2-Gang-25-cu-in-Non-Metallic-Old-Work-Switch-and-Outlet-Box-B225R-UPC/100404169" TargetMode="External"/><Relationship Id="rId531" Type="http://schemas.openxmlformats.org/officeDocument/2006/relationships/hyperlink" Target="https://www.homecontrols.com/NuVo-Handheld-Remote-Control-NVI8GRC1" TargetMode="External"/><Relationship Id="rId629" Type="http://schemas.openxmlformats.org/officeDocument/2006/relationships/hyperlink" Target="http://www.homedepot.com/b/Electrical-Electrical-Boxes-Conduit-Fittings/Carlon/N-5yc1vZbm4mZ2dq" TargetMode="External"/><Relationship Id="rId170" Type="http://schemas.openxmlformats.org/officeDocument/2006/relationships/hyperlink" Target="http://www.homedepot.com/p/Carlon-2-Gang-25-cu-in-Non-Metallic-Old-Work-Switch-and-Outlet-Box-B225R-UPC/100404169" TargetMode="External"/><Relationship Id="rId268" Type="http://schemas.openxmlformats.org/officeDocument/2006/relationships/hyperlink" Target="http://www.homedepot.com/p/Carlon-2-Gang-25-cu-in-Non-Metallic-Old-Work-Switch-and-Outlet-Box-B225R-UPC/100404169" TargetMode="External"/><Relationship Id="rId475" Type="http://schemas.openxmlformats.org/officeDocument/2006/relationships/hyperlink" Target="http://www.homedepot.com/p/Carlon-2-Gang-25-cu-in-Non-Metallic-Old-Work-Switch-and-Outlet-Box-B225R-UPC/100404169" TargetMode="External"/><Relationship Id="rId682" Type="http://schemas.openxmlformats.org/officeDocument/2006/relationships/hyperlink" Target="https://www.amazon.com/dp/B07T96DFXV/ref=sspa_dk_detail_4?pd_rd_i=B07T96DFXV&amp;pd_rd_w=XQgxa&amp;content-id=amzn1.sym.dd2c6db7-6626-466d-bf04-9570e69a7df0&amp;pf_rd_p=dd2c6db7-6626-466d-bf04-9570e69a7df0&amp;pf_rd_r=5T2ZD2XSWR9QWHFPZGNJ&amp;pd_rd_wg=N7z0D&amp;pd_rd_r=39192845-2f44-49b7-bde9-859f9a573041&amp;s=electronics&amp;sp_csd=d2lkZ2V0TmFtZT1zcF9kZXRhaWxfdGhlbWF0aWM&amp;th=1" TargetMode="External"/><Relationship Id="rId32" Type="http://schemas.openxmlformats.org/officeDocument/2006/relationships/hyperlink" Target="https://es.aliexpress.com/item/33001741834.html?spm=a2g0o.productlist.0.0.6b0443324HbpFL&amp;algo_pvid=72334a79-574d-4bcb-a4e4-fc9578d0d9a9&amp;algo_expid=72334a79-574d-4bcb-a4e4-fc9578d0d9a9-17&amp;btsid=0ab6d69f15859309592238381e5c82&amp;ws_ab_test=searchweb0_0,searchweb201602_,searchweb201603_" TargetMode="External"/><Relationship Id="rId128" Type="http://schemas.openxmlformats.org/officeDocument/2006/relationships/hyperlink" Target="http://www.homedepot.com/p/Carlon-2-Gang-25-cu-in-Non-Metallic-Old-Work-Switch-and-Outlet-Box-B225R-UPC/100404169" TargetMode="External"/><Relationship Id="rId335" Type="http://schemas.openxmlformats.org/officeDocument/2006/relationships/hyperlink" Target="http://www.homedepot.com/p/Carlon-2-Gang-25-cu-in-Non-Metallic-Old-Work-Switch-and-Outlet-Box-B225R-UPC/100404169" TargetMode="External"/><Relationship Id="rId542" Type="http://schemas.openxmlformats.org/officeDocument/2006/relationships/hyperlink" Target="https://www.amazon.com/-/es/ELECTRIC-B90-Balasto-Fluorescente-Emergencia/dp/B006IU6XBQ/ref=sr_1_24?__mk_es_US=%C3%85M%C3%85%C5%BD%C3%95%C3%91&amp;dchild=1&amp;keywords=bodine&amp;qid=1614903025&amp;s=hi&amp;sr=1-24" TargetMode="External"/><Relationship Id="rId181" Type="http://schemas.openxmlformats.org/officeDocument/2006/relationships/hyperlink" Target="http://www.homedepot.com/b/Electrical-Electrical-Boxes-Conduit-Fittings/Carlon/N-5yc1vZbm4mZ2dq" TargetMode="External"/><Relationship Id="rId402" Type="http://schemas.openxmlformats.org/officeDocument/2006/relationships/hyperlink" Target="http://www.homedepot.com/b/Electrical-Electrical-Boxes-Conduit-Fittings/Carlon/N-5yc1vZbm4mZ2dq" TargetMode="External"/><Relationship Id="rId279" Type="http://schemas.openxmlformats.org/officeDocument/2006/relationships/hyperlink" Target="http://www.homedepot.com/b/Electrical-Electrical-Boxes-Conduit-Fittings/Carlon/N-5yc1vZbm4mZ2dq" TargetMode="External"/><Relationship Id="rId486" Type="http://schemas.openxmlformats.org/officeDocument/2006/relationships/hyperlink" Target="http://www.homedepot.com/p/Carlon-2-Gang-25-cu-in-Non-Metallic-Old-Work-Switch-and-Outlet-Box-B225R-UPC/100404169" TargetMode="External"/><Relationship Id="rId693" Type="http://schemas.openxmlformats.org/officeDocument/2006/relationships/hyperlink" Target="https://www.amazon.com/Krisdonia-Cargador-port%C3%A1til-aprobado-proyector/dp/B07R8Y24PB/ref=sr_1_2_sspa?__mk_es_US=%C3%85M%C3%85%C5%BD%C3%95%C3%91&amp;crid=TS5PPZUZHNPO&amp;keywords=battery%2B120vac&amp;qid=1700088510&amp;sprefix=baterry%2B120va%2Caps%2C307&amp;sr=8-2-spons&amp;ufe=app_do%3Aamzn1.fos.17d9e15d-4e43-4581-b373-0e5c1a776d5d&amp;sp_csd=d2lkZ2V0TmFtZT1zcF9hdGY&amp;th=1" TargetMode="External"/><Relationship Id="rId707" Type="http://schemas.openxmlformats.org/officeDocument/2006/relationships/hyperlink" Target="https://es.aliexpress.com/item/1005003489640882.html?spm=a2g0o.productlist.main.31.2f996f57tLaLgG&amp;algo_pvid=977da720-5dea-4d6d-8126-30b2442d1f16&amp;algo_exp_id=977da720-5dea-4d6d-8126-30b2442d1f16-15&amp;pdp_npi=4%40dis%21COP%21497257.20%21198902.88%21%21%21125.00%2150.00%21%402101ef8717154053030196780e0fed%2112000026199011857%21sea%21CO%210%21AB&amp;curPageLogUid=F3NgrpaL8LJL&amp;utparam-url=scene%3Asearch%7Cquery_from%3A" TargetMode="External"/><Relationship Id="rId43" Type="http://schemas.openxmlformats.org/officeDocument/2006/relationships/hyperlink" Target="http://www.homedepot.com/p/Carlon-2-Gang-25-cu-in-Non-Metallic-Old-Work-Switch-and-Outlet-Box-B225R-UPC/100404169" TargetMode="External"/><Relationship Id="rId139" Type="http://schemas.openxmlformats.org/officeDocument/2006/relationships/hyperlink" Target="http://www.homedepot.com/b/Electrical-Electrical-Boxes-Conduit-Fittings/Carlon/N-5yc1vZbm4mZ2dq" TargetMode="External"/><Relationship Id="rId346" Type="http://schemas.openxmlformats.org/officeDocument/2006/relationships/hyperlink" Target="http://www.homedepot.com/b/Electrical-Electrical-Boxes-Conduit-Fittings/Carlon/N-5yc1vZbm4mZ2dq" TargetMode="External"/><Relationship Id="rId553" Type="http://schemas.openxmlformats.org/officeDocument/2006/relationships/hyperlink" Target="https://www.amazon.com/-/es/QWERTOUY-convertidor-adaptador-auriculares-escritorio/dp/B0834XQJ1B/ref=sr_1_11?__mk_es_US=%C3%85M%C3%85%C5%BD%C3%95%C3%91&amp;dchild=1&amp;keywords=usb+audio&amp;qid=1625093038&amp;sr=8-11" TargetMode="External"/><Relationship Id="rId760" Type="http://schemas.openxmlformats.org/officeDocument/2006/relationships/hyperlink" Target="http://www.homedepot.com/b/Electrical-Electrical-Boxes-Conduit-Fittings/Carlon/N-5yc1vZbm4mZ2dq" TargetMode="External"/><Relationship Id="rId192" Type="http://schemas.openxmlformats.org/officeDocument/2006/relationships/hyperlink" Target="http://www.homedepot.com/p/Carlon-2-Gang-25-cu-in-Non-Metallic-Old-Work-Switch-and-Outlet-Box-B225R-UPC/100404169" TargetMode="External"/><Relationship Id="rId206" Type="http://schemas.openxmlformats.org/officeDocument/2006/relationships/hyperlink" Target="http://www.homedepot.com/p/Carlon-2-Gang-25-cu-in-Non-Metallic-Old-Work-Switch-and-Outlet-Box-B225R-UPC/100404169" TargetMode="External"/><Relationship Id="rId413" Type="http://schemas.openxmlformats.org/officeDocument/2006/relationships/hyperlink" Target="http://www.homedepot.com/p/Carlon-2-Gang-25-cu-in-Non-Metallic-Old-Work-Switch-and-Outlet-Box-B225R-UPC/100404169" TargetMode="External"/><Relationship Id="rId497" Type="http://schemas.openxmlformats.org/officeDocument/2006/relationships/hyperlink" Target="http://www.homedepot.com/p/Carlon-2-Gang-25-cu-in-Non-Metallic-Old-Work-Switch-and-Outlet-Box-B225R-UPC/100404169" TargetMode="External"/><Relationship Id="rId620" Type="http://schemas.openxmlformats.org/officeDocument/2006/relationships/hyperlink" Target="http://www.homedepot.com/p/Carlon-2-Gang-25-cu-in-Non-Metallic-Old-Work-Switch-and-Outlet-Box-B225R-UPC/100404169" TargetMode="External"/><Relationship Id="rId718" Type="http://schemas.openxmlformats.org/officeDocument/2006/relationships/hyperlink" Target="https://es.aliexpress.com/item/33014906654.html?spm=a2g0o.productlist.main.11.7f87AJdrAJdrDQ&amp;algo_pvid=ab673f4a-cd76-4793-81ff-2eaf3cf66d27&amp;algo_exp_id=ab673f4a-cd76-4793-81ff-2eaf3cf66d27-5&amp;pdp_npi=4%40dis%21COP%21710259.68%21710259.68%21%21%21167.70%21167.70%21%402101e07217183371594981262eb60d%2112000033847103717%21sea%21CO%210%21AB&amp;curPageLogUid=vgl1TxzUn44d&amp;utparam-url=scene%3Asearch%7Cquery_from%3A" TargetMode="External"/><Relationship Id="rId357" Type="http://schemas.openxmlformats.org/officeDocument/2006/relationships/hyperlink" Target="http://www.homedepot.com/p/Carlon-2-Gang-25-cu-in-Non-Metallic-Old-Work-Switch-and-Outlet-Box-B225R-UPC/100404169" TargetMode="External"/><Relationship Id="rId54" Type="http://schemas.openxmlformats.org/officeDocument/2006/relationships/hyperlink" Target="http://www.homedepot.com/p/Carlon-2-Gang-25-cu-in-Non-Metallic-Old-Work-Switch-and-Outlet-Box-B225R-UPC/100404169" TargetMode="External"/><Relationship Id="rId217" Type="http://schemas.openxmlformats.org/officeDocument/2006/relationships/hyperlink" Target="http://www.homedepot.com/b/Electrical-Electrical-Boxes-Conduit-Fittings/Carlon/N-5yc1vZbm4mZ2dq" TargetMode="External"/><Relationship Id="rId564" Type="http://schemas.openxmlformats.org/officeDocument/2006/relationships/hyperlink" Target="https://articulo.mercadolibre.com.co/MCO-515708370-extension-usb-activa-20-metros-sin-perdida-de-senal-calidad-_JM" TargetMode="External"/><Relationship Id="rId771" Type="http://schemas.openxmlformats.org/officeDocument/2006/relationships/hyperlink" Target="http://www.homedepot.com/b/Electrical-Electrical-Boxes-Conduit-Fittings/Carlon/N-5yc1vZbm4mZ2dq" TargetMode="External"/><Relationship Id="rId424" Type="http://schemas.openxmlformats.org/officeDocument/2006/relationships/hyperlink" Target="http://www.homedepot.com/b/Electrical-Electrical-Boxes-Conduit-Fittings/Carlon/N-5yc1vZbm4mZ2dq" TargetMode="External"/><Relationship Id="rId631" Type="http://schemas.openxmlformats.org/officeDocument/2006/relationships/hyperlink" Target="http://www.homedepot.com/b/Electrical-Electrical-Boxes-Conduit-Fittings/Carlon/N-5yc1vZbm4mZ2dq" TargetMode="External"/><Relationship Id="rId729" Type="http://schemas.openxmlformats.org/officeDocument/2006/relationships/hyperlink" Target="https://www.alconlighting.com/14127-tf-8.html" TargetMode="External"/><Relationship Id="rId270" Type="http://schemas.openxmlformats.org/officeDocument/2006/relationships/hyperlink" Target="http://www.homedepot.com/p/Carlon-2-Gang-25-cu-in-Non-Metallic-Old-Work-Switch-and-Outlet-Box-B225R-UPC/100404169" TargetMode="External"/><Relationship Id="rId65" Type="http://schemas.openxmlformats.org/officeDocument/2006/relationships/hyperlink" Target="http://www.homedepot.com/p/Carlon-2-Gang-25-cu-in-Non-Metallic-Old-Work-Switch-and-Outlet-Box-B225R-UPC/100404169" TargetMode="External"/><Relationship Id="rId130" Type="http://schemas.openxmlformats.org/officeDocument/2006/relationships/hyperlink" Target="http://www.homedepot.com/p/Carlon-2-Gang-25-cu-in-Non-Metallic-Old-Work-Switch-and-Outlet-Box-B225R-UPC/100404169" TargetMode="External"/><Relationship Id="rId368" Type="http://schemas.openxmlformats.org/officeDocument/2006/relationships/hyperlink" Target="http://www.homedepot.com/b/Electrical-Electrical-Boxes-Conduit-Fittings/Carlon/N-5yc1vZbm4mZ2dq" TargetMode="External"/><Relationship Id="rId575" Type="http://schemas.openxmlformats.org/officeDocument/2006/relationships/hyperlink" Target="http://www.homedepot.com/p/Carlon-2-Gang-25-cu-in-Non-Metallic-Old-Work-Switch-and-Outlet-Box-B225R-UPC/100404169" TargetMode="External"/><Relationship Id="rId782" Type="http://schemas.openxmlformats.org/officeDocument/2006/relationships/printerSettings" Target="../printerSettings/printerSettings1.bin"/><Relationship Id="rId228" Type="http://schemas.openxmlformats.org/officeDocument/2006/relationships/hyperlink" Target="http://www.homedepot.com/p/Carlon-2-Gang-25-cu-in-Non-Metallic-Old-Work-Switch-and-Outlet-Box-B225R-UPC/100404169" TargetMode="External"/><Relationship Id="rId435" Type="http://schemas.openxmlformats.org/officeDocument/2006/relationships/hyperlink" Target="http://www.homedepot.com/p/Carlon-2-Gang-25-cu-in-Non-Metallic-Old-Work-Switch-and-Outlet-Box-B225R-UPC/100404169" TargetMode="External"/><Relationship Id="rId642" Type="http://schemas.openxmlformats.org/officeDocument/2006/relationships/hyperlink" Target="http://www.homedepot.com/p/Carlon-2-Gang-25-cu-in-Non-Metallic-Old-Work-Switch-and-Outlet-Box-B225R-UPC/100404169" TargetMode="External"/><Relationship Id="rId281" Type="http://schemas.openxmlformats.org/officeDocument/2006/relationships/hyperlink" Target="http://www.homedepot.com/b/Electrical-Electrical-Boxes-Conduit-Fittings/Carlon/N-5yc1vZbm4mZ2dq" TargetMode="External"/><Relationship Id="rId502" Type="http://schemas.openxmlformats.org/officeDocument/2006/relationships/hyperlink" Target="http://www.homedepot.com/p/Carlon-2-Gang-25-cu-in-Non-Metallic-Old-Work-Switch-and-Outlet-Box-B225R-UPC/100404169" TargetMode="External"/><Relationship Id="rId76" Type="http://schemas.openxmlformats.org/officeDocument/2006/relationships/hyperlink" Target="http://www.homedepot.com/p/Carlon-2-Gang-25-cu-in-Non-Metallic-Old-Work-Switch-and-Outlet-Box-B225R-UPC/100404169" TargetMode="External"/><Relationship Id="rId141" Type="http://schemas.openxmlformats.org/officeDocument/2006/relationships/hyperlink" Target="http://www.homedepot.com/b/Electrical-Electrical-Boxes-Conduit-Fittings/Carlon/N-5yc1vZbm4mZ2dq" TargetMode="External"/><Relationship Id="rId379" Type="http://schemas.openxmlformats.org/officeDocument/2006/relationships/hyperlink" Target="http://www.homedepot.com/p/Carlon-2-Gang-25-cu-in-Non-Metallic-Old-Work-Switch-and-Outlet-Box-B225R-UPC/100404169" TargetMode="External"/><Relationship Id="rId586" Type="http://schemas.openxmlformats.org/officeDocument/2006/relationships/hyperlink" Target="http://www.homedepot.com/p/Carlon-2-Gang-25-cu-in-Non-Metallic-Old-Work-Switch-and-Outlet-Box-B225R-UPC/100404169" TargetMode="External"/><Relationship Id="rId7" Type="http://schemas.openxmlformats.org/officeDocument/2006/relationships/hyperlink" Target="https://microcell.co/videoproyectores-epson/1969-video-proyector-epson-power-lite-1980wu-4-400-lumens-wuxga-19200x1200-1080p.html" TargetMode="External"/><Relationship Id="rId239" Type="http://schemas.openxmlformats.org/officeDocument/2006/relationships/hyperlink" Target="http://www.homedepot.com/b/Electrical-Electrical-Boxes-Conduit-Fittings/Carlon/N-5yc1vZbm4mZ2dq" TargetMode="External"/><Relationship Id="rId446" Type="http://schemas.openxmlformats.org/officeDocument/2006/relationships/hyperlink" Target="http://www.homedepot.com/b/Electrical-Electrical-Boxes-Conduit-Fittings/Carlon/N-5yc1vZbm4mZ2dq" TargetMode="External"/><Relationship Id="rId653" Type="http://schemas.openxmlformats.org/officeDocument/2006/relationships/hyperlink" Target="http://www.homedepot.com/b/Electrical-Electrical-Boxes-Conduit-Fittings/Carlon/N-5yc1vZbm4mZ2dq" TargetMode="External"/><Relationship Id="rId292" Type="http://schemas.openxmlformats.org/officeDocument/2006/relationships/hyperlink" Target="http://www.homedepot.com/p/Carlon-2-Gang-25-cu-in-Non-Metallic-Old-Work-Switch-and-Outlet-Box-B225R-UPC/100404169" TargetMode="External"/><Relationship Id="rId306" Type="http://schemas.openxmlformats.org/officeDocument/2006/relationships/hyperlink" Target="http://www.homedepot.com/p/Carlon-2-Gang-25-cu-in-Non-Metallic-Old-Work-Switch-and-Outlet-Box-B225R-UPC/100404169" TargetMode="External"/><Relationship Id="rId87" Type="http://schemas.openxmlformats.org/officeDocument/2006/relationships/hyperlink" Target="https://www.amazon.com/8218G-Wireless-ANDROID-Security-System/dp/B01M5CCQXD/ref=sr_1_2?ie=UTF8&amp;qid=1541387304&amp;sr=8-2&amp;keywords=8218g" TargetMode="External"/><Relationship Id="rId513" Type="http://schemas.openxmlformats.org/officeDocument/2006/relationships/hyperlink" Target="http://www.homedepot.com/p/Carlon-2-Gang-25-cu-in-Non-Metallic-Old-Work-Switch-and-Outlet-Box-B225R-UPC/100404169" TargetMode="External"/><Relationship Id="rId597" Type="http://schemas.openxmlformats.org/officeDocument/2006/relationships/hyperlink" Target="http://www.homedepot.com/p/Carlon-2-Gang-25-cu-in-Non-Metallic-Old-Work-Switch-and-Outlet-Box-B225R-UPC/100404169" TargetMode="External"/><Relationship Id="rId720" Type="http://schemas.openxmlformats.org/officeDocument/2006/relationships/hyperlink" Target="https://articulo.mercadolibre.com.co/MCO-596295617-reata-poliester-rollo-50-metros-x-38cms-_JM?variation=69444547782" TargetMode="External"/><Relationship Id="rId152" Type="http://schemas.openxmlformats.org/officeDocument/2006/relationships/hyperlink" Target="http://www.homedepot.com/p/Carlon-2-Gang-25-cu-in-Non-Metallic-Old-Work-Switch-and-Outlet-Box-B225R-UPC/100404169" TargetMode="External"/><Relationship Id="rId457" Type="http://schemas.openxmlformats.org/officeDocument/2006/relationships/hyperlink" Target="http://www.homedepot.com/p/Carlon-2-Gang-25-cu-in-Non-Metallic-Old-Work-Switch-and-Outlet-Box-B225R-UPC/100404169" TargetMode="External"/><Relationship Id="rId664" Type="http://schemas.openxmlformats.org/officeDocument/2006/relationships/hyperlink" Target="http://www.homedepot.com/b/Electrical-Electrical-Boxes-Conduit-Fittings/Carlon/N-5yc1vZbm4mZ2dq" TargetMode="External"/><Relationship Id="rId14" Type="http://schemas.openxmlformats.org/officeDocument/2006/relationships/hyperlink" Target="https://microcell.co/videoproyectores-epson/1969-video-proyector-epson-power-lite-1980wu-4-400-lumens-wuxga-19200x1200-1080p.html" TargetMode="External"/><Relationship Id="rId317" Type="http://schemas.openxmlformats.org/officeDocument/2006/relationships/hyperlink" Target="http://www.homedepot.com/b/Electrical-Electrical-Boxes-Conduit-Fittings/Carlon/N-5yc1vZbm4mZ2dq" TargetMode="External"/><Relationship Id="rId524" Type="http://schemas.openxmlformats.org/officeDocument/2006/relationships/hyperlink" Target="http://www.homedepot.com/p/Carlon-2-Gang-25-cu-in-Non-Metallic-Old-Work-Switch-and-Outlet-Box-B225R-UPC/100404169" TargetMode="External"/><Relationship Id="rId731" Type="http://schemas.openxmlformats.org/officeDocument/2006/relationships/hyperlink" Target="https://www.fervicom.com/producto/r1010-perfil-de-aluminio-difusor-opal/" TargetMode="External"/><Relationship Id="rId98" Type="http://schemas.openxmlformats.org/officeDocument/2006/relationships/hyperlink" Target="http://www.homedepot.com/p/Carlon-2-Gang-25-cu-in-Non-Metallic-Old-Work-Switch-and-Outlet-Box-B225R-UPC/100404169" TargetMode="External"/><Relationship Id="rId163" Type="http://schemas.openxmlformats.org/officeDocument/2006/relationships/hyperlink" Target="http://www.homedepot.com/b/Electrical-Electrical-Boxes-Conduit-Fittings/Carlon/N-5yc1vZbm4mZ2dq" TargetMode="External"/><Relationship Id="rId370" Type="http://schemas.openxmlformats.org/officeDocument/2006/relationships/hyperlink" Target="http://www.homedepot.com/b/Electrical-Electrical-Boxes-Conduit-Fittings/Carlon/N-5yc1vZbm4mZ2dq" TargetMode="External"/><Relationship Id="rId230" Type="http://schemas.openxmlformats.org/officeDocument/2006/relationships/hyperlink" Target="http://www.homedepot.com/p/Carlon-2-Gang-25-cu-in-Non-Metallic-Old-Work-Switch-and-Outlet-Box-B225R-UPC/100404169" TargetMode="External"/><Relationship Id="rId468" Type="http://schemas.openxmlformats.org/officeDocument/2006/relationships/hyperlink" Target="http://www.homedepot.com/b/Electrical-Electrical-Boxes-Conduit-Fittings/Carlon/N-5yc1vZbm4mZ2dq" TargetMode="External"/><Relationship Id="rId675" Type="http://schemas.openxmlformats.org/officeDocument/2006/relationships/hyperlink" Target="http://www.homedepot.com/p/Carlon-2-Gang-25-cu-in-Non-Metallic-Old-Work-Switch-and-Outlet-Box-B225R-UPC/100404169" TargetMode="External"/><Relationship Id="rId25" Type="http://schemas.openxmlformats.org/officeDocument/2006/relationships/hyperlink" Target="http://www.homedepot.com/p/Carlon-2-Gang-25-cu-in-Non-Metallic-Old-Work-Switch-and-Outlet-Box-B225R-UPC/100404169" TargetMode="External"/><Relationship Id="rId328" Type="http://schemas.openxmlformats.org/officeDocument/2006/relationships/hyperlink" Target="http://www.homedepot.com/b/Electrical-Electrical-Boxes-Conduit-Fittings/Carlon/N-5yc1vZbm4mZ2dq" TargetMode="External"/><Relationship Id="rId535" Type="http://schemas.openxmlformats.org/officeDocument/2006/relationships/hyperlink" Target="http://www.homedepot.com/p/Carlon-2-Gang-25-cu-in-Non-Metallic-Old-Work-Switch-and-Outlet-Box-B225R-UPC/100404169" TargetMode="External"/><Relationship Id="rId742" Type="http://schemas.openxmlformats.org/officeDocument/2006/relationships/hyperlink" Target="http://www.homedepot.com/b/Electrical-Electrical-Boxes-Conduit-Fittings/Carlon/N-5yc1vZbm4mZ2dq" TargetMode="External"/><Relationship Id="rId174" Type="http://schemas.openxmlformats.org/officeDocument/2006/relationships/hyperlink" Target="http://www.homedepot.com/p/Carlon-2-Gang-25-cu-in-Non-Metallic-Old-Work-Switch-and-Outlet-Box-B225R-UPC/100404169" TargetMode="External"/><Relationship Id="rId381" Type="http://schemas.openxmlformats.org/officeDocument/2006/relationships/hyperlink" Target="http://www.homedepot.com/p/Carlon-2-Gang-25-cu-in-Non-Metallic-Old-Work-Switch-and-Outlet-Box-B225R-UPC/100404169" TargetMode="External"/><Relationship Id="rId602" Type="http://schemas.openxmlformats.org/officeDocument/2006/relationships/hyperlink" Target="http://www.homedepot.com/p/Carlon-2-Gang-25-cu-in-Non-Metallic-Old-Work-Switch-and-Outlet-Box-B225R-UPC/100404169" TargetMode="External"/><Relationship Id="rId241" Type="http://schemas.openxmlformats.org/officeDocument/2006/relationships/hyperlink" Target="http://www.homedepot.com/b/Electrical-Electrical-Boxes-Conduit-Fittings/Carlon/N-5yc1vZbm4mZ2dq" TargetMode="External"/><Relationship Id="rId479" Type="http://schemas.openxmlformats.org/officeDocument/2006/relationships/hyperlink" Target="http://www.homedepot.com/b/Electrical-Electrical-Boxes-Conduit-Fittings/Carlon/N-5yc1vZbm4mZ2dq" TargetMode="External"/><Relationship Id="rId686" Type="http://schemas.openxmlformats.org/officeDocument/2006/relationships/hyperlink" Target="https://www.amazon.com/-/es/dp/B07Z4PZMLP/ref=sr_1_2?__mk_es_US=%C3%85M%C3%85%C5%BD%C3%95%C3%91&amp;keywords=rs232+2x2+matrix&amp;qid=1582722672&amp;sr=8-2" TargetMode="External"/><Relationship Id="rId36" Type="http://schemas.openxmlformats.org/officeDocument/2006/relationships/hyperlink" Target="http://www.homedepot.com/p/Carlon-2-Gang-25-cu-in-Non-Metallic-Old-Work-Switch-and-Outlet-Box-B225R-UPC/100404169" TargetMode="External"/><Relationship Id="rId339" Type="http://schemas.openxmlformats.org/officeDocument/2006/relationships/hyperlink" Target="http://www.homedepot.com/p/Carlon-2-Gang-25-cu-in-Non-Metallic-Old-Work-Switch-and-Outlet-Box-B225R-UPC/100404169" TargetMode="External"/><Relationship Id="rId546" Type="http://schemas.openxmlformats.org/officeDocument/2006/relationships/hyperlink" Target="http://www.homedepot.com/p/Carlon-2-Gang-25-cu-in-Non-Metallic-Old-Work-Switch-and-Outlet-Box-B225R-UPC/100404169" TargetMode="External"/><Relationship Id="rId753" Type="http://schemas.openxmlformats.org/officeDocument/2006/relationships/hyperlink" Target="http://www.homedepot.com/b/Electrical-Electrical-Boxes-Conduit-Fittings/Carlon/N-5yc1vZbm4mZ2dq" TargetMode="External"/><Relationship Id="rId101" Type="http://schemas.openxmlformats.org/officeDocument/2006/relationships/hyperlink" Target="http://www.homedepot.com/p/Carlon-2-Gang-25-cu-in-Non-Metallic-Old-Work-Switch-and-Outlet-Box-B225R-UPC/100404169" TargetMode="External"/><Relationship Id="rId185" Type="http://schemas.openxmlformats.org/officeDocument/2006/relationships/hyperlink" Target="http://www.homedepot.com/b/Electrical-Electrical-Boxes-Conduit-Fittings/Carlon/N-5yc1vZbm4mZ2dq" TargetMode="External"/><Relationship Id="rId406" Type="http://schemas.openxmlformats.org/officeDocument/2006/relationships/hyperlink" Target="http://www.homedepot.com/b/Electrical-Electrical-Boxes-Conduit-Fittings/Carlon/N-5yc1vZbm4mZ2dq" TargetMode="External"/><Relationship Id="rId392" Type="http://schemas.openxmlformats.org/officeDocument/2006/relationships/hyperlink" Target="http://www.homedepot.com/b/Electrical-Electrical-Boxes-Conduit-Fittings/Carlon/N-5yc1vZbm4mZ2dq" TargetMode="External"/><Relationship Id="rId613" Type="http://schemas.openxmlformats.org/officeDocument/2006/relationships/hyperlink" Target="http://www.homedepot.com/b/Electrical-Electrical-Boxes-Conduit-Fittings/Carlon/N-5yc1vZbm4mZ2dq" TargetMode="External"/><Relationship Id="rId697" Type="http://schemas.openxmlformats.org/officeDocument/2006/relationships/hyperlink" Target="https://es.aliexpress.com/item/1005003419463126.html?spm=a2g0o.productlist.main.69.4898432bjJI1aB&amp;algo_pvid=8f360d0d-0a2a-4b00-ba24-0ceb893ffa48&amp;aem_p4p_detail=202402182004141404288060961260012224689&amp;algo_exp_id=8f360d0d-0a2a-4b00-ba24-0ceb893ffa48-34&amp;pdp_npi=4%40dis%21COP%21793227.34%21412480.43%21%21%211433.80%21745.58%21%402103254117083154541666579e493d%2112000025705015206%21sea%21CO%210%21AB&amp;curPageLogUid=XBGoZZY5ZLsH&amp;utparam-url=scene%3Asearch%7Cquery_from%3A&amp;search_p4p_id=202402182004141404288060961260012224689_15" TargetMode="External"/><Relationship Id="rId252" Type="http://schemas.openxmlformats.org/officeDocument/2006/relationships/hyperlink" Target="http://www.homedepot.com/p/Carlon-2-Gang-25-cu-in-Non-Metallic-Old-Work-Switch-and-Outlet-Box-B225R-UPC/100404169" TargetMode="External"/><Relationship Id="rId47" Type="http://schemas.openxmlformats.org/officeDocument/2006/relationships/hyperlink" Target="https://www.amazon.com/-/es/eufy-interiores-compatibilidad-seguimiento-movimiento/dp/B0856W45VL/ref=sr_1_4?__mk_es_US=%C3%85M%C3%85%C5%BD%C3%95%C3%91&amp;dchild=1&amp;keywords=ptz+camera+track&amp;qid=1607602283&amp;refinements=p_72%3A1248879011%2Cp_n_feature_ten_browse-bin%3A21289011011&amp;rnid=21288994011&amp;s=photo&amp;sr=1-4" TargetMode="External"/><Relationship Id="rId112" Type="http://schemas.openxmlformats.org/officeDocument/2006/relationships/hyperlink" Target="http://www.homedepot.com/p/Carlon-2-Gang-25-cu-in-Non-Metallic-Old-Work-Switch-and-Outlet-Box-B225R-UPC/100404169" TargetMode="External"/><Relationship Id="rId557" Type="http://schemas.openxmlformats.org/officeDocument/2006/relationships/hyperlink" Target="https://www.amazon.com/-/es/riteav-Puerto-subwoofer-decorativos-Blanco/dp/B00F6O922W/ref=sr_1_11?__mk_es_US=%C3%85M%C3%85%C5%BD%C3%95%C3%91&amp;crid=1IE5HM9QFSKWT&amp;dchild=1&amp;keywords=subwoofer+plate&amp;qid=1628504599&amp;sprefix=placa+pared+subwoofer%2Caps%2C262&amp;sr=8-11" TargetMode="External"/><Relationship Id="rId764" Type="http://schemas.openxmlformats.org/officeDocument/2006/relationships/hyperlink" Target="http://www.homedepot.com/b/Electrical-Electrical-Boxes-Conduit-Fittings/Carlon/N-5yc1vZbm4mZ2dq" TargetMode="External"/><Relationship Id="rId196" Type="http://schemas.openxmlformats.org/officeDocument/2006/relationships/hyperlink" Target="http://www.homedepot.com/p/Carlon-2-Gang-25-cu-in-Non-Metallic-Old-Work-Switch-and-Outlet-Box-B225R-UPC/100404169" TargetMode="External"/><Relationship Id="rId417" Type="http://schemas.openxmlformats.org/officeDocument/2006/relationships/hyperlink" Target="http://www.homedepot.com/p/Carlon-2-Gang-25-cu-in-Non-Metallic-Old-Work-Switch-and-Outlet-Box-B225R-UPC/100404169" TargetMode="External"/><Relationship Id="rId624" Type="http://schemas.openxmlformats.org/officeDocument/2006/relationships/hyperlink" Target="http://www.homedepot.com/p/Carlon-2-Gang-25-cu-in-Non-Metallic-Old-Work-Switch-and-Outlet-Box-B225R-UPC/100404169" TargetMode="External"/><Relationship Id="rId263" Type="http://schemas.openxmlformats.org/officeDocument/2006/relationships/hyperlink" Target="http://www.homedepot.com/b/Electrical-Electrical-Boxes-Conduit-Fittings/Carlon/N-5yc1vZbm4mZ2dq" TargetMode="External"/><Relationship Id="rId470" Type="http://schemas.openxmlformats.org/officeDocument/2006/relationships/hyperlink" Target="http://www.homedepot.com/b/Electrical-Electrical-Boxes-Conduit-Fittings/Carlon/N-5yc1vZbm4mZ2dq" TargetMode="External"/><Relationship Id="rId58" Type="http://schemas.openxmlformats.org/officeDocument/2006/relationships/hyperlink" Target="http://www.homedepot.com/p/Carlon-2-Gang-25-cu-in-Non-Metallic-Old-Work-Switch-and-Outlet-Box-B225R-UPC/100404169" TargetMode="External"/><Relationship Id="rId123" Type="http://schemas.openxmlformats.org/officeDocument/2006/relationships/hyperlink" Target="http://www.homedepot.com/b/Electrical-Electrical-Boxes-Conduit-Fittings/Carlon/N-5yc1vZbm4mZ2dq" TargetMode="External"/><Relationship Id="rId330" Type="http://schemas.openxmlformats.org/officeDocument/2006/relationships/hyperlink" Target="http://www.homedepot.com/b/Electrical-Electrical-Boxes-Conduit-Fittings/Carlon/N-5yc1vZbm4mZ2dq" TargetMode="External"/><Relationship Id="rId568" Type="http://schemas.openxmlformats.org/officeDocument/2006/relationships/hyperlink" Target="http://www.homedepot.com/p/Carlon-2-Gang-25-cu-in-Non-Metallic-Old-Work-Switch-and-Outlet-Box-B225R-UPC/100404169" TargetMode="External"/><Relationship Id="rId775" Type="http://schemas.openxmlformats.org/officeDocument/2006/relationships/hyperlink" Target="http://www.homedepot.com/b/Electrical-Electrical-Boxes-Conduit-Fittings/Carlon/N-5yc1vZbm4mZ2dq" TargetMode="External"/><Relationship Id="rId428" Type="http://schemas.openxmlformats.org/officeDocument/2006/relationships/hyperlink" Target="http://www.homedepot.com/b/Electrical-Electrical-Boxes-Conduit-Fittings/Carlon/N-5yc1vZbm4mZ2dq" TargetMode="External"/><Relationship Id="rId635" Type="http://schemas.openxmlformats.org/officeDocument/2006/relationships/hyperlink" Target="http://www.homedepot.com/p/Carlon-2-Gang-25-cu-in-Non-Metallic-Old-Work-Switch-and-Outlet-Box-B225R-UPC/100404169" TargetMode="External"/><Relationship Id="rId274" Type="http://schemas.openxmlformats.org/officeDocument/2006/relationships/hyperlink" Target="http://www.homedepot.com/p/Carlon-2-Gang-25-cu-in-Non-Metallic-Old-Work-Switch-and-Outlet-Box-B225R-UPC/100404169" TargetMode="External"/><Relationship Id="rId481" Type="http://schemas.openxmlformats.org/officeDocument/2006/relationships/hyperlink" Target="http://www.homedepot.com/b/Electrical-Electrical-Boxes-Conduit-Fittings/Carlon/N-5yc1vZbm4mZ2dq" TargetMode="External"/><Relationship Id="rId702" Type="http://schemas.openxmlformats.org/officeDocument/2006/relationships/hyperlink" Target="http://www.homedepot.com/p/Carlon-2-Gang-25-cu-in-Non-Metallic-Old-Work-Switch-and-Outlet-Box-B225R-UPC/100404169" TargetMode="External"/><Relationship Id="rId69" Type="http://schemas.openxmlformats.org/officeDocument/2006/relationships/hyperlink" Target="http://www.homedepot.com/p/Carlon-2-Gang-25-cu-in-Non-Metallic-Old-Work-Switch-and-Outlet-Box-B225R-UPC/100404169" TargetMode="External"/><Relationship Id="rId134" Type="http://schemas.openxmlformats.org/officeDocument/2006/relationships/hyperlink" Target="http://www.homedepot.com/p/Carlon-2-Gang-25-cu-in-Non-Metallic-Old-Work-Switch-and-Outlet-Box-B225R-UPC/100404169" TargetMode="External"/><Relationship Id="rId579" Type="http://schemas.openxmlformats.org/officeDocument/2006/relationships/hyperlink" Target="http://www.homedepot.com/p/Carlon-2-Gang-25-cu-in-Non-Metallic-Old-Work-Switch-and-Outlet-Box-B225R-UPC/100404169" TargetMode="External"/><Relationship Id="rId341" Type="http://schemas.openxmlformats.org/officeDocument/2006/relationships/hyperlink" Target="http://www.homedepot.com/p/Carlon-2-Gang-25-cu-in-Non-Metallic-Old-Work-Switch-and-Outlet-Box-B225R-UPC/100404169" TargetMode="External"/><Relationship Id="rId439" Type="http://schemas.openxmlformats.org/officeDocument/2006/relationships/hyperlink" Target="http://www.homedepot.com/p/Carlon-2-Gang-25-cu-in-Non-Metallic-Old-Work-Switch-and-Outlet-Box-B225R-UPC/100404169" TargetMode="External"/><Relationship Id="rId646" Type="http://schemas.openxmlformats.org/officeDocument/2006/relationships/hyperlink" Target="http://www.homedepot.com/p/Carlon-2-Gang-25-cu-in-Non-Metallic-Old-Work-Switch-and-Outlet-Box-B225R-UPC/100404169" TargetMode="External"/><Relationship Id="rId201" Type="http://schemas.openxmlformats.org/officeDocument/2006/relationships/hyperlink" Target="http://www.homedepot.com/b/Electrical-Electrical-Boxes-Conduit-Fittings/Carlon/N-5yc1vZbm4mZ2dq" TargetMode="External"/><Relationship Id="rId285" Type="http://schemas.openxmlformats.org/officeDocument/2006/relationships/hyperlink" Target="http://www.homedepot.com/b/Electrical-Electrical-Boxes-Conduit-Fittings/Carlon/N-5yc1vZbm4mZ2dq" TargetMode="External"/><Relationship Id="rId506" Type="http://schemas.openxmlformats.org/officeDocument/2006/relationships/hyperlink" Target="http://www.homedepot.com/p/Carlon-2-Gang-25-cu-in-Non-Metallic-Old-Work-Switch-and-Outlet-Box-B225R-UPC/100404169" TargetMode="External"/><Relationship Id="rId492" Type="http://schemas.openxmlformats.org/officeDocument/2006/relationships/hyperlink" Target="http://www.homedepot.com/p/Carlon-2-Gang-25-cu-in-Non-Metallic-Old-Work-Switch-and-Outlet-Box-B225R-UPC/100404169" TargetMode="External"/><Relationship Id="rId713" Type="http://schemas.openxmlformats.org/officeDocument/2006/relationships/hyperlink" Target="https://es.aliexpress.com/item/1005005521740209.html?spm=a2g0o.productlist.main.37.3cd6XxjAXxjArB&amp;algo_pvid=4feedf7f-d6a8-428f-8344-d6f1627195c8&amp;algo_exp_id=4feedf7f-d6a8-428f-8344-d6f1627195c8-18&amp;pdp_npi=4%40dis%21COP%21282182.92%2191615.35%21%21%21521.50%21169.31%21%402103273e17158390127651335e80b0%2112000033996935518%21sea%21CO%210%21AB&amp;curPageLogUid=fnPphRH6h4CP&amp;utparam-url=scene%3Asearch%7Cquery_from%3A" TargetMode="External"/><Relationship Id="rId145" Type="http://schemas.openxmlformats.org/officeDocument/2006/relationships/hyperlink" Target="http://www.homedepot.com/b/Electrical-Electrical-Boxes-Conduit-Fittings/Carlon/N-5yc1vZbm4mZ2dq" TargetMode="External"/><Relationship Id="rId352" Type="http://schemas.openxmlformats.org/officeDocument/2006/relationships/hyperlink" Target="http://www.homedepot.com/b/Electrical-Electrical-Boxes-Conduit-Fittings/Carlon/N-5yc1vZbm4mZ2dq" TargetMode="External"/><Relationship Id="rId212" Type="http://schemas.openxmlformats.org/officeDocument/2006/relationships/hyperlink" Target="http://www.homedepot.com/p/Carlon-2-Gang-25-cu-in-Non-Metallic-Old-Work-Switch-and-Outlet-Box-B225R-UPC/100404169" TargetMode="External"/><Relationship Id="rId657" Type="http://schemas.openxmlformats.org/officeDocument/2006/relationships/hyperlink" Target="http://www.homedepot.com/b/Electrical-Electrical-Boxes-Conduit-Fittings/Carlon/N-5yc1vZbm4mZ2dq" TargetMode="External"/><Relationship Id="rId296" Type="http://schemas.openxmlformats.org/officeDocument/2006/relationships/hyperlink" Target="http://www.homedepot.com/p/Carlon-2-Gang-25-cu-in-Non-Metallic-Old-Work-Switch-and-Outlet-Box-B225R-UPC/100404169" TargetMode="External"/><Relationship Id="rId517" Type="http://schemas.openxmlformats.org/officeDocument/2006/relationships/hyperlink" Target="http://www.homedepot.com/p/Carlon-2-Gang-25-cu-in-Non-Metallic-Old-Work-Switch-and-Outlet-Box-B225R-UPC/100404169" TargetMode="External"/><Relationship Id="rId724" Type="http://schemas.openxmlformats.org/officeDocument/2006/relationships/hyperlink" Target="https://www.claro.com.co/personas/servicios/servicios-moviles/postpago/" TargetMode="External"/><Relationship Id="rId60" Type="http://schemas.openxmlformats.org/officeDocument/2006/relationships/hyperlink" Target="http://www.homedepot.com/p/Carlon-2-Gang-25-cu-in-Non-Metallic-Old-Work-Switch-and-Outlet-Box-B225R-UPC/100404169" TargetMode="External"/><Relationship Id="rId156" Type="http://schemas.openxmlformats.org/officeDocument/2006/relationships/hyperlink" Target="http://www.homedepot.com/p/Carlon-2-Gang-25-cu-in-Non-Metallic-Old-Work-Switch-and-Outlet-Box-B225R-UPC/100404169" TargetMode="External"/><Relationship Id="rId363" Type="http://schemas.openxmlformats.org/officeDocument/2006/relationships/hyperlink" Target="http://www.homedepot.com/p/Carlon-2-Gang-25-cu-in-Non-Metallic-Old-Work-Switch-and-Outlet-Box-B225R-UPC/100404169" TargetMode="External"/><Relationship Id="rId570" Type="http://schemas.openxmlformats.org/officeDocument/2006/relationships/hyperlink" Target="http://www.homedepot.com/p/Carlon-2-Gang-25-cu-in-Non-Metallic-Old-Work-Switch-and-Outlet-Box-B225R-UPC/100404169" TargetMode="External"/><Relationship Id="rId223" Type="http://schemas.openxmlformats.org/officeDocument/2006/relationships/hyperlink" Target="http://www.homedepot.com/b/Electrical-Electrical-Boxes-Conduit-Fittings/Carlon/N-5yc1vZbm4mZ2dq" TargetMode="External"/><Relationship Id="rId430" Type="http://schemas.openxmlformats.org/officeDocument/2006/relationships/hyperlink" Target="http://www.homedepot.com/b/Electrical-Electrical-Boxes-Conduit-Fittings/Carlon/N-5yc1vZbm4mZ2dq" TargetMode="External"/><Relationship Id="rId668" Type="http://schemas.openxmlformats.org/officeDocument/2006/relationships/hyperlink" Target="https://www.amazon.com/Regulable-%C3%A1ngulo-bombilla-c%C3%A1lida-AC120V/dp/B06XVF7K87/ref=sr_1_2_sspa?__mk_es_US=%C3%85M%C3%85%C5%BD%C3%95%C3%91&amp;crid=1Y9P30INDOLAO&amp;keywords=ar111&amp;qid=1643488767&amp;sprefix=ar111%2Caps%2C321&amp;sr=8-2-spons&amp;psc=1&amp;smid=AD1QP35KGG01T&amp;spLa=ZW5jcnlwdGVkUXVhbGlmaWVyPUEzMVRHRVhXUldNSkc4JmVuY3J5cHRlZElkPUEwNDMyMDkwMUdJTk81TFFCVjc1NiZlbmNyeXB0ZWRBZElkPUEwNDg1NDgyMUFNMjk1UDc4SENSSSZ3aWRnZXROYW1lPXNwX2F0ZiZhY3Rpb249Y2xpY2tSZWRpcmVjdCZkb05vdExvZ0NsaWNrPXRydWU=" TargetMode="External"/><Relationship Id="rId18" Type="http://schemas.openxmlformats.org/officeDocument/2006/relationships/hyperlink" Target="http://www.homedepot.com/p/Carlon-2-Gang-25-cu-in-Non-Metallic-Old-Work-Switch-and-Outlet-Box-B225R-UPC/100404169" TargetMode="External"/><Relationship Id="rId528" Type="http://schemas.openxmlformats.org/officeDocument/2006/relationships/hyperlink" Target="http://www.homedepot.com/p/Carlon-2-Gang-25-cu-in-Non-Metallic-Old-Work-Switch-and-Outlet-Box-B225R-UPC/100404169" TargetMode="External"/><Relationship Id="rId735" Type="http://schemas.openxmlformats.org/officeDocument/2006/relationships/hyperlink" Target="http://www.homedepot.com/p/Carlon-2-Gang-25-cu-in-Non-Metallic-Old-Work-Switch-and-Outlet-Box-B225R-UPC/100404169" TargetMode="External"/><Relationship Id="rId167" Type="http://schemas.openxmlformats.org/officeDocument/2006/relationships/hyperlink" Target="http://www.homedepot.com/b/Electrical-Electrical-Boxes-Conduit-Fittings/Carlon/N-5yc1vZbm4mZ2dq" TargetMode="External"/><Relationship Id="rId374" Type="http://schemas.openxmlformats.org/officeDocument/2006/relationships/hyperlink" Target="http://www.homedepot.com/b/Electrical-Electrical-Boxes-Conduit-Fittings/Carlon/N-5yc1vZbm4mZ2dq" TargetMode="External"/><Relationship Id="rId581" Type="http://schemas.openxmlformats.org/officeDocument/2006/relationships/hyperlink" Target="https://microcell.co/videoproyectores-epson/1969-video-proyector-epson-power-lite-1980wu-4-400-lumens-wuxga-19200x1200-1080p.html" TargetMode="External"/><Relationship Id="rId71" Type="http://schemas.openxmlformats.org/officeDocument/2006/relationships/hyperlink" Target="http://www.homedepot.com/p/Carlon-2-Gang-25-cu-in-Non-Metallic-Old-Work-Switch-and-Outlet-Box-B225R-UPC/100404169" TargetMode="External"/><Relationship Id="rId234" Type="http://schemas.openxmlformats.org/officeDocument/2006/relationships/hyperlink" Target="http://www.homedepot.com/p/Carlon-2-Gang-25-cu-in-Non-Metallic-Old-Work-Switch-and-Outlet-Box-B225R-UPC/100404169" TargetMode="External"/><Relationship Id="rId679" Type="http://schemas.openxmlformats.org/officeDocument/2006/relationships/hyperlink" Target="http://www.homedepot.com/p/Carlon-2-Gang-25-cu-in-Non-Metallic-Old-Work-Switch-and-Outlet-Box-B225R-UPC/100404169" TargetMode="External"/><Relationship Id="rId2" Type="http://schemas.openxmlformats.org/officeDocument/2006/relationships/hyperlink" Target="https://microcell.co/videoproyectores-epson/1969-video-proyector-epson-power-lite-1980wu-4-400-lumens-wuxga-19200x1200-1080p.html" TargetMode="External"/><Relationship Id="rId29" Type="http://schemas.openxmlformats.org/officeDocument/2006/relationships/hyperlink" Target="http://www.homedepot.com/p/Carlon-2-Gang-25-cu-in-Non-Metallic-Old-Work-Switch-and-Outlet-Box-B225R-UPC/100404169" TargetMode="External"/><Relationship Id="rId441" Type="http://schemas.openxmlformats.org/officeDocument/2006/relationships/hyperlink" Target="http://www.homedepot.com/p/Carlon-2-Gang-25-cu-in-Non-Metallic-Old-Work-Switch-and-Outlet-Box-B225R-UPC/100404169" TargetMode="External"/><Relationship Id="rId539" Type="http://schemas.openxmlformats.org/officeDocument/2006/relationships/hyperlink" Target="http://www.homedepot.com/p/Carlon-2-Gang-25-cu-in-Non-Metallic-Old-Work-Switch-and-Outlet-Box-B225R-UPC/100404169" TargetMode="External"/><Relationship Id="rId746" Type="http://schemas.openxmlformats.org/officeDocument/2006/relationships/hyperlink" Target="http://www.homedepot.com/b/Electrical-Electrical-Boxes-Conduit-Fittings/Carlon/N-5yc1vZbm4mZ2dq" TargetMode="External"/><Relationship Id="rId178" Type="http://schemas.openxmlformats.org/officeDocument/2006/relationships/hyperlink" Target="http://www.homedepot.com/p/Carlon-2-Gang-25-cu-in-Non-Metallic-Old-Work-Switch-and-Outlet-Box-B225R-UPC/100404169" TargetMode="External"/><Relationship Id="rId301" Type="http://schemas.openxmlformats.org/officeDocument/2006/relationships/hyperlink" Target="http://www.homedepot.com/b/Electrical-Electrical-Boxes-Conduit-Fittings/Carlon/N-5yc1vZbm4mZ2dq" TargetMode="External"/><Relationship Id="rId82" Type="http://schemas.openxmlformats.org/officeDocument/2006/relationships/hyperlink" Target="https://www.amazon.com/Compact-floor-Two-gang-Electrical-Cover/dp/B00844JV7M/ref=sr_1_4?ie=UTF8&amp;qid=1524737794&amp;sr=8-4&amp;keywords=floor+box" TargetMode="External"/><Relationship Id="rId385" Type="http://schemas.openxmlformats.org/officeDocument/2006/relationships/hyperlink" Target="http://www.homedepot.com/p/Carlon-2-Gang-25-cu-in-Non-Metallic-Old-Work-Switch-and-Outlet-Box-B225R-UPC/100404169" TargetMode="External"/><Relationship Id="rId592" Type="http://schemas.openxmlformats.org/officeDocument/2006/relationships/hyperlink" Target="http://www.homedepot.com/p/Carlon-2-Gang-25-cu-in-Non-Metallic-Old-Work-Switch-and-Outlet-Box-B225R-UPC/100404169" TargetMode="External"/><Relationship Id="rId606" Type="http://schemas.openxmlformats.org/officeDocument/2006/relationships/hyperlink" Target="http://www.homedepot.com/p/Carlon-2-Gang-25-cu-in-Non-Metallic-Old-Work-Switch-and-Outlet-Box-B225R-UPC/100404169" TargetMode="External"/><Relationship Id="rId245" Type="http://schemas.openxmlformats.org/officeDocument/2006/relationships/hyperlink" Target="http://www.homedepot.com/b/Electrical-Electrical-Boxes-Conduit-Fittings/Carlon/N-5yc1vZbm4mZ2dq" TargetMode="External"/><Relationship Id="rId452" Type="http://schemas.openxmlformats.org/officeDocument/2006/relationships/hyperlink" Target="http://www.homedepot.com/b/Electrical-Electrical-Boxes-Conduit-Fittings/Carlon/N-5yc1vZbm4mZ2dq" TargetMode="External"/><Relationship Id="rId105" Type="http://schemas.openxmlformats.org/officeDocument/2006/relationships/hyperlink" Target="http://www.homedepot.com/p/Carlon-2-Gang-25-cu-in-Non-Metallic-Old-Work-Switch-and-Outlet-Box-B225R-UPC/100404169" TargetMode="External"/><Relationship Id="rId312" Type="http://schemas.openxmlformats.org/officeDocument/2006/relationships/hyperlink" Target="http://www.homedepot.com/p/Carlon-2-Gang-25-cu-in-Non-Metallic-Old-Work-Switch-and-Outlet-Box-B225R-UPC/100404169" TargetMode="External"/><Relationship Id="rId757" Type="http://schemas.openxmlformats.org/officeDocument/2006/relationships/hyperlink" Target="http://www.homedepot.com/b/Electrical-Electrical-Boxes-Conduit-Fittings/Carlon/N-5yc1vZbm4mZ2dq" TargetMode="External"/><Relationship Id="rId93" Type="http://schemas.openxmlformats.org/officeDocument/2006/relationships/hyperlink" Target="http://www.homedepot.com/b/Electrical-Electrical-Boxes-Conduit-Fittings/Carlon/N-5yc1vZbm4mZ2dq" TargetMode="External"/><Relationship Id="rId189" Type="http://schemas.openxmlformats.org/officeDocument/2006/relationships/hyperlink" Target="http://www.homedepot.com/b/Electrical-Electrical-Boxes-Conduit-Fittings/Carlon/N-5yc1vZbm4mZ2dq" TargetMode="External"/><Relationship Id="rId396" Type="http://schemas.openxmlformats.org/officeDocument/2006/relationships/hyperlink" Target="http://www.homedepot.com/b/Electrical-Electrical-Boxes-Conduit-Fittings/Carlon/N-5yc1vZbm4mZ2dq" TargetMode="External"/><Relationship Id="rId617" Type="http://schemas.openxmlformats.org/officeDocument/2006/relationships/hyperlink" Target="http://www.homedepot.com/b/Electrical-Electrical-Boxes-Conduit-Fittings/Carlon/N-5yc1vZbm4mZ2dq" TargetMode="External"/><Relationship Id="rId256" Type="http://schemas.openxmlformats.org/officeDocument/2006/relationships/hyperlink" Target="http://www.homedepot.com/p/Carlon-2-Gang-25-cu-in-Non-Metallic-Old-Work-Switch-and-Outlet-Box-B225R-UPC/100404169" TargetMode="External"/><Relationship Id="rId463" Type="http://schemas.openxmlformats.org/officeDocument/2006/relationships/hyperlink" Target="http://www.homedepot.com/p/Carlon-2-Gang-25-cu-in-Non-Metallic-Old-Work-Switch-and-Outlet-Box-B225R-UPC/100404169" TargetMode="External"/><Relationship Id="rId670" Type="http://schemas.openxmlformats.org/officeDocument/2006/relationships/hyperlink" Target="https://articulo.mercadolibre.com.co/MCO-533857930-tablero-cofre-electrico-para-intemperie-rebra-60x40x25-_JM?matt_tool=70147493&amp;matt_word=&amp;matt_source=google&amp;matt_campaign_id=14633851809&amp;matt_ad_group_id=122277564930&amp;matt_match_type=&amp;matt_network=g&amp;matt_device=c&amp;matt_creative=545410559217&amp;matt_keyword=&amp;matt_ad_position=&amp;matt_ad_type=pla&amp;matt_merchant_id=117699747&amp;matt_product_id=MCO533857930&amp;matt_product_partition_id=1403869200214&amp;matt_target_id=aud-345731277302:pla-1403869200214&amp;gclid=CjwKCAjwxOCRBhA8EiwA0X8hi2h9KaGhPVWkIZTx6Jc-aEc384ouYrEeAMKOqwI9gDLIoFjmVYU8QxoChm0QAvD_BwE" TargetMode="External"/><Relationship Id="rId116" Type="http://schemas.openxmlformats.org/officeDocument/2006/relationships/hyperlink" Target="http://www.homedepot.com/p/Carlon-2-Gang-25-cu-in-Non-Metallic-Old-Work-Switch-and-Outlet-Box-B225R-UPC/100404169" TargetMode="External"/><Relationship Id="rId323" Type="http://schemas.openxmlformats.org/officeDocument/2006/relationships/hyperlink" Target="http://www.homedepot.com/p/Carlon-2-Gang-25-cu-in-Non-Metallic-Old-Work-Switch-and-Outlet-Box-B225R-UPC/100404169" TargetMode="External"/><Relationship Id="rId530" Type="http://schemas.openxmlformats.org/officeDocument/2006/relationships/hyperlink" Target="https://microcell.co/videoproyectores-epson/1969-video-proyector-epson-power-lite-1980wu-4-400-lumens-wuxga-19200x1200-1080p.html" TargetMode="External"/><Relationship Id="rId768" Type="http://schemas.openxmlformats.org/officeDocument/2006/relationships/hyperlink" Target="http://www.homedepot.com/b/Electrical-Electrical-Boxes-Conduit-Fittings/Carlon/N-5yc1vZbm4mZ2dq" TargetMode="External"/><Relationship Id="rId20" Type="http://schemas.openxmlformats.org/officeDocument/2006/relationships/hyperlink" Target="http://www.homedepot.com/p/Carlon-2-Gang-25-cu-in-Non-Metallic-Old-Work-Switch-and-Outlet-Box-B225R-UPC/100404169" TargetMode="External"/><Relationship Id="rId628" Type="http://schemas.openxmlformats.org/officeDocument/2006/relationships/hyperlink" Target="http://www.homedepot.com/p/Carlon-2-Gang-25-cu-in-Non-Metallic-Old-Work-Switch-and-Outlet-Box-B225R-UPC/100404169" TargetMode="External"/><Relationship Id="rId267" Type="http://schemas.openxmlformats.org/officeDocument/2006/relationships/hyperlink" Target="http://www.homedepot.com/b/Electrical-Electrical-Boxes-Conduit-Fittings/Carlon/N-5yc1vZbm4mZ2dq" TargetMode="External"/><Relationship Id="rId474" Type="http://schemas.openxmlformats.org/officeDocument/2006/relationships/hyperlink" Target="http://www.homedepot.com/b/Electrical-Electrical-Boxes-Conduit-Fittings/Carlon/N-5yc1vZbm4mZ2dq" TargetMode="External"/><Relationship Id="rId127" Type="http://schemas.openxmlformats.org/officeDocument/2006/relationships/hyperlink" Target="http://www.homedepot.com/b/Electrical-Electrical-Boxes-Conduit-Fittings/Carlon/N-5yc1vZbm4mZ2dq" TargetMode="External"/><Relationship Id="rId681" Type="http://schemas.openxmlformats.org/officeDocument/2006/relationships/hyperlink" Target="https://www.supersonido.es/p/vogels-next-7355" TargetMode="External"/><Relationship Id="rId779" Type="http://schemas.openxmlformats.org/officeDocument/2006/relationships/hyperlink" Target="http://www.homedepot.com/p/Carlon-2-Gang-25-cu-in-Non-Metallic-Old-Work-Switch-and-Outlet-Box-B225R-UPC/100404169" TargetMode="External"/><Relationship Id="rId31" Type="http://schemas.openxmlformats.org/officeDocument/2006/relationships/hyperlink" Target="http://www.homedepot.com/p/Carlon-2-Gang-25-cu-in-Non-Metallic-Old-Work-Switch-and-Outlet-Box-B225R-UPC/100404169" TargetMode="External"/><Relationship Id="rId334" Type="http://schemas.openxmlformats.org/officeDocument/2006/relationships/hyperlink" Target="http://www.homedepot.com/b/Electrical-Electrical-Boxes-Conduit-Fittings/Carlon/N-5yc1vZbm4mZ2dq" TargetMode="External"/><Relationship Id="rId541" Type="http://schemas.openxmlformats.org/officeDocument/2006/relationships/hyperlink" Target="http://www.homedepot.com/p/Carlon-2-Gang-25-cu-in-Non-Metallic-Old-Work-Switch-and-Outlet-Box-B225R-UPC/100404169" TargetMode="External"/><Relationship Id="rId639" Type="http://schemas.openxmlformats.org/officeDocument/2006/relationships/hyperlink" Target="http://www.homedepot.com/p/Carlon-2-Gang-25-cu-in-Non-Metallic-Old-Work-Switch-and-Outlet-Box-B225R-UPC/100404169" TargetMode="External"/><Relationship Id="rId180" Type="http://schemas.openxmlformats.org/officeDocument/2006/relationships/hyperlink" Target="http://www.homedepot.com/p/Carlon-2-Gang-25-cu-in-Non-Metallic-Old-Work-Switch-and-Outlet-Box-B225R-UPC/100404169" TargetMode="External"/><Relationship Id="rId278" Type="http://schemas.openxmlformats.org/officeDocument/2006/relationships/hyperlink" Target="http://www.homedepot.com/p/Carlon-2-Gang-25-cu-in-Non-Metallic-Old-Work-Switch-and-Outlet-Box-B225R-UPC/100404169" TargetMode="External"/><Relationship Id="rId401" Type="http://schemas.openxmlformats.org/officeDocument/2006/relationships/hyperlink" Target="http://www.homedepot.com/p/Carlon-2-Gang-25-cu-in-Non-Metallic-Old-Work-Switch-and-Outlet-Box-B225R-UPC/100404169" TargetMode="External"/><Relationship Id="rId485" Type="http://schemas.openxmlformats.org/officeDocument/2006/relationships/hyperlink" Target="http://www.homedepot.com/b/Electrical-Electrical-Boxes-Conduit-Fittings/Carlon/N-5yc1vZbm4mZ2dq" TargetMode="External"/><Relationship Id="rId692" Type="http://schemas.openxmlformats.org/officeDocument/2006/relationships/hyperlink" Target="https://www.amazon.com/-/es/parlantes-soundcore-Bluetooth-inal%C3%A1mbrico-aumentado/dp/B01HTH3C8S/ref=sr_1_11?__mk_es_US=%C3%85M%C3%85%C5%BD%C3%95%C3%91&amp;crid=1T0IKR16EUUG8&amp;keywords=fm%2Bradio&amp;qid=1700087536&amp;sprefix=fm%2Bradio%2Caps%2C203&amp;sr=8-11&amp;th=1" TargetMode="External"/><Relationship Id="rId706" Type="http://schemas.openxmlformats.org/officeDocument/2006/relationships/hyperlink" Target="https://www.amazon.com/-/es/SimpleSmart-inteligente-motorizado-el%C3%A9ctrica-compatible/dp/B07GD68Q7X/ref=cm_cr_arp_d_product_top?ie=UTF8&amp;th=1" TargetMode="External"/><Relationship Id="rId42" Type="http://schemas.openxmlformats.org/officeDocument/2006/relationships/hyperlink" Target="http://www.homedepot.com/p/Carlon-2-Gang-25-cu-in-Non-Metallic-Old-Work-Switch-and-Outlet-Box-B225R-UPC/100404169" TargetMode="External"/><Relationship Id="rId138" Type="http://schemas.openxmlformats.org/officeDocument/2006/relationships/hyperlink" Target="http://www.homedepot.com/p/Carlon-2-Gang-25-cu-in-Non-Metallic-Old-Work-Switch-and-Outlet-Box-B225R-UPC/100404169" TargetMode="External"/><Relationship Id="rId345" Type="http://schemas.openxmlformats.org/officeDocument/2006/relationships/hyperlink" Target="http://www.homedepot.com/p/Carlon-2-Gang-25-cu-in-Non-Metallic-Old-Work-Switch-and-Outlet-Box-B225R-UPC/100404169" TargetMode="External"/><Relationship Id="rId552" Type="http://schemas.openxmlformats.org/officeDocument/2006/relationships/hyperlink" Target="http://www.homedepot.com/p/Carlon-2-Gang-25-cu-in-Non-Metallic-Old-Work-Switch-and-Outlet-Box-B225R-UPC/100404169" TargetMode="External"/><Relationship Id="rId191" Type="http://schemas.openxmlformats.org/officeDocument/2006/relationships/hyperlink" Target="http://www.homedepot.com/b/Electrical-Electrical-Boxes-Conduit-Fittings/Carlon/N-5yc1vZbm4mZ2dq" TargetMode="External"/><Relationship Id="rId205" Type="http://schemas.openxmlformats.org/officeDocument/2006/relationships/hyperlink" Target="http://www.homedepot.com/b/Electrical-Electrical-Boxes-Conduit-Fittings/Carlon/N-5yc1vZbm4mZ2dq" TargetMode="External"/><Relationship Id="rId412" Type="http://schemas.openxmlformats.org/officeDocument/2006/relationships/hyperlink" Target="http://www.homedepot.com/b/Electrical-Electrical-Boxes-Conduit-Fittings/Carlon/N-5yc1vZbm4mZ2dq" TargetMode="External"/><Relationship Id="rId289" Type="http://schemas.openxmlformats.org/officeDocument/2006/relationships/hyperlink" Target="http://www.homedepot.com/b/Electrical-Electrical-Boxes-Conduit-Fittings/Carlon/N-5yc1vZbm4mZ2dq" TargetMode="External"/><Relationship Id="rId496" Type="http://schemas.openxmlformats.org/officeDocument/2006/relationships/hyperlink" Target="http://www.homedepot.com/p/Carlon-2-Gang-25-cu-in-Non-Metallic-Old-Work-Switch-and-Outlet-Box-B225R-UPC/100404169" TargetMode="External"/><Relationship Id="rId717" Type="http://schemas.openxmlformats.org/officeDocument/2006/relationships/hyperlink" Target="https://es.aliexpress.com/item/1005004515511990.html?spm=a2g0o.productlist.main.77.150f6754pfdRsY&amp;algo_pvid=e5e23335-71cb-4fab-9929-b9eb8f263552&amp;algo_exp_id=e5e23335-71cb-4fab-9929-b9eb8f263552-38&amp;pdp_npi=4%40dis%21COP%21272824.32%21160955.10%21%21%2167.92%2140.07%21%402101e07217179863486243621e6626%2112000029441263100%21sea%21CO%210%21AB&amp;curPageLogUid=mhdqQ4z2pJed&amp;utparam-url=scene%3Asearch%7Cquery_from%3A" TargetMode="External"/><Relationship Id="rId11" Type="http://schemas.openxmlformats.org/officeDocument/2006/relationships/hyperlink" Target="https://microcell.co/videoproyectores-epson/1969-video-proyector-epson-power-lite-1980wu-4-400-lumens-wuxga-19200x1200-1080p.html" TargetMode="External"/><Relationship Id="rId53" Type="http://schemas.openxmlformats.org/officeDocument/2006/relationships/hyperlink" Target="http://www.homedepot.com/p/Carlon-2-Gang-25-cu-in-Non-Metallic-Old-Work-Switch-and-Outlet-Box-B225R-UPC/100404169" TargetMode="External"/><Relationship Id="rId149" Type="http://schemas.openxmlformats.org/officeDocument/2006/relationships/hyperlink" Target="http://www.homedepot.com/b/Electrical-Electrical-Boxes-Conduit-Fittings/Carlon/N-5yc1vZbm4mZ2dq" TargetMode="External"/><Relationship Id="rId314" Type="http://schemas.openxmlformats.org/officeDocument/2006/relationships/hyperlink" Target="http://www.homedepot.com/p/Carlon-2-Gang-25-cu-in-Non-Metallic-Old-Work-Switch-and-Outlet-Box-B225R-UPC/100404169" TargetMode="External"/><Relationship Id="rId356" Type="http://schemas.openxmlformats.org/officeDocument/2006/relationships/hyperlink" Target="http://www.homedepot.com/b/Electrical-Electrical-Boxes-Conduit-Fittings/Carlon/N-5yc1vZbm4mZ2dq" TargetMode="External"/><Relationship Id="rId398" Type="http://schemas.openxmlformats.org/officeDocument/2006/relationships/hyperlink" Target="http://www.homedepot.com/b/Electrical-Electrical-Boxes-Conduit-Fittings/Carlon/N-5yc1vZbm4mZ2dq" TargetMode="External"/><Relationship Id="rId521" Type="http://schemas.openxmlformats.org/officeDocument/2006/relationships/hyperlink" Target="http://www.homedepot.com/p/Carlon-2-Gang-25-cu-in-Non-Metallic-Old-Work-Switch-and-Outlet-Box-B225R-UPC/100404169" TargetMode="External"/><Relationship Id="rId563" Type="http://schemas.openxmlformats.org/officeDocument/2006/relationships/hyperlink" Target="https://www.amazon.com/PTC-Meters-Extension-Repeater-Supports/dp/B0040IASMS/ref=sr_1_10?dchild=1&amp;keywords=usb+active+cable&amp;qid=1604790951&amp;refinements=p_72%3A1248879011%2Cp_n_feature_keywords_three_browse-bin%3A7070225011&amp;rnid=5462369011&amp;s=pc&amp;sr=1-10" TargetMode="External"/><Relationship Id="rId619" Type="http://schemas.openxmlformats.org/officeDocument/2006/relationships/hyperlink" Target="http://www.homedepot.com/b/Electrical-Electrical-Boxes-Conduit-Fittings/Carlon/N-5yc1vZbm4mZ2dq" TargetMode="External"/><Relationship Id="rId770" Type="http://schemas.openxmlformats.org/officeDocument/2006/relationships/hyperlink" Target="http://www.homedepot.com/b/Electrical-Electrical-Boxes-Conduit-Fittings/Carlon/N-5yc1vZbm4mZ2dq" TargetMode="External"/><Relationship Id="rId95" Type="http://schemas.openxmlformats.org/officeDocument/2006/relationships/hyperlink" Target="http://www.homedepot.com/b/Electrical-Electrical-Boxes-Conduit-Fittings/Carlon/N-5yc1vZbm4mZ2dq" TargetMode="External"/><Relationship Id="rId160" Type="http://schemas.openxmlformats.org/officeDocument/2006/relationships/hyperlink" Target="http://www.homedepot.com/p/Carlon-2-Gang-25-cu-in-Non-Metallic-Old-Work-Switch-and-Outlet-Box-B225R-UPC/100404169" TargetMode="External"/><Relationship Id="rId216" Type="http://schemas.openxmlformats.org/officeDocument/2006/relationships/hyperlink" Target="http://www.homedepot.com/p/Carlon-2-Gang-25-cu-in-Non-Metallic-Old-Work-Switch-and-Outlet-Box-B225R-UPC/100404169" TargetMode="External"/><Relationship Id="rId423" Type="http://schemas.openxmlformats.org/officeDocument/2006/relationships/hyperlink" Target="http://www.homedepot.com/p/Carlon-2-Gang-25-cu-in-Non-Metallic-Old-Work-Switch-and-Outlet-Box-B225R-UPC/100404169" TargetMode="External"/><Relationship Id="rId258" Type="http://schemas.openxmlformats.org/officeDocument/2006/relationships/hyperlink" Target="http://www.homedepot.com/p/Carlon-2-Gang-25-cu-in-Non-Metallic-Old-Work-Switch-and-Outlet-Box-B225R-UPC/100404169" TargetMode="External"/><Relationship Id="rId465" Type="http://schemas.openxmlformats.org/officeDocument/2006/relationships/hyperlink" Target="http://www.homedepot.com/p/Carlon-2-Gang-25-cu-in-Non-Metallic-Old-Work-Switch-and-Outlet-Box-B225R-UPC/100404169" TargetMode="External"/><Relationship Id="rId630" Type="http://schemas.openxmlformats.org/officeDocument/2006/relationships/hyperlink" Target="http://www.homedepot.com/p/Carlon-2-Gang-25-cu-in-Non-Metallic-Old-Work-Switch-and-Outlet-Box-B225R-UPC/100404169" TargetMode="External"/><Relationship Id="rId672" Type="http://schemas.openxmlformats.org/officeDocument/2006/relationships/hyperlink" Target="http://www.homedepot.com/p/Carlon-2-Gang-25-cu-in-Non-Metallic-Old-Work-Switch-and-Outlet-Box-B225R-UPC/100404169" TargetMode="External"/><Relationship Id="rId728" Type="http://schemas.openxmlformats.org/officeDocument/2006/relationships/hyperlink" Target="https://www.hortonshome.com/led-step-lighting-led-step-light-in-painted-antique-bronze-1-93401s-171/" TargetMode="External"/><Relationship Id="rId22" Type="http://schemas.openxmlformats.org/officeDocument/2006/relationships/hyperlink" Target="http://www.homedepot.com/p/Carlon-2-Gang-25-cu-in-Non-Metallic-Old-Work-Switch-and-Outlet-Box-B225R-UPC/100404169" TargetMode="External"/><Relationship Id="rId64" Type="http://schemas.openxmlformats.org/officeDocument/2006/relationships/hyperlink" Target="https://articulo.mercadolibre.com.co/MCO-454226366-telon-electrico-formato-169-de-234-x-131-mtr-tl-132-_JM?quantity=1" TargetMode="External"/><Relationship Id="rId118" Type="http://schemas.openxmlformats.org/officeDocument/2006/relationships/hyperlink" Target="http://www.homedepot.com/p/Carlon-2-Gang-25-cu-in-Non-Metallic-Old-Work-Switch-and-Outlet-Box-B225R-UPC/100404169" TargetMode="External"/><Relationship Id="rId325" Type="http://schemas.openxmlformats.org/officeDocument/2006/relationships/hyperlink" Target="http://www.homedepot.com/p/Carlon-2-Gang-25-cu-in-Non-Metallic-Old-Work-Switch-and-Outlet-Box-B225R-UPC/100404169" TargetMode="External"/><Relationship Id="rId367" Type="http://schemas.openxmlformats.org/officeDocument/2006/relationships/hyperlink" Target="http://www.homedepot.com/p/Carlon-2-Gang-25-cu-in-Non-Metallic-Old-Work-Switch-and-Outlet-Box-B225R-UPC/100404169" TargetMode="External"/><Relationship Id="rId532" Type="http://schemas.openxmlformats.org/officeDocument/2006/relationships/hyperlink" Target="https://www.homecontrols.com/NuVo-Handheld-Remote-Control-NVI8GRC1" TargetMode="External"/><Relationship Id="rId574" Type="http://schemas.openxmlformats.org/officeDocument/2006/relationships/hyperlink" Target="http://www.homedepot.com/p/Carlon-2-Gang-25-cu-in-Non-Metallic-Old-Work-Switch-and-Outlet-Box-B225R-UPC/100404169" TargetMode="External"/><Relationship Id="rId171" Type="http://schemas.openxmlformats.org/officeDocument/2006/relationships/hyperlink" Target="http://www.homedepot.com/b/Electrical-Electrical-Boxes-Conduit-Fittings/Carlon/N-5yc1vZbm4mZ2dq" TargetMode="External"/><Relationship Id="rId227" Type="http://schemas.openxmlformats.org/officeDocument/2006/relationships/hyperlink" Target="http://www.homedepot.com/b/Electrical-Electrical-Boxes-Conduit-Fittings/Carlon/N-5yc1vZbm4mZ2dq" TargetMode="External"/><Relationship Id="rId781" Type="http://schemas.openxmlformats.org/officeDocument/2006/relationships/hyperlink" Target="https://www.amazon.com/-/es/dp/B07Z4PZMLP/ref=sr_1_2?__mk_es_US=%C3%85M%C3%85%C5%BD%C3%95%C3%91&amp;keywords=rs232+2x2+matrix&amp;qid=1582722672&amp;sr=8-2" TargetMode="External"/><Relationship Id="rId269" Type="http://schemas.openxmlformats.org/officeDocument/2006/relationships/hyperlink" Target="http://www.homedepot.com/b/Electrical-Electrical-Boxes-Conduit-Fittings/Carlon/N-5yc1vZbm4mZ2dq" TargetMode="External"/><Relationship Id="rId434" Type="http://schemas.openxmlformats.org/officeDocument/2006/relationships/hyperlink" Target="http://www.homedepot.com/b/Electrical-Electrical-Boxes-Conduit-Fittings/Carlon/N-5yc1vZbm4mZ2dq" TargetMode="External"/><Relationship Id="rId476" Type="http://schemas.openxmlformats.org/officeDocument/2006/relationships/hyperlink" Target="http://www.homedepot.com/b/Electrical-Electrical-Boxes-Conduit-Fittings/Carlon/N-5yc1vZbm4mZ2dq" TargetMode="External"/><Relationship Id="rId641" Type="http://schemas.openxmlformats.org/officeDocument/2006/relationships/hyperlink" Target="http://www.homedepot.com/b/Electrical-Electrical-Boxes-Conduit-Fittings/Carlon/N-5yc1vZbm4mZ2dq" TargetMode="External"/><Relationship Id="rId683" Type="http://schemas.openxmlformats.org/officeDocument/2006/relationships/hyperlink" Target="https://www.amazon.com/-/es/Regulable-%C3%A1ngulo-bombilla-c%C3%A1lida-AC120V/dp/B06XVF7K87/ref=sr_1_4?__mk_es_US=%C3%85M%C3%85%C5%BD%C3%95%C3%91&amp;crid=2YLFYYVPUYJ58&amp;keywords=ar111+dimmable&amp;qid=1667088383&amp;qu=eyJxc2MiOiIxLjU0IiwicXNhIjoiMS41MCIsInFzcCI6IjEuMDAifQ%3D%3D&amp;sprefix=ar111+regulable%2Caps%2C182&amp;sr=8-4" TargetMode="External"/><Relationship Id="rId739" Type="http://schemas.openxmlformats.org/officeDocument/2006/relationships/hyperlink" Target="http://www.homedepot.com/b/Electrical-Electrical-Boxes-Conduit-Fittings/Carlon/N-5yc1vZbm4mZ2dq" TargetMode="External"/><Relationship Id="rId33" Type="http://schemas.openxmlformats.org/officeDocument/2006/relationships/hyperlink" Target="https://articulo.mercadolibre.com.co/MCO-455506067-nvr-lite-dahua-ip-8-sata-4k-32ch-dhi-nvr4832-4ks2-_JM?matt_tool=24497864&amp;matt_word&amp;gclid=CjwKCAiAp5nyBRABEiwApTwjXoraC97sFCuIp25R3CwyvTFbqS132kOWt9VvxEpvG-7ShewhuTpmsxoCBoEQAvD_BwE&amp;quantity=1" TargetMode="External"/><Relationship Id="rId129" Type="http://schemas.openxmlformats.org/officeDocument/2006/relationships/hyperlink" Target="http://www.homedepot.com/b/Electrical-Electrical-Boxes-Conduit-Fittings/Carlon/N-5yc1vZbm4mZ2dq" TargetMode="External"/><Relationship Id="rId280" Type="http://schemas.openxmlformats.org/officeDocument/2006/relationships/hyperlink" Target="http://www.homedepot.com/p/Carlon-2-Gang-25-cu-in-Non-Metallic-Old-Work-Switch-and-Outlet-Box-B225R-UPC/100404169" TargetMode="External"/><Relationship Id="rId336" Type="http://schemas.openxmlformats.org/officeDocument/2006/relationships/hyperlink" Target="http://www.homedepot.com/b/Electrical-Electrical-Boxes-Conduit-Fittings/Carlon/N-5yc1vZbm4mZ2dq" TargetMode="External"/><Relationship Id="rId501" Type="http://schemas.openxmlformats.org/officeDocument/2006/relationships/hyperlink" Target="http://www.homedepot.com/b/Electrical-Electrical-Boxes-Conduit-Fittings/Carlon/N-5yc1vZbm4mZ2dq" TargetMode="External"/><Relationship Id="rId543" Type="http://schemas.openxmlformats.org/officeDocument/2006/relationships/hyperlink" Target="https://www.amazon.com/-/es/Bodine-B100-emergencia-Funciona-compacto/dp/B01LX5SOPY/ref=sr_1_5?__mk_es_US=%C3%85M%C3%85%C5%BD%C3%95%C3%91&amp;dchild=1&amp;keywords=bodine&amp;qid=1614903567&amp;s=hi&amp;sr=1-5" TargetMode="External"/><Relationship Id="rId75" Type="http://schemas.openxmlformats.org/officeDocument/2006/relationships/hyperlink" Target="http://www.homedepot.com/p/Carlon-2-Gang-25-cu-in-Non-Metallic-Old-Work-Switch-and-Outlet-Box-B225R-UPC/100404169" TargetMode="External"/><Relationship Id="rId140" Type="http://schemas.openxmlformats.org/officeDocument/2006/relationships/hyperlink" Target="http://www.homedepot.com/p/Carlon-2-Gang-25-cu-in-Non-Metallic-Old-Work-Switch-and-Outlet-Box-B225R-UPC/100404169" TargetMode="External"/><Relationship Id="rId182" Type="http://schemas.openxmlformats.org/officeDocument/2006/relationships/hyperlink" Target="http://www.homedepot.com/p/Carlon-2-Gang-25-cu-in-Non-Metallic-Old-Work-Switch-and-Outlet-Box-B225R-UPC/100404169" TargetMode="External"/><Relationship Id="rId378" Type="http://schemas.openxmlformats.org/officeDocument/2006/relationships/hyperlink" Target="http://www.homedepot.com/b/Electrical-Electrical-Boxes-Conduit-Fittings/Carlon/N-5yc1vZbm4mZ2dq" TargetMode="External"/><Relationship Id="rId403" Type="http://schemas.openxmlformats.org/officeDocument/2006/relationships/hyperlink" Target="http://www.homedepot.com/p/Carlon-2-Gang-25-cu-in-Non-Metallic-Old-Work-Switch-and-Outlet-Box-B225R-UPC/100404169" TargetMode="External"/><Relationship Id="rId585" Type="http://schemas.openxmlformats.org/officeDocument/2006/relationships/hyperlink" Target="https://www.amazon.com/-/es/micr%C3%B3fono-inal%C3%A1mbrico-Bodypacks-auriculares-conferencia/dp/B07YHFC1VM/ref=sr_1_8?__mk_es_US=%C3%85M%C3%85%C5%BD%C3%95%C3%91&amp;dchild=1&amp;keywords=diadema+uhf&amp;qid=1625181052&amp;sr=8-8" TargetMode="External"/><Relationship Id="rId750" Type="http://schemas.openxmlformats.org/officeDocument/2006/relationships/hyperlink" Target="http://www.homedepot.com/b/Electrical-Electrical-Boxes-Conduit-Fittings/Carlon/N-5yc1vZbm4mZ2dq" TargetMode="External"/><Relationship Id="rId6" Type="http://schemas.openxmlformats.org/officeDocument/2006/relationships/hyperlink" Target="https://microcell.co/videoproyectores-epson/1969-video-proyector-epson-power-lite-1980wu-4-400-lumens-wuxga-19200x1200-1080p.html" TargetMode="External"/><Relationship Id="rId238" Type="http://schemas.openxmlformats.org/officeDocument/2006/relationships/hyperlink" Target="http://www.homedepot.com/p/Carlon-2-Gang-25-cu-in-Non-Metallic-Old-Work-Switch-and-Outlet-Box-B225R-UPC/100404169" TargetMode="External"/><Relationship Id="rId445" Type="http://schemas.openxmlformats.org/officeDocument/2006/relationships/hyperlink" Target="http://www.homedepot.com/p/Carlon-2-Gang-25-cu-in-Non-Metallic-Old-Work-Switch-and-Outlet-Box-B225R-UPC/100404169" TargetMode="External"/><Relationship Id="rId487" Type="http://schemas.openxmlformats.org/officeDocument/2006/relationships/hyperlink" Target="http://www.homedepot.com/b/Electrical-Electrical-Boxes-Conduit-Fittings/Carlon/N-5yc1vZbm4mZ2dq" TargetMode="External"/><Relationship Id="rId610" Type="http://schemas.openxmlformats.org/officeDocument/2006/relationships/hyperlink" Target="http://www.homedepot.com/p/Carlon-2-Gang-25-cu-in-Non-Metallic-Old-Work-Switch-and-Outlet-Box-B225R-UPC/100404169" TargetMode="External"/><Relationship Id="rId652" Type="http://schemas.openxmlformats.org/officeDocument/2006/relationships/hyperlink" Target="http://www.homedepot.com/b/Electrical-Electrical-Boxes-Conduit-Fittings/Carlon/N-5yc1vZbm4mZ2dq" TargetMode="External"/><Relationship Id="rId694" Type="http://schemas.openxmlformats.org/officeDocument/2006/relationships/hyperlink" Target="http://www.homedepot.com/p/Carlon-2-Gang-25-cu-in-Non-Metallic-Old-Work-Switch-and-Outlet-Box-B225R-UPC/100404169" TargetMode="External"/><Relationship Id="rId708" Type="http://schemas.openxmlformats.org/officeDocument/2006/relationships/hyperlink" Target="https://es.aliexpress.com/item/1005006117739842.html?spm=a2g0o.productlist.main.99.2f996f57tLaLgG&amp;algo_pvid=8ffe042a-6ace-4946-95b5-1e64666d7101&amp;algo_exp_id=8ffe042a-6ace-4946-95b5-1e64666d7101-49&amp;pdp_npi=4%40dis%21COP%212116326.64%211058163.32%21%21%21532.00%21266.00%21%402101e56617154051511952839e0201%2112000035830015006%21sea%21CO%210%21AB&amp;curPageLogUid=xzdKx0ZlrtIz&amp;utparam-url=scene%3Asearch%7Cquery_from%3A" TargetMode="External"/><Relationship Id="rId291" Type="http://schemas.openxmlformats.org/officeDocument/2006/relationships/hyperlink" Target="http://www.homedepot.com/b/Electrical-Electrical-Boxes-Conduit-Fittings/Carlon/N-5yc1vZbm4mZ2dq" TargetMode="External"/><Relationship Id="rId305" Type="http://schemas.openxmlformats.org/officeDocument/2006/relationships/hyperlink" Target="http://www.homedepot.com/b/Electrical-Electrical-Boxes-Conduit-Fittings/Carlon/N-5yc1vZbm4mZ2dq" TargetMode="External"/><Relationship Id="rId347" Type="http://schemas.openxmlformats.org/officeDocument/2006/relationships/hyperlink" Target="http://www.homedepot.com/p/Carlon-2-Gang-25-cu-in-Non-Metallic-Old-Work-Switch-and-Outlet-Box-B225R-UPC/100404169" TargetMode="External"/><Relationship Id="rId512" Type="http://schemas.openxmlformats.org/officeDocument/2006/relationships/hyperlink" Target="http://www.homedepot.com/p/Carlon-2-Gang-25-cu-in-Non-Metallic-Old-Work-Switch-and-Outlet-Box-B225R-UPC/100404169" TargetMode="External"/><Relationship Id="rId44" Type="http://schemas.openxmlformats.org/officeDocument/2006/relationships/hyperlink" Target="http://www.homedepot.com/p/Carlon-2-Gang-25-cu-in-Non-Metallic-Old-Work-Switch-and-Outlet-Box-B225R-UPC/100404169" TargetMode="External"/><Relationship Id="rId86" Type="http://schemas.openxmlformats.org/officeDocument/2006/relationships/hyperlink" Target="http://articulo.mercadolibre.com.co/MCO-418410612-rack-gabinete-de-pared-telecomunicaciones-6-ur-_JM" TargetMode="External"/><Relationship Id="rId151" Type="http://schemas.openxmlformats.org/officeDocument/2006/relationships/hyperlink" Target="http://www.homedepot.com/b/Electrical-Electrical-Boxes-Conduit-Fittings/Carlon/N-5yc1vZbm4mZ2dq" TargetMode="External"/><Relationship Id="rId389" Type="http://schemas.openxmlformats.org/officeDocument/2006/relationships/hyperlink" Target="http://www.homedepot.com/p/Carlon-2-Gang-25-cu-in-Non-Metallic-Old-Work-Switch-and-Outlet-Box-B225R-UPC/100404169" TargetMode="External"/><Relationship Id="rId554" Type="http://schemas.openxmlformats.org/officeDocument/2006/relationships/hyperlink" Target="http://www.homedepot.com/p/Carlon-2-Gang-25-cu-in-Non-Metallic-Old-Work-Switch-and-Outlet-Box-B225R-UPC/100404169" TargetMode="External"/><Relationship Id="rId596" Type="http://schemas.openxmlformats.org/officeDocument/2006/relationships/hyperlink" Target="http://www.homedepot.com/p/Carlon-2-Gang-25-cu-in-Non-Metallic-Old-Work-Switch-and-Outlet-Box-B225R-UPC/100404169" TargetMode="External"/><Relationship Id="rId761" Type="http://schemas.openxmlformats.org/officeDocument/2006/relationships/hyperlink" Target="http://www.homedepot.com/b/Electrical-Electrical-Boxes-Conduit-Fittings/Carlon/N-5yc1vZbm4mZ2dq" TargetMode="External"/><Relationship Id="rId193" Type="http://schemas.openxmlformats.org/officeDocument/2006/relationships/hyperlink" Target="http://www.homedepot.com/b/Electrical-Electrical-Boxes-Conduit-Fittings/Carlon/N-5yc1vZbm4mZ2dq" TargetMode="External"/><Relationship Id="rId207" Type="http://schemas.openxmlformats.org/officeDocument/2006/relationships/hyperlink" Target="http://www.homedepot.com/b/Electrical-Electrical-Boxes-Conduit-Fittings/Carlon/N-5yc1vZbm4mZ2dq" TargetMode="External"/><Relationship Id="rId249" Type="http://schemas.openxmlformats.org/officeDocument/2006/relationships/hyperlink" Target="http://www.homedepot.com/b/Electrical-Electrical-Boxes-Conduit-Fittings/Carlon/N-5yc1vZbm4mZ2dq" TargetMode="External"/><Relationship Id="rId414" Type="http://schemas.openxmlformats.org/officeDocument/2006/relationships/hyperlink" Target="http://www.homedepot.com/b/Electrical-Electrical-Boxes-Conduit-Fittings/Carlon/N-5yc1vZbm4mZ2dq" TargetMode="External"/><Relationship Id="rId456" Type="http://schemas.openxmlformats.org/officeDocument/2006/relationships/hyperlink" Target="http://www.homedepot.com/b/Electrical-Electrical-Boxes-Conduit-Fittings/Carlon/N-5yc1vZbm4mZ2dq" TargetMode="External"/><Relationship Id="rId498" Type="http://schemas.openxmlformats.org/officeDocument/2006/relationships/hyperlink" Target="http://www.homedepot.com/p/Carlon-2-Gang-25-cu-in-Non-Metallic-Old-Work-Switch-and-Outlet-Box-B225R-UPC/100404169" TargetMode="External"/><Relationship Id="rId621" Type="http://schemas.openxmlformats.org/officeDocument/2006/relationships/hyperlink" Target="http://www.homedepot.com/b/Electrical-Electrical-Boxes-Conduit-Fittings/Carlon/N-5yc1vZbm4mZ2dq" TargetMode="External"/><Relationship Id="rId663" Type="http://schemas.openxmlformats.org/officeDocument/2006/relationships/hyperlink" Target="http://www.homedepot.com/b/Electrical-Electrical-Boxes-Conduit-Fittings/Carlon/N-5yc1vZbm4mZ2dq" TargetMode="External"/><Relationship Id="rId13" Type="http://schemas.openxmlformats.org/officeDocument/2006/relationships/hyperlink" Target="https://microcell.co/videoproyectores-epson/1969-video-proyector-epson-power-lite-1980wu-4-400-lumens-wuxga-19200x1200-1080p.html" TargetMode="External"/><Relationship Id="rId109" Type="http://schemas.openxmlformats.org/officeDocument/2006/relationships/hyperlink" Target="http://www.homedepot.com/b/Electrical-Electrical-Boxes-Conduit-Fittings/Carlon/N-5yc1vZbm4mZ2dq" TargetMode="External"/><Relationship Id="rId260" Type="http://schemas.openxmlformats.org/officeDocument/2006/relationships/hyperlink" Target="http://www.homedepot.com/b/Electrical-Electrical-Boxes-Conduit-Fittings/Carlon/N-5yc1vZbm4mZ2dq" TargetMode="External"/><Relationship Id="rId316" Type="http://schemas.openxmlformats.org/officeDocument/2006/relationships/hyperlink" Target="http://www.homedepot.com/p/Carlon-2-Gang-25-cu-in-Non-Metallic-Old-Work-Switch-and-Outlet-Box-B225R-UPC/100404169" TargetMode="External"/><Relationship Id="rId523" Type="http://schemas.openxmlformats.org/officeDocument/2006/relationships/hyperlink" Target="http://www.homedepot.com/p/Carlon-2-Gang-25-cu-in-Non-Metallic-Old-Work-Switch-and-Outlet-Box-B225R-UPC/100404169" TargetMode="External"/><Relationship Id="rId719" Type="http://schemas.openxmlformats.org/officeDocument/2006/relationships/hyperlink" Target="https://www.amazon.com/-/es/dp/B0B2BY4ZG7?ref=ml_rc_nd_ucc" TargetMode="External"/><Relationship Id="rId55" Type="http://schemas.openxmlformats.org/officeDocument/2006/relationships/hyperlink" Target="http://www.homedepot.com/p/Carlon-2-Gang-25-cu-in-Non-Metallic-Old-Work-Switch-and-Outlet-Box-B225R-UPC/100404169" TargetMode="External"/><Relationship Id="rId97" Type="http://schemas.openxmlformats.org/officeDocument/2006/relationships/hyperlink" Target="http://www.homedepot.com/b/Electrical-Electrical-Boxes-Conduit-Fittings/Carlon/N-5yc1vZbm4mZ2dq" TargetMode="External"/><Relationship Id="rId120" Type="http://schemas.openxmlformats.org/officeDocument/2006/relationships/hyperlink" Target="http://www.homedepot.com/p/Carlon-2-Gang-25-cu-in-Non-Metallic-Old-Work-Switch-and-Outlet-Box-B225R-UPC/100404169" TargetMode="External"/><Relationship Id="rId358" Type="http://schemas.openxmlformats.org/officeDocument/2006/relationships/hyperlink" Target="http://www.homedepot.com/b/Electrical-Electrical-Boxes-Conduit-Fittings/Carlon/N-5yc1vZbm4mZ2dq" TargetMode="External"/><Relationship Id="rId565" Type="http://schemas.openxmlformats.org/officeDocument/2006/relationships/hyperlink" Target="http://www.homedepot.com/p/Carlon-2-Gang-25-cu-in-Non-Metallic-Old-Work-Switch-and-Outlet-Box-B225R-UPC/100404169" TargetMode="External"/><Relationship Id="rId730" Type="http://schemas.openxmlformats.org/officeDocument/2006/relationships/hyperlink" Target="https://www.superbrightleds.com/power-supplies/constant-voltage-power-supplies/dveh-xw-24v+wattconsume-180~Watts~Max" TargetMode="External"/><Relationship Id="rId772" Type="http://schemas.openxmlformats.org/officeDocument/2006/relationships/hyperlink" Target="http://www.homedepot.com/b/Electrical-Electrical-Boxes-Conduit-Fittings/Carlon/N-5yc1vZbm4mZ2dq" TargetMode="External"/><Relationship Id="rId162" Type="http://schemas.openxmlformats.org/officeDocument/2006/relationships/hyperlink" Target="http://www.homedepot.com/p/Carlon-2-Gang-25-cu-in-Non-Metallic-Old-Work-Switch-and-Outlet-Box-B225R-UPC/100404169" TargetMode="External"/><Relationship Id="rId218" Type="http://schemas.openxmlformats.org/officeDocument/2006/relationships/hyperlink" Target="http://www.homedepot.com/p/Carlon-2-Gang-25-cu-in-Non-Metallic-Old-Work-Switch-and-Outlet-Box-B225R-UPC/100404169" TargetMode="External"/><Relationship Id="rId425" Type="http://schemas.openxmlformats.org/officeDocument/2006/relationships/hyperlink" Target="http://www.homedepot.com/p/Carlon-2-Gang-25-cu-in-Non-Metallic-Old-Work-Switch-and-Outlet-Box-B225R-UPC/100404169" TargetMode="External"/><Relationship Id="rId467" Type="http://schemas.openxmlformats.org/officeDocument/2006/relationships/hyperlink" Target="http://www.homedepot.com/p/Carlon-2-Gang-25-cu-in-Non-Metallic-Old-Work-Switch-and-Outlet-Box-B225R-UPC/100404169" TargetMode="External"/><Relationship Id="rId632" Type="http://schemas.openxmlformats.org/officeDocument/2006/relationships/hyperlink" Target="http://www.homedepot.com/p/Carlon-2-Gang-25-cu-in-Non-Metallic-Old-Work-Switch-and-Outlet-Box-B225R-UPC/100404169" TargetMode="External"/><Relationship Id="rId271" Type="http://schemas.openxmlformats.org/officeDocument/2006/relationships/hyperlink" Target="http://www.homedepot.com/b/Electrical-Electrical-Boxes-Conduit-Fittings/Carlon/N-5yc1vZbm4mZ2dq" TargetMode="External"/><Relationship Id="rId674" Type="http://schemas.openxmlformats.org/officeDocument/2006/relationships/hyperlink" Target="http://www.homedepot.com/p/Carlon-2-Gang-25-cu-in-Non-Metallic-Old-Work-Switch-and-Outlet-Box-B225R-UPC/100404169" TargetMode="External"/><Relationship Id="rId24" Type="http://schemas.openxmlformats.org/officeDocument/2006/relationships/hyperlink" Target="http://www.homedepot.com/b/Electrical-Electrical-Boxes-Conduit-Fittings/Carlon/N-5yc1vZbm4mZ2dq" TargetMode="External"/><Relationship Id="rId66" Type="http://schemas.openxmlformats.org/officeDocument/2006/relationships/hyperlink" Target="http://www.homedepot.com/p/Carlon-2-Gang-25-cu-in-Non-Metallic-Old-Work-Switch-and-Outlet-Box-B225R-UPC/100404169" TargetMode="External"/><Relationship Id="rId131" Type="http://schemas.openxmlformats.org/officeDocument/2006/relationships/hyperlink" Target="http://www.homedepot.com/b/Electrical-Electrical-Boxes-Conduit-Fittings/Carlon/N-5yc1vZbm4mZ2dq" TargetMode="External"/><Relationship Id="rId327" Type="http://schemas.openxmlformats.org/officeDocument/2006/relationships/hyperlink" Target="http://www.homedepot.com/p/Carlon-2-Gang-25-cu-in-Non-Metallic-Old-Work-Switch-and-Outlet-Box-B225R-UPC/100404169" TargetMode="External"/><Relationship Id="rId369" Type="http://schemas.openxmlformats.org/officeDocument/2006/relationships/hyperlink" Target="http://www.homedepot.com/p/Carlon-2-Gang-25-cu-in-Non-Metallic-Old-Work-Switch-and-Outlet-Box-B225R-UPC/100404169" TargetMode="External"/><Relationship Id="rId534" Type="http://schemas.openxmlformats.org/officeDocument/2006/relationships/hyperlink" Target="http://www.homedepot.com/p/Carlon-2-Gang-25-cu-in-Non-Metallic-Old-Work-Switch-and-Outlet-Box-B225R-UPC/100404169" TargetMode="External"/><Relationship Id="rId576" Type="http://schemas.openxmlformats.org/officeDocument/2006/relationships/hyperlink" Target="http://www.homedepot.com/p/Carlon-2-Gang-25-cu-in-Non-Metallic-Old-Work-Switch-and-Outlet-Box-B225R-UPC/100404169" TargetMode="External"/><Relationship Id="rId741" Type="http://schemas.openxmlformats.org/officeDocument/2006/relationships/hyperlink" Target="http://www.homedepot.com/b/Electrical-Electrical-Boxes-Conduit-Fittings/Carlon/N-5yc1vZbm4mZ2dq" TargetMode="External"/><Relationship Id="rId173" Type="http://schemas.openxmlformats.org/officeDocument/2006/relationships/hyperlink" Target="http://www.homedepot.com/b/Electrical-Electrical-Boxes-Conduit-Fittings/Carlon/N-5yc1vZbm4mZ2dq" TargetMode="External"/><Relationship Id="rId229" Type="http://schemas.openxmlformats.org/officeDocument/2006/relationships/hyperlink" Target="http://www.homedepot.com/b/Electrical-Electrical-Boxes-Conduit-Fittings/Carlon/N-5yc1vZbm4mZ2dq" TargetMode="External"/><Relationship Id="rId380" Type="http://schemas.openxmlformats.org/officeDocument/2006/relationships/hyperlink" Target="http://www.homedepot.com/b/Electrical-Electrical-Boxes-Conduit-Fittings/Carlon/N-5yc1vZbm4mZ2dq" TargetMode="External"/><Relationship Id="rId436" Type="http://schemas.openxmlformats.org/officeDocument/2006/relationships/hyperlink" Target="http://www.homedepot.com/b/Electrical-Electrical-Boxes-Conduit-Fittings/Carlon/N-5yc1vZbm4mZ2dq" TargetMode="External"/><Relationship Id="rId601" Type="http://schemas.openxmlformats.org/officeDocument/2006/relationships/hyperlink" Target="http://www.homedepot.com/p/Carlon-2-Gang-25-cu-in-Non-Metallic-Old-Work-Switch-and-Outlet-Box-B225R-UPC/100404169" TargetMode="External"/><Relationship Id="rId643" Type="http://schemas.openxmlformats.org/officeDocument/2006/relationships/hyperlink" Target="http://www.homedepot.com/p/Carlon-2-Gang-25-cu-in-Non-Metallic-Old-Work-Switch-and-Outlet-Box-B225R-UPC/100404169" TargetMode="External"/><Relationship Id="rId240" Type="http://schemas.openxmlformats.org/officeDocument/2006/relationships/hyperlink" Target="http://www.homedepot.com/p/Carlon-2-Gang-25-cu-in-Non-Metallic-Old-Work-Switch-and-Outlet-Box-B225R-UPC/100404169" TargetMode="External"/><Relationship Id="rId478" Type="http://schemas.openxmlformats.org/officeDocument/2006/relationships/hyperlink" Target="http://www.homedepot.com/b/Electrical-Electrical-Boxes-Conduit-Fittings/Carlon/N-5yc1vZbm4mZ2dq" TargetMode="External"/><Relationship Id="rId685" Type="http://schemas.openxmlformats.org/officeDocument/2006/relationships/hyperlink" Target="https://www.amazon.com/-/es/control-inal%C3%A1mbrico-controlador-Bluetooth-DC12-24V/dp/B09PG93716/ref=sr_1_4?__mk_es_US=%C3%85M%C3%85%C5%BD%C3%95%C3%91&amp;crid=LFIHXJKBO5AA&amp;keywords=controlador%2BRGB%2Bwifi&amp;qid=1683896593&amp;refinements=p_72%3A1248909011&amp;rnid=1248907011&amp;s=hi&amp;sprefix=controlador%2Brgb%2Bwifi%2Caps%2C147&amp;sr=1-4&amp;th=1" TargetMode="External"/><Relationship Id="rId35" Type="http://schemas.openxmlformats.org/officeDocument/2006/relationships/hyperlink" Target="https://www.amazon.com/DealMux-a14121000ux0092-Stainless-Breaking-Horizontal/dp/B071KKJ693/ref=sr_1_17?s=industrial&amp;ie=UTF8&amp;qid=1525769712&amp;sr=1-17&amp;keywords=stainless+steel+tank+water+level+sensor+float+switch" TargetMode="External"/><Relationship Id="rId77" Type="http://schemas.openxmlformats.org/officeDocument/2006/relationships/hyperlink" Target="http://www.homedepot.com/p/Carlon-2-Gang-25-cu-in-Non-Metallic-Old-Work-Switch-and-Outlet-Box-B225R-UPC/100404169" TargetMode="External"/><Relationship Id="rId100" Type="http://schemas.openxmlformats.org/officeDocument/2006/relationships/hyperlink" Target="http://www.homedepot.com/b/Electrical-Electrical-Boxes-Conduit-Fittings/Carlon/N-5yc1vZbm4mZ2dq" TargetMode="External"/><Relationship Id="rId282" Type="http://schemas.openxmlformats.org/officeDocument/2006/relationships/hyperlink" Target="http://www.homedepot.com/p/Carlon-2-Gang-25-cu-in-Non-Metallic-Old-Work-Switch-and-Outlet-Box-B225R-UPC/100404169" TargetMode="External"/><Relationship Id="rId338" Type="http://schemas.openxmlformats.org/officeDocument/2006/relationships/hyperlink" Target="http://www.homedepot.com/b/Electrical-Electrical-Boxes-Conduit-Fittings/Carlon/N-5yc1vZbm4mZ2dq" TargetMode="External"/><Relationship Id="rId503" Type="http://schemas.openxmlformats.org/officeDocument/2006/relationships/hyperlink" Target="http://www.amazon.com/Super-cable-3-5mm-Stereo-Plated/dp/B003NGIDKC/ref=sr_1_7?ie=UTF8&amp;qid=1454621169&amp;sr=8-7&amp;keywords=VGA+15M" TargetMode="External"/><Relationship Id="rId545" Type="http://schemas.openxmlformats.org/officeDocument/2006/relationships/hyperlink" Target="http://www.homedepot.com/p/Carlon-2-Gang-25-cu-in-Non-Metallic-Old-Work-Switch-and-Outlet-Box-B225R-UPC/100404169" TargetMode="External"/><Relationship Id="rId587" Type="http://schemas.openxmlformats.org/officeDocument/2006/relationships/hyperlink" Target="http://www.homedepot.com/p/Carlon-2-Gang-25-cu-in-Non-Metallic-Old-Work-Switch-and-Outlet-Box-B225R-UPC/100404169" TargetMode="External"/><Relationship Id="rId710" Type="http://schemas.openxmlformats.org/officeDocument/2006/relationships/hyperlink" Target="https://www.mercadolibre.com.co/enchufe-smart-plug-mini-kasa-alexa-google-home-ifttt-wifi-color-blanco/p/MCO20996286" TargetMode="External"/><Relationship Id="rId752" Type="http://schemas.openxmlformats.org/officeDocument/2006/relationships/hyperlink" Target="http://www.homedepot.com/b/Electrical-Electrical-Boxes-Conduit-Fittings/Carlon/N-5yc1vZbm4mZ2dq" TargetMode="External"/><Relationship Id="rId8" Type="http://schemas.openxmlformats.org/officeDocument/2006/relationships/hyperlink" Target="https://microcell.co/videoproyectores-epson/1969-video-proyector-epson-power-lite-1980wu-4-400-lumens-wuxga-19200x1200-1080p.html" TargetMode="External"/><Relationship Id="rId142" Type="http://schemas.openxmlformats.org/officeDocument/2006/relationships/hyperlink" Target="http://www.homedepot.com/p/Carlon-2-Gang-25-cu-in-Non-Metallic-Old-Work-Switch-and-Outlet-Box-B225R-UPC/100404169" TargetMode="External"/><Relationship Id="rId184" Type="http://schemas.openxmlformats.org/officeDocument/2006/relationships/hyperlink" Target="http://www.homedepot.com/p/Carlon-2-Gang-25-cu-in-Non-Metallic-Old-Work-Switch-and-Outlet-Box-B225R-UPC/100404169" TargetMode="External"/><Relationship Id="rId391" Type="http://schemas.openxmlformats.org/officeDocument/2006/relationships/hyperlink" Target="http://www.homedepot.com/p/Carlon-2-Gang-25-cu-in-Non-Metallic-Old-Work-Switch-and-Outlet-Box-B225R-UPC/100404169" TargetMode="External"/><Relationship Id="rId405" Type="http://schemas.openxmlformats.org/officeDocument/2006/relationships/hyperlink" Target="http://www.homedepot.com/p/Carlon-2-Gang-25-cu-in-Non-Metallic-Old-Work-Switch-and-Outlet-Box-B225R-UPC/100404169" TargetMode="External"/><Relationship Id="rId447" Type="http://schemas.openxmlformats.org/officeDocument/2006/relationships/hyperlink" Target="http://www.homedepot.com/p/Carlon-2-Gang-25-cu-in-Non-Metallic-Old-Work-Switch-and-Outlet-Box-B225R-UPC/100404169" TargetMode="External"/><Relationship Id="rId612" Type="http://schemas.openxmlformats.org/officeDocument/2006/relationships/hyperlink" Target="http://www.homedepot.com/p/Carlon-2-Gang-25-cu-in-Non-Metallic-Old-Work-Switch-and-Outlet-Box-B225R-UPC/100404169" TargetMode="External"/><Relationship Id="rId251" Type="http://schemas.openxmlformats.org/officeDocument/2006/relationships/hyperlink" Target="http://www.homedepot.com/b/Electrical-Electrical-Boxes-Conduit-Fittings/Carlon/N-5yc1vZbm4mZ2dq" TargetMode="External"/><Relationship Id="rId489" Type="http://schemas.openxmlformats.org/officeDocument/2006/relationships/hyperlink" Target="http://www.homedepot.com/p/Carlon-2-Gang-25-cu-in-Non-Metallic-Old-Work-Switch-and-Outlet-Box-B225R-UPC/100404169" TargetMode="External"/><Relationship Id="rId654" Type="http://schemas.openxmlformats.org/officeDocument/2006/relationships/hyperlink" Target="http://www.homedepot.com/b/Electrical-Electrical-Boxes-Conduit-Fittings/Carlon/N-5yc1vZbm4mZ2dq" TargetMode="External"/><Relationship Id="rId696" Type="http://schemas.openxmlformats.org/officeDocument/2006/relationships/hyperlink" Target="https://www.macrotics.com/rollo-de-cable-utp-cat-5e-awg24-en-305mts-para-uso-de-exterior/p" TargetMode="External"/><Relationship Id="rId46" Type="http://schemas.openxmlformats.org/officeDocument/2006/relationships/hyperlink" Target="http://www.homedepot.com/p/Carlon-2-Gang-25-cu-in-Non-Metallic-Old-Work-Switch-and-Outlet-Box-B225R-UPC/100404169" TargetMode="External"/><Relationship Id="rId293" Type="http://schemas.openxmlformats.org/officeDocument/2006/relationships/hyperlink" Target="http://www.homedepot.com/b/Electrical-Electrical-Boxes-Conduit-Fittings/Carlon/N-5yc1vZbm4mZ2dq" TargetMode="External"/><Relationship Id="rId307" Type="http://schemas.openxmlformats.org/officeDocument/2006/relationships/hyperlink" Target="http://www.homedepot.com/b/Electrical-Electrical-Boxes-Conduit-Fittings/Carlon/N-5yc1vZbm4mZ2dq" TargetMode="External"/><Relationship Id="rId349" Type="http://schemas.openxmlformats.org/officeDocument/2006/relationships/hyperlink" Target="http://www.homedepot.com/p/Carlon-2-Gang-25-cu-in-Non-Metallic-Old-Work-Switch-and-Outlet-Box-B225R-UPC/100404169" TargetMode="External"/><Relationship Id="rId514" Type="http://schemas.openxmlformats.org/officeDocument/2006/relationships/hyperlink" Target="http://www.homedepot.com/p/Carlon-2-Gang-25-cu-in-Non-Metallic-Old-Work-Switch-and-Outlet-Box-B225R-UPC/100404169" TargetMode="External"/><Relationship Id="rId556" Type="http://schemas.openxmlformats.org/officeDocument/2006/relationships/hyperlink" Target="http://www.homedepot.com/p/Carlon-2-Gang-25-cu-in-Non-Metallic-Old-Work-Switch-and-Outlet-Box-B225R-UPC/100404169" TargetMode="External"/><Relationship Id="rId721" Type="http://schemas.openxmlformats.org/officeDocument/2006/relationships/hyperlink" Target="https://www.amazon.com/-/es/rodillos-transportadores-potencia-comercial-inoxidable/dp/B0D9SCL1FN?th=1" TargetMode="External"/><Relationship Id="rId763" Type="http://schemas.openxmlformats.org/officeDocument/2006/relationships/hyperlink" Target="http://www.homedepot.com/b/Electrical-Electrical-Boxes-Conduit-Fittings/Carlon/N-5yc1vZbm4mZ2dq" TargetMode="External"/><Relationship Id="rId88" Type="http://schemas.openxmlformats.org/officeDocument/2006/relationships/hyperlink" Target="https://www.amazon.com/KERUI-Driveway-Infrared-Intelligent-surroundings/dp/B00NPVF9KM/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psc=1&amp;refRID=96ANBCAAFMMZPN6R7GKC" TargetMode="External"/><Relationship Id="rId111" Type="http://schemas.openxmlformats.org/officeDocument/2006/relationships/hyperlink" Target="http://www.homedepot.com/b/Electrical-Electrical-Boxes-Conduit-Fittings/Carlon/N-5yc1vZbm4mZ2dq" TargetMode="External"/><Relationship Id="rId153" Type="http://schemas.openxmlformats.org/officeDocument/2006/relationships/hyperlink" Target="http://www.homedepot.com/b/Electrical-Electrical-Boxes-Conduit-Fittings/Carlon/N-5yc1vZbm4mZ2dq" TargetMode="External"/><Relationship Id="rId195" Type="http://schemas.openxmlformats.org/officeDocument/2006/relationships/hyperlink" Target="http://www.homedepot.com/b/Electrical-Electrical-Boxes-Conduit-Fittings/Carlon/N-5yc1vZbm4mZ2dq" TargetMode="External"/><Relationship Id="rId209" Type="http://schemas.openxmlformats.org/officeDocument/2006/relationships/hyperlink" Target="http://www.homedepot.com/b/Electrical-Electrical-Boxes-Conduit-Fittings/Carlon/N-5yc1vZbm4mZ2dq" TargetMode="External"/><Relationship Id="rId360" Type="http://schemas.openxmlformats.org/officeDocument/2006/relationships/hyperlink" Target="http://www.homedepot.com/b/Electrical-Electrical-Boxes-Conduit-Fittings/Carlon/N-5yc1vZbm4mZ2dq" TargetMode="External"/><Relationship Id="rId416" Type="http://schemas.openxmlformats.org/officeDocument/2006/relationships/hyperlink" Target="http://www.homedepot.com/b/Electrical-Electrical-Boxes-Conduit-Fittings/Carlon/N-5yc1vZbm4mZ2dq" TargetMode="External"/><Relationship Id="rId598" Type="http://schemas.openxmlformats.org/officeDocument/2006/relationships/hyperlink" Target="http://www.homedepot.com/p/Carlon-2-Gang-25-cu-in-Non-Metallic-Old-Work-Switch-and-Outlet-Box-B225R-UPC/100404169" TargetMode="External"/><Relationship Id="rId220" Type="http://schemas.openxmlformats.org/officeDocument/2006/relationships/hyperlink" Target="http://www.homedepot.com/p/Carlon-2-Gang-25-cu-in-Non-Metallic-Old-Work-Switch-and-Outlet-Box-B225R-UPC/100404169" TargetMode="External"/><Relationship Id="rId458" Type="http://schemas.openxmlformats.org/officeDocument/2006/relationships/hyperlink" Target="http://www.homedepot.com/b/Electrical-Electrical-Boxes-Conduit-Fittings/Carlon/N-5yc1vZbm4mZ2dq" TargetMode="External"/><Relationship Id="rId623" Type="http://schemas.openxmlformats.org/officeDocument/2006/relationships/hyperlink" Target="https://www.monoprice.com/product?p_id=24180" TargetMode="External"/><Relationship Id="rId665" Type="http://schemas.openxmlformats.org/officeDocument/2006/relationships/hyperlink" Target="http://www.homedepot.com/p/Carlon-2-Gang-25-cu-in-Non-Metallic-Old-Work-Switch-and-Outlet-Box-B225R-UPC/100404169" TargetMode="External"/><Relationship Id="rId15" Type="http://schemas.openxmlformats.org/officeDocument/2006/relationships/hyperlink" Target="https://www.amazon.com/-/es/dp/B07Z4PZMLP/ref=sr_1_2?__mk_es_US=%C3%85M%C3%85%C5%BD%C3%95%C3%91&amp;keywords=rs232+2x2+matrix&amp;qid=1582722672&amp;sr=8-2" TargetMode="External"/><Relationship Id="rId57" Type="http://schemas.openxmlformats.org/officeDocument/2006/relationships/hyperlink" Target="http://www.homedepot.com/p/Carlon-2-Gang-25-cu-in-Non-Metallic-Old-Work-Switch-and-Outlet-Box-B225R-UPC/100404169" TargetMode="External"/><Relationship Id="rId262" Type="http://schemas.openxmlformats.org/officeDocument/2006/relationships/hyperlink" Target="http://www.homedepot.com/b/Electrical-Electrical-Boxes-Conduit-Fittings/Carlon/N-5yc1vZbm4mZ2dq" TargetMode="External"/><Relationship Id="rId318" Type="http://schemas.openxmlformats.org/officeDocument/2006/relationships/hyperlink" Target="http://www.fibersavvy.com/store/p/6379-THE-SCOOP-Single-Dual-Gang-Reversible-Non-Metallic-Cable-Entrance-Plates.aspx" TargetMode="External"/><Relationship Id="rId525" Type="http://schemas.openxmlformats.org/officeDocument/2006/relationships/hyperlink" Target="http://www.homedepot.com/p/Carlon-2-Gang-25-cu-in-Non-Metallic-Old-Work-Switch-and-Outlet-Box-B225R-UPC/100404169" TargetMode="External"/><Relationship Id="rId567" Type="http://schemas.openxmlformats.org/officeDocument/2006/relationships/hyperlink" Target="http://www.homedepot.com/p/Carlon-2-Gang-25-cu-in-Non-Metallic-Old-Work-Switch-and-Outlet-Box-B225R-UPC/100404169" TargetMode="External"/><Relationship Id="rId732" Type="http://schemas.openxmlformats.org/officeDocument/2006/relationships/hyperlink" Target="https://www.323.tv/product/poly-studio-x52-7200-88085-001/?srsltid=AfmBOorBgyx5fhI3SXJ_kbljke9n3r43cHu5yGizTQaiYa2MYIl-4hJo&amp;utm_source=chatgpt.com" TargetMode="External"/><Relationship Id="rId99" Type="http://schemas.openxmlformats.org/officeDocument/2006/relationships/hyperlink" Target="http://www.homedepot.com/b/Electrical-Electrical-Boxes-Conduit-Fittings/Carlon/N-5yc1vZbm4mZ2dq" TargetMode="External"/><Relationship Id="rId122" Type="http://schemas.openxmlformats.org/officeDocument/2006/relationships/hyperlink" Target="http://www.homedepot.com/p/Carlon-2-Gang-25-cu-in-Non-Metallic-Old-Work-Switch-and-Outlet-Box-B225R-UPC/100404169" TargetMode="External"/><Relationship Id="rId164" Type="http://schemas.openxmlformats.org/officeDocument/2006/relationships/hyperlink" Target="http://www.homedepot.com/p/Carlon-2-Gang-25-cu-in-Non-Metallic-Old-Work-Switch-and-Outlet-Box-B225R-UPC/100404169" TargetMode="External"/><Relationship Id="rId371" Type="http://schemas.openxmlformats.org/officeDocument/2006/relationships/hyperlink" Target="http://www.homedepot.com/p/Carlon-2-Gang-25-cu-in-Non-Metallic-Old-Work-Switch-and-Outlet-Box-B225R-UPC/100404169" TargetMode="External"/><Relationship Id="rId774" Type="http://schemas.openxmlformats.org/officeDocument/2006/relationships/hyperlink" Target="http://www.homedepot.com/b/Electrical-Electrical-Boxes-Conduit-Fittings/Carlon/N-5yc1vZbm4mZ2dq" TargetMode="External"/><Relationship Id="rId427" Type="http://schemas.openxmlformats.org/officeDocument/2006/relationships/hyperlink" Target="http://www.homedepot.com/p/Carlon-2-Gang-25-cu-in-Non-Metallic-Old-Work-Switch-and-Outlet-Box-B225R-UPC/100404169" TargetMode="External"/><Relationship Id="rId469" Type="http://schemas.openxmlformats.org/officeDocument/2006/relationships/hyperlink" Target="http://www.homedepot.com/p/Carlon-2-Gang-25-cu-in-Non-Metallic-Old-Work-Switch-and-Outlet-Box-B225R-UPC/100404169" TargetMode="External"/><Relationship Id="rId634" Type="http://schemas.openxmlformats.org/officeDocument/2006/relationships/hyperlink" Target="http://www.homedepot.com/p/Carlon-2-Gang-25-cu-in-Non-Metallic-Old-Work-Switch-and-Outlet-Box-B225R-UPC/100404169" TargetMode="External"/><Relationship Id="rId676" Type="http://schemas.openxmlformats.org/officeDocument/2006/relationships/hyperlink" Target="http://www.homedepot.com/p/Carlon-2-Gang-25-cu-in-Non-Metallic-Old-Work-Switch-and-Outlet-Box-B225R-UPC/100404169" TargetMode="External"/><Relationship Id="rId26" Type="http://schemas.openxmlformats.org/officeDocument/2006/relationships/hyperlink" Target="http://www.homedepot.com/p/Carlon-2-Gang-25-cu-in-Non-Metallic-Old-Work-Switch-and-Outlet-Box-B225R-UPC/100404169" TargetMode="External"/><Relationship Id="rId231" Type="http://schemas.openxmlformats.org/officeDocument/2006/relationships/hyperlink" Target="http://www.homedepot.com/b/Electrical-Electrical-Boxes-Conduit-Fittings/Carlon/N-5yc1vZbm4mZ2dq" TargetMode="External"/><Relationship Id="rId273" Type="http://schemas.openxmlformats.org/officeDocument/2006/relationships/hyperlink" Target="http://www.homedepot.com/b/Electrical-Electrical-Boxes-Conduit-Fittings/Carlon/N-5yc1vZbm4mZ2dq" TargetMode="External"/><Relationship Id="rId329" Type="http://schemas.openxmlformats.org/officeDocument/2006/relationships/hyperlink" Target="http://www.homedepot.com/p/Carlon-2-Gang-25-cu-in-Non-Metallic-Old-Work-Switch-and-Outlet-Box-B225R-UPC/100404169" TargetMode="External"/><Relationship Id="rId480" Type="http://schemas.openxmlformats.org/officeDocument/2006/relationships/hyperlink" Target="http://www.homedepot.com/b/Electrical-Electrical-Boxes-Conduit-Fittings/Carlon/N-5yc1vZbm4mZ2dq" TargetMode="External"/><Relationship Id="rId536" Type="http://schemas.openxmlformats.org/officeDocument/2006/relationships/hyperlink" Target="https://www.amazon.com/Orbit-Industries-FLB-D-BR-Receptacle-Adjustable/dp/B0084ID00M/ref=sr_1_5?ie=UTF8&amp;qid=1524737976&amp;sr=8-5&amp;keywords=in-floor+gang" TargetMode="External"/><Relationship Id="rId701" Type="http://schemas.openxmlformats.org/officeDocument/2006/relationships/hyperlink" Target="https://www.amazon.com/dp/B07QNPCK8Z/ref=sspa_dk_detail_1?psc=1&amp;pf_rd_p=f734d1a2-0bf9-4a26-ad34-2e1b969a5a75&amp;pf_rd_r=90C5E5D99NDHQ4ZT33WS&amp;pd_rd_wg=u1jth&amp;pd_rd_w=svZ3d&amp;content-id=amzn1.sym.f734d1a2-0bf9-4a26-ad34-2e1b969a5a75&amp;pd_rd_r=07e49706-76bf-42d4-8a47-2ea01c3525de&amp;s=industrial&amp;sp_csd=d2lkZ2V0TmFtZT1zcF9kZXRhaWw" TargetMode="External"/><Relationship Id="rId68" Type="http://schemas.openxmlformats.org/officeDocument/2006/relationships/hyperlink" Target="https://www.amazon.com/dp/B083GJVSTP/ref=sspa_dk_detail_2?psc=1&amp;pd_rd_i=B083GJVSTP&amp;pd_rd_w=iAcV0&amp;pf_rd_p=80360d1c-2d74-4d2e-9034-f92fb5248b33&amp;pd_rd_wg=lmxTJ&amp;pf_rd_r=G6E07380QCDW0HXV8T5Q&amp;pd_rd_r=d73aadaa-8fb8-4d2b-9e34-842a69cdb5bb&amp;spLa=ZW5jcnlwdGVkUXVhbGlmaWVyPUFENVFJTTdLVklFUzcmZW5jcnlwdGVkSWQ9QTAxMTYxOTQzSzdCTEpZUDdQUEFXJmVuY3J5cHRlZEFkSWQ9QTA0ODI1NDMzT0pFU1NIVjVIVkJNJndpZGdldE5hbWU9c3BfZGV0YWlsJmFjdGlvbj1jbGlja1JlZGlyZWN0JmRvTm90TG9nQ2xpY2s9dHJ1ZQ==" TargetMode="External"/><Relationship Id="rId133" Type="http://schemas.openxmlformats.org/officeDocument/2006/relationships/hyperlink" Target="http://www.homedepot.com/b/Electrical-Electrical-Boxes-Conduit-Fittings/Carlon/N-5yc1vZbm4mZ2dq" TargetMode="External"/><Relationship Id="rId175" Type="http://schemas.openxmlformats.org/officeDocument/2006/relationships/hyperlink" Target="http://www.homedepot.com/b/Electrical-Electrical-Boxes-Conduit-Fittings/Carlon/N-5yc1vZbm4mZ2dq" TargetMode="External"/><Relationship Id="rId340" Type="http://schemas.openxmlformats.org/officeDocument/2006/relationships/hyperlink" Target="http://www.homedepot.com/b/Electrical-Electrical-Boxes-Conduit-Fittings/Carlon/N-5yc1vZbm4mZ2dq" TargetMode="External"/><Relationship Id="rId578" Type="http://schemas.openxmlformats.org/officeDocument/2006/relationships/hyperlink" Target="http://www.homedepot.com/p/Carlon-2-Gang-25-cu-in-Non-Metallic-Old-Work-Switch-and-Outlet-Box-B225R-UPC/100404169" TargetMode="External"/><Relationship Id="rId743" Type="http://schemas.openxmlformats.org/officeDocument/2006/relationships/hyperlink" Target="http://www.homedepot.com/b/Electrical-Electrical-Boxes-Conduit-Fittings/Carlon/N-5yc1vZbm4mZ2dq" TargetMode="External"/><Relationship Id="rId200" Type="http://schemas.openxmlformats.org/officeDocument/2006/relationships/hyperlink" Target="http://www.homedepot.com/p/Carlon-2-Gang-25-cu-in-Non-Metallic-Old-Work-Switch-and-Outlet-Box-B225R-UPC/100404169" TargetMode="External"/><Relationship Id="rId382" Type="http://schemas.openxmlformats.org/officeDocument/2006/relationships/hyperlink" Target="http://www.homedepot.com/b/Electrical-Electrical-Boxes-Conduit-Fittings/Carlon/N-5yc1vZbm4mZ2dq" TargetMode="External"/><Relationship Id="rId438" Type="http://schemas.openxmlformats.org/officeDocument/2006/relationships/hyperlink" Target="http://www.homedepot.com/b/Electrical-Electrical-Boxes-Conduit-Fittings/Carlon/N-5yc1vZbm4mZ2dq" TargetMode="External"/><Relationship Id="rId603" Type="http://schemas.openxmlformats.org/officeDocument/2006/relationships/hyperlink" Target="http://www.homedepot.com/b/Electrical-Electrical-Boxes-Conduit-Fittings/Carlon/N-5yc1vZbm4mZ2dq" TargetMode="External"/><Relationship Id="rId645" Type="http://schemas.openxmlformats.org/officeDocument/2006/relationships/hyperlink" Target="http://www.homedepot.com/p/Carlon-2-Gang-25-cu-in-Non-Metallic-Old-Work-Switch-and-Outlet-Box-B225R-UPC/100404169" TargetMode="External"/><Relationship Id="rId687" Type="http://schemas.openxmlformats.org/officeDocument/2006/relationships/hyperlink" Target="https://www.amazon.com/-/es/mezclador-micr%C3%B3fono-inal%C3%A1mbrico-compatible-SWM16-MAX/dp/B09WL9Y58F/ref=sr_1_5?__mk_es_US=%C3%85M%C3%85%C5%BD%C3%95%C3%91&amp;keywords=mezclador%2Baudio%2Bhdmi&amp;qid=1691076013&amp;sr=8-5&amp;th=1" TargetMode="External"/><Relationship Id="rId242" Type="http://schemas.openxmlformats.org/officeDocument/2006/relationships/hyperlink" Target="http://www.homedepot.com/p/Carlon-2-Gang-25-cu-in-Non-Metallic-Old-Work-Switch-and-Outlet-Box-B225R-UPC/100404169" TargetMode="External"/><Relationship Id="rId284" Type="http://schemas.openxmlformats.org/officeDocument/2006/relationships/hyperlink" Target="http://www.homedepot.com/p/Carlon-2-Gang-25-cu-in-Non-Metallic-Old-Work-Switch-and-Outlet-Box-B225R-UPC/100404169" TargetMode="External"/><Relationship Id="rId491" Type="http://schemas.openxmlformats.org/officeDocument/2006/relationships/hyperlink" Target="http://www.homedepot.com/p/Carlon-2-Gang-25-cu-in-Non-Metallic-Old-Work-Switch-and-Outlet-Box-B225R-UPC/100404169" TargetMode="External"/><Relationship Id="rId505" Type="http://schemas.openxmlformats.org/officeDocument/2006/relationships/hyperlink" Target="http://www.homedepot.com/p/Carlon-2-Gang-25-cu-in-Non-Metallic-Old-Work-Switch-and-Outlet-Box-B225R-UPC/100404169" TargetMode="External"/><Relationship Id="rId712" Type="http://schemas.openxmlformats.org/officeDocument/2006/relationships/hyperlink" Target="https://es.aliexpress.com/item/1005005849981794.html?spm=a2g0o.productlist.main.17.3cd6XxjAXxjArB&amp;algo_pvid=4feedf7f-d6a8-428f-8344-d6f1627195c8&amp;algo_exp_id=4feedf7f-d6a8-428f-8344-d6f1627195c8-8&amp;pdp_npi=4%40dis%21COP%212244476.99%211346686.19%21%21%214148.00%212488.80%21%402103273e17158390127651335e80b0%2112000034569261505%21sea%21CO%210%21AB&amp;curPageLogUid=tKN4wEEchJjD&amp;utparam-url=scene%3Asearch%7Cquery_from%3A" TargetMode="External"/><Relationship Id="rId37" Type="http://schemas.openxmlformats.org/officeDocument/2006/relationships/hyperlink" Target="http://www.homedepot.com/p/Carlon-2-Gang-25-cu-in-Non-Metallic-Old-Work-Switch-and-Outlet-Box-B225R-UPC/100404169" TargetMode="External"/><Relationship Id="rId79" Type="http://schemas.openxmlformats.org/officeDocument/2006/relationships/hyperlink" Target="http://www.homedepot.com/p/Carlon-2-Gang-25-cu-in-Non-Metallic-Old-Work-Switch-and-Outlet-Box-B225R-UPC/100404169" TargetMode="External"/><Relationship Id="rId102" Type="http://schemas.openxmlformats.org/officeDocument/2006/relationships/hyperlink" Target="http://www.homedepot.com/b/Electrical-Electrical-Boxes-Conduit-Fittings/Carlon/N-5yc1vZbm4mZ2dq" TargetMode="External"/><Relationship Id="rId144" Type="http://schemas.openxmlformats.org/officeDocument/2006/relationships/hyperlink" Target="http://www.homedepot.com/p/Carlon-2-Gang-25-cu-in-Non-Metallic-Old-Work-Switch-and-Outlet-Box-B225R-UPC/100404169" TargetMode="External"/><Relationship Id="rId547" Type="http://schemas.openxmlformats.org/officeDocument/2006/relationships/hyperlink" Target="http://www.homedepot.com/p/Carlon-2-Gang-25-cu-in-Non-Metallic-Old-Work-Switch-and-Outlet-Box-B225R-UPC/100404169" TargetMode="External"/><Relationship Id="rId589" Type="http://schemas.openxmlformats.org/officeDocument/2006/relationships/hyperlink" Target="http://www.homedepot.com/p/Carlon-2-Gang-25-cu-in-Non-Metallic-Old-Work-Switch-and-Outlet-Box-B225R-UPC/100404169" TargetMode="External"/><Relationship Id="rId754" Type="http://schemas.openxmlformats.org/officeDocument/2006/relationships/hyperlink" Target="http://www.homedepot.com/b/Electrical-Electrical-Boxes-Conduit-Fittings/Carlon/N-5yc1vZbm4mZ2dq" TargetMode="External"/><Relationship Id="rId90" Type="http://schemas.openxmlformats.org/officeDocument/2006/relationships/hyperlink" Target="https://www.amazon.com/KERUI-Driveway-Infrared-Intelligent-surroundings/dp/B071F4JDNW/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refRID=96ANBCAAFMMZPN6R7GKC&amp;th=1" TargetMode="External"/><Relationship Id="rId186" Type="http://schemas.openxmlformats.org/officeDocument/2006/relationships/hyperlink" Target="http://www.homedepot.com/p/Carlon-2-Gang-25-cu-in-Non-Metallic-Old-Work-Switch-and-Outlet-Box-B225R-UPC/100404169" TargetMode="External"/><Relationship Id="rId351" Type="http://schemas.openxmlformats.org/officeDocument/2006/relationships/hyperlink" Target="http://www.homedepot.com/p/Carlon-2-Gang-25-cu-in-Non-Metallic-Old-Work-Switch-and-Outlet-Box-B225R-UPC/100404169" TargetMode="External"/><Relationship Id="rId393" Type="http://schemas.openxmlformats.org/officeDocument/2006/relationships/hyperlink" Target="http://www.homedepot.com/p/Carlon-2-Gang-25-cu-in-Non-Metallic-Old-Work-Switch-and-Outlet-Box-B225R-UPC/100404169" TargetMode="External"/><Relationship Id="rId407" Type="http://schemas.openxmlformats.org/officeDocument/2006/relationships/hyperlink" Target="http://www.homedepot.com/p/Carlon-2-Gang-25-cu-in-Non-Metallic-Old-Work-Switch-and-Outlet-Box-B225R-UPC/100404169" TargetMode="External"/><Relationship Id="rId449" Type="http://schemas.openxmlformats.org/officeDocument/2006/relationships/hyperlink" Target="http://www.homedepot.com/p/Carlon-2-Gang-25-cu-in-Non-Metallic-Old-Work-Switch-and-Outlet-Box-B225R-UPC/100404169" TargetMode="External"/><Relationship Id="rId614" Type="http://schemas.openxmlformats.org/officeDocument/2006/relationships/hyperlink" Target="http://www.homedepot.com/p/Carlon-2-Gang-25-cu-in-Non-Metallic-Old-Work-Switch-and-Outlet-Box-B225R-UPC/100404169" TargetMode="External"/><Relationship Id="rId656" Type="http://schemas.openxmlformats.org/officeDocument/2006/relationships/hyperlink" Target="http://www.homedepot.com/b/Electrical-Electrical-Boxes-Conduit-Fittings/Carlon/N-5yc1vZbm4mZ2dq" TargetMode="External"/><Relationship Id="rId211" Type="http://schemas.openxmlformats.org/officeDocument/2006/relationships/hyperlink" Target="http://www.homedepot.com/b/Electrical-Electrical-Boxes-Conduit-Fittings/Carlon/N-5yc1vZbm4mZ2dq" TargetMode="External"/><Relationship Id="rId253" Type="http://schemas.openxmlformats.org/officeDocument/2006/relationships/hyperlink" Target="http://www.homedepot.com/b/Electrical-Electrical-Boxes-Conduit-Fittings/Carlon/N-5yc1vZbm4mZ2dq" TargetMode="External"/><Relationship Id="rId295" Type="http://schemas.openxmlformats.org/officeDocument/2006/relationships/hyperlink" Target="http://www.homedepot.com/b/Electrical-Electrical-Boxes-Conduit-Fittings/Carlon/N-5yc1vZbm4mZ2dq" TargetMode="External"/><Relationship Id="rId309" Type="http://schemas.openxmlformats.org/officeDocument/2006/relationships/hyperlink" Target="http://www.homedepot.com/b/Electrical-Electrical-Boxes-Conduit-Fittings/Carlon/N-5yc1vZbm4mZ2dq" TargetMode="External"/><Relationship Id="rId460" Type="http://schemas.openxmlformats.org/officeDocument/2006/relationships/hyperlink" Target="http://www.homedepot.com/b/Electrical-Electrical-Boxes-Conduit-Fittings/Carlon/N-5yc1vZbm4mZ2dq" TargetMode="External"/><Relationship Id="rId516" Type="http://schemas.openxmlformats.org/officeDocument/2006/relationships/hyperlink" Target="http://www.homedepot.com/p/Carlon-2-Gang-25-cu-in-Non-Metallic-Old-Work-Switch-and-Outlet-Box-B225R-UPC/100404169" TargetMode="External"/><Relationship Id="rId698" Type="http://schemas.openxmlformats.org/officeDocument/2006/relationships/hyperlink" Target="https://es.aliexpress.com/item/1005005114901455.html?spm=a2g0o.productlist.main.7.6e35e857yRkX0X&amp;algo_pvid=7b0aaac4-37ce-4150-8d1a-bd0602bdf9bb&amp;aem_p4p_detail=20240218203120509414166554000012173242&amp;algo_exp_id=7b0aaac4-37ce-4150-8d1a-bd0602bdf9bb-3&amp;pdp_npi=4%40dis%21COP%21245082.79%21110287.25%21%21%21443.00%21199.35%21%402101c5bf17083170800103411e0741%2112000032384225970%21sea%21CO%210%21AB&amp;curPageLogUid=U632u9fGnh3D&amp;utparam-url=scene%3Asearch%7Cquery_from%3A&amp;search_p4p_id=20240218203120509414166554000012173242_4" TargetMode="External"/><Relationship Id="rId48" Type="http://schemas.openxmlformats.org/officeDocument/2006/relationships/hyperlink" Target="https://articulo.mercadolibre.com.co/MCO-2340262036-protector-voltaje-picos-exceline-lavadoras-electrodomesticos-_JM" TargetMode="External"/><Relationship Id="rId113" Type="http://schemas.openxmlformats.org/officeDocument/2006/relationships/hyperlink" Target="http://www.homedepot.com/b/Electrical-Electrical-Boxes-Conduit-Fittings/Carlon/N-5yc1vZbm4mZ2dq" TargetMode="External"/><Relationship Id="rId320" Type="http://schemas.openxmlformats.org/officeDocument/2006/relationships/hyperlink" Target="http://www.amazon.com/Philmore-Stainless-Microphone-Connector-Feed-Thru/dp/B00EW6D7FS/ref=sr_1_1?ie=UTF8&amp;qid=1444957952&amp;sr=8-1&amp;keywords=xlr+3.5mm+plate" TargetMode="External"/><Relationship Id="rId558" Type="http://schemas.openxmlformats.org/officeDocument/2006/relationships/hyperlink" Target="http://www.homedepot.com/p/Carlon-2-Gang-25-cu-in-Non-Metallic-Old-Work-Switch-and-Outlet-Box-B225R-UPC/100404169" TargetMode="External"/><Relationship Id="rId723" Type="http://schemas.openxmlformats.org/officeDocument/2006/relationships/hyperlink" Target="https://www.homecenter.com.co/homecenter-co/product/693688/regulador-de-voltaje-powest-avr-2200va/693688/" TargetMode="External"/><Relationship Id="rId765" Type="http://schemas.openxmlformats.org/officeDocument/2006/relationships/hyperlink" Target="http://www.homedepot.com/b/Electrical-Electrical-Boxes-Conduit-Fittings/Carlon/N-5yc1vZbm4mZ2dq" TargetMode="External"/><Relationship Id="rId155" Type="http://schemas.openxmlformats.org/officeDocument/2006/relationships/hyperlink" Target="http://www.homedepot.com/b/Electrical-Electrical-Boxes-Conduit-Fittings/Carlon/N-5yc1vZbm4mZ2dq" TargetMode="External"/><Relationship Id="rId197" Type="http://schemas.openxmlformats.org/officeDocument/2006/relationships/hyperlink" Target="http://www.homedepot.com/b/Electrical-Electrical-Boxes-Conduit-Fittings/Carlon/N-5yc1vZbm4mZ2dq" TargetMode="External"/><Relationship Id="rId362" Type="http://schemas.openxmlformats.org/officeDocument/2006/relationships/hyperlink" Target="http://www.homedepot.com/b/Electrical-Electrical-Boxes-Conduit-Fittings/Carlon/N-5yc1vZbm4mZ2dq" TargetMode="External"/><Relationship Id="rId418" Type="http://schemas.openxmlformats.org/officeDocument/2006/relationships/hyperlink" Target="http://www.homedepot.com/b/Electrical-Electrical-Boxes-Conduit-Fittings/Carlon/N-5yc1vZbm4mZ2dq" TargetMode="External"/><Relationship Id="rId625" Type="http://schemas.openxmlformats.org/officeDocument/2006/relationships/hyperlink" Target="http://www.homedepot.com/b/Electrical-Electrical-Boxes-Conduit-Fittings/Carlon/N-5yc1vZbm4mZ2dq" TargetMode="External"/><Relationship Id="rId222" Type="http://schemas.openxmlformats.org/officeDocument/2006/relationships/hyperlink" Target="http://www.homedepot.com/p/Carlon-2-Gang-25-cu-in-Non-Metallic-Old-Work-Switch-and-Outlet-Box-B225R-UPC/100404169" TargetMode="External"/><Relationship Id="rId264" Type="http://schemas.openxmlformats.org/officeDocument/2006/relationships/hyperlink" Target="http://www.homedepot.com/b/Electrical-Electrical-Boxes-Conduit-Fittings/Carlon/N-5yc1vZbm4mZ2dq" TargetMode="External"/><Relationship Id="rId471" Type="http://schemas.openxmlformats.org/officeDocument/2006/relationships/hyperlink" Target="http://www.homedepot.com/p/Carlon-2-Gang-25-cu-in-Non-Metallic-Old-Work-Switch-and-Outlet-Box-B225R-UPC/100404169" TargetMode="External"/><Relationship Id="rId667" Type="http://schemas.openxmlformats.org/officeDocument/2006/relationships/hyperlink" Target="https://articulo.mercadolibre.com.co/MCO-610456140-cable-extensor-remoto-infrarrojo-10-pies-ir-extensor-para-ca-_JM" TargetMode="External"/><Relationship Id="rId17" Type="http://schemas.openxmlformats.org/officeDocument/2006/relationships/hyperlink" Target="http://www.homedepot.com/b/Electrical-Electrical-Boxes-Conduit-Fittings/Carlon/N-5yc1vZbm4mZ2dq" TargetMode="External"/><Relationship Id="rId59" Type="http://schemas.openxmlformats.org/officeDocument/2006/relationships/hyperlink" Target="http://www.homedepot.com/p/Carlon-2-Gang-25-cu-in-Non-Metallic-Old-Work-Switch-and-Outlet-Box-B225R-UPC/100404169" TargetMode="External"/><Relationship Id="rId124" Type="http://schemas.openxmlformats.org/officeDocument/2006/relationships/hyperlink" Target="http://www.homedepot.com/p/Carlon-2-Gang-25-cu-in-Non-Metallic-Old-Work-Switch-and-Outlet-Box-B225R-UPC/100404169" TargetMode="External"/><Relationship Id="rId527" Type="http://schemas.openxmlformats.org/officeDocument/2006/relationships/hyperlink" Target="http://www.homedepot.com/p/Carlon-2-Gang-25-cu-in-Non-Metallic-Old-Work-Switch-and-Outlet-Box-B225R-UPC/100404169" TargetMode="External"/><Relationship Id="rId569" Type="http://schemas.openxmlformats.org/officeDocument/2006/relationships/hyperlink" Target="https://www.amazon.com/-/es/StarTech-com-VSEDIDDVI-Ghosting-Emulador-Negro/dp/B01FJYUEC0/ref=sr_1_4?__mk_es_US=%C3%85M%C3%85%C5%BD%C3%95%C3%91&amp;dchild=1&amp;keywords=edid&amp;qid=1600230959&amp;sr=8-4" TargetMode="External"/><Relationship Id="rId734" Type="http://schemas.openxmlformats.org/officeDocument/2006/relationships/hyperlink" Target="https://www.amazon.com/HDMI-Matrix-Switcher-18GBPS-Ultra/dp/B01GKFQNG8?ref_=ast_sto_dp" TargetMode="External"/><Relationship Id="rId776" Type="http://schemas.openxmlformats.org/officeDocument/2006/relationships/hyperlink" Target="http://www.homedepot.com/p/Carlon-2-Gang-25-cu-in-Non-Metallic-Old-Work-Switch-and-Outlet-Box-B225R-UPC/100404169" TargetMode="External"/><Relationship Id="rId70" Type="http://schemas.openxmlformats.org/officeDocument/2006/relationships/hyperlink" Target="http://www.homedepot.com/p/Carlon-2-Gang-25-cu-in-Non-Metallic-Old-Work-Switch-and-Outlet-Box-B225R-UPC/100404169" TargetMode="External"/><Relationship Id="rId166" Type="http://schemas.openxmlformats.org/officeDocument/2006/relationships/hyperlink" Target="http://www.homedepot.com/p/Carlon-2-Gang-25-cu-in-Non-Metallic-Old-Work-Switch-and-Outlet-Box-B225R-UPC/100404169" TargetMode="External"/><Relationship Id="rId331" Type="http://schemas.openxmlformats.org/officeDocument/2006/relationships/hyperlink" Target="http://www.homedepot.com/p/Carlon-2-Gang-25-cu-in-Non-Metallic-Old-Work-Switch-and-Outlet-Box-B225R-UPC/100404169" TargetMode="External"/><Relationship Id="rId373" Type="http://schemas.openxmlformats.org/officeDocument/2006/relationships/hyperlink" Target="http://www.homedepot.com/p/Carlon-2-Gang-25-cu-in-Non-Metallic-Old-Work-Switch-and-Outlet-Box-B225R-UPC/100404169" TargetMode="External"/><Relationship Id="rId429" Type="http://schemas.openxmlformats.org/officeDocument/2006/relationships/hyperlink" Target="http://www.homedepot.com/p/Carlon-2-Gang-25-cu-in-Non-Metallic-Old-Work-Switch-and-Outlet-Box-B225R-UPC/100404169" TargetMode="External"/><Relationship Id="rId580" Type="http://schemas.openxmlformats.org/officeDocument/2006/relationships/hyperlink" Target="http://www.homedepot.com/p/Carlon-2-Gang-25-cu-in-Non-Metallic-Old-Work-Switch-and-Outlet-Box-B225R-UPC/100404169" TargetMode="External"/><Relationship Id="rId636" Type="http://schemas.openxmlformats.org/officeDocument/2006/relationships/hyperlink" Target="http://www.homedepot.com/b/Electrical-Electrical-Boxes-Conduit-Fittings/Carlon/N-5yc1vZbm4mZ2dq" TargetMode="External"/><Relationship Id="rId1" Type="http://schemas.openxmlformats.org/officeDocument/2006/relationships/hyperlink" Target="https://microcell.co/videoproyectores-epson/1969-video-proyector-epson-power-lite-1980wu-4-400-lumens-wuxga-19200x1200-1080p.html" TargetMode="External"/><Relationship Id="rId233" Type="http://schemas.openxmlformats.org/officeDocument/2006/relationships/hyperlink" Target="http://www.homedepot.com/b/Electrical-Electrical-Boxes-Conduit-Fittings/Carlon/N-5yc1vZbm4mZ2dq" TargetMode="External"/><Relationship Id="rId440" Type="http://schemas.openxmlformats.org/officeDocument/2006/relationships/hyperlink" Target="http://www.homedepot.com/b/Electrical-Electrical-Boxes-Conduit-Fittings/Carlon/N-5yc1vZbm4mZ2dq" TargetMode="External"/><Relationship Id="rId678" Type="http://schemas.openxmlformats.org/officeDocument/2006/relationships/hyperlink" Target="https://www.amazon.com/dp/B0894N22CL/ref=sspa_dk_detail_4?pf_rd_p=f734d1a2-0bf9-4a26-ad34-2e1b969a5a75&amp;pf_rd_r=Y1GH0D8HB50YQ9J7M1T3&amp;pd_rd_wg=82hMd&amp;pd_rd_w=EJfgv&amp;content-id=amzn1.sym.f734d1a2-0bf9-4a26-ad34-2e1b969a5a75&amp;pd_rd_r=ae6a04e6-b644-47d6-9309-cbee97d95f7e&amp;s=aht&amp;sp_csd=d2lkZ2V0TmFtZT1zcF9kZXRhaWw&amp;th=1" TargetMode="External"/><Relationship Id="rId28" Type="http://schemas.openxmlformats.org/officeDocument/2006/relationships/hyperlink" Target="http://www.homedepot.com/p/Carlon-2-Gang-25-cu-in-Non-Metallic-Old-Work-Switch-and-Outlet-Box-B225R-UPC/100404169" TargetMode="External"/><Relationship Id="rId275" Type="http://schemas.openxmlformats.org/officeDocument/2006/relationships/hyperlink" Target="http://www.homedepot.com/b/Electrical-Electrical-Boxes-Conduit-Fittings/Carlon/N-5yc1vZbm4mZ2dq" TargetMode="External"/><Relationship Id="rId300" Type="http://schemas.openxmlformats.org/officeDocument/2006/relationships/hyperlink" Target="http://www.homedepot.com/p/Carlon-2-Gang-25-cu-in-Non-Metallic-Old-Work-Switch-and-Outlet-Box-B225R-UPC/100404169" TargetMode="External"/><Relationship Id="rId482" Type="http://schemas.openxmlformats.org/officeDocument/2006/relationships/hyperlink" Target="http://www.homedepot.com/b/Electrical-Electrical-Boxes-Conduit-Fittings/Carlon/N-5yc1vZbm4mZ2dq" TargetMode="External"/><Relationship Id="rId538" Type="http://schemas.openxmlformats.org/officeDocument/2006/relationships/hyperlink" Target="http://www.homedepot.com/p/Carlon-2-Gang-25-cu-in-Non-Metallic-Old-Work-Switch-and-Outlet-Box-B225R-UPC/100404169" TargetMode="External"/><Relationship Id="rId703" Type="http://schemas.openxmlformats.org/officeDocument/2006/relationships/hyperlink" Target="http://www.homedepot.com/p/Carlon-2-Gang-25-cu-in-Non-Metallic-Old-Work-Switch-and-Outlet-Box-B225R-UPC/100404169" TargetMode="External"/><Relationship Id="rId745" Type="http://schemas.openxmlformats.org/officeDocument/2006/relationships/hyperlink" Target="http://www.homedepot.com/b/Electrical-Electrical-Boxes-Conduit-Fittings/Carlon/N-5yc1vZbm4mZ2dq" TargetMode="External"/><Relationship Id="rId81" Type="http://schemas.openxmlformats.org/officeDocument/2006/relationships/hyperlink" Target="http://www.homedepot.com/p/Carlon-2-Gang-25-cu-in-Non-Metallic-Old-Work-Switch-and-Outlet-Box-B225R-UPC/100404169" TargetMode="External"/><Relationship Id="rId135" Type="http://schemas.openxmlformats.org/officeDocument/2006/relationships/hyperlink" Target="http://www.homedepot.com/b/Electrical-Electrical-Boxes-Conduit-Fittings/Carlon/N-5yc1vZbm4mZ2dq" TargetMode="External"/><Relationship Id="rId177" Type="http://schemas.openxmlformats.org/officeDocument/2006/relationships/hyperlink" Target="http://www.homedepot.com/b/Electrical-Electrical-Boxes-Conduit-Fittings/Carlon/N-5yc1vZbm4mZ2dq" TargetMode="External"/><Relationship Id="rId342" Type="http://schemas.openxmlformats.org/officeDocument/2006/relationships/hyperlink" Target="http://www.homedepot.com/b/Electrical-Electrical-Boxes-Conduit-Fittings/Carlon/N-5yc1vZbm4mZ2dq" TargetMode="External"/><Relationship Id="rId384" Type="http://schemas.openxmlformats.org/officeDocument/2006/relationships/hyperlink" Target="http://www.homedepot.com/b/Electrical-Electrical-Boxes-Conduit-Fittings/Carlon/N-5yc1vZbm4mZ2dq" TargetMode="External"/><Relationship Id="rId591" Type="http://schemas.openxmlformats.org/officeDocument/2006/relationships/hyperlink" Target="http://www.homedepot.com/p/Carlon-2-Gang-25-cu-in-Non-Metallic-Old-Work-Switch-and-Outlet-Box-B225R-UPC/100404169" TargetMode="External"/><Relationship Id="rId605" Type="http://schemas.openxmlformats.org/officeDocument/2006/relationships/hyperlink" Target="http://www.homedepot.com/b/Electrical-Electrical-Boxes-Conduit-Fittings/Carlon/N-5yc1vZbm4mZ2dq" TargetMode="External"/><Relationship Id="rId202" Type="http://schemas.openxmlformats.org/officeDocument/2006/relationships/hyperlink" Target="http://www.homedepot.com/p/Carlon-2-Gang-25-cu-in-Non-Metallic-Old-Work-Switch-and-Outlet-Box-B225R-UPC/100404169" TargetMode="External"/><Relationship Id="rId244" Type="http://schemas.openxmlformats.org/officeDocument/2006/relationships/hyperlink" Target="http://www.homedepot.com/p/Carlon-2-Gang-25-cu-in-Non-Metallic-Old-Work-Switch-and-Outlet-Box-B225R-UPC/100404169" TargetMode="External"/><Relationship Id="rId647" Type="http://schemas.openxmlformats.org/officeDocument/2006/relationships/hyperlink" Target="http://www.homedepot.com/b/Electrical-Electrical-Boxes-Conduit-Fittings/Carlon/N-5yc1vZbm4mZ2dq" TargetMode="External"/><Relationship Id="rId689" Type="http://schemas.openxmlformats.org/officeDocument/2006/relationships/hyperlink" Target="https://es.aliexpress.com/item/1005004204872628.html?spm=a2g0o.productlist.main.3.5b8a48038M6rZj&amp;algo_pvid=16a37a91-c701-4175-9743-6d7530342f86&amp;aem_p4p_detail=202311150644375846522198067540000340308&amp;algo_exp_id=16a37a91-c701-4175-9743-6d7530342f86-1&amp;pdp_npi=4%40dis%21COP%21341778.95%21146956.85%21%21%2184.40%21%21%402101e5f717000594774975322e4712%2112000028423496236%21sea%21CO%210%21AB&amp;curPageLogUid=XwKplaGykFUu&amp;search_p4p_id=202311150644375846522198067540000340308_2" TargetMode="External"/><Relationship Id="rId39" Type="http://schemas.openxmlformats.org/officeDocument/2006/relationships/hyperlink" Target="http://www.homedepot.com/p/Carlon-2-Gang-25-cu-in-Non-Metallic-Old-Work-Switch-and-Outlet-Box-B225R-UPC/100404169" TargetMode="External"/><Relationship Id="rId286" Type="http://schemas.openxmlformats.org/officeDocument/2006/relationships/hyperlink" Target="http://www.homedepot.com/p/Carlon-2-Gang-25-cu-in-Non-Metallic-Old-Work-Switch-and-Outlet-Box-B225R-UPC/100404169" TargetMode="External"/><Relationship Id="rId451" Type="http://schemas.openxmlformats.org/officeDocument/2006/relationships/hyperlink" Target="http://www.homedepot.com/p/Carlon-2-Gang-25-cu-in-Non-Metallic-Old-Work-Switch-and-Outlet-Box-B225R-UPC/100404169" TargetMode="External"/><Relationship Id="rId493" Type="http://schemas.openxmlformats.org/officeDocument/2006/relationships/hyperlink" Target="http://www.homedepot.com/p/Carlon-2-Gang-25-cu-in-Non-Metallic-Old-Work-Switch-and-Outlet-Box-B225R-UPC/100404169" TargetMode="External"/><Relationship Id="rId507" Type="http://schemas.openxmlformats.org/officeDocument/2006/relationships/hyperlink" Target="http://www.homedepot.com/p/Carlon-2-Gang-25-cu-in-Non-Metallic-Old-Work-Switch-and-Outlet-Box-B225R-UPC/100404169" TargetMode="External"/><Relationship Id="rId549" Type="http://schemas.openxmlformats.org/officeDocument/2006/relationships/hyperlink" Target="http://www.homedepot.com/p/Carlon-2-Gang-25-cu-in-Non-Metallic-Old-Work-Switch-and-Outlet-Box-B225R-UPC/100404169" TargetMode="External"/><Relationship Id="rId714" Type="http://schemas.openxmlformats.org/officeDocument/2006/relationships/hyperlink" Target="https://es.aliexpress.com/item/1005006197484316.html?spm=a2g0o.productlist.main.25.ab421d702DOI2z&amp;algo_pvid=4197bb74-8672-40fc-a0ed-c0051c87835a&amp;algo_exp_id=4197bb74-8672-40fc-a0ed-c0051c87835a-12&amp;pdp_npi=4%40dis%21COP%21100008.67%2169990.45%21%21%2125.62%2117.93%21%402101eab017158405044512887e5d3c%2112000037523129452%21sea%21CO%210%21AB&amp;curPageLogUid=5E0Ub7rb14Kk&amp;utparam-url=scene%3Asearch%7Cquery_from%3A" TargetMode="External"/><Relationship Id="rId756" Type="http://schemas.openxmlformats.org/officeDocument/2006/relationships/hyperlink" Target="http://www.homedepot.com/b/Electrical-Electrical-Boxes-Conduit-Fittings/Carlon/N-5yc1vZbm4mZ2dq" TargetMode="External"/><Relationship Id="rId50" Type="http://schemas.openxmlformats.org/officeDocument/2006/relationships/hyperlink" Target="https://www.amazon.com/dp/B0746PRY4V/ref=sspa_dk_detail_4?psc=1&amp;pd_rd_i=B0746PRY4V&amp;pd_rd_wg=kX3rw&amp;pd_rd_r=KJ5CMVKFK4GQE1BRC0HJ&amp;pd_rd_w=YU2pP" TargetMode="External"/><Relationship Id="rId104" Type="http://schemas.openxmlformats.org/officeDocument/2006/relationships/hyperlink" Target="http://www.homedepot.com/b/Electrical-Electrical-Boxes-Conduit-Fittings/Carlon/N-5yc1vZbm4mZ2dq" TargetMode="External"/><Relationship Id="rId146" Type="http://schemas.openxmlformats.org/officeDocument/2006/relationships/hyperlink" Target="http://www.homedepot.com/p/Carlon-2-Gang-25-cu-in-Non-Metallic-Old-Work-Switch-and-Outlet-Box-B225R-UPC/100404169" TargetMode="External"/><Relationship Id="rId188" Type="http://schemas.openxmlformats.org/officeDocument/2006/relationships/hyperlink" Target="http://www.homedepot.com/p/Carlon-2-Gang-25-cu-in-Non-Metallic-Old-Work-Switch-and-Outlet-Box-B225R-UPC/100404169" TargetMode="External"/><Relationship Id="rId311" Type="http://schemas.openxmlformats.org/officeDocument/2006/relationships/hyperlink" Target="http://www.homedepot.com/b/Electrical-Electrical-Boxes-Conduit-Fittings/Carlon/N-5yc1vZbm4mZ2dq" TargetMode="External"/><Relationship Id="rId353" Type="http://schemas.openxmlformats.org/officeDocument/2006/relationships/hyperlink" Target="http://www.homedepot.com/p/Carlon-2-Gang-25-cu-in-Non-Metallic-Old-Work-Switch-and-Outlet-Box-B225R-UPC/100404169" TargetMode="External"/><Relationship Id="rId395" Type="http://schemas.openxmlformats.org/officeDocument/2006/relationships/hyperlink" Target="http://www.homedepot.com/p/Carlon-2-Gang-25-cu-in-Non-Metallic-Old-Work-Switch-and-Outlet-Box-B225R-UPC/100404169" TargetMode="External"/><Relationship Id="rId409" Type="http://schemas.openxmlformats.org/officeDocument/2006/relationships/hyperlink" Target="http://www.homedepot.com/p/Carlon-2-Gang-25-cu-in-Non-Metallic-Old-Work-Switch-and-Outlet-Box-B225R-UPC/100404169" TargetMode="External"/><Relationship Id="rId560" Type="http://schemas.openxmlformats.org/officeDocument/2006/relationships/hyperlink" Target="http://www.homedepot.com/p/Carlon-2-Gang-25-cu-in-Non-Metallic-Old-Work-Switch-and-Outlet-Box-B225R-UPC/100404169" TargetMode="External"/><Relationship Id="rId92" Type="http://schemas.openxmlformats.org/officeDocument/2006/relationships/hyperlink" Target="http://www.homedepot.com/b/Electrical-Electrical-Boxes-Conduit-Fittings/Carlon/N-5yc1vZbm4mZ2dq" TargetMode="External"/><Relationship Id="rId213" Type="http://schemas.openxmlformats.org/officeDocument/2006/relationships/hyperlink" Target="http://www.homedepot.com/b/Electrical-Electrical-Boxes-Conduit-Fittings/Carlon/N-5yc1vZbm4mZ2dq" TargetMode="External"/><Relationship Id="rId420" Type="http://schemas.openxmlformats.org/officeDocument/2006/relationships/hyperlink" Target="http://www.homedepot.com/b/Electrical-Electrical-Boxes-Conduit-Fittings/Carlon/N-5yc1vZbm4mZ2dq" TargetMode="External"/><Relationship Id="rId616" Type="http://schemas.openxmlformats.org/officeDocument/2006/relationships/hyperlink" Target="http://www.homedepot.com/p/Carlon-2-Gang-25-cu-in-Non-Metallic-Old-Work-Switch-and-Outlet-Box-B225R-UPC/100404169" TargetMode="External"/><Relationship Id="rId658" Type="http://schemas.openxmlformats.org/officeDocument/2006/relationships/hyperlink" Target="https://octopart.com/hlg-60h-24-mean+well-20482623?gclid=Cj0KCQiAys2MBhDOARIsAFf1D1eQt-Y4N2H020-PCojPA6eUwkatP86vH8oq4Kv-fkXiJMOuc25x4DUaAhb9EALw_wcB" TargetMode="External"/><Relationship Id="rId255" Type="http://schemas.openxmlformats.org/officeDocument/2006/relationships/hyperlink" Target="http://www.homedepot.com/b/Electrical-Electrical-Boxes-Conduit-Fittings/Carlon/N-5yc1vZbm4mZ2dq" TargetMode="External"/><Relationship Id="rId297" Type="http://schemas.openxmlformats.org/officeDocument/2006/relationships/hyperlink" Target="http://www.homedepot.com/b/Electrical-Electrical-Boxes-Conduit-Fittings/Carlon/N-5yc1vZbm4mZ2dq" TargetMode="External"/><Relationship Id="rId462" Type="http://schemas.openxmlformats.org/officeDocument/2006/relationships/hyperlink" Target="http://www.homedepot.com/b/Electrical-Electrical-Boxes-Conduit-Fittings/Carlon/N-5yc1vZbm4mZ2dq" TargetMode="External"/><Relationship Id="rId518" Type="http://schemas.openxmlformats.org/officeDocument/2006/relationships/hyperlink" Target="http://www.homedepot.com/p/Carlon-2-Gang-25-cu-in-Non-Metallic-Old-Work-Switch-and-Outlet-Box-B225R-UPC/100404169" TargetMode="External"/><Relationship Id="rId725" Type="http://schemas.openxmlformats.org/officeDocument/2006/relationships/hyperlink" Target="https://www.claro.com.co/personas/servicios/servicios-moviles/postpago/" TargetMode="External"/><Relationship Id="rId115" Type="http://schemas.openxmlformats.org/officeDocument/2006/relationships/hyperlink" Target="http://www.homedepot.com/b/Electrical-Electrical-Boxes-Conduit-Fittings/Carlon/N-5yc1vZbm4mZ2dq" TargetMode="External"/><Relationship Id="rId157" Type="http://schemas.openxmlformats.org/officeDocument/2006/relationships/hyperlink" Target="http://www.homedepot.com/b/Electrical-Electrical-Boxes-Conduit-Fittings/Carlon/N-5yc1vZbm4mZ2dq" TargetMode="External"/><Relationship Id="rId322" Type="http://schemas.openxmlformats.org/officeDocument/2006/relationships/hyperlink" Target="http://www.homedepot.com/p/Carlon-2-Gang-25-cu-in-Non-Metallic-Old-Work-Switch-and-Outlet-Box-B225R-UPC/100404169" TargetMode="External"/><Relationship Id="rId364" Type="http://schemas.openxmlformats.org/officeDocument/2006/relationships/hyperlink" Target="http://www.homedepot.com/b/Electrical-Electrical-Boxes-Conduit-Fittings/Carlon/N-5yc1vZbm4mZ2dq" TargetMode="External"/><Relationship Id="rId767" Type="http://schemas.openxmlformats.org/officeDocument/2006/relationships/hyperlink" Target="http://www.homedepot.com/b/Electrical-Electrical-Boxes-Conduit-Fittings/Carlon/N-5yc1vZbm4mZ2dq" TargetMode="External"/><Relationship Id="rId61" Type="http://schemas.openxmlformats.org/officeDocument/2006/relationships/hyperlink" Target="https://electrificadoracapital.com/producto/bornera-torn-cortocirc-57a-750v-10mm2-gris" TargetMode="External"/><Relationship Id="rId199" Type="http://schemas.openxmlformats.org/officeDocument/2006/relationships/hyperlink" Target="http://www.homedepot.com/b/Electrical-Electrical-Boxes-Conduit-Fittings/Carlon/N-5yc1vZbm4mZ2dq" TargetMode="External"/><Relationship Id="rId571" Type="http://schemas.openxmlformats.org/officeDocument/2006/relationships/hyperlink" Target="http://www.homedepot.com/p/Carlon-2-Gang-25-cu-in-Non-Metallic-Old-Work-Switch-and-Outlet-Box-B225R-UPC/100404169" TargetMode="External"/><Relationship Id="rId627" Type="http://schemas.openxmlformats.org/officeDocument/2006/relationships/hyperlink" Target="http://www.homedepot.com/b/Electrical-Electrical-Boxes-Conduit-Fittings/Carlon/N-5yc1vZbm4mZ2dq" TargetMode="External"/><Relationship Id="rId669" Type="http://schemas.openxmlformats.org/officeDocument/2006/relationships/hyperlink" Target="https://articulo.mercadolibre.com.co/MCO-520822503-cofre-metalico-40x60x15-mv-_JM" TargetMode="External"/><Relationship Id="rId19" Type="http://schemas.openxmlformats.org/officeDocument/2006/relationships/hyperlink" Target="http://www.homedepot.com/p/Carlon-2-Gang-25-cu-in-Non-Metallic-Old-Work-Switch-and-Outlet-Box-B225R-UPC/100404169" TargetMode="External"/><Relationship Id="rId224" Type="http://schemas.openxmlformats.org/officeDocument/2006/relationships/hyperlink" Target="http://www.homedepot.com/p/Carlon-2-Gang-25-cu-in-Non-Metallic-Old-Work-Switch-and-Outlet-Box-B225R-UPC/100404169" TargetMode="External"/><Relationship Id="rId266" Type="http://schemas.openxmlformats.org/officeDocument/2006/relationships/hyperlink" Target="http://www.homedepot.com/p/Carlon-2-Gang-25-cu-in-Non-Metallic-Old-Work-Switch-and-Outlet-Box-B225R-UPC/100404169" TargetMode="External"/><Relationship Id="rId431" Type="http://schemas.openxmlformats.org/officeDocument/2006/relationships/hyperlink" Target="http://www.homedepot.com/p/Carlon-2-Gang-25-cu-in-Non-Metallic-Old-Work-Switch-and-Outlet-Box-B225R-UPC/100404169" TargetMode="External"/><Relationship Id="rId473" Type="http://schemas.openxmlformats.org/officeDocument/2006/relationships/hyperlink" Target="http://www.homedepot.com/p/Carlon-2-Gang-25-cu-in-Non-Metallic-Old-Work-Switch-and-Outlet-Box-B225R-UPC/100404169" TargetMode="External"/><Relationship Id="rId529" Type="http://schemas.openxmlformats.org/officeDocument/2006/relationships/hyperlink" Target="http://www.homedepot.com/p/Carlon-2-Gang-25-cu-in-Non-Metallic-Old-Work-Switch-and-Outlet-Box-B225R-UPC/100404169" TargetMode="External"/><Relationship Id="rId680" Type="http://schemas.openxmlformats.org/officeDocument/2006/relationships/hyperlink" Target="https://www.amazon.com/Repeater-Infrared-Controls-Theater-Support/dp/B09Z2ZF8GX/ref=sr_1_14?keywords=infrarrojo+extender&amp;qid=1659069658&amp;refinements=p_72%3A1248879011&amp;rnid=1248877011&amp;s=electronics&amp;sr=1-14" TargetMode="External"/><Relationship Id="rId736" Type="http://schemas.openxmlformats.org/officeDocument/2006/relationships/hyperlink" Target="http://www.homedepot.com/p/Carlon-2-Gang-25-cu-in-Non-Metallic-Old-Work-Switch-and-Outlet-Box-B225R-UPC/100404169" TargetMode="External"/><Relationship Id="rId30" Type="http://schemas.openxmlformats.org/officeDocument/2006/relationships/hyperlink" Target="http://www.homedepot.com/p/Carlon-2-Gang-25-cu-in-Non-Metallic-Old-Work-Switch-and-Outlet-Box-B225R-UPC/100404169" TargetMode="External"/><Relationship Id="rId126" Type="http://schemas.openxmlformats.org/officeDocument/2006/relationships/hyperlink" Target="http://www.homedepot.com/p/Carlon-2-Gang-25-cu-in-Non-Metallic-Old-Work-Switch-and-Outlet-Box-B225R-UPC/100404169" TargetMode="External"/><Relationship Id="rId168" Type="http://schemas.openxmlformats.org/officeDocument/2006/relationships/hyperlink" Target="http://www.homedepot.com/p/Carlon-2-Gang-25-cu-in-Non-Metallic-Old-Work-Switch-and-Outlet-Box-B225R-UPC/100404169" TargetMode="External"/><Relationship Id="rId333" Type="http://schemas.openxmlformats.org/officeDocument/2006/relationships/hyperlink" Target="http://www.homedepot.com/p/Carlon-2-Gang-25-cu-in-Non-Metallic-Old-Work-Switch-and-Outlet-Box-B225R-UPC/100404169" TargetMode="External"/><Relationship Id="rId540" Type="http://schemas.openxmlformats.org/officeDocument/2006/relationships/hyperlink" Target="http://www.homedepot.com/p/Carlon-2-Gang-25-cu-in-Non-Metallic-Old-Work-Switch-and-Outlet-Box-B225R-UPC/100404169" TargetMode="External"/><Relationship Id="rId778" Type="http://schemas.openxmlformats.org/officeDocument/2006/relationships/hyperlink" Target="http://www.homedepot.com/p/Carlon-2-Gang-25-cu-in-Non-Metallic-Old-Work-Switch-and-Outlet-Box-B225R-UPC/100404169" TargetMode="External"/><Relationship Id="rId72" Type="http://schemas.openxmlformats.org/officeDocument/2006/relationships/hyperlink" Target="https://ayorailuminacion.com/tienda/fabricantes/leds-c4-grok/lampara-sobremesa-portatil-grok-cocktail-led-negro/" TargetMode="External"/><Relationship Id="rId375" Type="http://schemas.openxmlformats.org/officeDocument/2006/relationships/hyperlink" Target="http://www.homedepot.com/p/Carlon-2-Gang-25-cu-in-Non-Metallic-Old-Work-Switch-and-Outlet-Box-B225R-UPC/100404169" TargetMode="External"/><Relationship Id="rId582" Type="http://schemas.openxmlformats.org/officeDocument/2006/relationships/hyperlink" Target="http://www.homedepot.com/p/Carlon-2-Gang-25-cu-in-Non-Metallic-Old-Work-Switch-and-Outlet-Box-B225R-UPC/100404169" TargetMode="External"/><Relationship Id="rId638" Type="http://schemas.openxmlformats.org/officeDocument/2006/relationships/hyperlink" Target="http://www.homedepot.com/b/Electrical-Electrical-Boxes-Conduit-Fittings/Carlon/N-5yc1vZbm4mZ2dq" TargetMode="External"/><Relationship Id="rId3" Type="http://schemas.openxmlformats.org/officeDocument/2006/relationships/hyperlink" Target="https://microcell.co/videoproyectores-epson/1969-video-proyector-epson-power-lite-1980wu-4-400-lumens-wuxga-19200x1200-1080p.html" TargetMode="External"/><Relationship Id="rId235" Type="http://schemas.openxmlformats.org/officeDocument/2006/relationships/hyperlink" Target="http://www.homedepot.com/b/Electrical-Electrical-Boxes-Conduit-Fittings/Carlon/N-5yc1vZbm4mZ2dq" TargetMode="External"/><Relationship Id="rId277" Type="http://schemas.openxmlformats.org/officeDocument/2006/relationships/hyperlink" Target="http://www.homedepot.com/b/Electrical-Electrical-Boxes-Conduit-Fittings/Carlon/N-5yc1vZbm4mZ2dq" TargetMode="External"/><Relationship Id="rId400" Type="http://schemas.openxmlformats.org/officeDocument/2006/relationships/hyperlink" Target="http://www.homedepot.com/b/Electrical-Electrical-Boxes-Conduit-Fittings/Carlon/N-5yc1vZbm4mZ2dq" TargetMode="External"/><Relationship Id="rId442" Type="http://schemas.openxmlformats.org/officeDocument/2006/relationships/hyperlink" Target="http://www.homedepot.com/b/Electrical-Electrical-Boxes-Conduit-Fittings/Carlon/N-5yc1vZbm4mZ2dq" TargetMode="External"/><Relationship Id="rId484" Type="http://schemas.openxmlformats.org/officeDocument/2006/relationships/hyperlink" Target="http://www.homedepot.com/p/Carlon-2-Gang-25-cu-in-Non-Metallic-Old-Work-Switch-and-Outlet-Box-B225R-UPC/100404169" TargetMode="External"/><Relationship Id="rId705" Type="http://schemas.openxmlformats.org/officeDocument/2006/relationships/hyperlink" Target="http://www.homedepot.com/p/Carlon-2-Gang-25-cu-in-Non-Metallic-Old-Work-Switch-and-Outlet-Box-B225R-UPC/100404169" TargetMode="External"/><Relationship Id="rId137" Type="http://schemas.openxmlformats.org/officeDocument/2006/relationships/hyperlink" Target="http://www.homedepot.com/b/Electrical-Electrical-Boxes-Conduit-Fittings/Carlon/N-5yc1vZbm4mZ2dq" TargetMode="External"/><Relationship Id="rId302" Type="http://schemas.openxmlformats.org/officeDocument/2006/relationships/hyperlink" Target="http://www.homedepot.com/p/Carlon-2-Gang-25-cu-in-Non-Metallic-Old-Work-Switch-and-Outlet-Box-B225R-UPC/100404169" TargetMode="External"/><Relationship Id="rId344" Type="http://schemas.openxmlformats.org/officeDocument/2006/relationships/hyperlink" Target="http://www.homedepot.com/b/Electrical-Electrical-Boxes-Conduit-Fittings/Carlon/N-5yc1vZbm4mZ2dq" TargetMode="External"/><Relationship Id="rId691" Type="http://schemas.openxmlformats.org/officeDocument/2006/relationships/hyperlink" Target="https://www.amazon.com/-/es/product-reviews/B08QCGTFZS/ref=acr_dp_hist_2?ie=UTF8&amp;filterByStar=two_star&amp;reviewerType=all_reviews" TargetMode="External"/><Relationship Id="rId747" Type="http://schemas.openxmlformats.org/officeDocument/2006/relationships/hyperlink" Target="http://www.homedepot.com/b/Electrical-Electrical-Boxes-Conduit-Fittings/Carlon/N-5yc1vZbm4mZ2dq" TargetMode="External"/><Relationship Id="rId41" Type="http://schemas.openxmlformats.org/officeDocument/2006/relationships/hyperlink" Target="http://www.homedepot.com/p/Carlon-2-Gang-25-cu-in-Non-Metallic-Old-Work-Switch-and-Outlet-Box-B225R-UPC/100404169" TargetMode="External"/><Relationship Id="rId83" Type="http://schemas.openxmlformats.org/officeDocument/2006/relationships/hyperlink" Target="http://www.homedepot.com/p/Carlon-2-Gang-25-cu-in-Non-Metallic-Old-Work-Switch-and-Outlet-Box-B225R-UPC/100404169" TargetMode="External"/><Relationship Id="rId179" Type="http://schemas.openxmlformats.org/officeDocument/2006/relationships/hyperlink" Target="http://www.homedepot.com/b/Electrical-Electrical-Boxes-Conduit-Fittings/Carlon/N-5yc1vZbm4mZ2dq" TargetMode="External"/><Relationship Id="rId386" Type="http://schemas.openxmlformats.org/officeDocument/2006/relationships/hyperlink" Target="http://www.homedepot.com/b/Electrical-Electrical-Boxes-Conduit-Fittings/Carlon/N-5yc1vZbm4mZ2dq" TargetMode="External"/><Relationship Id="rId551" Type="http://schemas.openxmlformats.org/officeDocument/2006/relationships/hyperlink" Target="https://articulo.mercadolibre.com.co/MCO-612178473-camara-usb-para-documentos-_JM" TargetMode="External"/><Relationship Id="rId593" Type="http://schemas.openxmlformats.org/officeDocument/2006/relationships/hyperlink" Target="http://www.homedepot.com/p/Carlon-2-Gang-25-cu-in-Non-Metallic-Old-Work-Switch-and-Outlet-Box-B225R-UPC/100404169" TargetMode="External"/><Relationship Id="rId607" Type="http://schemas.openxmlformats.org/officeDocument/2006/relationships/hyperlink" Target="http://www.homedepot.com/b/Electrical-Electrical-Boxes-Conduit-Fittings/Carlon/N-5yc1vZbm4mZ2dq" TargetMode="External"/><Relationship Id="rId649" Type="http://schemas.openxmlformats.org/officeDocument/2006/relationships/hyperlink" Target="http://www.homedepot.com/b/Electrical-Electrical-Boxes-Conduit-Fittings/Carlon/N-5yc1vZbm4mZ2dq" TargetMode="External"/><Relationship Id="rId190" Type="http://schemas.openxmlformats.org/officeDocument/2006/relationships/hyperlink" Target="http://www.homedepot.com/p/Carlon-2-Gang-25-cu-in-Non-Metallic-Old-Work-Switch-and-Outlet-Box-B225R-UPC/100404169" TargetMode="External"/><Relationship Id="rId204" Type="http://schemas.openxmlformats.org/officeDocument/2006/relationships/hyperlink" Target="http://www.homedepot.com/p/Carlon-2-Gang-25-cu-in-Non-Metallic-Old-Work-Switch-and-Outlet-Box-B225R-UPC/100404169" TargetMode="External"/><Relationship Id="rId246" Type="http://schemas.openxmlformats.org/officeDocument/2006/relationships/hyperlink" Target="http://www.homedepot.com/p/Carlon-2-Gang-25-cu-in-Non-Metallic-Old-Work-Switch-and-Outlet-Box-B225R-UPC/100404169" TargetMode="External"/><Relationship Id="rId288" Type="http://schemas.openxmlformats.org/officeDocument/2006/relationships/hyperlink" Target="http://www.homedepot.com/p/Carlon-2-Gang-25-cu-in-Non-Metallic-Old-Work-Switch-and-Outlet-Box-B225R-UPC/100404169" TargetMode="External"/><Relationship Id="rId411" Type="http://schemas.openxmlformats.org/officeDocument/2006/relationships/hyperlink" Target="http://www.homedepot.com/p/Carlon-2-Gang-25-cu-in-Non-Metallic-Old-Work-Switch-and-Outlet-Box-B225R-UPC/100404169" TargetMode="External"/><Relationship Id="rId453" Type="http://schemas.openxmlformats.org/officeDocument/2006/relationships/hyperlink" Target="http://www.homedepot.com/p/Carlon-2-Gang-25-cu-in-Non-Metallic-Old-Work-Switch-and-Outlet-Box-B225R-UPC/100404169" TargetMode="External"/><Relationship Id="rId509" Type="http://schemas.openxmlformats.org/officeDocument/2006/relationships/hyperlink" Target="http://www.homedepot.com/p/Carlon-2-Gang-25-cu-in-Non-Metallic-Old-Work-Switch-and-Outlet-Box-B225R-UPC/100404169" TargetMode="External"/><Relationship Id="rId660" Type="http://schemas.openxmlformats.org/officeDocument/2006/relationships/hyperlink" Target="https://www.onlinecomponents.com/en/mean-well/hlg100h24-43122993.html?ref=searchads360feed&amp;utm_term=HLG-100H-24&amp;gclid=Cj0KCQiAys2MBhDOARIsAFf1D1fC_RwxOqv_Sp_FABdduaXSO26s-OyCiZQXXaoLEVnmUrt-4kOSsHYaAva_EALw_wcB&amp;gclsrc=aw.ds" TargetMode="External"/><Relationship Id="rId106" Type="http://schemas.openxmlformats.org/officeDocument/2006/relationships/hyperlink" Target="http://www.homedepot.com/p/Carlon-2-Gang-25-cu-in-Non-Metallic-Old-Work-Switch-and-Outlet-Box-B225R-UPC/100404169" TargetMode="External"/><Relationship Id="rId313" Type="http://schemas.openxmlformats.org/officeDocument/2006/relationships/hyperlink" Target="http://www.homedepot.com/b/Electrical-Electrical-Boxes-Conduit-Fittings/Carlon/N-5yc1vZbm4mZ2dq" TargetMode="External"/><Relationship Id="rId495" Type="http://schemas.openxmlformats.org/officeDocument/2006/relationships/hyperlink" Target="http://www.homedepot.com/p/Carlon-2-Gang-25-cu-in-Non-Metallic-Old-Work-Switch-and-Outlet-Box-B225R-UPC/100404169" TargetMode="External"/><Relationship Id="rId716" Type="http://schemas.openxmlformats.org/officeDocument/2006/relationships/hyperlink" Target="https://es.aliexpress.com/item/1005006905065001.html?spm=a2g0o.productlist.main.39.67cb720cPFPgYy&amp;algo_pvid=deadccad-f9cc-47ae-8498-1084d4f00448&amp;aem_p4p_detail=202406091914162976896198887100009715432&amp;algo_exp_id=deadccad-f9cc-47ae-8498-1084d4f00448-19&amp;pdp_npi=4%40dis%21COP%21522190.24%21365533.17%21%21%21130.00%2191.00%21%40210318c317179856565384783e3071%2112000038672433311%21sea%21CO%210%21AB&amp;curPageLogUid=8X7sSJyHGWaU&amp;utparam-url=scene%3Asearch%7Cquery_from%3A&amp;search_p4p_id=202406091914162976896198887100009715432_5" TargetMode="External"/><Relationship Id="rId758" Type="http://schemas.openxmlformats.org/officeDocument/2006/relationships/hyperlink" Target="http://www.homedepot.com/b/Electrical-Electrical-Boxes-Conduit-Fittings/Carlon/N-5yc1vZbm4mZ2dq" TargetMode="External"/><Relationship Id="rId10" Type="http://schemas.openxmlformats.org/officeDocument/2006/relationships/hyperlink" Target="https://microcell.co/videoproyectores-epson/1969-video-proyector-epson-power-lite-1980wu-4-400-lumens-wuxga-19200x1200-1080p.html" TargetMode="External"/><Relationship Id="rId52" Type="http://schemas.openxmlformats.org/officeDocument/2006/relationships/hyperlink" Target="https://www.amazon.com/Android-Industrial-Conference-Digital-Signage/dp/B07GD3G18B/ref=sr_1_1?ie=UTF8&amp;qid=1541503362&amp;sr=8-1&amp;keywords=android+panel+conference" TargetMode="External"/><Relationship Id="rId94" Type="http://schemas.openxmlformats.org/officeDocument/2006/relationships/hyperlink" Target="http://www.homedepot.com/p/Carlon-2-Gang-25-cu-in-Non-Metallic-Old-Work-Switch-and-Outlet-Box-B225R-UPC/100404169" TargetMode="External"/><Relationship Id="rId148" Type="http://schemas.openxmlformats.org/officeDocument/2006/relationships/hyperlink" Target="http://www.homedepot.com/p/Carlon-2-Gang-25-cu-in-Non-Metallic-Old-Work-Switch-and-Outlet-Box-B225R-UPC/100404169" TargetMode="External"/><Relationship Id="rId355" Type="http://schemas.openxmlformats.org/officeDocument/2006/relationships/hyperlink" Target="http://www.homedepot.com/p/Carlon-2-Gang-25-cu-in-Non-Metallic-Old-Work-Switch-and-Outlet-Box-B225R-UPC/100404169" TargetMode="External"/><Relationship Id="rId397" Type="http://schemas.openxmlformats.org/officeDocument/2006/relationships/hyperlink" Target="http://www.homedepot.com/p/Carlon-2-Gang-25-cu-in-Non-Metallic-Old-Work-Switch-and-Outlet-Box-B225R-UPC/100404169" TargetMode="External"/><Relationship Id="rId520" Type="http://schemas.openxmlformats.org/officeDocument/2006/relationships/hyperlink" Target="http://www.homedepot.com/p/Carlon-2-Gang-25-cu-in-Non-Metallic-Old-Work-Switch-and-Outlet-Box-B225R-UPC/100404169" TargetMode="External"/><Relationship Id="rId562" Type="http://schemas.openxmlformats.org/officeDocument/2006/relationships/hyperlink" Target="https://www.amazon.com/dp/B07LCXT72M/ref=sspa_dk_detail_5?psc=1&amp;pd_rd_i=B07LCXT72M&amp;spLa=ZW5jcnlwdGVkUXVhbGlmaWVyPUEyQUdVMFYwMVI4QklQJmVuY3J5cHRlZElkPUEwNjQzMTAyNkNCOVdWQVpBMFJIJmVuY3J5cHRlZEFkSWQ9QTAyNjE2MzYyS0FJNkJNS05LSEpJJndpZGdldE5hbWU9c3BfZGV0YWlsJmFjdGlvbj1jbGlja1JlZGlyZWN0JmRvTm90TG9nQ2xpY2s9dHJ1https://www.amazon.com/dp/B07LCXT72M/ref=sspa_dk_detail_5?psc=1&amp;pd_rd_i=B07LCXT72M&amp;spLa=ZW5jcnlwdGVkUXVhbGlmaWVyPUEyQUdVMFYwMVI4QklQJmVuY3J5cHRlZElkPUEwNjQzMTAyNkNCOVdWQVpBMFJIJmVuY3J5cHRlZEFkSWQ9QTAyNjE2MzYyS0FJNkJNS05LSEpJJndpZGdldE5hbWU9c3BfZGV0YWlsJmFjdGlvbj1jbGlja1JlZGlyZWN0JmRvTm90TG9nQ2xpY2s9dHJ1ZQ==" TargetMode="External"/><Relationship Id="rId618" Type="http://schemas.openxmlformats.org/officeDocument/2006/relationships/hyperlink" Target="http://www.homedepot.com/p/Carlon-2-Gang-25-cu-in-Non-Metallic-Old-Work-Switch-and-Outlet-Box-B225R-UPC/100404169" TargetMode="External"/><Relationship Id="rId215" Type="http://schemas.openxmlformats.org/officeDocument/2006/relationships/hyperlink" Target="http://www.homedepot.com/b/Electrical-Electrical-Boxes-Conduit-Fittings/Carlon/N-5yc1vZbm4mZ2dq" TargetMode="External"/><Relationship Id="rId257" Type="http://schemas.openxmlformats.org/officeDocument/2006/relationships/hyperlink" Target="http://www.homedepot.com/b/Electrical-Electrical-Boxes-Conduit-Fittings/Carlon/N-5yc1vZbm4mZ2dq" TargetMode="External"/><Relationship Id="rId422" Type="http://schemas.openxmlformats.org/officeDocument/2006/relationships/hyperlink" Target="http://www.homedepot.com/b/Electrical-Electrical-Boxes-Conduit-Fittings/Carlon/N-5yc1vZbm4mZ2dq" TargetMode="External"/><Relationship Id="rId464" Type="http://schemas.openxmlformats.org/officeDocument/2006/relationships/hyperlink" Target="http://www.homedepot.com/b/Electrical-Electrical-Boxes-Conduit-Fittings/Carlon/N-5yc1vZbm4mZ2dq" TargetMode="External"/><Relationship Id="rId299" Type="http://schemas.openxmlformats.org/officeDocument/2006/relationships/hyperlink" Target="http://www.homedepot.com/b/Electrical-Electrical-Boxes-Conduit-Fittings/Carlon/N-5yc1vZbm4mZ2dq" TargetMode="External"/><Relationship Id="rId727" Type="http://schemas.openxmlformats.org/officeDocument/2006/relationships/hyperlink" Target="https://www.industrialcommerciallighting.com/outdoor/wildlife-friendly-lighting/wsr-15k20-dx-a+housingcolor-White" TargetMode="External"/><Relationship Id="rId63" Type="http://schemas.openxmlformats.org/officeDocument/2006/relationships/hyperlink" Target="http://www.homedepot.com/p/Carlon-2-Gang-25-cu-in-Non-Metallic-Old-Work-Switch-and-Outlet-Box-B225R-UPC/100404169" TargetMode="External"/><Relationship Id="rId159" Type="http://schemas.openxmlformats.org/officeDocument/2006/relationships/hyperlink" Target="http://www.homedepot.com/b/Electrical-Electrical-Boxes-Conduit-Fittings/Carlon/N-5yc1vZbm4mZ2dq" TargetMode="External"/><Relationship Id="rId366" Type="http://schemas.openxmlformats.org/officeDocument/2006/relationships/hyperlink" Target="http://www.homedepot.com/b/Electrical-Electrical-Boxes-Conduit-Fittings/Carlon/N-5yc1vZbm4mZ2dq" TargetMode="External"/><Relationship Id="rId573" Type="http://schemas.openxmlformats.org/officeDocument/2006/relationships/hyperlink" Target="http://www.homedepot.com/p/Carlon-2-Gang-25-cu-in-Non-Metallic-Old-Work-Switch-and-Outlet-Box-B225R-UPC/100404169" TargetMode="External"/><Relationship Id="rId780" Type="http://schemas.openxmlformats.org/officeDocument/2006/relationships/hyperlink" Target="http://www.homedepot.com/p/Carlon-2-Gang-25-cu-in-Non-Metallic-Old-Work-Switch-and-Outlet-Box-B225R-UPC/100404169" TargetMode="External"/><Relationship Id="rId226" Type="http://schemas.openxmlformats.org/officeDocument/2006/relationships/hyperlink" Target="http://www.homedepot.com/p/Carlon-2-Gang-25-cu-in-Non-Metallic-Old-Work-Switch-and-Outlet-Box-B225R-UPC/100404169" TargetMode="External"/><Relationship Id="rId433" Type="http://schemas.openxmlformats.org/officeDocument/2006/relationships/hyperlink" Target="http://www.homedepot.com/p/Carlon-2-Gang-25-cu-in-Non-Metallic-Old-Work-Switch-and-Outlet-Box-B225R-UPC/100404169" TargetMode="External"/><Relationship Id="rId640" Type="http://schemas.openxmlformats.org/officeDocument/2006/relationships/hyperlink" Target="http://www.homedepot.com/p/Carlon-2-Gang-25-cu-in-Non-Metallic-Old-Work-Switch-and-Outlet-Box-B225R-UPC/100404169" TargetMode="External"/><Relationship Id="rId738" Type="http://schemas.openxmlformats.org/officeDocument/2006/relationships/hyperlink" Target="http://www.homedepot.com/b/Electrical-Electrical-Boxes-Conduit-Fittings/Carlon/N-5yc1vZbm4mZ2dq" TargetMode="External"/><Relationship Id="rId74" Type="http://schemas.openxmlformats.org/officeDocument/2006/relationships/hyperlink" Target="https://www.ktronix.com/computador-escritorio-hp-590-p002bla-intel-core-i5-disco-duro-1-tb-21-5-pulgadas-negro-plata" TargetMode="External"/><Relationship Id="rId377" Type="http://schemas.openxmlformats.org/officeDocument/2006/relationships/hyperlink" Target="http://www.homedepot.com/p/Carlon-2-Gang-25-cu-in-Non-Metallic-Old-Work-Switch-and-Outlet-Box-B225R-UPC/100404169" TargetMode="External"/><Relationship Id="rId500" Type="http://schemas.openxmlformats.org/officeDocument/2006/relationships/hyperlink" Target="https://www.amazon.com/Wireless-Cellular-BusHomeiness-Security-Controller/dp/B07D397CMF/ref=sr_1_1_sspa?s=hi&amp;ie=UTF8&amp;qid=1540920983&amp;sr=1-1-spons&amp;keywords=alarm+wifi&amp;refinements=p_72%3A1248909011&amp;psc=1" TargetMode="External"/><Relationship Id="rId584" Type="http://schemas.openxmlformats.org/officeDocument/2006/relationships/hyperlink" Target="http://www.homedepot.com/p/Carlon-2-Gang-25-cu-in-Non-Metallic-Old-Work-Switch-and-Outlet-Box-B225R-UPC/100404169" TargetMode="External"/><Relationship Id="rId5" Type="http://schemas.openxmlformats.org/officeDocument/2006/relationships/hyperlink" Target="https://microcell.co/videoproyectores-epson/1969-video-proyector-epson-power-lite-1980wu-4-400-lumens-wuxga-19200x1200-1080p.html" TargetMode="External"/><Relationship Id="rId237" Type="http://schemas.openxmlformats.org/officeDocument/2006/relationships/hyperlink" Target="http://www.homedepot.com/b/Electrical-Electrical-Boxes-Conduit-Fittings/Carlon/N-5yc1vZbm4mZ2dq" TargetMode="External"/><Relationship Id="rId444" Type="http://schemas.openxmlformats.org/officeDocument/2006/relationships/hyperlink" Target="http://www.homedepot.com/b/Electrical-Electrical-Boxes-Conduit-Fittings/Carlon/N-5yc1vZbm4mZ2dq" TargetMode="External"/><Relationship Id="rId651" Type="http://schemas.openxmlformats.org/officeDocument/2006/relationships/hyperlink" Target="http://www.homedepot.com/b/Electrical-Electrical-Boxes-Conduit-Fittings/Carlon/N-5yc1vZbm4mZ2dq" TargetMode="External"/><Relationship Id="rId749" Type="http://schemas.openxmlformats.org/officeDocument/2006/relationships/hyperlink" Target="http://www.homedepot.com/b/Electrical-Electrical-Boxes-Conduit-Fittings/Carlon/N-5yc1vZbm4mZ2dq" TargetMode="External"/><Relationship Id="rId290" Type="http://schemas.openxmlformats.org/officeDocument/2006/relationships/hyperlink" Target="http://www.homedepot.com/p/Carlon-2-Gang-25-cu-in-Non-Metallic-Old-Work-Switch-and-Outlet-Box-B225R-UPC/100404169" TargetMode="External"/><Relationship Id="rId304" Type="http://schemas.openxmlformats.org/officeDocument/2006/relationships/hyperlink" Target="http://www.homedepot.com/p/Carlon-2-Gang-25-cu-in-Non-Metallic-Old-Work-Switch-and-Outlet-Box-B225R-UPC/100404169" TargetMode="External"/><Relationship Id="rId388" Type="http://schemas.openxmlformats.org/officeDocument/2006/relationships/hyperlink" Target="http://www.homedepot.com/b/Electrical-Electrical-Boxes-Conduit-Fittings/Carlon/N-5yc1vZbm4mZ2dq" TargetMode="External"/><Relationship Id="rId511" Type="http://schemas.openxmlformats.org/officeDocument/2006/relationships/hyperlink" Target="http://www.homedepot.com/p/Carlon-2-Gang-25-cu-in-Non-Metallic-Old-Work-Switch-and-Outlet-Box-B225R-UPC/100404169" TargetMode="External"/><Relationship Id="rId609" Type="http://schemas.openxmlformats.org/officeDocument/2006/relationships/hyperlink" Target="http://www.homedepot.com/b/Electrical-Electrical-Boxes-Conduit-Fittings/Carlon/N-5yc1vZbm4mZ2dq" TargetMode="External"/><Relationship Id="rId85" Type="http://schemas.openxmlformats.org/officeDocument/2006/relationships/hyperlink" Target="https://www.amazon.com/J-Tech-Digital-HDBaseT-Receivers-Supports/dp/B07HCTNT8Z/ref=sr_1_3?keywords=hdbt+8x8&amp;qid=1571833736&amp;sr=8-3" TargetMode="External"/><Relationship Id="rId150" Type="http://schemas.openxmlformats.org/officeDocument/2006/relationships/hyperlink" Target="http://www.homedepot.com/p/Carlon-2-Gang-25-cu-in-Non-Metallic-Old-Work-Switch-and-Outlet-Box-B225R-UPC/100404169" TargetMode="External"/><Relationship Id="rId595" Type="http://schemas.openxmlformats.org/officeDocument/2006/relationships/hyperlink" Target="https://store.ui.com/products/unifi-6-long-range-access-point" TargetMode="External"/><Relationship Id="rId248" Type="http://schemas.openxmlformats.org/officeDocument/2006/relationships/hyperlink" Target="http://www.homedepot.com/p/Carlon-2-Gang-25-cu-in-Non-Metallic-Old-Work-Switch-and-Outlet-Box-B225R-UPC/100404169" TargetMode="External"/><Relationship Id="rId455" Type="http://schemas.openxmlformats.org/officeDocument/2006/relationships/hyperlink" Target="http://www.homedepot.com/p/Carlon-2-Gang-25-cu-in-Non-Metallic-Old-Work-Switch-and-Outlet-Box-B225R-UPC/100404169" TargetMode="External"/><Relationship Id="rId662" Type="http://schemas.openxmlformats.org/officeDocument/2006/relationships/hyperlink" Target="http://www.homedepot.com/b/Electrical-Electrical-Boxes-Conduit-Fittings/Carlon/N-5yc1vZbm4mZ2dq" TargetMode="External"/><Relationship Id="rId12" Type="http://schemas.openxmlformats.org/officeDocument/2006/relationships/hyperlink" Target="https://microcell.co/videoproyectores-epson/1969-video-proyector-epson-power-lite-1980wu-4-400-lumens-wuxga-19200x1200-1080p.html" TargetMode="External"/><Relationship Id="rId108" Type="http://schemas.openxmlformats.org/officeDocument/2006/relationships/hyperlink" Target="http://www.homedepot.com/p/Carlon-2-Gang-25-cu-in-Non-Metallic-Old-Work-Switch-and-Outlet-Box-B225R-UPC/100404169" TargetMode="External"/><Relationship Id="rId315" Type="http://schemas.openxmlformats.org/officeDocument/2006/relationships/hyperlink" Target="http://www.homedepot.com/b/Electrical-Electrical-Boxes-Conduit-Fittings/Carlon/N-5yc1vZbm4mZ2dq" TargetMode="External"/><Relationship Id="rId522" Type="http://schemas.openxmlformats.org/officeDocument/2006/relationships/hyperlink" Target="http://www.homedepot.com/p/Carlon-2-Gang-25-cu-in-Non-Metallic-Old-Work-Switch-and-Outlet-Box-B225R-UPC/100404169" TargetMode="External"/><Relationship Id="rId96" Type="http://schemas.openxmlformats.org/officeDocument/2006/relationships/hyperlink" Target="http://www.homedepot.com/p/Carlon-2-Gang-25-cu-in-Non-Metallic-Old-Work-Switch-and-Outlet-Box-B225R-UPC/100404169" TargetMode="External"/><Relationship Id="rId161" Type="http://schemas.openxmlformats.org/officeDocument/2006/relationships/hyperlink" Target="http://www.homedepot.com/b/Electrical-Electrical-Boxes-Conduit-Fittings/Carlon/N-5yc1vZbm4mZ2dq" TargetMode="External"/><Relationship Id="rId399" Type="http://schemas.openxmlformats.org/officeDocument/2006/relationships/hyperlink" Target="http://www.homedepot.com/p/Carlon-2-Gang-25-cu-in-Non-Metallic-Old-Work-Switch-and-Outlet-Box-B225R-UPC/100404169" TargetMode="External"/><Relationship Id="rId259" Type="http://schemas.openxmlformats.org/officeDocument/2006/relationships/hyperlink" Target="http://www.homedepot.com/b/Electrical-Electrical-Boxes-Conduit-Fittings/Carlon/N-5yc1vZbm4mZ2dq" TargetMode="External"/><Relationship Id="rId466" Type="http://schemas.openxmlformats.org/officeDocument/2006/relationships/hyperlink" Target="http://www.homedepot.com/b/Electrical-Electrical-Boxes-Conduit-Fittings/Carlon/N-5yc1vZbm4mZ2dq" TargetMode="External"/><Relationship Id="rId673" Type="http://schemas.openxmlformats.org/officeDocument/2006/relationships/hyperlink" Target="http://www.homedepot.com/p/Carlon-2-Gang-25-cu-in-Non-Metallic-Old-Work-Switch-and-Outlet-Box-B225R-UPC/100404169" TargetMode="External"/><Relationship Id="rId23" Type="http://schemas.openxmlformats.org/officeDocument/2006/relationships/hyperlink" Target="http://www.amazon.com/CNE41435-Decora-Insert-Stereo-Couplers/dp/B00IPZBXCG/ref=sr_1_4?ie=UTF8&amp;qid=1457981528&amp;sr=8-4&amp;keywords=rca+plate" TargetMode="External"/><Relationship Id="rId119" Type="http://schemas.openxmlformats.org/officeDocument/2006/relationships/hyperlink" Target="http://www.homedepot.com/b/Electrical-Electrical-Boxes-Conduit-Fittings/Carlon/N-5yc1vZbm4mZ2dq" TargetMode="External"/><Relationship Id="rId326" Type="http://schemas.openxmlformats.org/officeDocument/2006/relationships/hyperlink" Target="http://www.homedepot.com/b/Electrical-Electrical-Boxes-Conduit-Fittings/Carlon/N-5yc1vZbm4mZ2dq" TargetMode="External"/><Relationship Id="rId533" Type="http://schemas.openxmlformats.org/officeDocument/2006/relationships/hyperlink" Target="http://www.homedepot.com/p/Carlon-2-Gang-25-cu-in-Non-Metallic-Old-Work-Switch-and-Outlet-Box-B225R-UPC/100404169" TargetMode="External"/><Relationship Id="rId740" Type="http://schemas.openxmlformats.org/officeDocument/2006/relationships/hyperlink" Target="http://www.homedepot.com/b/Electrical-Electrical-Boxes-Conduit-Fittings/Carlon/N-5yc1vZbm4mZ2dq" TargetMode="External"/><Relationship Id="rId172" Type="http://schemas.openxmlformats.org/officeDocument/2006/relationships/hyperlink" Target="http://www.homedepot.com/p/Carlon-2-Gang-25-cu-in-Non-Metallic-Old-Work-Switch-and-Outlet-Box-B225R-UPC/100404169" TargetMode="External"/><Relationship Id="rId477" Type="http://schemas.openxmlformats.org/officeDocument/2006/relationships/hyperlink" Target="http://www.homedepot.com/b/Electrical-Electrical-Boxes-Conduit-Fittings/Carlon/N-5yc1vZbm4mZ2dq" TargetMode="External"/><Relationship Id="rId600" Type="http://schemas.openxmlformats.org/officeDocument/2006/relationships/hyperlink" Target="http://www.homedepot.com/p/Carlon-2-Gang-25-cu-in-Non-Metallic-Old-Work-Switch-and-Outlet-Box-B225R-UPC/100404169" TargetMode="External"/><Relationship Id="rId684" Type="http://schemas.openxmlformats.org/officeDocument/2006/relationships/hyperlink" Target="https://www.amazon.com/-/es/control-inal%C3%A1mbrico-controlador-Bluetooth-DC12-24V/dp/B0BCTZWTJY/ref=sr_1_4?__mk_es_US=%C3%85M%C3%85%C5%BD%C3%95%C3%91&amp;crid=LFIHXJKBO5AA&amp;keywords=controlador%2BRGB%2Bwifi&amp;qid=1683896593&amp;refinements=p_72%3A1248909011&amp;rnid=1248907011&amp;s=hi&amp;sprefix=controlador%2Brgb%2Bwifi%2Caps%2C147&amp;sr=1-4&amp;th=1" TargetMode="External"/><Relationship Id="rId337" Type="http://schemas.openxmlformats.org/officeDocument/2006/relationships/hyperlink" Target="http://www.homedepot.com/p/Carlon-2-Gang-25-cu-in-Non-Metallic-Old-Work-Switch-and-Outlet-Box-B225R-UPC/100404169" TargetMode="External"/><Relationship Id="rId34" Type="http://schemas.openxmlformats.org/officeDocument/2006/relationships/hyperlink" Target="http://www.homedepot.com/p/Carlon-2-Gang-25-cu-in-Non-Metallic-Old-Work-Switch-and-Outlet-Box-B225R-UPC/100404169" TargetMode="External"/><Relationship Id="rId544" Type="http://schemas.openxmlformats.org/officeDocument/2006/relationships/hyperlink" Target="https://www.amazon.com/-/es/Bodine-B413-lastre-emergencia-625-l%C3%BAmenes-2-Pin/dp/B00JMCHNXY/ref=sr_1_85?__mk_es_US=%C3%85M%C3%85%C5%BD%C3%95%C3%91&amp;dchild=1&amp;keywords=bodine&amp;qid=1614903904&amp;s=hi&amp;sr=1-85" TargetMode="External"/><Relationship Id="rId751" Type="http://schemas.openxmlformats.org/officeDocument/2006/relationships/hyperlink" Target="http://www.homedepot.com/b/Electrical-Electrical-Boxes-Conduit-Fittings/Carlon/N-5yc1vZbm4mZ2dq" TargetMode="External"/><Relationship Id="rId183" Type="http://schemas.openxmlformats.org/officeDocument/2006/relationships/hyperlink" Target="http://www.homedepot.com/b/Electrical-Electrical-Boxes-Conduit-Fittings/Carlon/N-5yc1vZbm4mZ2dq" TargetMode="External"/><Relationship Id="rId390" Type="http://schemas.openxmlformats.org/officeDocument/2006/relationships/hyperlink" Target="http://www.homedepot.com/b/Electrical-Electrical-Boxes-Conduit-Fittings/Carlon/N-5yc1vZbm4mZ2dq" TargetMode="External"/><Relationship Id="rId404" Type="http://schemas.openxmlformats.org/officeDocument/2006/relationships/hyperlink" Target="http://www.homedepot.com/b/Electrical-Electrical-Boxes-Conduit-Fittings/Carlon/N-5yc1vZbm4mZ2dq" TargetMode="External"/><Relationship Id="rId611" Type="http://schemas.openxmlformats.org/officeDocument/2006/relationships/hyperlink" Target="http://www.homedepot.com/b/Electrical-Electrical-Boxes-Conduit-Fittings/Carlon/N-5yc1vZbm4mZ2dq" TargetMode="External"/><Relationship Id="rId250" Type="http://schemas.openxmlformats.org/officeDocument/2006/relationships/hyperlink" Target="http://www.homedepot.com/p/Carlon-2-Gang-25-cu-in-Non-Metallic-Old-Work-Switch-and-Outlet-Box-B225R-UPC/100404169" TargetMode="External"/><Relationship Id="rId488" Type="http://schemas.openxmlformats.org/officeDocument/2006/relationships/hyperlink" Target="http://www.homedepot.com/b/Electrical-Electrical-Boxes-Conduit-Fittings/Carlon/N-5yc1vZbm4mZ2dq" TargetMode="External"/><Relationship Id="rId695" Type="http://schemas.openxmlformats.org/officeDocument/2006/relationships/hyperlink" Target="https://www.amazon.com/-/es/Soporte-integrado-compatible-inteligente-generaci%C3%B3n/dp/B0BDZXNF83/ref=sr_1_4?__mk_es_US=%C3%85M%C3%85%C5%BD%C3%95%C3%91&amp;crid=17DKHERIU2PLB&amp;keywords=ceiling+mount+dot&amp;qid=1707406795&amp;sprefix=cealing+mount+dot%2Caps%2C223&amp;sr=8-4" TargetMode="External"/><Relationship Id="rId709" Type="http://schemas.openxmlformats.org/officeDocument/2006/relationships/hyperlink" Target="https://www.amazon.com/Empotrable-Seguridad-Contacto-Magn%C3%A9tico-Interruptor/dp/B00O9WCOB8/ref=pd_ci_mcx_di_int_sccai_cn_d_sccl_2_33/130-2911525-6422116?pd_rd_w=6nGPM&amp;content-id=amzn1.sym.751acc83-5c05-42d0-a15e-303622651e1e&amp;pf_rd_p=751acc83-5c05-42d0-a15e-303622651e1e&amp;pf_rd_r=1QWWR05CVCP2HARM9GN1&amp;pd_rd_wg=jOSij&amp;pd_rd_r=c95414ba-4156-4ec2-b2cb-796fe6154cf3&amp;pd_rd_i=B00O9WCOB8&amp;psc=1" TargetMode="External"/><Relationship Id="rId45" Type="http://schemas.openxmlformats.org/officeDocument/2006/relationships/hyperlink" Target="https://microcell.co/videoproyectores-epson/1969-video-proyector-epson-power-lite-1980wu-4-400-lumens-wuxga-19200x1200-1080p.html" TargetMode="External"/><Relationship Id="rId110" Type="http://schemas.openxmlformats.org/officeDocument/2006/relationships/hyperlink" Target="http://www.homedepot.com/p/Carlon-2-Gang-25-cu-in-Non-Metallic-Old-Work-Switch-and-Outlet-Box-B225R-UPC/100404169" TargetMode="External"/><Relationship Id="rId348" Type="http://schemas.openxmlformats.org/officeDocument/2006/relationships/hyperlink" Target="http://www.homedepot.com/b/Electrical-Electrical-Boxes-Conduit-Fittings/Carlon/N-5yc1vZbm4mZ2dq" TargetMode="External"/><Relationship Id="rId555" Type="http://schemas.openxmlformats.org/officeDocument/2006/relationships/hyperlink" Target="http://www.homedepot.com/p/Carlon-2-Gang-25-cu-in-Non-Metallic-Old-Work-Switch-and-Outlet-Box-B225R-UPC/100404169" TargetMode="External"/><Relationship Id="rId762" Type="http://schemas.openxmlformats.org/officeDocument/2006/relationships/hyperlink" Target="http://www.homedepot.com/b/Electrical-Electrical-Boxes-Conduit-Fittings/Carlon/N-5yc1vZbm4mZ2dq" TargetMode="External"/><Relationship Id="rId194" Type="http://schemas.openxmlformats.org/officeDocument/2006/relationships/hyperlink" Target="http://www.homedepot.com/p/Carlon-2-Gang-25-cu-in-Non-Metallic-Old-Work-Switch-and-Outlet-Box-B225R-UPC/100404169" TargetMode="External"/><Relationship Id="rId208" Type="http://schemas.openxmlformats.org/officeDocument/2006/relationships/hyperlink" Target="http://www.homedepot.com/p/Carlon-2-Gang-25-cu-in-Non-Metallic-Old-Work-Switch-and-Outlet-Box-B225R-UPC/100404169" TargetMode="External"/><Relationship Id="rId415" Type="http://schemas.openxmlformats.org/officeDocument/2006/relationships/hyperlink" Target="http://www.homedepot.com/p/Carlon-2-Gang-25-cu-in-Non-Metallic-Old-Work-Switch-and-Outlet-Box-B225R-UPC/100404169" TargetMode="External"/><Relationship Id="rId622" Type="http://schemas.openxmlformats.org/officeDocument/2006/relationships/hyperlink" Target="http://www.homedepot.com/b/Electrical-Electrical-Boxes-Conduit-Fittings/Carlon/N-5yc1vZbm4mZ2dq" TargetMode="External"/><Relationship Id="rId261" Type="http://schemas.openxmlformats.org/officeDocument/2006/relationships/hyperlink" Target="http://www.homedepot.com/b/Electrical-Electrical-Boxes-Conduit-Fittings/Carlon/N-5yc1vZbm4mZ2dq" TargetMode="External"/><Relationship Id="rId499" Type="http://schemas.openxmlformats.org/officeDocument/2006/relationships/hyperlink" Target="http://www.homedepot.com/p/Carlon-2-Gang-25-cu-in-Non-Metallic-Old-Work-Switch-and-Outlet-Box-B225R-UPC/100404169" TargetMode="External"/><Relationship Id="rId56" Type="http://schemas.openxmlformats.org/officeDocument/2006/relationships/hyperlink" Target="http://www.homedepot.com/p/Carlon-2-Gang-25-cu-in-Non-Metallic-Old-Work-Switch-and-Outlet-Box-B225R-UPC/100404169" TargetMode="External"/><Relationship Id="rId359" Type="http://schemas.openxmlformats.org/officeDocument/2006/relationships/hyperlink" Target="http://www.homedepot.com/p/Carlon-2-Gang-25-cu-in-Non-Metallic-Old-Work-Switch-and-Outlet-Box-B225R-UPC/100404169" TargetMode="External"/><Relationship Id="rId566" Type="http://schemas.openxmlformats.org/officeDocument/2006/relationships/hyperlink" Target="http://www.homedepot.com/p/Carlon-2-Gang-25-cu-in-Non-Metallic-Old-Work-Switch-and-Outlet-Box-B225R-UPC/100404169" TargetMode="External"/><Relationship Id="rId773" Type="http://schemas.openxmlformats.org/officeDocument/2006/relationships/hyperlink" Target="http://www.homedepot.com/b/Electrical-Electrical-Boxes-Conduit-Fittings/Carlon/N-5yc1vZbm4mZ2dq" TargetMode="External"/><Relationship Id="rId121" Type="http://schemas.openxmlformats.org/officeDocument/2006/relationships/hyperlink" Target="http://www.homedepot.com/b/Electrical-Electrical-Boxes-Conduit-Fittings/Carlon/N-5yc1vZbm4mZ2dq" TargetMode="External"/><Relationship Id="rId219" Type="http://schemas.openxmlformats.org/officeDocument/2006/relationships/hyperlink" Target="http://www.homedepot.com/b/Electrical-Electrical-Boxes-Conduit-Fittings/Carlon/N-5yc1vZbm4mZ2dq" TargetMode="External"/><Relationship Id="rId426" Type="http://schemas.openxmlformats.org/officeDocument/2006/relationships/hyperlink" Target="http://www.homedepot.com/b/Electrical-Electrical-Boxes-Conduit-Fittings/Carlon/N-5yc1vZbm4mZ2dq" TargetMode="External"/><Relationship Id="rId633" Type="http://schemas.openxmlformats.org/officeDocument/2006/relationships/hyperlink" Target="http://www.homedepot.com/b/Electrical-Electrical-Boxes-Conduit-Fittings/Carlon/N-5yc1vZbm4mZ2dq" TargetMode="External"/><Relationship Id="rId67" Type="http://schemas.openxmlformats.org/officeDocument/2006/relationships/hyperlink" Target="https://microcell.co/videoproyectores-epson/1969-video-proyector-epson-power-lite-1980wu-4-400-lumens-wuxga-19200x1200-1080p.html" TargetMode="External"/><Relationship Id="rId272" Type="http://schemas.openxmlformats.org/officeDocument/2006/relationships/hyperlink" Target="http://www.homedepot.com/p/Carlon-2-Gang-25-cu-in-Non-Metallic-Old-Work-Switch-and-Outlet-Box-B225R-UPC/100404169" TargetMode="External"/><Relationship Id="rId577" Type="http://schemas.openxmlformats.org/officeDocument/2006/relationships/hyperlink" Target="http://www.homedepot.com/p/Carlon-2-Gang-25-cu-in-Non-Metallic-Old-Work-Switch-and-Outlet-Box-B225R-UPC/100404169" TargetMode="External"/><Relationship Id="rId700" Type="http://schemas.openxmlformats.org/officeDocument/2006/relationships/hyperlink" Target="https://es.aliexpress.com/item/1005006719915480.html?spm=a2g0o.productlist.main.31.4582a439xLCc1W&amp;algo_pvid=2177894d-4a38-4dbd-a30c-a6a084f2c69f&amp;aem_p4p_detail=20240417174422168000266494270002091951&amp;algo_exp_id=2177894d-4a38-4dbd-a30c-a6a084f2c69f-15&amp;pdp_npi=4%40dis%21COP%21474731.07%21290334.87%21%21%21861.90%21527.12%21%402103010c17134010620156438e427e%2112000038087823409%21sea%21CO%210%21AB&amp;curPageLogUid=z72yPfODL7r8&amp;utparam-url=scene%3Asearch%7Cquery_from%3A&amp;search_p4p_id=20240417174422168000266494270002091951_4" TargetMode="External"/><Relationship Id="rId132" Type="http://schemas.openxmlformats.org/officeDocument/2006/relationships/hyperlink" Target="http://www.homedepot.com/p/Carlon-2-Gang-25-cu-in-Non-Metallic-Old-Work-Switch-and-Outlet-Box-B225R-UPC/100404169" TargetMode="External"/><Relationship Id="rId437" Type="http://schemas.openxmlformats.org/officeDocument/2006/relationships/hyperlink" Target="http://www.homedepot.com/p/Carlon-2-Gang-25-cu-in-Non-Metallic-Old-Work-Switch-and-Outlet-Box-B225R-UPC/100404169" TargetMode="External"/><Relationship Id="rId644" Type="http://schemas.openxmlformats.org/officeDocument/2006/relationships/hyperlink" Target="http://www.homedepot.com/p/Carlon-2-Gang-25-cu-in-Non-Metallic-Old-Work-Switch-and-Outlet-Box-B225R-UPC/100404169" TargetMode="External"/><Relationship Id="rId283" Type="http://schemas.openxmlformats.org/officeDocument/2006/relationships/hyperlink" Target="http://www.homedepot.com/b/Electrical-Electrical-Boxes-Conduit-Fittings/Carlon/N-5yc1vZbm4mZ2dq" TargetMode="External"/><Relationship Id="rId490" Type="http://schemas.openxmlformats.org/officeDocument/2006/relationships/hyperlink" Target="http://www.homedepot.com/b/Electrical-Electrical-Boxes-Conduit-Fittings/Carlon/N-5yc1vZbm4mZ2dq" TargetMode="External"/><Relationship Id="rId504" Type="http://schemas.openxmlformats.org/officeDocument/2006/relationships/hyperlink" Target="http://www.homecenter.com.co/homecenter-co/search/?No=16&amp;Nrpp=16&amp;Ntt=CENTELSA" TargetMode="External"/><Relationship Id="rId711" Type="http://schemas.openxmlformats.org/officeDocument/2006/relationships/hyperlink" Target="https://es.aliexpress.com/item/4000259576215.html" TargetMode="External"/><Relationship Id="rId78" Type="http://schemas.openxmlformats.org/officeDocument/2006/relationships/hyperlink" Target="https://www.amazon.com/Infinity-Marine-2-Way-Weatherproof-Speakers/dp/B00PACGAJI/ref=sr_1_11?keywords=Weatherproof+Marine+speaker&amp;qid=1568904844&amp;rnid=2941120011&amp;s=electronics&amp;sr=1-11" TargetMode="External"/><Relationship Id="rId143" Type="http://schemas.openxmlformats.org/officeDocument/2006/relationships/hyperlink" Target="http://www.homedepot.com/b/Electrical-Electrical-Boxes-Conduit-Fittings/Carlon/N-5yc1vZbm4mZ2dq" TargetMode="External"/><Relationship Id="rId350" Type="http://schemas.openxmlformats.org/officeDocument/2006/relationships/hyperlink" Target="http://www.homedepot.com/b/Electrical-Electrical-Boxes-Conduit-Fittings/Carlon/N-5yc1vZbm4mZ2dq" TargetMode="External"/><Relationship Id="rId588" Type="http://schemas.openxmlformats.org/officeDocument/2006/relationships/hyperlink" Target="http://www.homedepot.com/p/Carlon-2-Gang-25-cu-in-Non-Metallic-Old-Work-Switch-and-Outlet-Box-B225R-UPC/100404169" TargetMode="External"/><Relationship Id="rId9" Type="http://schemas.openxmlformats.org/officeDocument/2006/relationships/hyperlink" Target="https://microcell.co/videoproyectores-epson/1969-video-proyector-epson-power-lite-1980wu-4-400-lumens-wuxga-19200x1200-1080p.html" TargetMode="External"/><Relationship Id="rId210" Type="http://schemas.openxmlformats.org/officeDocument/2006/relationships/hyperlink" Target="http://www.homedepot.com/p/Carlon-2-Gang-25-cu-in-Non-Metallic-Old-Work-Switch-and-Outlet-Box-B225R-UPC/100404169" TargetMode="External"/><Relationship Id="rId448" Type="http://schemas.openxmlformats.org/officeDocument/2006/relationships/hyperlink" Target="http://www.homedepot.com/b/Electrical-Electrical-Boxes-Conduit-Fittings/Carlon/N-5yc1vZbm4mZ2dq" TargetMode="External"/><Relationship Id="rId655" Type="http://schemas.openxmlformats.org/officeDocument/2006/relationships/hyperlink" Target="http://www.homedepot.com/b/Electrical-Electrical-Boxes-Conduit-Fittings/Carlon/N-5yc1vZbm4mZ2dq" TargetMode="External"/><Relationship Id="rId294" Type="http://schemas.openxmlformats.org/officeDocument/2006/relationships/hyperlink" Target="http://www.homedepot.com/p/Carlon-2-Gang-25-cu-in-Non-Metallic-Old-Work-Switch-and-Outlet-Box-B225R-UPC/100404169" TargetMode="External"/><Relationship Id="rId308" Type="http://schemas.openxmlformats.org/officeDocument/2006/relationships/hyperlink" Target="http://www.homedepot.com/p/Carlon-2-Gang-25-cu-in-Non-Metallic-Old-Work-Switch-and-Outlet-Box-B225R-UPC/100404169" TargetMode="External"/><Relationship Id="rId515" Type="http://schemas.openxmlformats.org/officeDocument/2006/relationships/hyperlink" Target="http://www.homedepot.com/p/Carlon-2-Gang-25-cu-in-Non-Metallic-Old-Work-Switch-and-Outlet-Box-B225R-UPC/100404169" TargetMode="External"/><Relationship Id="rId722" Type="http://schemas.openxmlformats.org/officeDocument/2006/relationships/hyperlink" Target="http://www.homedepot.com/p/Carlon-2-Gang-25-cu-in-Non-Metallic-Old-Work-Switch-and-Outlet-Box-B225R-UPC/100404169" TargetMode="External"/><Relationship Id="rId89" Type="http://schemas.openxmlformats.org/officeDocument/2006/relationships/hyperlink" Target="https://www.amazon.com/KERUI-Driveway-Infrared-Intelligent-surroundings/dp/B00XJG8FTA/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refRID=96ANBCAAFMMZPN6R7GKC&amp;th=1" TargetMode="External"/><Relationship Id="rId154" Type="http://schemas.openxmlformats.org/officeDocument/2006/relationships/hyperlink" Target="http://www.homedepot.com/p/Carlon-2-Gang-25-cu-in-Non-Metallic-Old-Work-Switch-and-Outlet-Box-B225R-UPC/100404169" TargetMode="External"/><Relationship Id="rId361" Type="http://schemas.openxmlformats.org/officeDocument/2006/relationships/hyperlink" Target="http://www.homedepot.com/p/Carlon-2-Gang-25-cu-in-Non-Metallic-Old-Work-Switch-and-Outlet-Box-B225R-UPC/100404169" TargetMode="External"/><Relationship Id="rId599" Type="http://schemas.openxmlformats.org/officeDocument/2006/relationships/hyperlink" Target="http://www.homedepot.com/p/Carlon-2-Gang-25-cu-in-Non-Metallic-Old-Work-Switch-and-Outlet-Box-B225R-UPC/100404169" TargetMode="External"/><Relationship Id="rId459" Type="http://schemas.openxmlformats.org/officeDocument/2006/relationships/hyperlink" Target="http://www.homedepot.com/p/Carlon-2-Gang-25-cu-in-Non-Metallic-Old-Work-Switch-and-Outlet-Box-B225R-UPC/100404169" TargetMode="External"/><Relationship Id="rId666" Type="http://schemas.openxmlformats.org/officeDocument/2006/relationships/hyperlink" Target="http://www.homedepot.com/p/Carlon-2-Gang-25-cu-in-Non-Metallic-Old-Work-Switch-and-Outlet-Box-B225R-UPC/100404169" TargetMode="External"/><Relationship Id="rId16" Type="http://schemas.openxmlformats.org/officeDocument/2006/relationships/hyperlink" Target="https://www.amazon.com/Sunnyglade-Dustproof-Waterproof-Universal-Electrical/dp/B07Q1X4GQP/ref=sr_1_16?dchild=1&amp;keywords=box%2Bip65&amp;qid=1595262374&amp;sr=8-16&amp;th=1" TargetMode="External"/><Relationship Id="rId221" Type="http://schemas.openxmlformats.org/officeDocument/2006/relationships/hyperlink" Target="http://www.homedepot.com/b/Electrical-Electrical-Boxes-Conduit-Fittings/Carlon/N-5yc1vZbm4mZ2dq" TargetMode="External"/><Relationship Id="rId319" Type="http://schemas.openxmlformats.org/officeDocument/2006/relationships/hyperlink" Target="http://www.fibersavvy.com/store/p/6379-THE-SCOOP-Single-Dual-Gang-Reversible-Non-Metallic-Cable-Entrance-Plates.aspx" TargetMode="External"/><Relationship Id="rId526" Type="http://schemas.openxmlformats.org/officeDocument/2006/relationships/hyperlink" Target="https://www.amazon.com/dp/B0743B4BY5/ref=sspa_dk_detail_9?psc=1&amp;pd_rd_i=B0743B4BY5&amp;pd_rd_w=eNHYa&amp;pf_rd_p=7d37a48b-2b1a-4373-8c1a-bdcc5da66be9&amp;pd_rd_wg=euLcS&amp;pf_rd_r=YJEPQKT01ZWJ2TBEPCYA&amp;pd_rd_r=24b56c6a-ca44-45f1-a983-4f23e40e39ef&amp;spLa=ZW5jcnlwdGVkUXVhbGlmaWVyPUExRlFRSE5WQzNFVFMwJmVuY3J5cHRlZElkPUEwNDE5NTg0MjNHTU1ZSU5PSzQxMyZlbmNyeXB0ZWRBZElkPUEwNTAyNjA1MVBGUUFWSzBVU1FZWCZ3aWRnZXROYW1lPXNwX2RldGFpbCZhY3Rpb249Y2xpY2tSZWRpcmVjdCZkb05vdExvZ0NsaWNrPXRydWU=" TargetMode="External"/><Relationship Id="rId733" Type="http://schemas.openxmlformats.org/officeDocument/2006/relationships/hyperlink" Target="https://www.amazon.com/HDMI-Matrix-Switcher-18GBPS-Ultra/dp/B01GKFQNG8?ref_=ast_sto_dp" TargetMode="External"/><Relationship Id="rId165" Type="http://schemas.openxmlformats.org/officeDocument/2006/relationships/hyperlink" Target="http://www.homedepot.com/b/Electrical-Electrical-Boxes-Conduit-Fittings/Carlon/N-5yc1vZbm4mZ2dq" TargetMode="External"/><Relationship Id="rId372" Type="http://schemas.openxmlformats.org/officeDocument/2006/relationships/hyperlink" Target="http://www.homedepot.com/b/Electrical-Electrical-Boxes-Conduit-Fittings/Carlon/N-5yc1vZbm4mZ2dq" TargetMode="External"/><Relationship Id="rId677" Type="http://schemas.openxmlformats.org/officeDocument/2006/relationships/hyperlink" Target="https://es.aliexpress.com/item/1005003267627016.html?spm=a2g0o.productlist.0.0.22f265abw7VMdQ&amp;algo_pvid=bdad2e3e-fed3-46f4-a5fd-e76d3e5d4eec&amp;algo_exp_id=bdad2e3e-fed3-46f4-a5fd-e76d3e5d4eec-15&amp;pdp_ext_f=%7B%22sku_id%22%3A%2212000024937603597%22%7D&amp;pdp_npi=2%40dis%21COP%21%21480429.31%21%21%2150565.19%21%21%402101d68d16537809913431711e2586%2112000024937603597%21sea" TargetMode="External"/><Relationship Id="rId232" Type="http://schemas.openxmlformats.org/officeDocument/2006/relationships/hyperlink" Target="http://www.homedepot.com/p/Carlon-2-Gang-25-cu-in-Non-Metallic-Old-Work-Switch-and-Outlet-Box-B225R-UPC/100404169" TargetMode="External"/><Relationship Id="rId27" Type="http://schemas.openxmlformats.org/officeDocument/2006/relationships/hyperlink" Target="http://www.homedepot.com/p/Carlon-2-Gang-25-cu-in-Non-Metallic-Old-Work-Switch-and-Outlet-Box-B225R-UPC/100404169" TargetMode="External"/><Relationship Id="rId537" Type="http://schemas.openxmlformats.org/officeDocument/2006/relationships/hyperlink" Target="http://www.homedepot.com/p/Carlon-2-Gang-25-cu-in-Non-Metallic-Old-Work-Switch-and-Outlet-Box-B225R-UPC/100404169" TargetMode="External"/><Relationship Id="rId744" Type="http://schemas.openxmlformats.org/officeDocument/2006/relationships/hyperlink" Target="http://www.homedepot.com/b/Electrical-Electrical-Boxes-Conduit-Fittings/Carlon/N-5yc1vZbm4mZ2dq" TargetMode="External"/><Relationship Id="rId80" Type="http://schemas.openxmlformats.org/officeDocument/2006/relationships/hyperlink" Target="http://www.homedepot.com/p/Carlon-2-Gang-25-cu-in-Non-Metallic-Old-Work-Switch-and-Outlet-Box-B225R-UPC/100404169" TargetMode="External"/><Relationship Id="rId176" Type="http://schemas.openxmlformats.org/officeDocument/2006/relationships/hyperlink" Target="http://www.homedepot.com/p/Carlon-2-Gang-25-cu-in-Non-Metallic-Old-Work-Switch-and-Outlet-Box-B225R-UPC/100404169" TargetMode="External"/><Relationship Id="rId383" Type="http://schemas.openxmlformats.org/officeDocument/2006/relationships/hyperlink" Target="http://www.homedepot.com/p/Carlon-2-Gang-25-cu-in-Non-Metallic-Old-Work-Switch-and-Outlet-Box-B225R-UPC/100404169" TargetMode="External"/><Relationship Id="rId590" Type="http://schemas.openxmlformats.org/officeDocument/2006/relationships/hyperlink" Target="http://www.homedepot.com/p/Carlon-2-Gang-25-cu-in-Non-Metallic-Old-Work-Switch-and-Outlet-Box-B225R-UPC/100404169" TargetMode="External"/><Relationship Id="rId604" Type="http://schemas.openxmlformats.org/officeDocument/2006/relationships/hyperlink" Target="http://www.homedepot.com/p/Carlon-2-Gang-25-cu-in-Non-Metallic-Old-Work-Switch-and-Outlet-Box-B225R-UPC/100404169" TargetMode="External"/><Relationship Id="rId243" Type="http://schemas.openxmlformats.org/officeDocument/2006/relationships/hyperlink" Target="http://www.homedepot.com/b/Electrical-Electrical-Boxes-Conduit-Fittings/Carlon/N-5yc1vZbm4mZ2dq" TargetMode="External"/><Relationship Id="rId450" Type="http://schemas.openxmlformats.org/officeDocument/2006/relationships/hyperlink" Target="http://www.homedepot.com/b/Electrical-Electrical-Boxes-Conduit-Fittings/Carlon/N-5yc1vZbm4mZ2dq" TargetMode="External"/><Relationship Id="rId688" Type="http://schemas.openxmlformats.org/officeDocument/2006/relationships/hyperlink" Target="https://es.aliexpress.com/item/1005003995869706.html?spm=a2g0o.store_pc_groupList.8148356.21.6b3156766rRrMk&amp;pdp_npi=4%40dis%21COP%21COP%2048%2C594.16%21COP%2037%2C417.51%21%21%2112.00%219.24%21%402103266e17000601165773652ece97%2112000029924432777%21sh%21CO%210%21" TargetMode="External"/><Relationship Id="rId38" Type="http://schemas.openxmlformats.org/officeDocument/2006/relationships/hyperlink" Target="http://www.homedepot.com/p/Carlon-2-Gang-25-cu-in-Non-Metallic-Old-Work-Switch-and-Outlet-Box-B225R-UPC/100404169" TargetMode="External"/><Relationship Id="rId103" Type="http://schemas.openxmlformats.org/officeDocument/2006/relationships/hyperlink" Target="http://www.homedepot.com/p/Carlon-2-Gang-25-cu-in-Non-Metallic-Old-Work-Switch-and-Outlet-Box-B225R-UPC/100404169" TargetMode="External"/><Relationship Id="rId310" Type="http://schemas.openxmlformats.org/officeDocument/2006/relationships/hyperlink" Target="http://www.homedepot.com/p/Carlon-2-Gang-25-cu-in-Non-Metallic-Old-Work-Switch-and-Outlet-Box-B225R-UPC/100404169" TargetMode="External"/><Relationship Id="rId548" Type="http://schemas.openxmlformats.org/officeDocument/2006/relationships/hyperlink" Target="http://www.homedepot.com/p/Carlon-2-Gang-25-cu-in-Non-Metallic-Old-Work-Switch-and-Outlet-Box-B225R-UPC/100404169" TargetMode="External"/><Relationship Id="rId755" Type="http://schemas.openxmlformats.org/officeDocument/2006/relationships/hyperlink" Target="http://www.homedepot.com/b/Electrical-Electrical-Boxes-Conduit-Fittings/Carlon/N-5yc1vZbm4mZ2dq" TargetMode="External"/><Relationship Id="rId91" Type="http://schemas.openxmlformats.org/officeDocument/2006/relationships/hyperlink" Target="http://www.homedepot.com/p/Carlon-2-Gang-25-cu-in-Non-Metallic-Old-Work-Switch-and-Outlet-Box-B225R-UPC/100404169" TargetMode="External"/><Relationship Id="rId187" Type="http://schemas.openxmlformats.org/officeDocument/2006/relationships/hyperlink" Target="http://www.homedepot.com/b/Electrical-Electrical-Boxes-Conduit-Fittings/Carlon/N-5yc1vZbm4mZ2dq" TargetMode="External"/><Relationship Id="rId394" Type="http://schemas.openxmlformats.org/officeDocument/2006/relationships/hyperlink" Target="http://www.homedepot.com/b/Electrical-Electrical-Boxes-Conduit-Fittings/Carlon/N-5yc1vZbm4mZ2dq" TargetMode="External"/><Relationship Id="rId408" Type="http://schemas.openxmlformats.org/officeDocument/2006/relationships/hyperlink" Target="http://www.homedepot.com/b/Electrical-Electrical-Boxes-Conduit-Fittings/Carlon/N-5yc1vZbm4mZ2dq" TargetMode="External"/><Relationship Id="rId615" Type="http://schemas.openxmlformats.org/officeDocument/2006/relationships/hyperlink" Target="http://www.homedepot.com/b/Electrical-Electrical-Boxes-Conduit-Fittings/Carlon/N-5yc1vZbm4mZ2dq" TargetMode="External"/><Relationship Id="rId254" Type="http://schemas.openxmlformats.org/officeDocument/2006/relationships/hyperlink" Target="http://www.homedepot.com/p/Carlon-2-Gang-25-cu-in-Non-Metallic-Old-Work-Switch-and-Outlet-Box-B225R-UPC/100404169" TargetMode="External"/><Relationship Id="rId699" Type="http://schemas.openxmlformats.org/officeDocument/2006/relationships/hyperlink" Target="https://www.amazon.com/dp/B0B53FNH2C/ref=sspa_dk_detail_2?pd_rd_i=B0B53FNH2C&amp;pd_rd_w=h8v0U&amp;content-id=amzn1.sym.ecc09a2f-2609-4555-bb4e-a89772637d1c&amp;pf_rd_p=ecc09a2f-2609-4555-bb4e-a89772637d1c&amp;pf_rd_r=4DMTGSBRXHGM0AW01WR1&amp;pd_rd_wg=7aUy1&amp;pd_rd_r=a95eeff4-ced5-418b-bf08-03a684c3a5f0&amp;s=industrial&amp;sp_csd=d2lkZ2V0TmFtZT1zcF9kZXRhaWxfdGhlbWF0aWM&amp;th=1" TargetMode="External"/><Relationship Id="rId49" Type="http://schemas.openxmlformats.org/officeDocument/2006/relationships/hyperlink" Target="https://articulo.mercadolibre.com.co/MCO-471712487-garruchas-o-poleas-para-noria-diametro-2-pulg-fiero-_JM?quantity=1" TargetMode="External"/><Relationship Id="rId114" Type="http://schemas.openxmlformats.org/officeDocument/2006/relationships/hyperlink" Target="http://www.homedepot.com/p/Carlon-2-Gang-25-cu-in-Non-Metallic-Old-Work-Switch-and-Outlet-Box-B225R-UPC/100404169" TargetMode="External"/><Relationship Id="rId461" Type="http://schemas.openxmlformats.org/officeDocument/2006/relationships/hyperlink" Target="http://www.homedepot.com/p/Carlon-2-Gang-25-cu-in-Non-Metallic-Old-Work-Switch-and-Outlet-Box-B225R-UPC/100404169" TargetMode="External"/><Relationship Id="rId559" Type="http://schemas.openxmlformats.org/officeDocument/2006/relationships/hyperlink" Target="https://www.amazon.com/Actiontec-Screenbeam-1100-Superior-Wirel/dp/B07R3FQX2L/ref=sr_1_1?dchild=1&amp;keywords=sbwd1100&amp;qid=1599351094&amp;sr=8-1" TargetMode="External"/><Relationship Id="rId766" Type="http://schemas.openxmlformats.org/officeDocument/2006/relationships/hyperlink" Target="http://www.homedepot.com/b/Electrical-Electrical-Boxes-Conduit-Fittings/Carlon/N-5yc1vZbm4mZ2dq" TargetMode="External"/><Relationship Id="rId198" Type="http://schemas.openxmlformats.org/officeDocument/2006/relationships/hyperlink" Target="http://www.homedepot.com/p/Carlon-2-Gang-25-cu-in-Non-Metallic-Old-Work-Switch-and-Outlet-Box-B225R-UPC/100404169" TargetMode="External"/><Relationship Id="rId321" Type="http://schemas.openxmlformats.org/officeDocument/2006/relationships/hyperlink" Target="http://www.amazon.com/gp/product/B00I0HPK3M?keywords=RCA%2050FT&amp;qid=1445018730&amp;ref_=sr_1_6&amp;sr=8-6" TargetMode="External"/><Relationship Id="rId419" Type="http://schemas.openxmlformats.org/officeDocument/2006/relationships/hyperlink" Target="http://www.homedepot.com/p/Carlon-2-Gang-25-cu-in-Non-Metallic-Old-Work-Switch-and-Outlet-Box-B225R-UPC/100404169" TargetMode="External"/><Relationship Id="rId626" Type="http://schemas.openxmlformats.org/officeDocument/2006/relationships/hyperlink" Target="http://www.homedepot.com/p/Carlon-2-Gang-25-cu-in-Non-Metallic-Old-Work-Switch-and-Outlet-Box-B225R-UPC/100404169" TargetMode="External"/><Relationship Id="rId265" Type="http://schemas.openxmlformats.org/officeDocument/2006/relationships/hyperlink" Target="http://www.homedepot.com/p/Carlon-2-Gang-25-cu-in-Non-Metallic-Old-Work-Switch-and-Outlet-Box-B225R-UPC/100404169" TargetMode="External"/><Relationship Id="rId472" Type="http://schemas.openxmlformats.org/officeDocument/2006/relationships/hyperlink" Target="http://www.homedepot.com/b/Electrical-Electrical-Boxes-Conduit-Fittings/Carlon/N-5yc1vZbm4mZ2dq" TargetMode="External"/><Relationship Id="rId125" Type="http://schemas.openxmlformats.org/officeDocument/2006/relationships/hyperlink" Target="http://www.homedepot.com/b/Electrical-Electrical-Boxes-Conduit-Fittings/Carlon/N-5yc1vZbm4mZ2dq" TargetMode="External"/><Relationship Id="rId332" Type="http://schemas.openxmlformats.org/officeDocument/2006/relationships/hyperlink" Target="http://www.homedepot.com/b/Electrical-Electrical-Boxes-Conduit-Fittings/Carlon/N-5yc1vZbm4mZ2dq" TargetMode="External"/><Relationship Id="rId777" Type="http://schemas.openxmlformats.org/officeDocument/2006/relationships/hyperlink" Target="https://www.amazon.com/dp/B099RNWSXB?ref_=ppx_hzod_title_dt_b_fed_asin_title_0_0&amp;th=1" TargetMode="External"/><Relationship Id="rId637" Type="http://schemas.openxmlformats.org/officeDocument/2006/relationships/hyperlink" Target="http://www.homedepot.com/b/Electrical-Electrical-Boxes-Conduit-Fittings/Carlon/N-5yc1vZbm4mZ2dq" TargetMode="External"/><Relationship Id="rId276" Type="http://schemas.openxmlformats.org/officeDocument/2006/relationships/hyperlink" Target="http://www.homedepot.com/p/Carlon-2-Gang-25-cu-in-Non-Metallic-Old-Work-Switch-and-Outlet-Box-B225R-UPC/100404169" TargetMode="External"/><Relationship Id="rId483" Type="http://schemas.openxmlformats.org/officeDocument/2006/relationships/hyperlink" Target="http://www.homedepot.com/b/Electrical-Electrical-Boxes-Conduit-Fittings/Carlon/N-5yc1vZbm4mZ2dq" TargetMode="External"/><Relationship Id="rId690" Type="http://schemas.openxmlformats.org/officeDocument/2006/relationships/hyperlink" Target="https://www.amazon.com/-/es/dp/B09XDRCDNZ/ref=emc_b_5_i" TargetMode="External"/><Relationship Id="rId704" Type="http://schemas.openxmlformats.org/officeDocument/2006/relationships/hyperlink" Target="http://www.homedepot.com/p/Carlon-2-Gang-25-cu-in-Non-Metallic-Old-Work-Switch-and-Outlet-Box-B225R-UPC/100404169" TargetMode="External"/><Relationship Id="rId40" Type="http://schemas.openxmlformats.org/officeDocument/2006/relationships/hyperlink" Target="http://www.homedepot.com/p/Carlon-2-Gang-25-cu-in-Non-Metallic-Old-Work-Switch-and-Outlet-Box-B225R-UPC/100404169" TargetMode="External"/><Relationship Id="rId136" Type="http://schemas.openxmlformats.org/officeDocument/2006/relationships/hyperlink" Target="http://www.homedepot.com/p/Carlon-2-Gang-25-cu-in-Non-Metallic-Old-Work-Switch-and-Outlet-Box-B225R-UPC/100404169" TargetMode="External"/><Relationship Id="rId343" Type="http://schemas.openxmlformats.org/officeDocument/2006/relationships/hyperlink" Target="http://www.homedepot.com/p/Carlon-2-Gang-25-cu-in-Non-Metallic-Old-Work-Switch-and-Outlet-Box-B225R-UPC/100404169" TargetMode="External"/><Relationship Id="rId550" Type="http://schemas.openxmlformats.org/officeDocument/2006/relationships/hyperlink" Target="http://www.homedepot.com/p/Carlon-2-Gang-25-cu-in-Non-Metallic-Old-Work-Switch-and-Outlet-Box-B225R-UPC/100404169" TargetMode="External"/><Relationship Id="rId203" Type="http://schemas.openxmlformats.org/officeDocument/2006/relationships/hyperlink" Target="http://www.homedepot.com/b/Electrical-Electrical-Boxes-Conduit-Fittings/Carlon/N-5yc1vZbm4mZ2dq" TargetMode="External"/><Relationship Id="rId648" Type="http://schemas.openxmlformats.org/officeDocument/2006/relationships/hyperlink" Target="http://www.homedepot.com/b/Electrical-Electrical-Boxes-Conduit-Fittings/Carlon/N-5yc1vZbm4mZ2dq" TargetMode="External"/><Relationship Id="rId287" Type="http://schemas.openxmlformats.org/officeDocument/2006/relationships/hyperlink" Target="http://www.homedepot.com/b/Electrical-Electrical-Boxes-Conduit-Fittings/Carlon/N-5yc1vZbm4mZ2dq" TargetMode="External"/><Relationship Id="rId410" Type="http://schemas.openxmlformats.org/officeDocument/2006/relationships/hyperlink" Target="http://www.homedepot.com/b/Electrical-Electrical-Boxes-Conduit-Fittings/Carlon/N-5yc1vZbm4mZ2dq" TargetMode="External"/><Relationship Id="rId494" Type="http://schemas.openxmlformats.org/officeDocument/2006/relationships/hyperlink" Target="http://www.homedepot.com/p/Carlon-2-Gang-25-cu-in-Non-Metallic-Old-Work-Switch-and-Outlet-Box-B225R-UPC/100404169" TargetMode="External"/><Relationship Id="rId508" Type="http://schemas.openxmlformats.org/officeDocument/2006/relationships/hyperlink" Target="http://www.homedepot.com/p/Carlon-2-Gang-25-cu-in-Non-Metallic-Old-Work-Switch-and-Outlet-Box-B225R-UPC/100404169" TargetMode="External"/><Relationship Id="rId715" Type="http://schemas.openxmlformats.org/officeDocument/2006/relationships/hyperlink" Target="https://es.aliexpress.com/item/1005005323435539.html?spm=a2g0o.productlist.main.65.23a8VhwmVhwmbU&amp;algo_pvid=6a2168a8-b828-4d46-ae9c-6cbd9efc6994&amp;algo_exp_id=6a2168a8-b828-4d46-ae9c-6cbd9efc6994-34&amp;pdp_npi=4%40dis%21COP%21521631.22%21222683.51%21%21%21942.40%21402.31%21%402101fb0b17179778858306677e9b2a%2112000032765398885%21sea%21CO%210%21AB&amp;curPageLogUid=QIE7zMLhUvef&amp;utparam-url=scene%3Asearch%7Cquery_from%3A" TargetMode="External"/><Relationship Id="rId147" Type="http://schemas.openxmlformats.org/officeDocument/2006/relationships/hyperlink" Target="http://www.homedepot.com/b/Electrical-Electrical-Boxes-Conduit-Fittings/Carlon/N-5yc1vZbm4mZ2dq" TargetMode="External"/><Relationship Id="rId354" Type="http://schemas.openxmlformats.org/officeDocument/2006/relationships/hyperlink" Target="http://www.homedepot.com/b/Electrical-Electrical-Boxes-Conduit-Fittings/Carlon/N-5yc1vZbm4mZ2dq" TargetMode="External"/><Relationship Id="rId51" Type="http://schemas.openxmlformats.org/officeDocument/2006/relationships/hyperlink" Target="http://www.homedepot.com/p/Carlon-2-Gang-25-cu-in-Non-Metallic-Old-Work-Switch-and-Outlet-Box-B225R-UPC/100404169" TargetMode="External"/><Relationship Id="rId561" Type="http://schemas.openxmlformats.org/officeDocument/2006/relationships/hyperlink" Target="http://www.homedepot.com/p/Carlon-2-Gang-25-cu-in-Non-Metallic-Old-Work-Switch-and-Outlet-Box-B225R-UPC/100404169" TargetMode="External"/><Relationship Id="rId659" Type="http://schemas.openxmlformats.org/officeDocument/2006/relationships/hyperlink" Target="https://octopart.com/hlg-240h-24ab-mean+well-94061781?gclid=Cj0KCQiAys2MBhDOARIsAFf1D1da_Ug-w_9mXtDpA53oau2GaQl4tcFg4KpWZn0dpHrGXnMBu4Str_IaAo9QEALw_wcB" TargetMode="External"/><Relationship Id="rId214" Type="http://schemas.openxmlformats.org/officeDocument/2006/relationships/hyperlink" Target="http://www.homedepot.com/p/Carlon-2-Gang-25-cu-in-Non-Metallic-Old-Work-Switch-and-Outlet-Box-B225R-UPC/100404169" TargetMode="External"/><Relationship Id="rId298" Type="http://schemas.openxmlformats.org/officeDocument/2006/relationships/hyperlink" Target="http://www.homedepot.com/p/Carlon-2-Gang-25-cu-in-Non-Metallic-Old-Work-Switch-and-Outlet-Box-B225R-UPC/100404169" TargetMode="External"/><Relationship Id="rId421" Type="http://schemas.openxmlformats.org/officeDocument/2006/relationships/hyperlink" Target="http://www.homedepot.com/p/Carlon-2-Gang-25-cu-in-Non-Metallic-Old-Work-Switch-and-Outlet-Box-B225R-UPC/100404169" TargetMode="External"/><Relationship Id="rId519" Type="http://schemas.openxmlformats.org/officeDocument/2006/relationships/hyperlink" Target="http://www.homedepot.com/p/Carlon-2-Gang-25-cu-in-Non-Metallic-Old-Work-Switch-and-Outlet-Box-B225R-UPC/100404169" TargetMode="External"/><Relationship Id="rId158" Type="http://schemas.openxmlformats.org/officeDocument/2006/relationships/hyperlink" Target="http://www.homedepot.com/p/Carlon-2-Gang-25-cu-in-Non-Metallic-Old-Work-Switch-and-Outlet-Box-B225R-UPC/100404169" TargetMode="External"/><Relationship Id="rId726" Type="http://schemas.openxmlformats.org/officeDocument/2006/relationships/hyperlink" Target="https://www.amazon.com/FD134-I75-BK-Cylindrical-Friendly-Approved-Resistant/dp/B07YX8VHRS?th=1" TargetMode="External"/><Relationship Id="rId62" Type="http://schemas.openxmlformats.org/officeDocument/2006/relationships/hyperlink" Target="http://www.homedepot.com/p/Carlon-2-Gang-25-cu-in-Non-Metallic-Old-Work-Switch-and-Outlet-Box-B225R-UPC/100404169" TargetMode="External"/><Relationship Id="rId365" Type="http://schemas.openxmlformats.org/officeDocument/2006/relationships/hyperlink" Target="http://www.homedepot.com/p/Carlon-2-Gang-25-cu-in-Non-Metallic-Old-Work-Switch-and-Outlet-Box-B225R-UPC/100404169" TargetMode="External"/><Relationship Id="rId572" Type="http://schemas.openxmlformats.org/officeDocument/2006/relationships/hyperlink" Target="http://www.homedepot.com/p/Carlon-2-Gang-25-cu-in-Non-Metallic-Old-Work-Switch-and-Outlet-Box-B225R-UPC/100404169" TargetMode="External"/><Relationship Id="rId225" Type="http://schemas.openxmlformats.org/officeDocument/2006/relationships/hyperlink" Target="http://www.homedepot.com/b/Electrical-Electrical-Boxes-Conduit-Fittings/Carlon/N-5yc1vZbm4mZ2dq" TargetMode="External"/><Relationship Id="rId432" Type="http://schemas.openxmlformats.org/officeDocument/2006/relationships/hyperlink" Target="http://www.homedepot.com/b/Electrical-Electrical-Boxes-Conduit-Fittings/Carlon/N-5yc1vZbm4mZ2dq" TargetMode="External"/><Relationship Id="rId737" Type="http://schemas.openxmlformats.org/officeDocument/2006/relationships/hyperlink" Target="http://www.homedepot.com/b/Electrical-Electrical-Boxes-Conduit-Fittings/Carlon/N-5yc1vZbm4mZ2dq" TargetMode="External"/><Relationship Id="rId73" Type="http://schemas.openxmlformats.org/officeDocument/2006/relationships/hyperlink" Target="http://www.homedepot.com/p/Carlon-2-Gang-25-cu-in-Non-Metallic-Old-Work-Switch-and-Outlet-Box-B225R-UPC/100404169" TargetMode="External"/><Relationship Id="rId169" Type="http://schemas.openxmlformats.org/officeDocument/2006/relationships/hyperlink" Target="http://www.homedepot.com/b/Electrical-Electrical-Boxes-Conduit-Fittings/Carlon/N-5yc1vZbm4mZ2dq" TargetMode="External"/><Relationship Id="rId376" Type="http://schemas.openxmlformats.org/officeDocument/2006/relationships/hyperlink" Target="http://www.homedepot.com/b/Electrical-Electrical-Boxes-Conduit-Fittings/Carlon/N-5yc1vZbm4mZ2dq" TargetMode="External"/><Relationship Id="rId583" Type="http://schemas.openxmlformats.org/officeDocument/2006/relationships/hyperlink" Target="http://www.homedepot.com/p/Carlon-2-Gang-25-cu-in-Non-Metallic-Old-Work-Switch-and-Outlet-Box-B225R-UPC/100404169" TargetMode="External"/><Relationship Id="rId4" Type="http://schemas.openxmlformats.org/officeDocument/2006/relationships/hyperlink" Target="https://microcell.co/videoproyectores-epson/1969-video-proyector-epson-power-lite-1980wu-4-400-lumens-wuxga-19200x1200-1080p.html" TargetMode="External"/><Relationship Id="rId236" Type="http://schemas.openxmlformats.org/officeDocument/2006/relationships/hyperlink" Target="http://www.homedepot.com/p/Carlon-2-Gang-25-cu-in-Non-Metallic-Old-Work-Switch-and-Outlet-Box-B225R-UPC/100404169" TargetMode="External"/><Relationship Id="rId443" Type="http://schemas.openxmlformats.org/officeDocument/2006/relationships/hyperlink" Target="http://www.homedepot.com/p/Carlon-2-Gang-25-cu-in-Non-Metallic-Old-Work-Switch-and-Outlet-Box-B225R-UPC/100404169" TargetMode="External"/><Relationship Id="rId650" Type="http://schemas.openxmlformats.org/officeDocument/2006/relationships/hyperlink" Target="http://www.homedepot.com/b/Electrical-Electrical-Boxes-Conduit-Fittings/Carlon/N-5yc1vZbm4mZ2dq" TargetMode="External"/><Relationship Id="rId303" Type="http://schemas.openxmlformats.org/officeDocument/2006/relationships/hyperlink" Target="http://www.homedepot.com/b/Electrical-Electrical-Boxes-Conduit-Fittings/Carlon/N-5yc1vZbm4mZ2dq" TargetMode="External"/><Relationship Id="rId748" Type="http://schemas.openxmlformats.org/officeDocument/2006/relationships/hyperlink" Target="http://www.homedepot.com/b/Electrical-Electrical-Boxes-Conduit-Fittings/Carlon/N-5yc1vZbm4mZ2dq" TargetMode="External"/><Relationship Id="rId84" Type="http://schemas.openxmlformats.org/officeDocument/2006/relationships/hyperlink" Target="http://www.homedepot.com/p/Carlon-2-Gang-25-cu-in-Non-Metallic-Old-Work-Switch-and-Outlet-Box-B225R-UPC/100404169" TargetMode="External"/><Relationship Id="rId387" Type="http://schemas.openxmlformats.org/officeDocument/2006/relationships/hyperlink" Target="http://www.homedepot.com/p/Carlon-2-Gang-25-cu-in-Non-Metallic-Old-Work-Switch-and-Outlet-Box-B225R-UPC/100404169" TargetMode="External"/><Relationship Id="rId510" Type="http://schemas.openxmlformats.org/officeDocument/2006/relationships/hyperlink" Target="https://www.newegg.com/lenovo-thinkcentre-m90n-1/p/1VK-0003-1CV39?Description=mini%20pc&amp;cm_re=mini_pc-_-9SIAEYJEV90625-_-Product" TargetMode="External"/><Relationship Id="rId594" Type="http://schemas.openxmlformats.org/officeDocument/2006/relationships/hyperlink" Target="http://www.homedepot.com/p/Carlon-2-Gang-25-cu-in-Non-Metallic-Old-Work-Switch-and-Outlet-Box-B225R-UPC/100404169" TargetMode="External"/><Relationship Id="rId608" Type="http://schemas.openxmlformats.org/officeDocument/2006/relationships/hyperlink" Target="http://www.homedepot.com/p/Carlon-2-Gang-25-cu-in-Non-Metallic-Old-Work-Switch-and-Outlet-Box-B225R-UPC/100404169" TargetMode="External"/><Relationship Id="rId247" Type="http://schemas.openxmlformats.org/officeDocument/2006/relationships/hyperlink" Target="http://www.homedepot.com/b/Electrical-Electrical-Boxes-Conduit-Fittings/Carlon/N-5yc1vZbm4mZ2dq" TargetMode="External"/><Relationship Id="rId107" Type="http://schemas.openxmlformats.org/officeDocument/2006/relationships/hyperlink" Target="http://www.homedepot.com/p/Carlon-2-Gang-25-cu-in-Non-Metallic-Old-Work-Switch-and-Outlet-Box-B225R-UPC/100404169" TargetMode="External"/><Relationship Id="rId454" Type="http://schemas.openxmlformats.org/officeDocument/2006/relationships/hyperlink" Target="http://www.homedepot.com/b/Electrical-Electrical-Boxes-Conduit-Fittings/Carlon/N-5yc1vZbm4mZ2dq" TargetMode="External"/><Relationship Id="rId661" Type="http://schemas.openxmlformats.org/officeDocument/2006/relationships/hyperlink" Target="http://www.homedepot.com/b/Electrical-Electrical-Boxes-Conduit-Fittings/Carlon/N-5yc1vZbm4mZ2dq" TargetMode="External"/><Relationship Id="rId759" Type="http://schemas.openxmlformats.org/officeDocument/2006/relationships/hyperlink" Target="http://www.homedepot.com/b/Electrical-Electrical-Boxes-Conduit-Fittings/Carlon/N-5yc1vZbm4mZ2d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C8336"/>
  <sheetViews>
    <sheetView tabSelected="1" view="pageBreakPreview" zoomScale="80" zoomScaleNormal="100" zoomScaleSheetLayoutView="80" workbookViewId="0">
      <selection activeCell="C7" sqref="C7"/>
    </sheetView>
  </sheetViews>
  <sheetFormatPr baseColWidth="10" defaultRowHeight="27" customHeight="1" x14ac:dyDescent="0.25"/>
  <cols>
    <col min="1" max="1" width="26.5703125" bestFit="1" customWidth="1"/>
    <col min="2" max="2" width="11.42578125" customWidth="1"/>
    <col min="3" max="6" width="3.28515625" customWidth="1"/>
    <col min="7" max="7" width="22.42578125" customWidth="1"/>
    <col min="8" max="8" width="42" bestFit="1" customWidth="1"/>
    <col min="9" max="9" width="54.140625" customWidth="1"/>
    <col min="10" max="10" width="11.85546875" customWidth="1"/>
    <col min="11" max="11" width="17.28515625" style="42" customWidth="1"/>
    <col min="12" max="12" width="15.140625" customWidth="1"/>
    <col min="13" max="18" width="11.42578125" customWidth="1"/>
    <col min="19" max="19" width="14.7109375" customWidth="1"/>
    <col min="20" max="20" width="14.140625" customWidth="1"/>
    <col min="21" max="21" width="12.5703125" customWidth="1"/>
    <col min="22" max="24" width="14.140625" customWidth="1"/>
    <col min="25" max="27" width="11.42578125" customWidth="1"/>
    <col min="28" max="28" width="11.42578125" style="112" customWidth="1"/>
    <col min="29" max="29" width="13.7109375" style="76" bestFit="1" customWidth="1"/>
  </cols>
  <sheetData>
    <row r="1" spans="1:28" ht="27" customHeight="1" x14ac:dyDescent="0.25">
      <c r="A1" s="1" t="s">
        <v>0</v>
      </c>
      <c r="B1" s="2" t="s">
        <v>1</v>
      </c>
      <c r="C1" s="2" t="s">
        <v>2</v>
      </c>
      <c r="D1" s="3" t="s">
        <v>3</v>
      </c>
      <c r="E1" s="3" t="s">
        <v>4</v>
      </c>
      <c r="F1" s="3" t="s">
        <v>5</v>
      </c>
      <c r="G1" s="4" t="s">
        <v>6</v>
      </c>
      <c r="H1" s="3" t="s">
        <v>7</v>
      </c>
      <c r="I1" s="5">
        <v>100</v>
      </c>
      <c r="J1" s="3" t="s">
        <v>8</v>
      </c>
      <c r="K1" s="56" t="s">
        <v>9</v>
      </c>
      <c r="L1" s="6" t="s">
        <v>10</v>
      </c>
      <c r="M1" s="6" t="s">
        <v>11</v>
      </c>
      <c r="N1" s="6" t="s">
        <v>12</v>
      </c>
      <c r="O1" s="6" t="s">
        <v>13</v>
      </c>
      <c r="P1" s="3" t="s">
        <v>14</v>
      </c>
      <c r="Q1" s="7" t="s">
        <v>15</v>
      </c>
      <c r="R1" s="7" t="s">
        <v>16</v>
      </c>
      <c r="S1" s="3" t="s">
        <v>17</v>
      </c>
      <c r="T1" s="3" t="s">
        <v>6</v>
      </c>
      <c r="AB1" s="112" t="s">
        <v>18</v>
      </c>
    </row>
    <row r="2" spans="1:28" ht="27" customHeight="1" x14ac:dyDescent="0.25">
      <c r="A2" s="8" t="s">
        <v>19</v>
      </c>
      <c r="B2" s="9" t="s">
        <v>20</v>
      </c>
      <c r="C2" s="9"/>
      <c r="D2" s="8" t="s">
        <v>21</v>
      </c>
      <c r="E2" s="8">
        <v>1</v>
      </c>
      <c r="F2" s="8" t="s">
        <v>22</v>
      </c>
      <c r="G2" s="10" t="s">
        <v>23</v>
      </c>
      <c r="H2" s="8" t="s">
        <v>24</v>
      </c>
      <c r="I2" s="10" t="s">
        <v>25</v>
      </c>
      <c r="J2" s="11" t="s">
        <v>26</v>
      </c>
      <c r="K2" s="18">
        <v>130</v>
      </c>
      <c r="L2" s="12">
        <f>IF(J2="P",ROUNDUP(K2/(1-Q2),-2),K2*(1+P2)/(1-Q2))</f>
        <v>260</v>
      </c>
      <c r="M2" s="8">
        <v>1</v>
      </c>
      <c r="N2" s="8" t="s">
        <v>27</v>
      </c>
      <c r="O2" s="13" t="str">
        <f>F2</f>
        <v>BLANCO</v>
      </c>
      <c r="P2" s="14">
        <v>0.2</v>
      </c>
      <c r="Q2" s="15">
        <v>0.4</v>
      </c>
      <c r="R2" s="16" t="str">
        <f t="shared" ref="R2:R64" si="0">A2</f>
        <v>3BUMEN</v>
      </c>
      <c r="S2" s="17"/>
      <c r="T2" s="10" t="str">
        <f>G2</f>
        <v>GABINETE TIPO RACK DE 9 UNIDADES.</v>
      </c>
    </row>
    <row r="3" spans="1:28" ht="27" customHeight="1" x14ac:dyDescent="0.25">
      <c r="A3" s="8" t="s">
        <v>19</v>
      </c>
      <c r="B3" s="9" t="s">
        <v>20</v>
      </c>
      <c r="C3" s="9"/>
      <c r="D3" s="8" t="s">
        <v>28</v>
      </c>
      <c r="E3" s="8">
        <v>1</v>
      </c>
      <c r="F3" s="8" t="s">
        <v>22</v>
      </c>
      <c r="G3" s="10" t="s">
        <v>29</v>
      </c>
      <c r="H3" s="8" t="s">
        <v>30</v>
      </c>
      <c r="I3" s="10" t="s">
        <v>29</v>
      </c>
      <c r="J3" s="11" t="s">
        <v>26</v>
      </c>
      <c r="K3" s="18">
        <v>59</v>
      </c>
      <c r="L3" s="12">
        <f>IF(J3="P",ROUNDUP(K3/(1-Q3),-2),K3*(1+P3)/(1-Q3))</f>
        <v>118</v>
      </c>
      <c r="M3" s="8">
        <v>1</v>
      </c>
      <c r="N3" s="8" t="s">
        <v>27</v>
      </c>
      <c r="O3" s="13" t="str">
        <f>F3</f>
        <v>BLANCO</v>
      </c>
      <c r="P3" s="14">
        <v>0.2</v>
      </c>
      <c r="Q3" s="15">
        <v>0.4</v>
      </c>
      <c r="R3" s="16" t="str">
        <f t="shared" si="0"/>
        <v>3BUMEN</v>
      </c>
      <c r="S3" s="17"/>
      <c r="T3" s="10" t="str">
        <f>G3</f>
        <v xml:space="preserve">ROLLO DE CABLE UTP DE 305 METROS CATEGORÍA 5E CERTIFICADO. </v>
      </c>
    </row>
    <row r="4" spans="1:28" ht="27" customHeight="1" x14ac:dyDescent="0.25">
      <c r="A4" s="8" t="s">
        <v>19</v>
      </c>
      <c r="B4" s="9" t="s">
        <v>20</v>
      </c>
      <c r="C4" s="9"/>
      <c r="D4" s="8" t="s">
        <v>28</v>
      </c>
      <c r="E4" s="8">
        <v>2</v>
      </c>
      <c r="F4" s="8" t="s">
        <v>22</v>
      </c>
      <c r="G4" s="10" t="s">
        <v>31</v>
      </c>
      <c r="H4" s="8" t="s">
        <v>32</v>
      </c>
      <c r="I4" s="10" t="s">
        <v>31</v>
      </c>
      <c r="J4" s="11" t="s">
        <v>33</v>
      </c>
      <c r="K4" s="18">
        <v>1000</v>
      </c>
      <c r="L4" s="12">
        <f>IF(J4="P",ROUNDUP(K4/(1-Q4),-2),K4*(1+P4)/(1-Q4))</f>
        <v>1300</v>
      </c>
      <c r="M4" s="8">
        <v>1</v>
      </c>
      <c r="N4" s="8" t="s">
        <v>27</v>
      </c>
      <c r="O4" s="13" t="str">
        <f>F4</f>
        <v>BLANCO</v>
      </c>
      <c r="P4" s="14">
        <v>0.2</v>
      </c>
      <c r="Q4" s="15">
        <v>0.2</v>
      </c>
      <c r="R4" s="16" t="str">
        <f t="shared" si="0"/>
        <v>3BUMEN</v>
      </c>
      <c r="S4" s="17"/>
      <c r="T4" s="10" t="str">
        <f>G4</f>
        <v xml:space="preserve">METRO DE CABLE UTP CATEGORÍA 5E CERTIFICADO. </v>
      </c>
    </row>
    <row r="5" spans="1:28" ht="27" customHeight="1" x14ac:dyDescent="0.25">
      <c r="A5" s="8" t="s">
        <v>34</v>
      </c>
      <c r="B5" s="9"/>
      <c r="C5" s="9"/>
      <c r="D5" s="8"/>
      <c r="E5" s="8"/>
      <c r="F5" s="8" t="s">
        <v>22</v>
      </c>
      <c r="G5" s="10" t="s">
        <v>35</v>
      </c>
      <c r="H5" s="8" t="s">
        <v>36</v>
      </c>
      <c r="I5" s="10" t="s">
        <v>35</v>
      </c>
      <c r="J5" s="11" t="s">
        <v>33</v>
      </c>
      <c r="K5" s="18">
        <v>200000</v>
      </c>
      <c r="L5" s="12">
        <f>IF(J5="P",ROUNDUP(K5/(1-Q5),-2),K5*(1+P5)/(1-Q5))</f>
        <v>285800</v>
      </c>
      <c r="M5" s="8">
        <v>1</v>
      </c>
      <c r="N5" s="8" t="s">
        <v>27</v>
      </c>
      <c r="O5" s="13" t="str">
        <f>F5</f>
        <v>BLANCO</v>
      </c>
      <c r="P5" s="14">
        <v>0.2</v>
      </c>
      <c r="Q5" s="15">
        <v>0.3</v>
      </c>
      <c r="R5" s="16" t="str">
        <f t="shared" si="0"/>
        <v>3M</v>
      </c>
      <c r="S5" s="17"/>
      <c r="T5" s="10" t="s">
        <v>37</v>
      </c>
    </row>
    <row r="6" spans="1:28" ht="27" customHeight="1" x14ac:dyDescent="0.25">
      <c r="A6" s="8" t="s">
        <v>34</v>
      </c>
      <c r="B6" s="9"/>
      <c r="C6" s="9"/>
      <c r="D6" s="8"/>
      <c r="E6" s="8"/>
      <c r="F6" s="8" t="s">
        <v>22</v>
      </c>
      <c r="G6" s="10" t="s">
        <v>35</v>
      </c>
      <c r="H6" s="8" t="s">
        <v>36</v>
      </c>
      <c r="I6" s="10" t="s">
        <v>35</v>
      </c>
      <c r="J6" s="11" t="s">
        <v>33</v>
      </c>
      <c r="K6" s="18">
        <v>200000</v>
      </c>
      <c r="L6" s="12">
        <f>IF(J6="P",ROUNDUP(K6/(1-Q6),-2),K6*(1+P6)/(1-Q6))</f>
        <v>285800</v>
      </c>
      <c r="M6" s="8">
        <v>1</v>
      </c>
      <c r="N6" s="8" t="s">
        <v>27</v>
      </c>
      <c r="O6" s="13" t="str">
        <f>F6</f>
        <v>BLANCO</v>
      </c>
      <c r="P6" s="14">
        <v>0.2</v>
      </c>
      <c r="Q6" s="15">
        <v>0.3</v>
      </c>
      <c r="R6" s="16" t="str">
        <f t="shared" si="0"/>
        <v>3M</v>
      </c>
      <c r="S6" s="17"/>
      <c r="T6" s="10" t="str">
        <f>G6</f>
        <v>ROLLO DE CABLE CATEGORÍA 5E DE 1000 PIES</v>
      </c>
    </row>
    <row r="7" spans="1:28" ht="27" customHeight="1" x14ac:dyDescent="0.25">
      <c r="A7" s="32" t="s">
        <v>38</v>
      </c>
      <c r="H7" s="112" t="s">
        <v>39</v>
      </c>
      <c r="I7" s="33" t="s">
        <v>40</v>
      </c>
      <c r="J7" s="34" t="s">
        <v>26</v>
      </c>
      <c r="K7" s="20">
        <v>173</v>
      </c>
      <c r="L7" s="12">
        <f>K7*(1+P7)/(1-Q7)</f>
        <v>288.33333333333337</v>
      </c>
      <c r="M7" s="8">
        <v>1</v>
      </c>
      <c r="N7" s="8" t="s">
        <v>27</v>
      </c>
      <c r="O7" s="13"/>
      <c r="P7" s="14">
        <v>0</v>
      </c>
      <c r="Q7" s="15">
        <v>0.4</v>
      </c>
      <c r="R7" s="16" t="str">
        <f t="shared" si="0"/>
        <v>CONTROL4</v>
      </c>
      <c r="S7" s="17"/>
      <c r="T7" s="10">
        <f>G7</f>
        <v>0</v>
      </c>
    </row>
    <row r="8" spans="1:28" ht="27" customHeight="1" x14ac:dyDescent="0.25">
      <c r="A8" s="8" t="s">
        <v>34</v>
      </c>
      <c r="B8" s="9"/>
      <c r="C8" s="9"/>
      <c r="D8" s="8"/>
      <c r="E8" s="8"/>
      <c r="F8" s="8" t="s">
        <v>22</v>
      </c>
      <c r="G8" s="10" t="s">
        <v>41</v>
      </c>
      <c r="H8" s="8" t="s">
        <v>42</v>
      </c>
      <c r="I8" s="10" t="s">
        <v>43</v>
      </c>
      <c r="J8" s="11" t="s">
        <v>33</v>
      </c>
      <c r="K8" s="18">
        <v>5000</v>
      </c>
      <c r="L8" s="12">
        <f>IF(J8="P",ROUNDUP(K8/(1-Q8),-2),K8*(1+P8)/(1-Q8))</f>
        <v>8400</v>
      </c>
      <c r="M8" s="8">
        <v>1</v>
      </c>
      <c r="N8" s="8" t="s">
        <v>27</v>
      </c>
      <c r="O8" s="13" t="str">
        <f>F8</f>
        <v>BLANCO</v>
      </c>
      <c r="P8" s="14">
        <v>0.2</v>
      </c>
      <c r="Q8" s="15">
        <v>0.4</v>
      </c>
      <c r="R8" s="16" t="str">
        <f t="shared" si="0"/>
        <v>3M</v>
      </c>
      <c r="S8" s="17"/>
      <c r="T8" s="10" t="str">
        <f>G8</f>
        <v>ROLLO DE 5 METROS DE CINTA DE ENMASCARAR</v>
      </c>
    </row>
    <row r="9" spans="1:28" ht="27" customHeight="1" x14ac:dyDescent="0.25">
      <c r="A9" s="8" t="s">
        <v>44</v>
      </c>
      <c r="B9" s="9"/>
      <c r="C9" s="9"/>
      <c r="D9" s="8" t="s">
        <v>45</v>
      </c>
      <c r="E9" s="8"/>
      <c r="F9" s="8" t="s">
        <v>22</v>
      </c>
      <c r="G9" s="10" t="s">
        <v>46</v>
      </c>
      <c r="H9" s="8" t="s">
        <v>47</v>
      </c>
      <c r="I9" s="10" t="s">
        <v>46</v>
      </c>
      <c r="J9" s="11" t="s">
        <v>26</v>
      </c>
      <c r="K9" s="18">
        <v>110</v>
      </c>
      <c r="L9" s="12">
        <f>ROUNDUP(K9*(1+P9)/(1-Q9),0)</f>
        <v>220</v>
      </c>
      <c r="M9" s="8">
        <v>1</v>
      </c>
      <c r="N9" s="8" t="s">
        <v>27</v>
      </c>
      <c r="O9" s="13" t="str">
        <f>F9</f>
        <v>BLANCO</v>
      </c>
      <c r="P9" s="14">
        <v>0.2</v>
      </c>
      <c r="Q9" s="15">
        <v>0.4</v>
      </c>
      <c r="R9" s="16" t="str">
        <f t="shared" si="0"/>
        <v>ACCESS</v>
      </c>
      <c r="S9" s="17" t="s">
        <v>48</v>
      </c>
      <c r="T9" s="10" t="str">
        <f>G9</f>
        <v>MATRIZ 4X2 4K CONTROLABLE POR RS232</v>
      </c>
    </row>
    <row r="10" spans="1:28" ht="27" customHeight="1" x14ac:dyDescent="0.25">
      <c r="A10" s="8" t="s">
        <v>34</v>
      </c>
      <c r="B10" s="9"/>
      <c r="C10" s="9"/>
      <c r="D10" s="8"/>
      <c r="E10" s="8"/>
      <c r="F10" s="8"/>
      <c r="G10" s="10"/>
      <c r="H10" s="8" t="s">
        <v>49</v>
      </c>
      <c r="I10" s="10" t="s">
        <v>50</v>
      </c>
      <c r="J10" s="11" t="s">
        <v>33</v>
      </c>
      <c r="K10" s="18">
        <v>5500</v>
      </c>
      <c r="L10" s="12">
        <f>IF(J10="P",ROUNDUP(K10/(1-Q10),-2),K10*(1+P10)/(1-Q10))</f>
        <v>9200</v>
      </c>
      <c r="M10" s="8">
        <v>1</v>
      </c>
      <c r="N10" s="8" t="s">
        <v>27</v>
      </c>
      <c r="O10" s="13">
        <f>F10</f>
        <v>0</v>
      </c>
      <c r="P10" s="14">
        <v>0</v>
      </c>
      <c r="Q10" s="15">
        <v>0.4</v>
      </c>
      <c r="R10" s="16" t="str">
        <f t="shared" si="0"/>
        <v>3M</v>
      </c>
      <c r="S10" s="17"/>
      <c r="T10" s="10"/>
    </row>
    <row r="11" spans="1:28" ht="27" customHeight="1" x14ac:dyDescent="0.25">
      <c r="A11" s="8" t="s">
        <v>51</v>
      </c>
      <c r="B11" s="9"/>
      <c r="C11" s="9"/>
      <c r="D11" s="8" t="s">
        <v>45</v>
      </c>
      <c r="E11" s="8"/>
      <c r="F11" s="8" t="s">
        <v>22</v>
      </c>
      <c r="G11" s="10" t="str">
        <f>B11&amp;"-"&amp;D11&amp;"-"&amp;E11&amp;F11</f>
        <v>-PROG_-BLANCO</v>
      </c>
      <c r="H11" s="8" t="s">
        <v>52</v>
      </c>
      <c r="I11" s="10" t="s">
        <v>53</v>
      </c>
      <c r="J11" s="11" t="s">
        <v>26</v>
      </c>
      <c r="K11" s="18">
        <v>50</v>
      </c>
      <c r="L11" s="12">
        <f>K11*(1+P11)/(1-Q11)</f>
        <v>85.714285714285722</v>
      </c>
      <c r="M11" s="8">
        <v>1</v>
      </c>
      <c r="N11" s="8" t="s">
        <v>27</v>
      </c>
      <c r="O11" s="13"/>
      <c r="P11" s="14">
        <v>0.2</v>
      </c>
      <c r="Q11" s="15">
        <v>0.3</v>
      </c>
      <c r="R11" s="16" t="str">
        <f t="shared" si="0"/>
        <v>ABI</v>
      </c>
      <c r="S11" s="17"/>
      <c r="T11" s="10" t="str">
        <f>G11</f>
        <v>-PROG_-BLANCO</v>
      </c>
    </row>
    <row r="12" spans="1:28" ht="27" customHeight="1" x14ac:dyDescent="0.25">
      <c r="A12" s="8" t="s">
        <v>51</v>
      </c>
      <c r="B12" s="9"/>
      <c r="C12" s="9"/>
      <c r="D12" s="8" t="s">
        <v>45</v>
      </c>
      <c r="E12" s="8"/>
      <c r="F12" s="8" t="s">
        <v>22</v>
      </c>
      <c r="G12" s="10" t="str">
        <f>B12&amp;"-"&amp;D12&amp;"-"&amp;E12&amp;F12</f>
        <v>-PROG_-BLANCO</v>
      </c>
      <c r="H12" s="8" t="s">
        <v>54</v>
      </c>
      <c r="I12" s="10" t="s">
        <v>55</v>
      </c>
      <c r="J12" s="11" t="s">
        <v>26</v>
      </c>
      <c r="K12" s="18">
        <v>50</v>
      </c>
      <c r="L12" s="12">
        <f>K12*(1+P12)/(1-Q12)</f>
        <v>85.714285714285722</v>
      </c>
      <c r="M12" s="8">
        <v>1</v>
      </c>
      <c r="N12" s="8" t="s">
        <v>27</v>
      </c>
      <c r="O12" s="13"/>
      <c r="P12" s="14">
        <v>0.2</v>
      </c>
      <c r="Q12" s="15">
        <v>0.3</v>
      </c>
      <c r="R12" s="16" t="str">
        <f t="shared" si="0"/>
        <v>ABI</v>
      </c>
      <c r="S12" s="17"/>
      <c r="T12" s="10" t="str">
        <f>G12</f>
        <v>-PROG_-BLANCO</v>
      </c>
    </row>
    <row r="13" spans="1:28" ht="27" customHeight="1" x14ac:dyDescent="0.25">
      <c r="A13" s="8" t="s">
        <v>51</v>
      </c>
      <c r="B13" s="9"/>
      <c r="C13" s="9"/>
      <c r="D13" s="8" t="s">
        <v>45</v>
      </c>
      <c r="E13" s="8"/>
      <c r="F13" s="8" t="s">
        <v>22</v>
      </c>
      <c r="G13" s="8" t="s">
        <v>56</v>
      </c>
      <c r="H13" s="8" t="s">
        <v>57</v>
      </c>
      <c r="I13" s="10" t="s">
        <v>58</v>
      </c>
      <c r="J13" s="11" t="s">
        <v>26</v>
      </c>
      <c r="K13" s="18">
        <v>25</v>
      </c>
      <c r="L13" s="12">
        <f>K13*(1+P13)/(1-Q13)</f>
        <v>42.857142857142861</v>
      </c>
      <c r="M13" s="8">
        <v>1</v>
      </c>
      <c r="N13" s="8" t="s">
        <v>27</v>
      </c>
      <c r="O13" s="13"/>
      <c r="P13" s="14">
        <v>0.2</v>
      </c>
      <c r="Q13" s="15">
        <v>0.3</v>
      </c>
      <c r="R13" s="16" t="str">
        <f t="shared" si="0"/>
        <v>ABI</v>
      </c>
      <c r="S13" s="17"/>
      <c r="T13" s="10" t="str">
        <f>G13</f>
        <v xml:space="preserve">LPV-150-12 </v>
      </c>
    </row>
    <row r="14" spans="1:28" ht="27" customHeight="1" x14ac:dyDescent="0.25">
      <c r="A14" s="8" t="s">
        <v>63</v>
      </c>
      <c r="B14" s="9"/>
      <c r="C14" s="9"/>
      <c r="D14" s="8"/>
      <c r="E14" s="8"/>
      <c r="F14" s="8"/>
      <c r="G14" s="8" t="s">
        <v>64</v>
      </c>
      <c r="H14" s="8" t="s">
        <v>65</v>
      </c>
      <c r="I14" s="10" t="s">
        <v>66</v>
      </c>
      <c r="J14" s="11" t="s">
        <v>26</v>
      </c>
      <c r="K14" s="18">
        <v>15</v>
      </c>
      <c r="L14" s="12">
        <f>IF(J14="P",ROUNDUP(K14/(1-Q14),-2),K14*(1+P14)/(1-Q14))</f>
        <v>30</v>
      </c>
      <c r="M14" s="8">
        <v>1</v>
      </c>
      <c r="N14" s="8" t="s">
        <v>27</v>
      </c>
      <c r="O14" s="13"/>
      <c r="P14" s="14">
        <v>0.2</v>
      </c>
      <c r="Q14" s="15">
        <v>0.4</v>
      </c>
      <c r="R14" s="16" t="str">
        <f t="shared" si="0"/>
        <v>ABS</v>
      </c>
      <c r="S14" s="17" t="s">
        <v>67</v>
      </c>
      <c r="T14" s="10"/>
    </row>
    <row r="15" spans="1:28" ht="27" customHeight="1" x14ac:dyDescent="0.25">
      <c r="A15" s="8" t="s">
        <v>44</v>
      </c>
      <c r="B15" s="9"/>
      <c r="C15" s="9"/>
      <c r="D15" s="8" t="s">
        <v>45</v>
      </c>
      <c r="E15" s="8"/>
      <c r="F15" s="8" t="s">
        <v>22</v>
      </c>
      <c r="G15" s="8" t="s">
        <v>68</v>
      </c>
      <c r="H15" s="8" t="s">
        <v>47</v>
      </c>
      <c r="I15" s="10" t="s">
        <v>46</v>
      </c>
      <c r="J15" s="11" t="s">
        <v>26</v>
      </c>
      <c r="K15" s="18">
        <v>110</v>
      </c>
      <c r="L15" s="12">
        <f>ROUNDUP(K15*(1+P15)/(1-Q15),0)</f>
        <v>220</v>
      </c>
      <c r="M15" s="8">
        <v>1</v>
      </c>
      <c r="N15" s="8" t="s">
        <v>27</v>
      </c>
      <c r="O15" s="13" t="str">
        <f t="shared" ref="O15:O21" si="1">F15</f>
        <v>BLANCO</v>
      </c>
      <c r="P15" s="14">
        <v>0.2</v>
      </c>
      <c r="Q15" s="15">
        <v>0.4</v>
      </c>
      <c r="R15" s="16" t="str">
        <f t="shared" si="0"/>
        <v>ACCESS</v>
      </c>
      <c r="S15" s="17" t="s">
        <v>48</v>
      </c>
      <c r="T15" s="10" t="str">
        <f>G15</f>
        <v>TR600</v>
      </c>
    </row>
    <row r="16" spans="1:28" ht="27" customHeight="1" x14ac:dyDescent="0.25">
      <c r="A16" s="8" t="s">
        <v>69</v>
      </c>
      <c r="B16" s="9"/>
      <c r="C16" s="9"/>
      <c r="D16" s="8"/>
      <c r="E16" s="8"/>
      <c r="F16" s="8"/>
      <c r="G16" s="8" t="s">
        <v>70</v>
      </c>
      <c r="H16" s="8" t="s">
        <v>71</v>
      </c>
      <c r="I16" s="10" t="s">
        <v>72</v>
      </c>
      <c r="J16" s="11" t="s">
        <v>26</v>
      </c>
      <c r="K16" s="18">
        <v>11</v>
      </c>
      <c r="L16" s="12">
        <f>IF(J16="P",ROUNDUP(K16/(1-Q16),-2),K16*(1+P16)/(1-Q16))</f>
        <v>26.4</v>
      </c>
      <c r="M16" s="8">
        <v>1</v>
      </c>
      <c r="N16" s="8" t="s">
        <v>27</v>
      </c>
      <c r="O16" s="13">
        <f t="shared" si="1"/>
        <v>0</v>
      </c>
      <c r="P16" s="14">
        <v>0.2</v>
      </c>
      <c r="Q16" s="15">
        <v>0.5</v>
      </c>
      <c r="R16" s="16" t="str">
        <f t="shared" si="0"/>
        <v>ACCESSPRO</v>
      </c>
      <c r="S16" s="17"/>
      <c r="T16" s="10"/>
    </row>
    <row r="17" spans="1:27" ht="27" customHeight="1" x14ac:dyDescent="0.25">
      <c r="A17" s="8" t="s">
        <v>69</v>
      </c>
      <c r="B17" s="9"/>
      <c r="C17" s="9"/>
      <c r="D17" s="8"/>
      <c r="E17" s="8"/>
      <c r="F17" s="8"/>
      <c r="G17" s="8" t="s">
        <v>73</v>
      </c>
      <c r="H17" s="8" t="s">
        <v>74</v>
      </c>
      <c r="I17" s="10" t="s">
        <v>75</v>
      </c>
      <c r="J17" s="11" t="s">
        <v>26</v>
      </c>
      <c r="K17" s="18">
        <v>8</v>
      </c>
      <c r="L17" s="12">
        <f>IF(J17="P",ROUNDUP(K17/(1-Q17),-2),K17*(1+P17)/(1-Q17))</f>
        <v>19.2</v>
      </c>
      <c r="M17" s="8">
        <v>1</v>
      </c>
      <c r="N17" s="8" t="s">
        <v>27</v>
      </c>
      <c r="O17" s="13">
        <f t="shared" si="1"/>
        <v>0</v>
      </c>
      <c r="P17" s="14">
        <v>0.2</v>
      </c>
      <c r="Q17" s="15">
        <v>0.5</v>
      </c>
      <c r="R17" s="16" t="str">
        <f t="shared" si="0"/>
        <v>ACCESSPRO</v>
      </c>
      <c r="S17" s="17"/>
      <c r="T17" s="10"/>
    </row>
    <row r="18" spans="1:27" ht="27" customHeight="1" x14ac:dyDescent="0.25">
      <c r="A18" s="8" t="s">
        <v>69</v>
      </c>
      <c r="B18" s="9"/>
      <c r="C18" s="9"/>
      <c r="D18" s="8"/>
      <c r="E18" s="8"/>
      <c r="F18" s="8"/>
      <c r="G18" s="8" t="s">
        <v>76</v>
      </c>
      <c r="H18" s="8" t="s">
        <v>77</v>
      </c>
      <c r="I18" s="10" t="s">
        <v>78</v>
      </c>
      <c r="J18" s="11" t="s">
        <v>26</v>
      </c>
      <c r="K18" s="18">
        <v>6</v>
      </c>
      <c r="L18" s="12">
        <f>IF(J18="P",ROUNDUP(K18/(1-Q18),-2),K18*(1+P18)/(1-Q18))</f>
        <v>14.399999999999999</v>
      </c>
      <c r="M18" s="8">
        <v>1</v>
      </c>
      <c r="N18" s="8" t="s">
        <v>27</v>
      </c>
      <c r="O18" s="13">
        <f t="shared" si="1"/>
        <v>0</v>
      </c>
      <c r="P18" s="14">
        <v>0.2</v>
      </c>
      <c r="Q18" s="15">
        <v>0.5</v>
      </c>
      <c r="R18" s="16" t="str">
        <f t="shared" si="0"/>
        <v>ACCESSPRO</v>
      </c>
      <c r="S18" s="17"/>
      <c r="T18" s="10"/>
    </row>
    <row r="19" spans="1:27" ht="27" customHeight="1" x14ac:dyDescent="0.25">
      <c r="A19" s="8" t="s">
        <v>79</v>
      </c>
      <c r="B19" s="9"/>
      <c r="C19" s="9"/>
      <c r="D19" s="8"/>
      <c r="E19" s="8"/>
      <c r="F19" s="8" t="s">
        <v>22</v>
      </c>
      <c r="G19" s="8" t="s">
        <v>80</v>
      </c>
      <c r="H19" s="8" t="s">
        <v>81</v>
      </c>
      <c r="I19" s="10" t="s">
        <v>82</v>
      </c>
      <c r="J19" s="11" t="s">
        <v>33</v>
      </c>
      <c r="K19" s="18">
        <v>1045000</v>
      </c>
      <c r="L19" s="12">
        <f>IF(J19="P",ROUNDUP(K19/(1-Q19),-2),K19*(1+P19)/(1-Q19))</f>
        <v>1492900</v>
      </c>
      <c r="M19" s="8">
        <v>1</v>
      </c>
      <c r="N19" s="8" t="s">
        <v>27</v>
      </c>
      <c r="O19" s="13" t="str">
        <f t="shared" si="1"/>
        <v>BLANCO</v>
      </c>
      <c r="P19" s="14">
        <v>0.2</v>
      </c>
      <c r="Q19" s="15">
        <v>0.3</v>
      </c>
      <c r="R19" s="16" t="str">
        <f t="shared" si="0"/>
        <v>ACER</v>
      </c>
      <c r="S19" s="17"/>
      <c r="T19" s="10" t="str">
        <f>G19</f>
        <v>FPLPV6011</v>
      </c>
    </row>
    <row r="20" spans="1:27" ht="27" customHeight="1" x14ac:dyDescent="0.25">
      <c r="A20" s="8" t="s">
        <v>79</v>
      </c>
      <c r="B20" s="9"/>
      <c r="C20" s="9"/>
      <c r="D20" s="8" t="s">
        <v>45</v>
      </c>
      <c r="E20" s="8"/>
      <c r="F20" s="8" t="s">
        <v>22</v>
      </c>
      <c r="G20" s="8" t="s">
        <v>83</v>
      </c>
      <c r="H20" s="8" t="s">
        <v>84</v>
      </c>
      <c r="I20" s="10" t="s">
        <v>85</v>
      </c>
      <c r="J20" s="11" t="s">
        <v>33</v>
      </c>
      <c r="K20" s="18">
        <v>368000</v>
      </c>
      <c r="L20" s="12">
        <f>ROUNDUP(K20*(1+P20)/(1-Q20),0)</f>
        <v>525715</v>
      </c>
      <c r="M20" s="8">
        <v>1</v>
      </c>
      <c r="N20" s="8" t="s">
        <v>27</v>
      </c>
      <c r="O20" s="13" t="str">
        <f t="shared" si="1"/>
        <v>BLANCO</v>
      </c>
      <c r="P20" s="14">
        <v>0</v>
      </c>
      <c r="Q20" s="15">
        <v>0.3</v>
      </c>
      <c r="R20" s="16" t="str">
        <f t="shared" si="0"/>
        <v>ACER</v>
      </c>
      <c r="S20" s="17"/>
      <c r="T20" s="10" t="str">
        <f>G20</f>
        <v>FMLRS3502</v>
      </c>
    </row>
    <row r="21" spans="1:27" ht="27" customHeight="1" x14ac:dyDescent="0.25">
      <c r="A21" s="8" t="s">
        <v>79</v>
      </c>
      <c r="B21" s="9"/>
      <c r="C21" s="9"/>
      <c r="D21" s="8" t="s">
        <v>45</v>
      </c>
      <c r="E21" s="8"/>
      <c r="F21" s="8" t="s">
        <v>22</v>
      </c>
      <c r="G21" s="8" t="s">
        <v>86</v>
      </c>
      <c r="H21" s="8" t="s">
        <v>87</v>
      </c>
      <c r="I21" s="10" t="s">
        <v>88</v>
      </c>
      <c r="J21" s="11" t="s">
        <v>33</v>
      </c>
      <c r="K21" s="18">
        <v>260000</v>
      </c>
      <c r="L21" s="12">
        <f>IF(J21="P",ROUNDUP(K21/(1-Q21),-2),K21*(1+P21)/(1-Q21))</f>
        <v>371500</v>
      </c>
      <c r="M21" s="8">
        <v>1</v>
      </c>
      <c r="N21" s="8" t="s">
        <v>27</v>
      </c>
      <c r="O21" s="13" t="str">
        <f t="shared" si="1"/>
        <v>BLANCO</v>
      </c>
      <c r="P21" s="14">
        <v>0</v>
      </c>
      <c r="Q21" s="15">
        <v>0.3</v>
      </c>
      <c r="R21" s="16" t="str">
        <f t="shared" si="0"/>
        <v>ACER</v>
      </c>
      <c r="S21" s="17"/>
      <c r="T21" s="10" t="str">
        <f>G21</f>
        <v>FMLRS3504</v>
      </c>
    </row>
    <row r="22" spans="1:27" ht="27" customHeight="1" x14ac:dyDescent="0.25">
      <c r="A22" s="8" t="s">
        <v>79</v>
      </c>
      <c r="B22" s="9"/>
      <c r="C22" s="9"/>
      <c r="D22" s="8"/>
      <c r="E22" s="8"/>
      <c r="F22" s="8"/>
      <c r="G22" s="8" t="s">
        <v>89</v>
      </c>
      <c r="H22" s="8" t="s">
        <v>90</v>
      </c>
      <c r="I22" s="10" t="s">
        <v>91</v>
      </c>
      <c r="J22" s="11" t="s">
        <v>33</v>
      </c>
      <c r="K22" s="18">
        <v>1966000</v>
      </c>
      <c r="L22" s="12">
        <f>IF(J22="P",ROUNDUP(K22/(1-Q22),-2),K22*(1+P22)/(1-Q22))</f>
        <v>2621400</v>
      </c>
      <c r="M22" s="8">
        <v>1</v>
      </c>
      <c r="N22" s="8" t="s">
        <v>27</v>
      </c>
      <c r="O22" s="13"/>
      <c r="P22" s="14">
        <v>0</v>
      </c>
      <c r="Q22" s="15">
        <v>0.25</v>
      </c>
      <c r="R22" s="16" t="str">
        <f t="shared" si="0"/>
        <v>ACER</v>
      </c>
      <c r="S22" s="17"/>
      <c r="T22" s="10"/>
    </row>
    <row r="23" spans="1:27" ht="27" customHeight="1" x14ac:dyDescent="0.25">
      <c r="A23" s="8" t="s">
        <v>92</v>
      </c>
      <c r="B23" s="9" t="s">
        <v>93</v>
      </c>
      <c r="C23" s="9"/>
      <c r="D23" s="8" t="s">
        <v>94</v>
      </c>
      <c r="E23" s="8"/>
      <c r="F23" s="8" t="s">
        <v>22</v>
      </c>
      <c r="G23" s="8" t="s">
        <v>95</v>
      </c>
      <c r="H23" s="8" t="s">
        <v>96</v>
      </c>
      <c r="I23" s="10" t="s">
        <v>97</v>
      </c>
      <c r="J23" s="11" t="s">
        <v>33</v>
      </c>
      <c r="K23" s="18">
        <v>18000</v>
      </c>
      <c r="L23" s="12">
        <f>IF(J23="P",ROUNDUP(K23/(1-Q23),-2),K23*(1+P23)/(1-Q23))</f>
        <v>36000</v>
      </c>
      <c r="M23" s="8">
        <v>1</v>
      </c>
      <c r="N23" s="8" t="s">
        <v>27</v>
      </c>
      <c r="O23" s="13" t="str">
        <f>F23</f>
        <v>BLANCO</v>
      </c>
      <c r="P23" s="14">
        <v>0.2</v>
      </c>
      <c r="Q23" s="15">
        <v>0.5</v>
      </c>
      <c r="R23" s="16" t="str">
        <f t="shared" si="0"/>
        <v>AGM</v>
      </c>
      <c r="S23" s="17"/>
      <c r="T23" s="10" t="str">
        <f>G23</f>
        <v>OT20W</v>
      </c>
    </row>
    <row r="24" spans="1:27" ht="27" customHeight="1" x14ac:dyDescent="0.25">
      <c r="A24" s="8" t="s">
        <v>98</v>
      </c>
      <c r="B24" s="9"/>
      <c r="C24" s="9"/>
      <c r="D24" s="8" t="s">
        <v>45</v>
      </c>
      <c r="E24" s="8"/>
      <c r="F24" s="8" t="s">
        <v>22</v>
      </c>
      <c r="G24" s="8" t="s">
        <v>99</v>
      </c>
      <c r="H24" s="8" t="s">
        <v>100</v>
      </c>
      <c r="I24" s="10" t="s">
        <v>101</v>
      </c>
      <c r="J24" s="11" t="s">
        <v>26</v>
      </c>
      <c r="K24" s="18">
        <v>157</v>
      </c>
      <c r="L24" s="12">
        <f>IF(J24="P",ROUNDUP(K24/(1-Q24),-2),K24*(1+P24)/(1-Q24))</f>
        <v>224.28571428571431</v>
      </c>
      <c r="M24" s="8">
        <v>1</v>
      </c>
      <c r="N24" s="8" t="s">
        <v>27</v>
      </c>
      <c r="O24" s="13" t="str">
        <f>F24</f>
        <v>BLANCO</v>
      </c>
      <c r="P24" s="14">
        <v>0</v>
      </c>
      <c r="Q24" s="15">
        <v>0.3</v>
      </c>
      <c r="R24" s="16" t="str">
        <f t="shared" si="0"/>
        <v>AKG</v>
      </c>
      <c r="S24" s="17"/>
      <c r="T24" s="10" t="str">
        <f>G24</f>
        <v>LRS_200_12</v>
      </c>
    </row>
    <row r="25" spans="1:27" ht="27" customHeight="1" x14ac:dyDescent="0.25">
      <c r="A25" s="8" t="s">
        <v>98</v>
      </c>
      <c r="B25" s="9"/>
      <c r="C25" s="9"/>
      <c r="D25" s="8" t="s">
        <v>45</v>
      </c>
      <c r="E25" s="8"/>
      <c r="F25" s="8" t="s">
        <v>22</v>
      </c>
      <c r="G25" s="8" t="s">
        <v>102</v>
      </c>
      <c r="H25" s="8" t="s">
        <v>103</v>
      </c>
      <c r="I25" s="10" t="s">
        <v>104</v>
      </c>
      <c r="J25" s="11" t="s">
        <v>26</v>
      </c>
      <c r="K25" s="18">
        <v>39</v>
      </c>
      <c r="L25" s="12">
        <f>ROUNDUP(K25*(1+P25)/(1-Q25),0)</f>
        <v>65</v>
      </c>
      <c r="M25" s="8">
        <v>1</v>
      </c>
      <c r="N25" s="8" t="s">
        <v>27</v>
      </c>
      <c r="O25" s="13" t="str">
        <f>F25</f>
        <v>BLANCO</v>
      </c>
      <c r="P25" s="14">
        <v>0</v>
      </c>
      <c r="Q25" s="15">
        <v>0.4</v>
      </c>
      <c r="R25" s="16" t="str">
        <f t="shared" si="0"/>
        <v>AKG</v>
      </c>
      <c r="S25" s="17"/>
      <c r="T25" s="10" t="str">
        <f>G25</f>
        <v>HLG_60H_24_AB</v>
      </c>
    </row>
    <row r="26" spans="1:27" ht="27" customHeight="1" x14ac:dyDescent="0.25">
      <c r="A26" s="8" t="s">
        <v>98</v>
      </c>
      <c r="B26" s="9"/>
      <c r="C26" s="9"/>
      <c r="D26" s="8" t="s">
        <v>45</v>
      </c>
      <c r="E26" s="8"/>
      <c r="F26" s="8" t="s">
        <v>22</v>
      </c>
      <c r="G26" s="8" t="s">
        <v>105</v>
      </c>
      <c r="H26" s="8" t="s">
        <v>106</v>
      </c>
      <c r="I26" s="10" t="s">
        <v>107</v>
      </c>
      <c r="J26" s="11" t="s">
        <v>26</v>
      </c>
      <c r="K26" s="18">
        <v>74</v>
      </c>
      <c r="L26" s="12">
        <f>ROUNDUP(K26*(1+P26)/(1-Q26),0)</f>
        <v>124</v>
      </c>
      <c r="M26" s="8">
        <v>1</v>
      </c>
      <c r="N26" s="8" t="s">
        <v>27</v>
      </c>
      <c r="O26" s="13" t="str">
        <f>F26</f>
        <v>BLANCO</v>
      </c>
      <c r="P26" s="14">
        <v>0</v>
      </c>
      <c r="Q26" s="15">
        <v>0.4</v>
      </c>
      <c r="R26" s="16" t="str">
        <f t="shared" si="0"/>
        <v>AKG</v>
      </c>
      <c r="S26" s="17"/>
      <c r="T26" s="10" t="str">
        <f>G26</f>
        <v>HLG_240H_24_AB</v>
      </c>
    </row>
    <row r="27" spans="1:27" ht="27" customHeight="1" x14ac:dyDescent="0.25">
      <c r="A27" s="8" t="s">
        <v>98</v>
      </c>
      <c r="B27" s="9"/>
      <c r="C27" s="9"/>
      <c r="D27" s="8"/>
      <c r="E27" s="8"/>
      <c r="F27" s="8"/>
      <c r="G27" s="8"/>
      <c r="H27" s="8" t="s">
        <v>108</v>
      </c>
      <c r="I27" s="10" t="s">
        <v>109</v>
      </c>
      <c r="J27" s="11" t="s">
        <v>33</v>
      </c>
      <c r="K27" s="18">
        <v>580000</v>
      </c>
      <c r="L27" s="12">
        <f>IF(J27="P",ROUNDUP(K27/(1-Q27),-2),K27*(1+P27)/(1-Q27))</f>
        <v>828600</v>
      </c>
      <c r="M27" s="8">
        <v>1</v>
      </c>
      <c r="N27" s="8" t="s">
        <v>110</v>
      </c>
      <c r="O27" s="13"/>
      <c r="P27" s="14">
        <v>0</v>
      </c>
      <c r="Q27" s="15">
        <v>0.3</v>
      </c>
      <c r="R27" s="16" t="str">
        <f t="shared" si="0"/>
        <v>AKG</v>
      </c>
      <c r="S27" s="17"/>
      <c r="T27" s="10"/>
    </row>
    <row r="28" spans="1:27" ht="27" customHeight="1" x14ac:dyDescent="0.25">
      <c r="A28" s="8" t="s">
        <v>98</v>
      </c>
      <c r="B28" s="9"/>
      <c r="C28" s="9"/>
      <c r="D28" s="8"/>
      <c r="E28" s="8"/>
      <c r="F28" s="8"/>
      <c r="G28" s="8"/>
      <c r="H28" s="8" t="s">
        <v>111</v>
      </c>
      <c r="I28" s="10" t="s">
        <v>112</v>
      </c>
      <c r="J28" s="11" t="s">
        <v>26</v>
      </c>
      <c r="K28" s="18">
        <v>157</v>
      </c>
      <c r="L28" s="12">
        <f>ROUNDUP(K28*(1+P28)/(1-Q28),0)</f>
        <v>314</v>
      </c>
      <c r="M28" s="8">
        <v>1</v>
      </c>
      <c r="N28" s="8" t="s">
        <v>27</v>
      </c>
      <c r="O28" s="13"/>
      <c r="P28" s="14">
        <v>0</v>
      </c>
      <c r="Q28" s="15">
        <v>0.5</v>
      </c>
      <c r="R28" s="16" t="str">
        <f t="shared" si="0"/>
        <v>AKG</v>
      </c>
      <c r="S28" s="17"/>
      <c r="T28" s="10"/>
    </row>
    <row r="29" spans="1:27" ht="27" customHeight="1" x14ac:dyDescent="0.25">
      <c r="A29" s="8" t="s">
        <v>98</v>
      </c>
      <c r="B29" s="9"/>
      <c r="C29" s="9"/>
      <c r="D29" s="8" t="s">
        <v>45</v>
      </c>
      <c r="E29" s="8"/>
      <c r="F29" s="8" t="s">
        <v>22</v>
      </c>
      <c r="G29" s="8"/>
      <c r="H29" s="8" t="s">
        <v>113</v>
      </c>
      <c r="I29" s="10" t="s">
        <v>114</v>
      </c>
      <c r="J29" s="11" t="s">
        <v>26</v>
      </c>
      <c r="K29" s="18">
        <v>157</v>
      </c>
      <c r="L29" s="12">
        <f t="shared" ref="L29:L36" si="2">IF(J29="P",ROUNDUP(K29/(1-Q29),-2),K29*(1+P29)/(1-Q29))</f>
        <v>224.28571428571431</v>
      </c>
      <c r="M29" s="8">
        <v>1</v>
      </c>
      <c r="N29" s="8" t="s">
        <v>27</v>
      </c>
      <c r="O29" s="13" t="str">
        <f t="shared" ref="O29:O35" si="3">F29</f>
        <v>BLANCO</v>
      </c>
      <c r="P29" s="14">
        <v>0</v>
      </c>
      <c r="Q29" s="15">
        <v>0.3</v>
      </c>
      <c r="R29" s="16" t="str">
        <f t="shared" si="0"/>
        <v>AKG</v>
      </c>
      <c r="S29" s="17"/>
      <c r="T29" s="10">
        <f t="shared" ref="T29:T35" si="4">G29</f>
        <v>0</v>
      </c>
      <c r="AA29" s="112">
        <v>1</v>
      </c>
    </row>
    <row r="30" spans="1:27" ht="27" customHeight="1" x14ac:dyDescent="0.25">
      <c r="A30" s="8" t="s">
        <v>115</v>
      </c>
      <c r="B30" s="9"/>
      <c r="C30" s="9"/>
      <c r="D30" s="8"/>
      <c r="E30" s="8"/>
      <c r="F30" s="8" t="s">
        <v>22</v>
      </c>
      <c r="G30" s="8" t="s">
        <v>116</v>
      </c>
      <c r="H30" s="8" t="s">
        <v>117</v>
      </c>
      <c r="I30" s="10" t="s">
        <v>118</v>
      </c>
      <c r="J30" s="11" t="s">
        <v>33</v>
      </c>
      <c r="K30" s="18">
        <v>3000</v>
      </c>
      <c r="L30" s="12">
        <f t="shared" si="2"/>
        <v>6000</v>
      </c>
      <c r="M30" s="8">
        <v>1</v>
      </c>
      <c r="N30" s="8" t="s">
        <v>27</v>
      </c>
      <c r="O30" s="13" t="str">
        <f t="shared" si="3"/>
        <v>BLANCO</v>
      </c>
      <c r="P30" s="14">
        <v>0.2</v>
      </c>
      <c r="Q30" s="15">
        <v>0.5</v>
      </c>
      <c r="R30" s="16" t="str">
        <f t="shared" si="0"/>
        <v>ALARM SUPPLY</v>
      </c>
      <c r="S30" s="17"/>
      <c r="T30" s="10" t="str">
        <f t="shared" si="4"/>
        <v>HLG_100H_24_AB</v>
      </c>
    </row>
    <row r="31" spans="1:27" ht="27" customHeight="1" x14ac:dyDescent="0.25">
      <c r="A31" s="8" t="s">
        <v>119</v>
      </c>
      <c r="B31" s="9"/>
      <c r="C31" s="9"/>
      <c r="D31" s="8"/>
      <c r="E31" s="8"/>
      <c r="F31" s="8" t="s">
        <v>22</v>
      </c>
      <c r="G31" s="8" t="s">
        <v>120</v>
      </c>
      <c r="H31" s="8" t="s">
        <v>121</v>
      </c>
      <c r="I31" s="10" t="s">
        <v>122</v>
      </c>
      <c r="J31" s="11" t="s">
        <v>33</v>
      </c>
      <c r="K31" s="18">
        <f>28*3000*1.2</f>
        <v>100800</v>
      </c>
      <c r="L31" s="12">
        <f t="shared" si="2"/>
        <v>144000</v>
      </c>
      <c r="M31" s="8">
        <v>1</v>
      </c>
      <c r="N31" s="8" t="s">
        <v>27</v>
      </c>
      <c r="O31" s="13" t="str">
        <f t="shared" si="3"/>
        <v>BLANCO</v>
      </c>
      <c r="P31" s="14">
        <v>0</v>
      </c>
      <c r="Q31" s="15">
        <v>0.3</v>
      </c>
      <c r="R31" s="16" t="str">
        <f t="shared" si="0"/>
        <v>ALITOVE</v>
      </c>
      <c r="S31" s="17"/>
      <c r="T31" s="10" t="str">
        <f t="shared" si="4"/>
        <v>HLG_150H_24_AB</v>
      </c>
    </row>
    <row r="32" spans="1:27" ht="27" customHeight="1" x14ac:dyDescent="0.25">
      <c r="A32" s="8" t="s">
        <v>123</v>
      </c>
      <c r="B32" s="9"/>
      <c r="C32" s="9"/>
      <c r="D32" s="8"/>
      <c r="E32" s="8"/>
      <c r="F32" s="8" t="s">
        <v>22</v>
      </c>
      <c r="G32" s="8" t="s">
        <v>124</v>
      </c>
      <c r="H32" s="8" t="s">
        <v>125</v>
      </c>
      <c r="I32" s="10" t="s">
        <v>126</v>
      </c>
      <c r="J32" s="11" t="s">
        <v>33</v>
      </c>
      <c r="K32" s="18">
        <v>324000</v>
      </c>
      <c r="L32" s="12">
        <f t="shared" si="2"/>
        <v>540000</v>
      </c>
      <c r="M32" s="8">
        <v>1</v>
      </c>
      <c r="N32" s="8" t="s">
        <v>27</v>
      </c>
      <c r="O32" s="13" t="str">
        <f t="shared" si="3"/>
        <v>BLANCO</v>
      </c>
      <c r="P32" s="14">
        <v>0</v>
      </c>
      <c r="Q32" s="15">
        <v>0.4</v>
      </c>
      <c r="R32" s="16" t="str">
        <f t="shared" si="0"/>
        <v>ALTALINK</v>
      </c>
      <c r="S32" s="17"/>
      <c r="T32" s="10" t="str">
        <f t="shared" si="4"/>
        <v>RS_100_24</v>
      </c>
    </row>
    <row r="33" spans="1:20" ht="27" customHeight="1" x14ac:dyDescent="0.25">
      <c r="A33" s="8" t="s">
        <v>123</v>
      </c>
      <c r="B33" s="9"/>
      <c r="C33" s="9"/>
      <c r="D33" s="8" t="s">
        <v>45</v>
      </c>
      <c r="E33" s="8"/>
      <c r="F33" s="8" t="s">
        <v>22</v>
      </c>
      <c r="G33" s="8" t="s">
        <v>127</v>
      </c>
      <c r="H33" s="8" t="s">
        <v>128</v>
      </c>
      <c r="I33" s="10" t="s">
        <v>129</v>
      </c>
      <c r="J33" s="11" t="s">
        <v>33</v>
      </c>
      <c r="K33" s="18">
        <v>277000</v>
      </c>
      <c r="L33" s="12">
        <f t="shared" si="2"/>
        <v>395800</v>
      </c>
      <c r="M33" s="8">
        <v>1</v>
      </c>
      <c r="N33" s="8" t="s">
        <v>27</v>
      </c>
      <c r="O33" s="13" t="str">
        <f t="shared" si="3"/>
        <v>BLANCO</v>
      </c>
      <c r="P33" s="14">
        <v>0</v>
      </c>
      <c r="Q33" s="15">
        <v>0.3</v>
      </c>
      <c r="R33" s="16" t="str">
        <f t="shared" si="0"/>
        <v>ALTALINK</v>
      </c>
      <c r="S33" s="17"/>
      <c r="T33" s="10" t="str">
        <f t="shared" si="4"/>
        <v>RS_15_24</v>
      </c>
    </row>
    <row r="34" spans="1:20" ht="27" customHeight="1" x14ac:dyDescent="0.25">
      <c r="A34" s="8" t="s">
        <v>130</v>
      </c>
      <c r="B34" s="9"/>
      <c r="C34" s="9"/>
      <c r="D34" s="8"/>
      <c r="E34" s="8"/>
      <c r="F34" s="8" t="s">
        <v>22</v>
      </c>
      <c r="G34" s="8" t="s">
        <v>131</v>
      </c>
      <c r="H34" s="8" t="s">
        <v>132</v>
      </c>
      <c r="I34" s="10" t="s">
        <v>133</v>
      </c>
      <c r="J34" s="11" t="s">
        <v>26</v>
      </c>
      <c r="K34" s="18">
        <v>267</v>
      </c>
      <c r="L34" s="12">
        <f t="shared" si="2"/>
        <v>534</v>
      </c>
      <c r="M34" s="8">
        <v>1</v>
      </c>
      <c r="N34" s="8" t="s">
        <v>27</v>
      </c>
      <c r="O34" s="13" t="str">
        <f t="shared" si="3"/>
        <v>BLANCO</v>
      </c>
      <c r="P34" s="14">
        <v>0.2</v>
      </c>
      <c r="Q34" s="15">
        <v>0.4</v>
      </c>
      <c r="R34" s="16" t="str">
        <f t="shared" si="0"/>
        <v>ALTINEX</v>
      </c>
      <c r="S34" s="17"/>
      <c r="T34" s="10" t="str">
        <f t="shared" si="4"/>
        <v>RS_25_24</v>
      </c>
    </row>
    <row r="35" spans="1:20" ht="27" customHeight="1" x14ac:dyDescent="0.25">
      <c r="A35" s="8" t="s">
        <v>130</v>
      </c>
      <c r="B35" s="9"/>
      <c r="C35" s="9"/>
      <c r="D35" s="8"/>
      <c r="E35" s="8"/>
      <c r="F35" s="8" t="s">
        <v>22</v>
      </c>
      <c r="G35" s="8" t="s">
        <v>134</v>
      </c>
      <c r="H35" s="8" t="s">
        <v>135</v>
      </c>
      <c r="I35" s="10" t="s">
        <v>136</v>
      </c>
      <c r="J35" s="11" t="s">
        <v>26</v>
      </c>
      <c r="K35" s="18">
        <v>232.5</v>
      </c>
      <c r="L35" s="12">
        <f t="shared" si="2"/>
        <v>348.75</v>
      </c>
      <c r="M35" s="8">
        <v>1</v>
      </c>
      <c r="N35" s="8" t="s">
        <v>27</v>
      </c>
      <c r="O35" s="13" t="str">
        <f t="shared" si="3"/>
        <v>BLANCO</v>
      </c>
      <c r="P35" s="14">
        <v>0.2</v>
      </c>
      <c r="Q35" s="15">
        <v>0.2</v>
      </c>
      <c r="R35" s="16" t="str">
        <f t="shared" si="0"/>
        <v>ALTINEX</v>
      </c>
      <c r="S35" s="17"/>
      <c r="T35" s="10" t="str">
        <f t="shared" si="4"/>
        <v>RS_50_24</v>
      </c>
    </row>
    <row r="36" spans="1:20" ht="27" customHeight="1" x14ac:dyDescent="0.25">
      <c r="A36" s="8" t="s">
        <v>137</v>
      </c>
      <c r="B36" s="9"/>
      <c r="C36" s="9"/>
      <c r="D36" s="8"/>
      <c r="E36" s="8"/>
      <c r="F36" s="8"/>
      <c r="G36" s="8" t="s">
        <v>138</v>
      </c>
      <c r="H36" s="8" t="s">
        <v>139</v>
      </c>
      <c r="I36" s="10" t="s">
        <v>140</v>
      </c>
      <c r="J36" s="11" t="s">
        <v>33</v>
      </c>
      <c r="K36" s="18">
        <v>8500</v>
      </c>
      <c r="L36" s="12">
        <f t="shared" si="2"/>
        <v>14200</v>
      </c>
      <c r="M36" s="8">
        <v>1</v>
      </c>
      <c r="N36" s="8" t="s">
        <v>27</v>
      </c>
      <c r="O36" s="13"/>
      <c r="P36" s="14">
        <v>0</v>
      </c>
      <c r="Q36" s="15">
        <v>0.4</v>
      </c>
      <c r="R36" s="16" t="str">
        <f t="shared" si="0"/>
        <v>ALUMINA</v>
      </c>
      <c r="S36" s="17"/>
      <c r="T36" s="10"/>
    </row>
    <row r="37" spans="1:20" ht="27" customHeight="1" x14ac:dyDescent="0.25">
      <c r="A37" s="8" t="s">
        <v>137</v>
      </c>
      <c r="B37" s="9"/>
      <c r="C37" s="9"/>
      <c r="D37" s="8"/>
      <c r="E37" s="8"/>
      <c r="F37" s="8"/>
      <c r="G37" s="8" t="s">
        <v>141</v>
      </c>
      <c r="H37" s="8" t="s">
        <v>142</v>
      </c>
      <c r="I37" s="10" t="s">
        <v>143</v>
      </c>
      <c r="J37" s="11" t="s">
        <v>26</v>
      </c>
      <c r="K37" s="18">
        <v>133</v>
      </c>
      <c r="L37" s="12">
        <f>K37*(1+P37)/(1-Q37)</f>
        <v>266</v>
      </c>
      <c r="M37" s="8">
        <v>1</v>
      </c>
      <c r="N37" s="8" t="s">
        <v>27</v>
      </c>
      <c r="O37" s="13"/>
      <c r="P37" s="14">
        <v>0.2</v>
      </c>
      <c r="Q37" s="15">
        <v>0.4</v>
      </c>
      <c r="R37" s="16" t="str">
        <f t="shared" si="0"/>
        <v>ALUMINA</v>
      </c>
      <c r="S37" s="17"/>
      <c r="T37" s="10"/>
    </row>
    <row r="38" spans="1:20" ht="27" customHeight="1" x14ac:dyDescent="0.25">
      <c r="A38" s="8" t="s">
        <v>144</v>
      </c>
      <c r="B38" s="9"/>
      <c r="C38" s="9"/>
      <c r="D38" s="8"/>
      <c r="E38" s="8"/>
      <c r="F38" s="8"/>
      <c r="G38" s="8" t="s">
        <v>145</v>
      </c>
      <c r="H38" s="8" t="s">
        <v>146</v>
      </c>
      <c r="I38" s="10" t="s">
        <v>147</v>
      </c>
      <c r="J38" s="11" t="s">
        <v>26</v>
      </c>
      <c r="K38" s="18">
        <v>65</v>
      </c>
      <c r="L38" s="12">
        <f>K38*(1+P38)/(1-Q38)</f>
        <v>130</v>
      </c>
      <c r="M38" s="8">
        <v>1</v>
      </c>
      <c r="N38" s="8" t="s">
        <v>27</v>
      </c>
      <c r="O38" s="13"/>
      <c r="P38" s="14">
        <v>0.2</v>
      </c>
      <c r="Q38" s="15">
        <v>0.4</v>
      </c>
      <c r="R38" s="16" t="str">
        <f t="shared" si="0"/>
        <v>AMCREST</v>
      </c>
      <c r="S38" s="17"/>
      <c r="T38" s="10"/>
    </row>
    <row r="39" spans="1:20" ht="27" customHeight="1" x14ac:dyDescent="0.25">
      <c r="A39" s="8" t="s">
        <v>148</v>
      </c>
      <c r="B39" s="9"/>
      <c r="C39" s="9"/>
      <c r="D39" s="8"/>
      <c r="E39" s="8"/>
      <c r="F39" s="8" t="s">
        <v>22</v>
      </c>
      <c r="G39" s="8" t="s">
        <v>149</v>
      </c>
      <c r="H39" s="8" t="s">
        <v>150</v>
      </c>
      <c r="I39" s="10" t="s">
        <v>151</v>
      </c>
      <c r="J39" s="11" t="s">
        <v>33</v>
      </c>
      <c r="K39" s="18">
        <v>7328</v>
      </c>
      <c r="L39" s="12">
        <f t="shared" ref="L39:L50" si="5">IF(J39="P",ROUNDUP(K39/(1-Q39),-2),K39*(1+P39)/(1-Q39))</f>
        <v>10500</v>
      </c>
      <c r="M39" s="8">
        <v>1</v>
      </c>
      <c r="N39" s="8" t="s">
        <v>27</v>
      </c>
      <c r="O39" s="13" t="str">
        <f t="shared" ref="O39:O50" si="6">F39</f>
        <v>BLANCO</v>
      </c>
      <c r="P39" s="14">
        <v>0.2</v>
      </c>
      <c r="Q39" s="15">
        <v>0.3</v>
      </c>
      <c r="R39" s="16" t="str">
        <f t="shared" si="0"/>
        <v>AMP</v>
      </c>
      <c r="S39" s="17"/>
      <c r="T39" s="10" t="str">
        <f t="shared" ref="T39:T50" si="7">G39</f>
        <v>NDR_120_24</v>
      </c>
    </row>
    <row r="40" spans="1:20" ht="27" customHeight="1" x14ac:dyDescent="0.25">
      <c r="A40" s="8" t="s">
        <v>148</v>
      </c>
      <c r="B40" s="9"/>
      <c r="C40" s="9"/>
      <c r="D40" s="8"/>
      <c r="E40" s="8"/>
      <c r="F40" s="8" t="s">
        <v>22</v>
      </c>
      <c r="G40" s="8" t="s">
        <v>152</v>
      </c>
      <c r="H40" s="8" t="s">
        <v>152</v>
      </c>
      <c r="I40" s="10" t="s">
        <v>153</v>
      </c>
      <c r="J40" s="11" t="s">
        <v>33</v>
      </c>
      <c r="K40" s="18">
        <v>396000</v>
      </c>
      <c r="L40" s="12">
        <f t="shared" si="5"/>
        <v>565800</v>
      </c>
      <c r="M40" s="8">
        <v>1</v>
      </c>
      <c r="N40" s="8" t="s">
        <v>27</v>
      </c>
      <c r="O40" s="13" t="str">
        <f t="shared" si="6"/>
        <v>BLANCO</v>
      </c>
      <c r="P40" s="14">
        <v>0.2</v>
      </c>
      <c r="Q40" s="15">
        <v>0.3</v>
      </c>
      <c r="R40" s="16" t="str">
        <f t="shared" si="0"/>
        <v>AMP</v>
      </c>
      <c r="S40" s="17"/>
      <c r="T40" s="10" t="str">
        <f t="shared" si="7"/>
        <v>AMP1859222</v>
      </c>
    </row>
    <row r="41" spans="1:20" ht="27" customHeight="1" x14ac:dyDescent="0.25">
      <c r="A41" s="8" t="s">
        <v>148</v>
      </c>
      <c r="B41" s="9"/>
      <c r="C41" s="9"/>
      <c r="D41" s="8"/>
      <c r="E41" s="8"/>
      <c r="F41" s="8" t="s">
        <v>22</v>
      </c>
      <c r="G41" s="8" t="s">
        <v>154</v>
      </c>
      <c r="H41" s="8" t="s">
        <v>154</v>
      </c>
      <c r="I41" s="10" t="s">
        <v>155</v>
      </c>
      <c r="J41" s="11" t="s">
        <v>33</v>
      </c>
      <c r="K41" s="18">
        <v>624900</v>
      </c>
      <c r="L41" s="12">
        <f t="shared" si="5"/>
        <v>892800</v>
      </c>
      <c r="M41" s="8">
        <v>1</v>
      </c>
      <c r="N41" s="8" t="s">
        <v>27</v>
      </c>
      <c r="O41" s="13" t="str">
        <f t="shared" si="6"/>
        <v>BLANCO</v>
      </c>
      <c r="P41" s="14">
        <v>0.2</v>
      </c>
      <c r="Q41" s="15">
        <v>0.3</v>
      </c>
      <c r="R41" s="16" t="str">
        <f t="shared" si="0"/>
        <v>AMP</v>
      </c>
      <c r="S41" s="17"/>
      <c r="T41" s="10" t="str">
        <f t="shared" si="7"/>
        <v>AMP1933319</v>
      </c>
    </row>
    <row r="42" spans="1:20" ht="27" customHeight="1" x14ac:dyDescent="0.25">
      <c r="A42" s="8" t="s">
        <v>148</v>
      </c>
      <c r="B42" s="9"/>
      <c r="C42" s="9"/>
      <c r="D42" s="8"/>
      <c r="E42" s="8"/>
      <c r="F42" s="8" t="s">
        <v>22</v>
      </c>
      <c r="G42" s="8" t="s">
        <v>156</v>
      </c>
      <c r="H42" s="8" t="s">
        <v>156</v>
      </c>
      <c r="I42" s="10" t="s">
        <v>157</v>
      </c>
      <c r="J42" s="11" t="s">
        <v>33</v>
      </c>
      <c r="K42" s="18">
        <v>259200</v>
      </c>
      <c r="L42" s="12">
        <f t="shared" si="5"/>
        <v>370300</v>
      </c>
      <c r="M42" s="8">
        <v>1</v>
      </c>
      <c r="N42" s="8" t="s">
        <v>27</v>
      </c>
      <c r="O42" s="13" t="str">
        <f t="shared" si="6"/>
        <v>BLANCO</v>
      </c>
      <c r="P42" s="14">
        <v>0.2</v>
      </c>
      <c r="Q42" s="15">
        <v>0.3</v>
      </c>
      <c r="R42" s="16" t="str">
        <f t="shared" si="0"/>
        <v>AMP</v>
      </c>
      <c r="S42" s="17"/>
      <c r="T42" s="10" t="str">
        <f t="shared" si="7"/>
        <v>AMP1933308</v>
      </c>
    </row>
    <row r="43" spans="1:20" ht="27" customHeight="1" x14ac:dyDescent="0.25">
      <c r="A43" s="8" t="s">
        <v>148</v>
      </c>
      <c r="B43" s="9"/>
      <c r="C43" s="9"/>
      <c r="D43" s="8"/>
      <c r="E43" s="8"/>
      <c r="F43" s="8" t="s">
        <v>22</v>
      </c>
      <c r="G43" s="8" t="s">
        <v>158</v>
      </c>
      <c r="H43" s="8" t="s">
        <v>158</v>
      </c>
      <c r="I43" s="10" t="s">
        <v>159</v>
      </c>
      <c r="J43" s="11" t="s">
        <v>33</v>
      </c>
      <c r="K43" s="18">
        <v>23800</v>
      </c>
      <c r="L43" s="12">
        <f t="shared" si="5"/>
        <v>34000</v>
      </c>
      <c r="M43" s="8">
        <v>1</v>
      </c>
      <c r="N43" s="8" t="s">
        <v>27</v>
      </c>
      <c r="O43" s="13" t="str">
        <f t="shared" si="6"/>
        <v>BLANCO</v>
      </c>
      <c r="P43" s="14">
        <v>0.2</v>
      </c>
      <c r="Q43" s="15">
        <v>0.3</v>
      </c>
      <c r="R43" s="16" t="str">
        <f t="shared" si="0"/>
        <v>AMP</v>
      </c>
      <c r="S43" s="17"/>
      <c r="T43" s="10" t="str">
        <f t="shared" si="7"/>
        <v>AMP1711342</v>
      </c>
    </row>
    <row r="44" spans="1:20" ht="27" customHeight="1" x14ac:dyDescent="0.25">
      <c r="A44" s="8" t="s">
        <v>148</v>
      </c>
      <c r="B44" s="9"/>
      <c r="C44" s="9"/>
      <c r="D44" s="8"/>
      <c r="E44" s="8"/>
      <c r="F44" s="8" t="s">
        <v>22</v>
      </c>
      <c r="G44" t="s">
        <v>161</v>
      </c>
      <c r="H44" s="8" t="s">
        <v>161</v>
      </c>
      <c r="I44" s="10" t="s">
        <v>162</v>
      </c>
      <c r="J44" s="11" t="s">
        <v>33</v>
      </c>
      <c r="K44" s="18">
        <v>162000</v>
      </c>
      <c r="L44" s="12">
        <f t="shared" si="5"/>
        <v>231500</v>
      </c>
      <c r="M44" s="8">
        <v>1</v>
      </c>
      <c r="N44" s="8" t="s">
        <v>27</v>
      </c>
      <c r="O44" s="13" t="str">
        <f t="shared" si="6"/>
        <v>BLANCO</v>
      </c>
      <c r="P44" s="14">
        <v>0.2</v>
      </c>
      <c r="Q44" s="15">
        <v>0.3</v>
      </c>
      <c r="R44" s="16" t="str">
        <f t="shared" si="0"/>
        <v>AMP</v>
      </c>
      <c r="S44" s="17"/>
      <c r="T44" s="10" t="str">
        <f t="shared" si="7"/>
        <v>AMP1933307</v>
      </c>
    </row>
    <row r="45" spans="1:20" ht="27" customHeight="1" x14ac:dyDescent="0.25">
      <c r="A45" s="8" t="s">
        <v>148</v>
      </c>
      <c r="B45" s="9"/>
      <c r="C45" s="9"/>
      <c r="D45" s="8"/>
      <c r="E45" s="8"/>
      <c r="F45" s="8" t="s">
        <v>22</v>
      </c>
      <c r="G45" t="s">
        <v>164</v>
      </c>
      <c r="H45" s="8" t="s">
        <v>164</v>
      </c>
      <c r="I45" s="10" t="s">
        <v>165</v>
      </c>
      <c r="J45" s="11" t="s">
        <v>33</v>
      </c>
      <c r="K45" s="18">
        <v>24221</v>
      </c>
      <c r="L45" s="12">
        <f t="shared" si="5"/>
        <v>34700</v>
      </c>
      <c r="M45" s="8">
        <v>1</v>
      </c>
      <c r="N45" s="8" t="s">
        <v>27</v>
      </c>
      <c r="O45" s="13" t="str">
        <f t="shared" si="6"/>
        <v>BLANCO</v>
      </c>
      <c r="P45" s="14">
        <v>0.2</v>
      </c>
      <c r="Q45" s="15">
        <v>0.3</v>
      </c>
      <c r="R45" s="16" t="str">
        <f t="shared" si="0"/>
        <v>AMP</v>
      </c>
      <c r="S45" s="17"/>
      <c r="T45" s="10" t="str">
        <f t="shared" si="7"/>
        <v>AMP1711816</v>
      </c>
    </row>
    <row r="46" spans="1:20" ht="27" customHeight="1" x14ac:dyDescent="0.25">
      <c r="A46" s="8" t="s">
        <v>148</v>
      </c>
      <c r="B46" s="9"/>
      <c r="C46" s="9"/>
      <c r="D46" s="8"/>
      <c r="E46" s="8"/>
      <c r="F46" s="8" t="s">
        <v>22</v>
      </c>
      <c r="G46" s="32" t="s">
        <v>166</v>
      </c>
      <c r="H46" s="8" t="s">
        <v>167</v>
      </c>
      <c r="I46" s="10" t="s">
        <v>168</v>
      </c>
      <c r="J46" s="11" t="s">
        <v>33</v>
      </c>
      <c r="K46" s="18">
        <v>2000</v>
      </c>
      <c r="L46" s="12">
        <f t="shared" si="5"/>
        <v>2900</v>
      </c>
      <c r="M46" s="8">
        <v>1</v>
      </c>
      <c r="N46" s="8" t="s">
        <v>27</v>
      </c>
      <c r="O46" s="13" t="str">
        <f t="shared" si="6"/>
        <v>BLANCO</v>
      </c>
      <c r="P46" s="14">
        <v>0.2</v>
      </c>
      <c r="Q46" s="15">
        <v>0.3</v>
      </c>
      <c r="R46" s="16" t="str">
        <f t="shared" si="0"/>
        <v>AMP</v>
      </c>
      <c r="S46" s="17"/>
      <c r="T46" s="10" t="str">
        <f t="shared" si="7"/>
        <v>FM24V24</v>
      </c>
    </row>
    <row r="47" spans="1:20" ht="27" customHeight="1" x14ac:dyDescent="0.25">
      <c r="A47" s="8" t="s">
        <v>148</v>
      </c>
      <c r="B47" s="9"/>
      <c r="C47" s="9"/>
      <c r="D47" s="8"/>
      <c r="E47" s="8"/>
      <c r="F47" s="8" t="s">
        <v>22</v>
      </c>
      <c r="G47" t="s">
        <v>169</v>
      </c>
      <c r="H47" s="8" t="s">
        <v>170</v>
      </c>
      <c r="I47" s="10" t="s">
        <v>171</v>
      </c>
      <c r="J47" s="11" t="s">
        <v>33</v>
      </c>
      <c r="K47" s="18">
        <v>281500</v>
      </c>
      <c r="L47" s="12">
        <f t="shared" si="5"/>
        <v>402200</v>
      </c>
      <c r="M47" s="8">
        <v>1</v>
      </c>
      <c r="N47" s="8" t="s">
        <v>27</v>
      </c>
      <c r="O47" s="13" t="str">
        <f t="shared" si="6"/>
        <v>BLANCO</v>
      </c>
      <c r="P47" s="14">
        <v>0.2</v>
      </c>
      <c r="Q47" s="15">
        <v>0.3</v>
      </c>
      <c r="R47" s="16" t="str">
        <f t="shared" si="0"/>
        <v>AMP</v>
      </c>
      <c r="S47" s="17"/>
      <c r="T47" s="10" t="str">
        <f t="shared" si="7"/>
        <v>71_E158_00_00</v>
      </c>
    </row>
    <row r="48" spans="1:20" ht="27" customHeight="1" x14ac:dyDescent="0.25">
      <c r="A48" s="8" t="s">
        <v>148</v>
      </c>
      <c r="B48" s="9"/>
      <c r="C48" s="9"/>
      <c r="D48" s="8"/>
      <c r="E48" s="8"/>
      <c r="F48" s="8" t="s">
        <v>22</v>
      </c>
      <c r="G48" t="s">
        <v>172</v>
      </c>
      <c r="H48" s="8" t="s">
        <v>173</v>
      </c>
      <c r="I48" s="10" t="s">
        <v>174</v>
      </c>
      <c r="J48" s="11" t="s">
        <v>33</v>
      </c>
      <c r="K48" s="18">
        <v>553000</v>
      </c>
      <c r="L48" s="12">
        <f t="shared" si="5"/>
        <v>790000</v>
      </c>
      <c r="M48" s="8">
        <v>1</v>
      </c>
      <c r="N48" s="8" t="s">
        <v>27</v>
      </c>
      <c r="O48" s="13" t="str">
        <f t="shared" si="6"/>
        <v>BLANCO</v>
      </c>
      <c r="P48" s="14">
        <v>0.2</v>
      </c>
      <c r="Q48" s="15">
        <v>0.3</v>
      </c>
      <c r="R48" s="16" t="str">
        <f t="shared" si="0"/>
        <v>AMP</v>
      </c>
      <c r="S48" s="17"/>
      <c r="T48" s="10" t="str">
        <f t="shared" si="7"/>
        <v>71_E159_00_00</v>
      </c>
    </row>
    <row r="49" spans="1:20" ht="27" customHeight="1" x14ac:dyDescent="0.25">
      <c r="A49" s="8" t="s">
        <v>148</v>
      </c>
      <c r="B49" s="9"/>
      <c r="C49" s="9"/>
      <c r="D49" s="8"/>
      <c r="E49" s="8"/>
      <c r="F49" s="8" t="s">
        <v>22</v>
      </c>
      <c r="G49" s="32" t="s">
        <v>175</v>
      </c>
      <c r="H49" s="8" t="s">
        <v>176</v>
      </c>
      <c r="I49" s="10" t="s">
        <v>177</v>
      </c>
      <c r="J49" s="11" t="s">
        <v>33</v>
      </c>
      <c r="K49" s="18">
        <v>324000</v>
      </c>
      <c r="L49" s="12">
        <f t="shared" si="5"/>
        <v>462900</v>
      </c>
      <c r="M49" s="8">
        <v>1</v>
      </c>
      <c r="N49" s="8" t="s">
        <v>27</v>
      </c>
      <c r="O49" s="13" t="str">
        <f t="shared" si="6"/>
        <v>BLANCO</v>
      </c>
      <c r="P49" s="14">
        <v>0.2</v>
      </c>
      <c r="Q49" s="15">
        <v>0.3</v>
      </c>
      <c r="R49" s="16" t="str">
        <f t="shared" si="0"/>
        <v>AMP</v>
      </c>
      <c r="S49" s="17"/>
      <c r="T49" s="10" t="str">
        <f t="shared" si="7"/>
        <v>MNPS48200</v>
      </c>
    </row>
    <row r="50" spans="1:20" ht="27" customHeight="1" x14ac:dyDescent="0.25">
      <c r="A50" s="8" t="s">
        <v>148</v>
      </c>
      <c r="B50" s="9"/>
      <c r="C50" s="9"/>
      <c r="D50" s="8"/>
      <c r="E50" s="8"/>
      <c r="F50" s="8" t="s">
        <v>22</v>
      </c>
      <c r="G50" t="s">
        <v>178</v>
      </c>
      <c r="H50" s="8" t="s">
        <v>179</v>
      </c>
      <c r="I50" s="10" t="s">
        <v>180</v>
      </c>
      <c r="J50" s="11" t="s">
        <v>33</v>
      </c>
      <c r="K50" s="18">
        <v>11400</v>
      </c>
      <c r="L50" s="12">
        <f t="shared" si="5"/>
        <v>16300</v>
      </c>
      <c r="M50" s="8">
        <v>1</v>
      </c>
      <c r="N50" s="8" t="s">
        <v>27</v>
      </c>
      <c r="O50" s="13" t="str">
        <f t="shared" si="6"/>
        <v>BLANCO</v>
      </c>
      <c r="P50" s="14">
        <v>0.2</v>
      </c>
      <c r="Q50" s="15">
        <v>0.3</v>
      </c>
      <c r="R50" s="16" t="str">
        <f t="shared" si="0"/>
        <v>AMP</v>
      </c>
      <c r="S50" s="17"/>
      <c r="T50" s="10" t="str">
        <f t="shared" si="7"/>
        <v>EDR_120_24</v>
      </c>
    </row>
    <row r="51" spans="1:20" ht="27" customHeight="1" x14ac:dyDescent="0.25">
      <c r="A51" s="8" t="s">
        <v>148</v>
      </c>
      <c r="B51" s="9"/>
      <c r="C51" s="9"/>
      <c r="D51" s="8"/>
      <c r="E51" s="8"/>
      <c r="F51" s="8"/>
      <c r="G51" s="10"/>
      <c r="H51" s="8" t="s">
        <v>181</v>
      </c>
      <c r="I51" s="10" t="s">
        <v>182</v>
      </c>
      <c r="J51" s="11" t="s">
        <v>33</v>
      </c>
      <c r="K51" s="18">
        <v>510000</v>
      </c>
      <c r="L51" s="12">
        <f>ROUNDUP(K51*(1+P51)/(1-Q51),0)</f>
        <v>728572</v>
      </c>
      <c r="M51" s="8">
        <v>1</v>
      </c>
      <c r="N51" s="8" t="s">
        <v>27</v>
      </c>
      <c r="O51" s="13"/>
      <c r="P51" s="14">
        <v>0</v>
      </c>
      <c r="Q51" s="15">
        <v>0.3</v>
      </c>
      <c r="R51" s="16" t="str">
        <f t="shared" si="0"/>
        <v>AMP</v>
      </c>
      <c r="S51" s="17"/>
      <c r="T51" s="10"/>
    </row>
    <row r="52" spans="1:20" ht="27" customHeight="1" x14ac:dyDescent="0.25">
      <c r="A52" s="8" t="s">
        <v>183</v>
      </c>
      <c r="B52" s="9" t="s">
        <v>183</v>
      </c>
      <c r="C52" s="9"/>
      <c r="D52" s="8" t="s">
        <v>184</v>
      </c>
      <c r="E52" s="8">
        <v>2</v>
      </c>
      <c r="F52" s="8" t="s">
        <v>22</v>
      </c>
      <c r="G52" s="10" t="s">
        <v>185</v>
      </c>
      <c r="H52" s="8" t="s">
        <v>186</v>
      </c>
      <c r="I52" s="10" t="s">
        <v>187</v>
      </c>
      <c r="J52" s="11" t="s">
        <v>26</v>
      </c>
      <c r="K52" s="18">
        <v>550</v>
      </c>
      <c r="L52" s="12">
        <f t="shared" ref="L52:L83" si="8">IF(J52="P",ROUNDUP(K52/(1-Q52),-2),K52*(1+P52)/(1-Q52))</f>
        <v>942.85714285714289</v>
      </c>
      <c r="M52" s="8">
        <v>1</v>
      </c>
      <c r="N52" s="8" t="s">
        <v>27</v>
      </c>
      <c r="O52" s="13" t="str">
        <f t="shared" ref="O52:O83" si="9">F52</f>
        <v>BLANCO</v>
      </c>
      <c r="P52" s="14">
        <v>0.2</v>
      </c>
      <c r="Q52" s="15">
        <v>0.3</v>
      </c>
      <c r="R52" s="16" t="str">
        <f t="shared" si="0"/>
        <v>AMX</v>
      </c>
      <c r="S52" s="17"/>
      <c r="T52" s="10" t="str">
        <f t="shared" ref="T52:T83" si="10">G52</f>
        <v>DECODIFICADOR PARA ENVÍO DE SEÑALES.</v>
      </c>
    </row>
    <row r="53" spans="1:20" ht="27" customHeight="1" x14ac:dyDescent="0.25">
      <c r="A53" s="8" t="s">
        <v>183</v>
      </c>
      <c r="B53" s="9" t="s">
        <v>183</v>
      </c>
      <c r="C53" s="9"/>
      <c r="D53" s="8" t="s">
        <v>188</v>
      </c>
      <c r="E53" s="8">
        <v>1</v>
      </c>
      <c r="F53" s="8" t="s">
        <v>22</v>
      </c>
      <c r="G53" s="10" t="s">
        <v>189</v>
      </c>
      <c r="H53" s="8" t="s">
        <v>190</v>
      </c>
      <c r="I53" s="10" t="s">
        <v>191</v>
      </c>
      <c r="J53" s="11" t="s">
        <v>26</v>
      </c>
      <c r="K53" s="18">
        <v>450</v>
      </c>
      <c r="L53" s="12">
        <f t="shared" si="8"/>
        <v>771.42857142857144</v>
      </c>
      <c r="M53" s="8">
        <v>1</v>
      </c>
      <c r="N53" s="8" t="s">
        <v>27</v>
      </c>
      <c r="O53" s="13" t="str">
        <f t="shared" si="9"/>
        <v>BLANCO</v>
      </c>
      <c r="P53" s="14">
        <v>0.2</v>
      </c>
      <c r="Q53" s="15">
        <v>0.3</v>
      </c>
      <c r="R53" s="16" t="str">
        <f t="shared" si="0"/>
        <v>AMX</v>
      </c>
      <c r="S53" s="17"/>
      <c r="T53" s="10" t="str">
        <f t="shared" si="10"/>
        <v>TECLADO INTERACTIVO CON CONTROLADOR INCLUIDO.</v>
      </c>
    </row>
    <row r="54" spans="1:20" ht="27" customHeight="1" x14ac:dyDescent="0.25">
      <c r="A54" s="8" t="s">
        <v>183</v>
      </c>
      <c r="B54" s="9" t="s">
        <v>183</v>
      </c>
      <c r="C54" s="9"/>
      <c r="D54" s="8" t="s">
        <v>188</v>
      </c>
      <c r="E54" s="8">
        <v>2</v>
      </c>
      <c r="F54" s="8" t="s">
        <v>22</v>
      </c>
      <c r="G54" s="10" t="s">
        <v>189</v>
      </c>
      <c r="H54" s="8" t="s">
        <v>192</v>
      </c>
      <c r="I54" s="10" t="s">
        <v>193</v>
      </c>
      <c r="J54" s="11" t="s">
        <v>26</v>
      </c>
      <c r="K54" s="18">
        <v>450</v>
      </c>
      <c r="L54" s="12">
        <f t="shared" si="8"/>
        <v>771.42857142857144</v>
      </c>
      <c r="M54" s="8">
        <v>1</v>
      </c>
      <c r="N54" s="8" t="s">
        <v>27</v>
      </c>
      <c r="O54" s="13" t="str">
        <f t="shared" si="9"/>
        <v>BLANCO</v>
      </c>
      <c r="P54" s="14">
        <v>0.2</v>
      </c>
      <c r="Q54" s="15">
        <v>0.3</v>
      </c>
      <c r="R54" s="16" t="str">
        <f t="shared" si="0"/>
        <v>AMX</v>
      </c>
      <c r="S54" s="17"/>
      <c r="T54" s="10" t="str">
        <f t="shared" si="10"/>
        <v>TECLADO INTERACTIVO CON CONTROLADOR INCLUIDO.</v>
      </c>
    </row>
    <row r="55" spans="1:20" ht="27" customHeight="1" x14ac:dyDescent="0.25">
      <c r="A55" s="8" t="s">
        <v>183</v>
      </c>
      <c r="B55" s="9" t="s">
        <v>183</v>
      </c>
      <c r="C55" s="9"/>
      <c r="D55" s="8" t="s">
        <v>194</v>
      </c>
      <c r="E55" s="8">
        <v>1</v>
      </c>
      <c r="F55" s="8" t="s">
        <v>22</v>
      </c>
      <c r="G55" s="10" t="s">
        <v>195</v>
      </c>
      <c r="H55" s="8" t="s">
        <v>196</v>
      </c>
      <c r="I55" s="10" t="s">
        <v>197</v>
      </c>
      <c r="J55" s="11" t="s">
        <v>26</v>
      </c>
      <c r="K55" s="18">
        <v>595</v>
      </c>
      <c r="L55" s="12">
        <f t="shared" si="8"/>
        <v>1020.0000000000001</v>
      </c>
      <c r="M55" s="8">
        <v>1</v>
      </c>
      <c r="N55" s="8" t="s">
        <v>27</v>
      </c>
      <c r="O55" s="13" t="str">
        <f t="shared" si="9"/>
        <v>BLANCO</v>
      </c>
      <c r="P55" s="14">
        <v>0.2</v>
      </c>
      <c r="Q55" s="15">
        <v>0.3</v>
      </c>
      <c r="R55" s="16" t="str">
        <f t="shared" si="0"/>
        <v>AMX</v>
      </c>
      <c r="S55" s="17"/>
      <c r="T55" s="10" t="str">
        <f t="shared" si="10"/>
        <v>PROCESADOR PARA CONTROL DE EQUIPOS. .</v>
      </c>
    </row>
    <row r="56" spans="1:20" ht="27" customHeight="1" x14ac:dyDescent="0.25">
      <c r="A56" s="8" t="s">
        <v>183</v>
      </c>
      <c r="B56" s="9" t="s">
        <v>183</v>
      </c>
      <c r="C56" s="9"/>
      <c r="D56" s="8" t="s">
        <v>194</v>
      </c>
      <c r="E56" s="8">
        <v>2</v>
      </c>
      <c r="F56" s="8" t="s">
        <v>22</v>
      </c>
      <c r="G56" s="10" t="s">
        <v>195</v>
      </c>
      <c r="H56" s="8" t="s">
        <v>198</v>
      </c>
      <c r="I56" s="10" t="s">
        <v>199</v>
      </c>
      <c r="J56" s="11" t="s">
        <v>26</v>
      </c>
      <c r="K56" s="18">
        <v>1100</v>
      </c>
      <c r="L56" s="12">
        <f t="shared" si="8"/>
        <v>2030.7692307692307</v>
      </c>
      <c r="M56" s="8">
        <v>1</v>
      </c>
      <c r="N56" s="8" t="s">
        <v>27</v>
      </c>
      <c r="O56" s="13" t="str">
        <f t="shared" si="9"/>
        <v>BLANCO</v>
      </c>
      <c r="P56" s="14">
        <v>0.2</v>
      </c>
      <c r="Q56" s="15">
        <v>0.35</v>
      </c>
      <c r="R56" s="16" t="str">
        <f t="shared" si="0"/>
        <v>AMX</v>
      </c>
      <c r="S56" s="17"/>
      <c r="T56" s="10" t="str">
        <f t="shared" si="10"/>
        <v>PROCESADOR PARA CONTROL DE EQUIPOS. .</v>
      </c>
    </row>
    <row r="57" spans="1:20" ht="27" customHeight="1" x14ac:dyDescent="0.25">
      <c r="A57" s="8" t="s">
        <v>183</v>
      </c>
      <c r="B57" s="9" t="s">
        <v>183</v>
      </c>
      <c r="C57" s="9"/>
      <c r="D57" s="8" t="s">
        <v>194</v>
      </c>
      <c r="E57" s="8">
        <v>3</v>
      </c>
      <c r="F57" s="8" t="s">
        <v>22</v>
      </c>
      <c r="G57" s="10" t="s">
        <v>200</v>
      </c>
      <c r="H57" s="8" t="s">
        <v>201</v>
      </c>
      <c r="I57" s="10" t="s">
        <v>202</v>
      </c>
      <c r="J57" s="11" t="s">
        <v>26</v>
      </c>
      <c r="K57" s="18">
        <v>1700</v>
      </c>
      <c r="L57" s="12">
        <f t="shared" si="8"/>
        <v>2914.2857142857147</v>
      </c>
      <c r="M57" s="8">
        <v>1</v>
      </c>
      <c r="N57" s="8" t="s">
        <v>27</v>
      </c>
      <c r="O57" s="13" t="str">
        <f t="shared" si="9"/>
        <v>BLANCO</v>
      </c>
      <c r="P57" s="14">
        <v>0.2</v>
      </c>
      <c r="Q57" s="15">
        <v>0.3</v>
      </c>
      <c r="R57" s="16" t="str">
        <f t="shared" si="0"/>
        <v>AMX</v>
      </c>
      <c r="S57" s="17"/>
      <c r="T57" s="10" t="str">
        <f t="shared" si="10"/>
        <v>PROCESADOR PARA CONTROL DE EQUIPOS.</v>
      </c>
    </row>
    <row r="58" spans="1:20" ht="27" customHeight="1" x14ac:dyDescent="0.25">
      <c r="A58" s="8" t="s">
        <v>183</v>
      </c>
      <c r="B58" s="9" t="s">
        <v>183</v>
      </c>
      <c r="C58" s="9"/>
      <c r="D58" s="8" t="s">
        <v>194</v>
      </c>
      <c r="E58" s="8">
        <v>4</v>
      </c>
      <c r="F58" s="8" t="s">
        <v>22</v>
      </c>
      <c r="G58" s="10" t="s">
        <v>200</v>
      </c>
      <c r="H58" s="8" t="s">
        <v>203</v>
      </c>
      <c r="I58" s="10" t="s">
        <v>204</v>
      </c>
      <c r="J58" s="11" t="s">
        <v>26</v>
      </c>
      <c r="K58" s="18">
        <v>2300</v>
      </c>
      <c r="L58" s="12">
        <f t="shared" si="8"/>
        <v>3942.8571428571431</v>
      </c>
      <c r="M58" s="8">
        <v>1</v>
      </c>
      <c r="N58" s="8" t="s">
        <v>27</v>
      </c>
      <c r="O58" s="13" t="str">
        <f t="shared" si="9"/>
        <v>BLANCO</v>
      </c>
      <c r="P58" s="14">
        <v>0.2</v>
      </c>
      <c r="Q58" s="15">
        <v>0.3</v>
      </c>
      <c r="R58" s="16" t="str">
        <f t="shared" si="0"/>
        <v>AMX</v>
      </c>
      <c r="S58" s="17"/>
      <c r="T58" s="10" t="str">
        <f t="shared" si="10"/>
        <v>PROCESADOR PARA CONTROL DE EQUIPOS.</v>
      </c>
    </row>
    <row r="59" spans="1:20" ht="27" customHeight="1" x14ac:dyDescent="0.25">
      <c r="A59" s="8" t="s">
        <v>183</v>
      </c>
      <c r="B59" s="9" t="s">
        <v>183</v>
      </c>
      <c r="C59" s="9"/>
      <c r="D59" s="8" t="s">
        <v>205</v>
      </c>
      <c r="E59" s="8">
        <v>1</v>
      </c>
      <c r="F59" s="8" t="s">
        <v>22</v>
      </c>
      <c r="G59" s="10" t="s">
        <v>206</v>
      </c>
      <c r="H59" s="8" t="s">
        <v>207</v>
      </c>
      <c r="I59" s="10" t="s">
        <v>206</v>
      </c>
      <c r="J59" s="11" t="s">
        <v>26</v>
      </c>
      <c r="K59" s="18">
        <v>60</v>
      </c>
      <c r="L59" s="12">
        <f t="shared" si="8"/>
        <v>102.85714285714286</v>
      </c>
      <c r="M59" s="8">
        <v>1</v>
      </c>
      <c r="N59" s="8" t="s">
        <v>27</v>
      </c>
      <c r="O59" s="13" t="str">
        <f t="shared" si="9"/>
        <v>BLANCO</v>
      </c>
      <c r="P59" s="14">
        <v>0.2</v>
      </c>
      <c r="Q59" s="15">
        <v>0.3</v>
      </c>
      <c r="R59" s="16" t="str">
        <f t="shared" si="0"/>
        <v>AMX</v>
      </c>
      <c r="S59" s="17"/>
      <c r="T59" s="10" t="str">
        <f t="shared" si="10"/>
        <v>INYECTOR PoE 10/100/1000 (MbPS), ENTRADA UNIVERSAL 120/240V.</v>
      </c>
    </row>
    <row r="60" spans="1:20" ht="27" customHeight="1" x14ac:dyDescent="0.25">
      <c r="A60" s="8" t="s">
        <v>183</v>
      </c>
      <c r="B60" s="9" t="s">
        <v>183</v>
      </c>
      <c r="C60" s="9"/>
      <c r="D60" s="8" t="s">
        <v>208</v>
      </c>
      <c r="E60" s="8">
        <v>1</v>
      </c>
      <c r="F60" s="8" t="s">
        <v>22</v>
      </c>
      <c r="G60" s="10" t="s">
        <v>209</v>
      </c>
      <c r="H60" s="8" t="s">
        <v>210</v>
      </c>
      <c r="I60" s="10" t="s">
        <v>209</v>
      </c>
      <c r="J60" s="11" t="s">
        <v>26</v>
      </c>
      <c r="K60" s="18">
        <v>497.5</v>
      </c>
      <c r="L60" s="12">
        <f t="shared" si="8"/>
        <v>852.85714285714289</v>
      </c>
      <c r="M60" s="8">
        <v>1</v>
      </c>
      <c r="N60" s="8" t="s">
        <v>27</v>
      </c>
      <c r="O60" s="13" t="str">
        <f t="shared" si="9"/>
        <v>BLANCO</v>
      </c>
      <c r="P60" s="14">
        <v>0.2</v>
      </c>
      <c r="Q60" s="15">
        <v>0.3</v>
      </c>
      <c r="R60" s="16" t="str">
        <f t="shared" si="0"/>
        <v>AMX</v>
      </c>
      <c r="S60" s="17"/>
      <c r="T60" s="10" t="str">
        <f t="shared" si="10"/>
        <v>INTERFAZ DE CONTROL TELEFÓNICO</v>
      </c>
    </row>
    <row r="61" spans="1:20" ht="27" customHeight="1" x14ac:dyDescent="0.25">
      <c r="A61" s="8" t="s">
        <v>183</v>
      </c>
      <c r="B61" s="9" t="s">
        <v>183</v>
      </c>
      <c r="C61" s="9"/>
      <c r="D61" s="8" t="s">
        <v>211</v>
      </c>
      <c r="E61" s="8">
        <v>1</v>
      </c>
      <c r="F61" s="8" t="s">
        <v>22</v>
      </c>
      <c r="G61" s="10" t="s">
        <v>212</v>
      </c>
      <c r="H61" s="8" t="s">
        <v>213</v>
      </c>
      <c r="I61" s="10" t="s">
        <v>214</v>
      </c>
      <c r="J61" s="11" t="s">
        <v>26</v>
      </c>
      <c r="K61" s="18">
        <v>5950</v>
      </c>
      <c r="L61" s="12">
        <f t="shared" si="8"/>
        <v>10200</v>
      </c>
      <c r="M61" s="8">
        <v>1</v>
      </c>
      <c r="N61" s="8" t="s">
        <v>27</v>
      </c>
      <c r="O61" s="13" t="str">
        <f t="shared" si="9"/>
        <v>BLANCO</v>
      </c>
      <c r="P61" s="14">
        <v>0.2</v>
      </c>
      <c r="Q61" s="15">
        <v>0.3</v>
      </c>
      <c r="R61" s="16" t="str">
        <f t="shared" si="0"/>
        <v>AMX</v>
      </c>
      <c r="S61" s="17"/>
      <c r="T61" s="10" t="str">
        <f t="shared" si="10"/>
        <v xml:space="preserve">10x4 SWITCH DE PRESENTACIÓN MULTI FORMATO CON SALIDAS HDMI. </v>
      </c>
    </row>
    <row r="62" spans="1:20" ht="27" customHeight="1" x14ac:dyDescent="0.25">
      <c r="A62" s="8" t="s">
        <v>183</v>
      </c>
      <c r="B62" s="9" t="s">
        <v>183</v>
      </c>
      <c r="C62" s="9"/>
      <c r="D62" s="8" t="s">
        <v>211</v>
      </c>
      <c r="E62" s="8">
        <v>2</v>
      </c>
      <c r="F62" s="8" t="s">
        <v>22</v>
      </c>
      <c r="G62" s="10" t="s">
        <v>212</v>
      </c>
      <c r="H62" s="8" t="s">
        <v>215</v>
      </c>
      <c r="I62" s="10" t="s">
        <v>214</v>
      </c>
      <c r="J62" s="11" t="s">
        <v>26</v>
      </c>
      <c r="K62" s="18">
        <v>6000</v>
      </c>
      <c r="L62" s="12">
        <f t="shared" si="8"/>
        <v>10285.714285714286</v>
      </c>
      <c r="M62" s="8">
        <v>1</v>
      </c>
      <c r="N62" s="8" t="s">
        <v>27</v>
      </c>
      <c r="O62" s="13" t="str">
        <f t="shared" si="9"/>
        <v>BLANCO</v>
      </c>
      <c r="P62" s="14">
        <v>0.2</v>
      </c>
      <c r="Q62" s="15">
        <v>0.3</v>
      </c>
      <c r="R62" s="16" t="str">
        <f t="shared" si="0"/>
        <v>AMX</v>
      </c>
      <c r="S62" s="17"/>
      <c r="T62" s="10" t="str">
        <f t="shared" si="10"/>
        <v xml:space="preserve">10x4 SWITCH DE PRESENTACIÓN MULTI FORMATO CON SALIDAS HDMI. </v>
      </c>
    </row>
    <row r="63" spans="1:20" ht="27" customHeight="1" x14ac:dyDescent="0.25">
      <c r="A63" s="8" t="s">
        <v>183</v>
      </c>
      <c r="B63" s="9" t="s">
        <v>183</v>
      </c>
      <c r="C63" s="9"/>
      <c r="D63" s="8" t="s">
        <v>211</v>
      </c>
      <c r="E63" s="8">
        <v>3</v>
      </c>
      <c r="F63" s="8" t="s">
        <v>22</v>
      </c>
      <c r="G63" s="10" t="s">
        <v>216</v>
      </c>
      <c r="H63" s="8" t="s">
        <v>217</v>
      </c>
      <c r="I63" s="10" t="s">
        <v>218</v>
      </c>
      <c r="J63" s="11" t="s">
        <v>26</v>
      </c>
      <c r="K63" s="18">
        <v>6400</v>
      </c>
      <c r="L63" s="12">
        <f t="shared" si="8"/>
        <v>10971.428571428572</v>
      </c>
      <c r="M63" s="8">
        <v>1</v>
      </c>
      <c r="N63" s="8" t="s">
        <v>27</v>
      </c>
      <c r="O63" s="13" t="str">
        <f t="shared" si="9"/>
        <v>BLANCO</v>
      </c>
      <c r="P63" s="14">
        <v>0.2</v>
      </c>
      <c r="Q63" s="15">
        <v>0.3</v>
      </c>
      <c r="R63" s="16" t="str">
        <f t="shared" si="0"/>
        <v>AMX</v>
      </c>
      <c r="S63" s="17"/>
      <c r="T63" s="10" t="str">
        <f t="shared" si="10"/>
        <v>10x4 SWITCH DE PRESENTACIÓN MULTI FORMATO CON SALIDAS HDMI Y 2 ENTRADAS.</v>
      </c>
    </row>
    <row r="64" spans="1:20" ht="27" customHeight="1" x14ac:dyDescent="0.25">
      <c r="A64" s="8" t="s">
        <v>183</v>
      </c>
      <c r="B64" s="9" t="s">
        <v>183</v>
      </c>
      <c r="C64" s="9"/>
      <c r="D64" s="8" t="s">
        <v>211</v>
      </c>
      <c r="E64" s="8">
        <v>4</v>
      </c>
      <c r="F64" s="8" t="s">
        <v>22</v>
      </c>
      <c r="G64" s="10" t="s">
        <v>216</v>
      </c>
      <c r="H64" s="8" t="s">
        <v>219</v>
      </c>
      <c r="I64" s="10" t="s">
        <v>220</v>
      </c>
      <c r="J64" s="11" t="s">
        <v>26</v>
      </c>
      <c r="K64" s="18">
        <v>6450</v>
      </c>
      <c r="L64" s="12">
        <f t="shared" si="8"/>
        <v>11057.142857142859</v>
      </c>
      <c r="M64" s="8">
        <v>1</v>
      </c>
      <c r="N64" s="8" t="s">
        <v>27</v>
      </c>
      <c r="O64" s="13" t="str">
        <f t="shared" si="9"/>
        <v>BLANCO</v>
      </c>
      <c r="P64" s="14">
        <v>0.2</v>
      </c>
      <c r="Q64" s="15">
        <v>0.3</v>
      </c>
      <c r="R64" s="16" t="str">
        <f t="shared" si="0"/>
        <v>AMX</v>
      </c>
      <c r="S64" s="17"/>
      <c r="T64" s="10" t="str">
        <f t="shared" si="10"/>
        <v>10x4 SWITCH DE PRESENTACIÓN MULTI FORMATO CON SALIDAS HDMI Y 2 ENTRADAS.</v>
      </c>
    </row>
    <row r="65" spans="1:20" ht="27" customHeight="1" x14ac:dyDescent="0.25">
      <c r="A65" s="8" t="s">
        <v>183</v>
      </c>
      <c r="B65" s="9" t="s">
        <v>183</v>
      </c>
      <c r="C65" s="9"/>
      <c r="D65" s="8" t="s">
        <v>211</v>
      </c>
      <c r="E65" s="8">
        <v>5</v>
      </c>
      <c r="F65" s="8" t="s">
        <v>22</v>
      </c>
      <c r="G65" s="10" t="s">
        <v>221</v>
      </c>
      <c r="H65" s="8" t="s">
        <v>222</v>
      </c>
      <c r="I65" s="10" t="s">
        <v>223</v>
      </c>
      <c r="J65" s="11" t="s">
        <v>26</v>
      </c>
      <c r="K65" s="18">
        <v>6850</v>
      </c>
      <c r="L65" s="12">
        <f t="shared" si="8"/>
        <v>11742.857142857143</v>
      </c>
      <c r="M65" s="8">
        <v>1</v>
      </c>
      <c r="N65" s="8" t="s">
        <v>27</v>
      </c>
      <c r="O65" s="13" t="str">
        <f t="shared" si="9"/>
        <v>BLANCO</v>
      </c>
      <c r="P65" s="14">
        <v>0.2</v>
      </c>
      <c r="Q65" s="15">
        <v>0.3</v>
      </c>
      <c r="R65" s="16" t="str">
        <f t="shared" ref="R65:R128" si="11">A65</f>
        <v>AMX</v>
      </c>
      <c r="S65" s="17"/>
      <c r="T65" s="10" t="str">
        <f t="shared" si="10"/>
        <v>10x4 SWITCH DE AUDIO Y VIDEO TODO EN UNO, CON AMPLIFICADOR DE 2x25 VATIOS.</v>
      </c>
    </row>
    <row r="66" spans="1:20" ht="27" customHeight="1" x14ac:dyDescent="0.25">
      <c r="A66" s="8" t="s">
        <v>183</v>
      </c>
      <c r="B66" s="9" t="s">
        <v>183</v>
      </c>
      <c r="C66" s="9"/>
      <c r="D66" s="8" t="s">
        <v>211</v>
      </c>
      <c r="E66" s="8">
        <v>6</v>
      </c>
      <c r="F66" s="8" t="s">
        <v>22</v>
      </c>
      <c r="G66" s="10" t="s">
        <v>224</v>
      </c>
      <c r="H66" s="8" t="s">
        <v>225</v>
      </c>
      <c r="I66" s="10" t="s">
        <v>226</v>
      </c>
      <c r="J66" s="11" t="s">
        <v>26</v>
      </c>
      <c r="K66" s="18">
        <v>6900</v>
      </c>
      <c r="L66" s="12">
        <f t="shared" si="8"/>
        <v>11828.571428571429</v>
      </c>
      <c r="M66" s="8">
        <v>1</v>
      </c>
      <c r="N66" s="8" t="s">
        <v>27</v>
      </c>
      <c r="O66" s="13" t="str">
        <f t="shared" si="9"/>
        <v>BLANCO</v>
      </c>
      <c r="P66" s="14">
        <v>0.2</v>
      </c>
      <c r="Q66" s="15">
        <v>0.3</v>
      </c>
      <c r="R66" s="16" t="str">
        <f t="shared" si="11"/>
        <v>AMX</v>
      </c>
      <c r="S66" s="17"/>
      <c r="T66" s="10" t="str">
        <f t="shared" si="10"/>
        <v>10x4 SWITCH DE AUDIO Y VIDEO TODO EN UNO, MULTIFORMATO.</v>
      </c>
    </row>
    <row r="67" spans="1:20" ht="27" customHeight="1" x14ac:dyDescent="0.25">
      <c r="A67" s="8" t="s">
        <v>183</v>
      </c>
      <c r="B67" s="9" t="s">
        <v>183</v>
      </c>
      <c r="C67" s="9"/>
      <c r="D67" s="8" t="s">
        <v>211</v>
      </c>
      <c r="E67" s="8">
        <v>7</v>
      </c>
      <c r="F67" s="8" t="s">
        <v>22</v>
      </c>
      <c r="G67" s="10" t="s">
        <v>227</v>
      </c>
      <c r="H67" s="8" t="s">
        <v>228</v>
      </c>
      <c r="I67" s="10" t="s">
        <v>229</v>
      </c>
      <c r="J67" s="11" t="s">
        <v>26</v>
      </c>
      <c r="K67" s="18">
        <v>4425</v>
      </c>
      <c r="L67" s="12">
        <f t="shared" si="8"/>
        <v>7585.7142857142862</v>
      </c>
      <c r="M67" s="8">
        <v>1</v>
      </c>
      <c r="N67" s="8" t="s">
        <v>27</v>
      </c>
      <c r="O67" s="13" t="str">
        <f t="shared" si="9"/>
        <v>BLANCO</v>
      </c>
      <c r="P67" s="14">
        <v>0.2</v>
      </c>
      <c r="Q67" s="15">
        <v>0.3</v>
      </c>
      <c r="R67" s="16" t="str">
        <f t="shared" si="11"/>
        <v>AMX</v>
      </c>
      <c r="S67" s="17"/>
      <c r="T67" s="10" t="str">
        <f t="shared" si="10"/>
        <v>6x3 SWITCH DE AUDIO Y VIDEO TODO EN UNO, CON ENTRADAS HDMI.</v>
      </c>
    </row>
    <row r="68" spans="1:20" ht="27" customHeight="1" x14ac:dyDescent="0.25">
      <c r="A68" s="8" t="s">
        <v>183</v>
      </c>
      <c r="B68" s="9" t="s">
        <v>183</v>
      </c>
      <c r="C68" s="9"/>
      <c r="D68" s="8" t="s">
        <v>211</v>
      </c>
      <c r="E68" s="8">
        <v>8</v>
      </c>
      <c r="F68" s="8" t="s">
        <v>22</v>
      </c>
      <c r="G68" s="10" t="s">
        <v>230</v>
      </c>
      <c r="H68" s="8" t="s">
        <v>231</v>
      </c>
      <c r="I68" s="10" t="s">
        <v>232</v>
      </c>
      <c r="J68" s="11" t="s">
        <v>26</v>
      </c>
      <c r="K68" s="18">
        <v>4475</v>
      </c>
      <c r="L68" s="12">
        <f t="shared" si="8"/>
        <v>7671.4285714285716</v>
      </c>
      <c r="M68" s="8">
        <v>1</v>
      </c>
      <c r="N68" s="8" t="s">
        <v>27</v>
      </c>
      <c r="O68" s="13" t="str">
        <f t="shared" si="9"/>
        <v>BLANCO</v>
      </c>
      <c r="P68" s="14">
        <v>0.2</v>
      </c>
      <c r="Q68" s="15">
        <v>0.3</v>
      </c>
      <c r="R68" s="16" t="str">
        <f t="shared" si="11"/>
        <v>AMX</v>
      </c>
      <c r="S68" s="17"/>
      <c r="T68" s="10" t="str">
        <f t="shared" si="10"/>
        <v>6x3 SWITCH DE AUDIO Y VIDEO TODO EN UNO, CON ENTRADAS MULTI FORMATO.</v>
      </c>
    </row>
    <row r="69" spans="1:20" ht="27" customHeight="1" x14ac:dyDescent="0.25">
      <c r="A69" s="8" t="s">
        <v>183</v>
      </c>
      <c r="B69" s="9" t="s">
        <v>183</v>
      </c>
      <c r="C69" s="9"/>
      <c r="D69" s="8" t="s">
        <v>211</v>
      </c>
      <c r="E69" s="8">
        <v>9</v>
      </c>
      <c r="F69" s="8" t="s">
        <v>22</v>
      </c>
      <c r="G69" s="10" t="s">
        <v>233</v>
      </c>
      <c r="H69" s="8" t="s">
        <v>234</v>
      </c>
      <c r="I69" s="10" t="s">
        <v>235</v>
      </c>
      <c r="J69" s="11" t="s">
        <v>26</v>
      </c>
      <c r="K69" s="18">
        <v>4925</v>
      </c>
      <c r="L69" s="12">
        <f t="shared" si="8"/>
        <v>8442.8571428571431</v>
      </c>
      <c r="M69" s="8">
        <v>1</v>
      </c>
      <c r="N69" s="8" t="s">
        <v>27</v>
      </c>
      <c r="O69" s="13" t="str">
        <f t="shared" si="9"/>
        <v>BLANCO</v>
      </c>
      <c r="P69" s="14">
        <v>0.2</v>
      </c>
      <c r="Q69" s="15">
        <v>0.3</v>
      </c>
      <c r="R69" s="16" t="str">
        <f t="shared" si="11"/>
        <v>AMX</v>
      </c>
      <c r="S69" s="17"/>
      <c r="T69" s="10" t="str">
        <f t="shared" si="10"/>
        <v>6x3 SWITCH DE AUDIO Y VIDEO TODO EN UNO MULTIFORMATO CON ENTRADAS HDMI.</v>
      </c>
    </row>
    <row r="70" spans="1:20" ht="27" customHeight="1" x14ac:dyDescent="0.25">
      <c r="A70" s="8" t="s">
        <v>183</v>
      </c>
      <c r="B70" s="9" t="s">
        <v>183</v>
      </c>
      <c r="C70" s="9"/>
      <c r="D70" s="8" t="s">
        <v>211</v>
      </c>
      <c r="E70" s="8">
        <v>10</v>
      </c>
      <c r="F70" s="8" t="s">
        <v>22</v>
      </c>
      <c r="G70" s="10" t="s">
        <v>236</v>
      </c>
      <c r="H70" s="8" t="s">
        <v>237</v>
      </c>
      <c r="I70" s="10" t="s">
        <v>238</v>
      </c>
      <c r="J70" s="11" t="s">
        <v>26</v>
      </c>
      <c r="K70" s="18">
        <v>4975</v>
      </c>
      <c r="L70" s="12">
        <f t="shared" si="8"/>
        <v>8528.5714285714294</v>
      </c>
      <c r="M70" s="8">
        <v>1</v>
      </c>
      <c r="N70" s="8" t="s">
        <v>27</v>
      </c>
      <c r="O70" s="13" t="str">
        <f t="shared" si="9"/>
        <v>BLANCO</v>
      </c>
      <c r="P70" s="14">
        <v>0.2</v>
      </c>
      <c r="Q70" s="15">
        <v>0.3</v>
      </c>
      <c r="R70" s="16" t="str">
        <f t="shared" si="11"/>
        <v>AMX</v>
      </c>
      <c r="S70" s="17"/>
      <c r="T70" s="10" t="str">
        <f t="shared" si="10"/>
        <v>6x3 SWITCH DE PRESENTACIÓN TODO EN UNO, CON ENTRADAS Y SALIDAS MULTIFORMATO.</v>
      </c>
    </row>
    <row r="71" spans="1:20" ht="27" customHeight="1" x14ac:dyDescent="0.25">
      <c r="A71" s="8" t="s">
        <v>183</v>
      </c>
      <c r="B71" s="9" t="s">
        <v>183</v>
      </c>
      <c r="C71" s="9"/>
      <c r="D71" s="8" t="s">
        <v>211</v>
      </c>
      <c r="E71" s="8">
        <v>11</v>
      </c>
      <c r="F71" s="8" t="s">
        <v>22</v>
      </c>
      <c r="G71" s="10" t="s">
        <v>239</v>
      </c>
      <c r="H71" s="8" t="s">
        <v>240</v>
      </c>
      <c r="I71" s="10" t="s">
        <v>241</v>
      </c>
      <c r="J71" s="11" t="s">
        <v>26</v>
      </c>
      <c r="K71" s="18">
        <v>3500</v>
      </c>
      <c r="L71" s="12">
        <f t="shared" si="8"/>
        <v>6000</v>
      </c>
      <c r="M71" s="8">
        <v>1</v>
      </c>
      <c r="N71" s="8" t="s">
        <v>27</v>
      </c>
      <c r="O71" s="13" t="str">
        <f t="shared" si="9"/>
        <v>BLANCO</v>
      </c>
      <c r="P71" s="14">
        <v>0.2</v>
      </c>
      <c r="Q71" s="15">
        <v>0.3</v>
      </c>
      <c r="R71" s="16" t="str">
        <f t="shared" si="11"/>
        <v>AMX</v>
      </c>
      <c r="S71" s="17"/>
      <c r="T71" s="10" t="str">
        <f t="shared" si="10"/>
        <v>SWITCH TODO EN UNO CON 2 SALIDAS DVI MULTIFORMATO, AMPLIFICADOR DE 2X25 VATIOS.</v>
      </c>
    </row>
    <row r="72" spans="1:20" ht="27" customHeight="1" x14ac:dyDescent="0.25">
      <c r="A72" s="8" t="s">
        <v>183</v>
      </c>
      <c r="B72" s="9" t="s">
        <v>183</v>
      </c>
      <c r="C72" s="9"/>
      <c r="D72" s="8" t="s">
        <v>211</v>
      </c>
      <c r="E72" s="8">
        <v>12</v>
      </c>
      <c r="F72" s="8" t="s">
        <v>22</v>
      </c>
      <c r="G72" s="10" t="s">
        <v>242</v>
      </c>
      <c r="H72" s="8" t="s">
        <v>243</v>
      </c>
      <c r="I72" s="10" t="s">
        <v>244</v>
      </c>
      <c r="J72" s="11" t="s">
        <v>26</v>
      </c>
      <c r="K72" s="18">
        <v>3550</v>
      </c>
      <c r="L72" s="12">
        <f t="shared" si="8"/>
        <v>6085.7142857142862</v>
      </c>
      <c r="M72" s="8">
        <v>1</v>
      </c>
      <c r="N72" s="8" t="s">
        <v>27</v>
      </c>
      <c r="O72" s="13" t="str">
        <f t="shared" si="9"/>
        <v>BLANCO</v>
      </c>
      <c r="P72" s="14">
        <v>0.2</v>
      </c>
      <c r="Q72" s="15">
        <v>0.3</v>
      </c>
      <c r="R72" s="16" t="str">
        <f t="shared" si="11"/>
        <v>AMX</v>
      </c>
      <c r="S72" s="17"/>
      <c r="T72" s="10" t="str">
        <f t="shared" si="10"/>
        <v>SWITCH TODO EN UNO CON 2 SALIDAS DVI MULTIFORMATO.</v>
      </c>
    </row>
    <row r="73" spans="1:20" ht="27" customHeight="1" x14ac:dyDescent="0.25">
      <c r="A73" s="8" t="s">
        <v>183</v>
      </c>
      <c r="B73" s="9" t="s">
        <v>183</v>
      </c>
      <c r="C73" s="9"/>
      <c r="D73" s="8" t="s">
        <v>211</v>
      </c>
      <c r="E73" s="8">
        <v>13</v>
      </c>
      <c r="F73" s="8" t="s">
        <v>22</v>
      </c>
      <c r="G73" s="10" t="s">
        <v>245</v>
      </c>
      <c r="H73" s="8" t="s">
        <v>246</v>
      </c>
      <c r="I73" s="10" t="s">
        <v>247</v>
      </c>
      <c r="J73" s="11" t="s">
        <v>26</v>
      </c>
      <c r="K73" s="18">
        <v>1250</v>
      </c>
      <c r="L73" s="12">
        <f t="shared" si="8"/>
        <v>2142.8571428571431</v>
      </c>
      <c r="M73" s="8">
        <v>1</v>
      </c>
      <c r="N73" s="8" t="s">
        <v>27</v>
      </c>
      <c r="O73" s="13" t="str">
        <f t="shared" si="9"/>
        <v>BLANCO</v>
      </c>
      <c r="P73" s="14">
        <v>0.2</v>
      </c>
      <c r="Q73" s="15">
        <v>0.3</v>
      </c>
      <c r="R73" s="16" t="str">
        <f t="shared" si="11"/>
        <v>AMX</v>
      </c>
      <c r="S73" s="17"/>
      <c r="T73" s="10" t="str">
        <f t="shared" si="10"/>
        <v>TARJETA PARA MANEJO DE SEÑALES MULTIFORMATO DE SALIDA.</v>
      </c>
    </row>
    <row r="74" spans="1:20" ht="27" customHeight="1" x14ac:dyDescent="0.25">
      <c r="A74" s="8" t="s">
        <v>183</v>
      </c>
      <c r="B74" s="9" t="s">
        <v>183</v>
      </c>
      <c r="C74" s="9"/>
      <c r="D74" s="8" t="s">
        <v>211</v>
      </c>
      <c r="E74" s="8">
        <v>14</v>
      </c>
      <c r="F74" s="8" t="s">
        <v>22</v>
      </c>
      <c r="G74" s="10" t="s">
        <v>248</v>
      </c>
      <c r="H74" s="8" t="s">
        <v>249</v>
      </c>
      <c r="I74" s="10" t="s">
        <v>250</v>
      </c>
      <c r="J74" s="11" t="s">
        <v>26</v>
      </c>
      <c r="K74" s="18">
        <v>125</v>
      </c>
      <c r="L74" s="12">
        <f t="shared" si="8"/>
        <v>214.28571428571431</v>
      </c>
      <c r="M74" s="8">
        <v>1</v>
      </c>
      <c r="N74" s="8" t="s">
        <v>27</v>
      </c>
      <c r="O74" s="13" t="str">
        <f t="shared" si="9"/>
        <v>BLANCO</v>
      </c>
      <c r="P74" s="14">
        <v>0.2</v>
      </c>
      <c r="Q74" s="15">
        <v>0.3</v>
      </c>
      <c r="R74" s="16" t="str">
        <f t="shared" si="11"/>
        <v>AMX</v>
      </c>
      <c r="S74" s="17"/>
      <c r="T74" s="10" t="str">
        <f t="shared" si="10"/>
        <v>TARJETA PARA MANEJO DE SEÑALES MULTI FORMADO.</v>
      </c>
    </row>
    <row r="75" spans="1:20" ht="27" customHeight="1" x14ac:dyDescent="0.25">
      <c r="A75" s="8" t="s">
        <v>183</v>
      </c>
      <c r="B75" s="9" t="s">
        <v>183</v>
      </c>
      <c r="C75" s="9"/>
      <c r="D75" s="8" t="s">
        <v>211</v>
      </c>
      <c r="E75" s="8">
        <v>15</v>
      </c>
      <c r="F75" s="8" t="s">
        <v>22</v>
      </c>
      <c r="G75" s="10" t="s">
        <v>251</v>
      </c>
      <c r="H75" s="8" t="s">
        <v>252</v>
      </c>
      <c r="I75" s="10" t="s">
        <v>251</v>
      </c>
      <c r="J75" s="11" t="s">
        <v>26</v>
      </c>
      <c r="K75" s="18">
        <v>750</v>
      </c>
      <c r="L75" s="12">
        <f t="shared" si="8"/>
        <v>1285.7142857142858</v>
      </c>
      <c r="M75" s="8">
        <v>1</v>
      </c>
      <c r="N75" s="8" t="s">
        <v>27</v>
      </c>
      <c r="O75" s="13" t="str">
        <f t="shared" si="9"/>
        <v>BLANCO</v>
      </c>
      <c r="P75" s="14">
        <v>0.2</v>
      </c>
      <c r="Q75" s="15">
        <v>0.3</v>
      </c>
      <c r="R75" s="16" t="str">
        <f t="shared" si="11"/>
        <v>AMX</v>
      </c>
      <c r="S75" s="17"/>
      <c r="T75" s="10" t="str">
        <f t="shared" si="10"/>
        <v>TARJETA DE EXTRACCIÓN O INSERCIÓN DE SEÑALES DE AUDIO PARA TRANSMISIÓN DIGITAL.</v>
      </c>
    </row>
    <row r="76" spans="1:20" ht="27" customHeight="1" x14ac:dyDescent="0.25">
      <c r="A76" s="8" t="s">
        <v>183</v>
      </c>
      <c r="B76" s="9" t="s">
        <v>183</v>
      </c>
      <c r="C76" s="9"/>
      <c r="D76" s="8" t="s">
        <v>211</v>
      </c>
      <c r="E76" s="8">
        <v>16</v>
      </c>
      <c r="F76" s="8" t="s">
        <v>22</v>
      </c>
      <c r="G76" s="10" t="s">
        <v>253</v>
      </c>
      <c r="H76" s="8" t="s">
        <v>254</v>
      </c>
      <c r="I76" s="10" t="s">
        <v>255</v>
      </c>
      <c r="J76" s="11" t="s">
        <v>26</v>
      </c>
      <c r="K76" s="18">
        <v>6400</v>
      </c>
      <c r="L76" s="12">
        <f t="shared" si="8"/>
        <v>10971.428571428572</v>
      </c>
      <c r="M76" s="8">
        <v>1</v>
      </c>
      <c r="N76" s="8" t="s">
        <v>27</v>
      </c>
      <c r="O76" s="13" t="str">
        <f t="shared" si="9"/>
        <v>BLANCO</v>
      </c>
      <c r="P76" s="14">
        <v>0.2</v>
      </c>
      <c r="Q76" s="15">
        <v>0.3</v>
      </c>
      <c r="R76" s="16" t="str">
        <f t="shared" si="11"/>
        <v>AMX</v>
      </c>
      <c r="S76" s="17"/>
      <c r="T76" s="10" t="str">
        <f t="shared" si="10"/>
        <v>MATRIZ PROCESADORA Y MEZCLADORA DE AUDIO Y VIDEO DIGITAL.</v>
      </c>
    </row>
    <row r="77" spans="1:20" ht="27" customHeight="1" x14ac:dyDescent="0.25">
      <c r="A77" s="8" t="s">
        <v>183</v>
      </c>
      <c r="B77" s="9" t="s">
        <v>183</v>
      </c>
      <c r="C77" s="9"/>
      <c r="D77" s="8" t="s">
        <v>256</v>
      </c>
      <c r="E77" s="8">
        <v>1</v>
      </c>
      <c r="F77" s="8" t="s">
        <v>22</v>
      </c>
      <c r="G77" s="10" t="s">
        <v>257</v>
      </c>
      <c r="H77" s="8" t="s">
        <v>258</v>
      </c>
      <c r="I77" s="10" t="s">
        <v>259</v>
      </c>
      <c r="J77" s="11" t="s">
        <v>26</v>
      </c>
      <c r="K77" s="18">
        <v>211.65</v>
      </c>
      <c r="L77" s="12">
        <f t="shared" si="8"/>
        <v>362.82857142857142</v>
      </c>
      <c r="M77" s="8">
        <v>1</v>
      </c>
      <c r="N77" s="8" t="s">
        <v>27</v>
      </c>
      <c r="O77" s="13" t="str">
        <f t="shared" si="9"/>
        <v>BLANCO</v>
      </c>
      <c r="P77" s="14">
        <v>0.2</v>
      </c>
      <c r="Q77" s="15">
        <v>0.3</v>
      </c>
      <c r="R77" s="16" t="str">
        <f t="shared" si="11"/>
        <v>AMX</v>
      </c>
      <c r="S77" s="17"/>
      <c r="T77" s="10" t="str">
        <f t="shared" si="10"/>
        <v>LICENCIA PARA CONFIGURACIÓN DE TELÉFONO CON SISTEMA OPERATIVO ANDROID.</v>
      </c>
    </row>
    <row r="78" spans="1:20" ht="27" customHeight="1" x14ac:dyDescent="0.25">
      <c r="A78" s="8" t="s">
        <v>183</v>
      </c>
      <c r="B78" s="9" t="s">
        <v>183</v>
      </c>
      <c r="C78" s="9"/>
      <c r="D78" s="8" t="s">
        <v>256</v>
      </c>
      <c r="E78" s="8">
        <v>2</v>
      </c>
      <c r="F78" s="8" t="s">
        <v>22</v>
      </c>
      <c r="G78" s="10" t="s">
        <v>260</v>
      </c>
      <c r="H78" s="8" t="s">
        <v>261</v>
      </c>
      <c r="I78" s="10" t="s">
        <v>262</v>
      </c>
      <c r="J78" s="11" t="s">
        <v>26</v>
      </c>
      <c r="K78" s="18">
        <v>636.65</v>
      </c>
      <c r="L78" s="12">
        <f t="shared" si="8"/>
        <v>1091.3999999999999</v>
      </c>
      <c r="M78" s="8">
        <v>1</v>
      </c>
      <c r="N78" s="8" t="s">
        <v>27</v>
      </c>
      <c r="O78" s="13" t="str">
        <f t="shared" si="9"/>
        <v>BLANCO</v>
      </c>
      <c r="P78" s="14">
        <v>0.2</v>
      </c>
      <c r="Q78" s="15">
        <v>0.3</v>
      </c>
      <c r="R78" s="16" t="str">
        <f t="shared" si="11"/>
        <v>AMX</v>
      </c>
      <c r="S78" s="17"/>
      <c r="T78" s="10" t="str">
        <f t="shared" si="10"/>
        <v>LICENCIA PARA CONFIGURACIÓN DE TABLET CON SISTEMA OPERATIVO ANDROID.</v>
      </c>
    </row>
    <row r="79" spans="1:20" ht="27" customHeight="1" x14ac:dyDescent="0.25">
      <c r="A79" s="8" t="s">
        <v>183</v>
      </c>
      <c r="B79" s="9" t="s">
        <v>183</v>
      </c>
      <c r="C79" s="9"/>
      <c r="D79" s="8" t="s">
        <v>256</v>
      </c>
      <c r="E79" s="8">
        <v>3</v>
      </c>
      <c r="F79" s="8" t="s">
        <v>22</v>
      </c>
      <c r="G79" s="10" t="s">
        <v>263</v>
      </c>
      <c r="H79" s="8" t="s">
        <v>264</v>
      </c>
      <c r="I79" s="10" t="s">
        <v>263</v>
      </c>
      <c r="J79" s="11" t="s">
        <v>26</v>
      </c>
      <c r="K79" s="18">
        <v>636.65</v>
      </c>
      <c r="L79" s="12">
        <f t="shared" si="8"/>
        <v>1091.3999999999999</v>
      </c>
      <c r="M79" s="8">
        <v>1</v>
      </c>
      <c r="N79" s="8" t="s">
        <v>27</v>
      </c>
      <c r="O79" s="13" t="str">
        <f t="shared" si="9"/>
        <v>BLANCO</v>
      </c>
      <c r="P79" s="14">
        <v>0.2</v>
      </c>
      <c r="Q79" s="15">
        <v>0.3</v>
      </c>
      <c r="R79" s="16" t="str">
        <f t="shared" si="11"/>
        <v>AMX</v>
      </c>
      <c r="S79" s="17"/>
      <c r="T79" s="10" t="str">
        <f t="shared" si="10"/>
        <v>LICENCIA PARA CONFIGURACIÓN DE IPAD COMO PANTALLA DE AMX.</v>
      </c>
    </row>
    <row r="80" spans="1:20" ht="27" customHeight="1" x14ac:dyDescent="0.25">
      <c r="A80" s="8" t="s">
        <v>183</v>
      </c>
      <c r="B80" s="9" t="s">
        <v>183</v>
      </c>
      <c r="C80" s="9"/>
      <c r="D80" s="8" t="s">
        <v>256</v>
      </c>
      <c r="E80" s="8">
        <v>4</v>
      </c>
      <c r="F80" s="8" t="s">
        <v>22</v>
      </c>
      <c r="G80" s="10" t="s">
        <v>265</v>
      </c>
      <c r="H80" s="8" t="s">
        <v>266</v>
      </c>
      <c r="I80" s="10" t="s">
        <v>267</v>
      </c>
      <c r="J80" s="11" t="s">
        <v>26</v>
      </c>
      <c r="K80" s="18">
        <v>211.65</v>
      </c>
      <c r="L80" s="12">
        <f t="shared" si="8"/>
        <v>362.82857142857142</v>
      </c>
      <c r="M80" s="8">
        <v>1</v>
      </c>
      <c r="N80" s="8" t="s">
        <v>27</v>
      </c>
      <c r="O80" s="13" t="str">
        <f t="shared" si="9"/>
        <v>BLANCO</v>
      </c>
      <c r="P80" s="14">
        <v>0.2</v>
      </c>
      <c r="Q80" s="15">
        <v>0.3</v>
      </c>
      <c r="R80" s="16" t="str">
        <f t="shared" si="11"/>
        <v>AMX</v>
      </c>
      <c r="S80" s="17"/>
      <c r="T80" s="10" t="str">
        <f t="shared" si="10"/>
        <v>LICENCIA PARA CONFIGURACIÓN DE TELÉFONO MÓVIL CON SISTEMA OPERATIVO IOS.</v>
      </c>
    </row>
    <row r="81" spans="1:20" ht="27" customHeight="1" x14ac:dyDescent="0.25">
      <c r="A81" s="8" t="s">
        <v>183</v>
      </c>
      <c r="B81" s="9" t="s">
        <v>183</v>
      </c>
      <c r="C81" s="9"/>
      <c r="D81" s="8" t="s">
        <v>268</v>
      </c>
      <c r="E81" s="8">
        <v>1</v>
      </c>
      <c r="F81" s="8" t="s">
        <v>22</v>
      </c>
      <c r="G81" s="10" t="s">
        <v>269</v>
      </c>
      <c r="H81" s="8" t="s">
        <v>270</v>
      </c>
      <c r="I81" s="10" t="s">
        <v>271</v>
      </c>
      <c r="J81" s="11" t="s">
        <v>26</v>
      </c>
      <c r="K81" s="18">
        <v>6450</v>
      </c>
      <c r="L81" s="12">
        <f t="shared" si="8"/>
        <v>11057.142857142859</v>
      </c>
      <c r="M81" s="8">
        <v>1</v>
      </c>
      <c r="N81" s="8" t="s">
        <v>27</v>
      </c>
      <c r="O81" s="13" t="str">
        <f t="shared" si="9"/>
        <v>BLANCO</v>
      </c>
      <c r="P81" s="14">
        <v>0.2</v>
      </c>
      <c r="Q81" s="15">
        <v>0.3</v>
      </c>
      <c r="R81" s="16" t="str">
        <f t="shared" si="11"/>
        <v>AMX</v>
      </c>
      <c r="S81" s="17"/>
      <c r="T81" s="10" t="str">
        <f t="shared" si="10"/>
        <v>20.3" PANTALLA TÁCTIL PANORÁMICA DE LA SERIE G5, PROCESADOR DE 4 NÚCLEOS.</v>
      </c>
    </row>
    <row r="82" spans="1:20" ht="27" customHeight="1" x14ac:dyDescent="0.25">
      <c r="A82" s="8" t="s">
        <v>183</v>
      </c>
      <c r="B82" s="9" t="s">
        <v>183</v>
      </c>
      <c r="C82" s="9"/>
      <c r="D82" s="8" t="s">
        <v>268</v>
      </c>
      <c r="E82" s="8">
        <v>2</v>
      </c>
      <c r="F82" s="8" t="s">
        <v>22</v>
      </c>
      <c r="G82" s="10" t="s">
        <v>269</v>
      </c>
      <c r="H82" s="8" t="s">
        <v>272</v>
      </c>
      <c r="I82" s="10" t="s">
        <v>273</v>
      </c>
      <c r="J82" s="11" t="s">
        <v>26</v>
      </c>
      <c r="K82" s="18">
        <v>6450</v>
      </c>
      <c r="L82" s="12">
        <f t="shared" si="8"/>
        <v>11057.142857142859</v>
      </c>
      <c r="M82" s="8">
        <v>1</v>
      </c>
      <c r="N82" s="8" t="s">
        <v>27</v>
      </c>
      <c r="O82" s="13" t="str">
        <f t="shared" si="9"/>
        <v>BLANCO</v>
      </c>
      <c r="P82" s="14">
        <v>0.2</v>
      </c>
      <c r="Q82" s="15">
        <v>0.3</v>
      </c>
      <c r="R82" s="16" t="str">
        <f t="shared" si="11"/>
        <v>AMX</v>
      </c>
      <c r="S82" s="17"/>
      <c r="T82" s="10" t="str">
        <f t="shared" si="10"/>
        <v>20.3" PANTALLA TÁCTIL PANORÁMICA DE LA SERIE G5, PROCESADOR DE 4 NÚCLEOS.</v>
      </c>
    </row>
    <row r="83" spans="1:20" ht="27" customHeight="1" x14ac:dyDescent="0.25">
      <c r="A83" s="8" t="s">
        <v>183</v>
      </c>
      <c r="B83" s="9" t="s">
        <v>183</v>
      </c>
      <c r="C83" s="9"/>
      <c r="D83" s="8" t="s">
        <v>268</v>
      </c>
      <c r="E83" s="8">
        <v>3</v>
      </c>
      <c r="F83" s="8" t="s">
        <v>22</v>
      </c>
      <c r="G83" s="10" t="s">
        <v>274</v>
      </c>
      <c r="H83" s="8" t="s">
        <v>275</v>
      </c>
      <c r="I83" s="10" t="s">
        <v>271</v>
      </c>
      <c r="J83" s="11" t="s">
        <v>26</v>
      </c>
      <c r="K83" s="18">
        <v>6450</v>
      </c>
      <c r="L83" s="12">
        <f t="shared" si="8"/>
        <v>11057.142857142859</v>
      </c>
      <c r="M83" s="8">
        <v>1</v>
      </c>
      <c r="N83" s="8" t="s">
        <v>27</v>
      </c>
      <c r="O83" s="13" t="str">
        <f t="shared" si="9"/>
        <v>BLANCO</v>
      </c>
      <c r="P83" s="14">
        <v>0.2</v>
      </c>
      <c r="Q83" s="15">
        <v>0.3</v>
      </c>
      <c r="R83" s="16" t="str">
        <f t="shared" si="11"/>
        <v>AMX</v>
      </c>
      <c r="S83" s="17"/>
      <c r="T83" s="10" t="str">
        <f t="shared" si="10"/>
        <v>20.3" PANTALLA TÁCTIL PANORÁMICA DE LA SERIE G5.</v>
      </c>
    </row>
    <row r="84" spans="1:20" ht="27" customHeight="1" x14ac:dyDescent="0.25">
      <c r="A84" s="8" t="s">
        <v>183</v>
      </c>
      <c r="B84" s="9" t="s">
        <v>183</v>
      </c>
      <c r="C84" s="9"/>
      <c r="D84" s="8" t="s">
        <v>268</v>
      </c>
      <c r="E84" s="8">
        <v>4</v>
      </c>
      <c r="F84" s="8" t="s">
        <v>22</v>
      </c>
      <c r="G84" s="10" t="s">
        <v>276</v>
      </c>
      <c r="H84" s="8" t="s">
        <v>277</v>
      </c>
      <c r="I84" s="10" t="s">
        <v>278</v>
      </c>
      <c r="J84" s="11" t="s">
        <v>26</v>
      </c>
      <c r="K84" s="18">
        <v>4800</v>
      </c>
      <c r="L84" s="12">
        <f t="shared" ref="L84:L115" si="12">IF(J84="P",ROUNDUP(K84/(1-Q84),-2),K84*(1+P84)/(1-Q84))</f>
        <v>8228.5714285714294</v>
      </c>
      <c r="M84" s="8">
        <v>1</v>
      </c>
      <c r="N84" s="8" t="s">
        <v>27</v>
      </c>
      <c r="O84" s="13" t="str">
        <f t="shared" ref="O84:O115" si="13">F84</f>
        <v>BLANCO</v>
      </c>
      <c r="P84" s="14">
        <v>0.2</v>
      </c>
      <c r="Q84" s="15">
        <v>0.3</v>
      </c>
      <c r="R84" s="16" t="str">
        <f t="shared" si="11"/>
        <v>AMX</v>
      </c>
      <c r="S84" s="17"/>
      <c r="T84" s="10" t="str">
        <f t="shared" ref="T84:T115" si="14">G84</f>
        <v>19.4" PANTALLA TÁCTIL PANORÁMICA DE LA SERIE G5.</v>
      </c>
    </row>
    <row r="85" spans="1:20" ht="27" customHeight="1" x14ac:dyDescent="0.25">
      <c r="A85" s="8" t="s">
        <v>183</v>
      </c>
      <c r="B85" s="9" t="s">
        <v>183</v>
      </c>
      <c r="C85" s="9"/>
      <c r="D85" s="8" t="s">
        <v>268</v>
      </c>
      <c r="E85" s="8">
        <v>5</v>
      </c>
      <c r="F85" s="8" t="s">
        <v>22</v>
      </c>
      <c r="G85" s="10" t="s">
        <v>276</v>
      </c>
      <c r="H85" s="8" t="s">
        <v>279</v>
      </c>
      <c r="I85" s="10" t="s">
        <v>280</v>
      </c>
      <c r="J85" s="11" t="s">
        <v>26</v>
      </c>
      <c r="K85" s="18">
        <v>4800</v>
      </c>
      <c r="L85" s="12">
        <f t="shared" si="12"/>
        <v>8228.5714285714294</v>
      </c>
      <c r="M85" s="8">
        <v>1</v>
      </c>
      <c r="N85" s="8" t="s">
        <v>27</v>
      </c>
      <c r="O85" s="13" t="str">
        <f t="shared" si="13"/>
        <v>BLANCO</v>
      </c>
      <c r="P85" s="14">
        <v>0.2</v>
      </c>
      <c r="Q85" s="15">
        <v>0.3</v>
      </c>
      <c r="R85" s="16" t="str">
        <f t="shared" si="11"/>
        <v>AMX</v>
      </c>
      <c r="S85" s="17"/>
      <c r="T85" s="10" t="str">
        <f t="shared" si="14"/>
        <v>19.4" PANTALLA TÁCTIL PANORÁMICA DE LA SERIE G5.</v>
      </c>
    </row>
    <row r="86" spans="1:20" ht="27" customHeight="1" x14ac:dyDescent="0.25">
      <c r="A86" s="8" t="s">
        <v>183</v>
      </c>
      <c r="B86" s="9" t="s">
        <v>183</v>
      </c>
      <c r="C86" s="9"/>
      <c r="D86" s="8" t="s">
        <v>268</v>
      </c>
      <c r="E86" s="8">
        <v>6</v>
      </c>
      <c r="F86" s="8" t="s">
        <v>22</v>
      </c>
      <c r="G86" s="10" t="s">
        <v>276</v>
      </c>
      <c r="H86" s="8" t="s">
        <v>281</v>
      </c>
      <c r="I86" s="10" t="s">
        <v>278</v>
      </c>
      <c r="J86" s="11" t="s">
        <v>26</v>
      </c>
      <c r="K86" s="18">
        <v>4800</v>
      </c>
      <c r="L86" s="12">
        <f t="shared" si="12"/>
        <v>8228.5714285714294</v>
      </c>
      <c r="M86" s="8">
        <v>1</v>
      </c>
      <c r="N86" s="8" t="s">
        <v>27</v>
      </c>
      <c r="O86" s="13" t="str">
        <f t="shared" si="13"/>
        <v>BLANCO</v>
      </c>
      <c r="P86" s="14">
        <v>0.2</v>
      </c>
      <c r="Q86" s="15">
        <v>0.3</v>
      </c>
      <c r="R86" s="16" t="str">
        <f t="shared" si="11"/>
        <v>AMX</v>
      </c>
      <c r="S86" s="17"/>
      <c r="T86" s="10" t="str">
        <f t="shared" si="14"/>
        <v>19.4" PANTALLA TÁCTIL PANORÁMICA DE LA SERIE G5.</v>
      </c>
    </row>
    <row r="87" spans="1:20" ht="27" customHeight="1" x14ac:dyDescent="0.25">
      <c r="A87" s="8" t="s">
        <v>183</v>
      </c>
      <c r="B87" s="9" t="s">
        <v>183</v>
      </c>
      <c r="C87" s="9"/>
      <c r="D87" s="8" t="s">
        <v>268</v>
      </c>
      <c r="E87" s="8">
        <v>7</v>
      </c>
      <c r="F87" s="8" t="s">
        <v>22</v>
      </c>
      <c r="G87" s="10" t="s">
        <v>282</v>
      </c>
      <c r="H87" s="8" t="s">
        <v>283</v>
      </c>
      <c r="I87" s="10" t="s">
        <v>284</v>
      </c>
      <c r="J87" s="11" t="s">
        <v>26</v>
      </c>
      <c r="K87" s="18">
        <v>3240</v>
      </c>
      <c r="L87" s="12">
        <f t="shared" si="12"/>
        <v>5554.2857142857147</v>
      </c>
      <c r="M87" s="8">
        <v>1</v>
      </c>
      <c r="N87" s="8" t="s">
        <v>27</v>
      </c>
      <c r="O87" s="13" t="str">
        <f t="shared" si="13"/>
        <v>BLANCO</v>
      </c>
      <c r="P87" s="14">
        <v>0.2</v>
      </c>
      <c r="Q87" s="15">
        <v>0.3</v>
      </c>
      <c r="R87" s="16" t="str">
        <f t="shared" si="11"/>
        <v>AMX</v>
      </c>
      <c r="S87" s="17"/>
      <c r="T87" s="10" t="str">
        <f t="shared" si="14"/>
        <v>10.1" PANTALLA TÁCTIL PANORÁMICA DE LA SERIE G5.</v>
      </c>
    </row>
    <row r="88" spans="1:20" ht="27" customHeight="1" x14ac:dyDescent="0.25">
      <c r="A88" s="8" t="s">
        <v>183</v>
      </c>
      <c r="B88" s="9" t="s">
        <v>183</v>
      </c>
      <c r="C88" s="9"/>
      <c r="D88" s="8" t="s">
        <v>268</v>
      </c>
      <c r="E88" s="8">
        <v>8</v>
      </c>
      <c r="F88" s="8" t="s">
        <v>22</v>
      </c>
      <c r="G88" s="10" t="s">
        <v>285</v>
      </c>
      <c r="H88" s="8" t="s">
        <v>286</v>
      </c>
      <c r="I88" s="10" t="s">
        <v>287</v>
      </c>
      <c r="J88" s="11" t="s">
        <v>26</v>
      </c>
      <c r="K88" s="18">
        <v>3240</v>
      </c>
      <c r="L88" s="12">
        <f t="shared" si="12"/>
        <v>5554.2857142857147</v>
      </c>
      <c r="M88" s="8">
        <v>1</v>
      </c>
      <c r="N88" s="8" t="s">
        <v>27</v>
      </c>
      <c r="O88" s="13" t="str">
        <f t="shared" si="13"/>
        <v>BLANCO</v>
      </c>
      <c r="P88" s="14">
        <v>0.2</v>
      </c>
      <c r="Q88" s="15">
        <v>0.3</v>
      </c>
      <c r="R88" s="16" t="str">
        <f t="shared" si="11"/>
        <v>AMX</v>
      </c>
      <c r="S88" s="17"/>
      <c r="T88" s="10" t="str">
        <f t="shared" si="14"/>
        <v>10.1" PANTALLA TÁCTIL DE MONTAJE EN PARED.</v>
      </c>
    </row>
    <row r="89" spans="1:20" ht="27" customHeight="1" x14ac:dyDescent="0.25">
      <c r="A89" s="8" t="s">
        <v>183</v>
      </c>
      <c r="B89" s="9" t="s">
        <v>183</v>
      </c>
      <c r="C89" s="9"/>
      <c r="D89" s="8" t="s">
        <v>268</v>
      </c>
      <c r="E89" s="8">
        <v>9</v>
      </c>
      <c r="F89" s="8" t="s">
        <v>22</v>
      </c>
      <c r="G89" s="10" t="s">
        <v>285</v>
      </c>
      <c r="H89" s="8" t="s">
        <v>288</v>
      </c>
      <c r="I89" s="10" t="s">
        <v>289</v>
      </c>
      <c r="J89" s="11" t="s">
        <v>26</v>
      </c>
      <c r="K89" s="18">
        <v>3240</v>
      </c>
      <c r="L89" s="12">
        <f t="shared" si="12"/>
        <v>5554.2857142857147</v>
      </c>
      <c r="M89" s="8">
        <v>1</v>
      </c>
      <c r="N89" s="8" t="s">
        <v>27</v>
      </c>
      <c r="O89" s="13" t="str">
        <f t="shared" si="13"/>
        <v>BLANCO</v>
      </c>
      <c r="P89" s="14">
        <v>0.2</v>
      </c>
      <c r="Q89" s="15">
        <v>0.3</v>
      </c>
      <c r="R89" s="16" t="str">
        <f t="shared" si="11"/>
        <v>AMX</v>
      </c>
      <c r="S89" s="17"/>
      <c r="T89" s="10" t="str">
        <f t="shared" si="14"/>
        <v>10.1" PANTALLA TÁCTIL DE MONTAJE EN PARED.</v>
      </c>
    </row>
    <row r="90" spans="1:20" ht="27" customHeight="1" x14ac:dyDescent="0.25">
      <c r="A90" s="8" t="s">
        <v>183</v>
      </c>
      <c r="B90" s="9" t="s">
        <v>183</v>
      </c>
      <c r="C90" s="9"/>
      <c r="D90" s="8" t="s">
        <v>268</v>
      </c>
      <c r="E90" s="8">
        <v>10</v>
      </c>
      <c r="F90" s="8" t="s">
        <v>22</v>
      </c>
      <c r="G90" s="10" t="s">
        <v>290</v>
      </c>
      <c r="H90" s="8" t="s">
        <v>291</v>
      </c>
      <c r="I90" s="10" t="s">
        <v>292</v>
      </c>
      <c r="J90" s="11" t="s">
        <v>26</v>
      </c>
      <c r="K90" s="18">
        <v>2190</v>
      </c>
      <c r="L90" s="12">
        <f t="shared" si="12"/>
        <v>3754.2857142857147</v>
      </c>
      <c r="M90" s="8">
        <v>1</v>
      </c>
      <c r="N90" s="8" t="s">
        <v>27</v>
      </c>
      <c r="O90" s="13" t="str">
        <f t="shared" si="13"/>
        <v>BLANCO</v>
      </c>
      <c r="P90" s="14">
        <v>0.2</v>
      </c>
      <c r="Q90" s="15">
        <v>0.3</v>
      </c>
      <c r="R90" s="16" t="str">
        <f t="shared" si="11"/>
        <v>AMX</v>
      </c>
      <c r="S90" s="17"/>
      <c r="T90" s="10" t="str">
        <f t="shared" si="14"/>
        <v>7" PANTALLA TÁCTIL DE SOBREPONER EN MESA.</v>
      </c>
    </row>
    <row r="91" spans="1:20" ht="27" customHeight="1" x14ac:dyDescent="0.25">
      <c r="A91" s="8" t="s">
        <v>183</v>
      </c>
      <c r="B91" s="9" t="s">
        <v>183</v>
      </c>
      <c r="C91" s="9"/>
      <c r="D91" s="8" t="s">
        <v>268</v>
      </c>
      <c r="E91" s="8">
        <v>11</v>
      </c>
      <c r="F91" s="8" t="s">
        <v>22</v>
      </c>
      <c r="G91" s="10" t="s">
        <v>293</v>
      </c>
      <c r="H91" s="8" t="s">
        <v>294</v>
      </c>
      <c r="I91" s="10" t="s">
        <v>295</v>
      </c>
      <c r="J91" s="11" t="s">
        <v>26</v>
      </c>
      <c r="K91" s="18">
        <v>2190</v>
      </c>
      <c r="L91" s="12">
        <f t="shared" si="12"/>
        <v>3754.2857142857147</v>
      </c>
      <c r="M91" s="8">
        <v>1</v>
      </c>
      <c r="N91" s="8" t="s">
        <v>27</v>
      </c>
      <c r="O91" s="13" t="str">
        <f t="shared" si="13"/>
        <v>BLANCO</v>
      </c>
      <c r="P91" s="14">
        <v>0.2</v>
      </c>
      <c r="Q91" s="15">
        <v>0.3</v>
      </c>
      <c r="R91" s="16" t="str">
        <f t="shared" si="11"/>
        <v>AMX</v>
      </c>
      <c r="S91" s="17"/>
      <c r="T91" s="10" t="str">
        <f t="shared" si="14"/>
        <v>7" PANTALLA DE PARED DE LA SERIE MODERO X.</v>
      </c>
    </row>
    <row r="92" spans="1:20" ht="27" customHeight="1" x14ac:dyDescent="0.25">
      <c r="A92" s="8" t="s">
        <v>183</v>
      </c>
      <c r="B92" s="9" t="s">
        <v>183</v>
      </c>
      <c r="C92" s="9"/>
      <c r="D92" s="8" t="s">
        <v>268</v>
      </c>
      <c r="E92" s="8">
        <v>12</v>
      </c>
      <c r="F92" s="8" t="s">
        <v>22</v>
      </c>
      <c r="G92" s="10" t="s">
        <v>293</v>
      </c>
      <c r="H92" s="8" t="s">
        <v>296</v>
      </c>
      <c r="I92" s="10" t="s">
        <v>297</v>
      </c>
      <c r="J92" s="11" t="s">
        <v>26</v>
      </c>
      <c r="K92" s="18">
        <v>2190</v>
      </c>
      <c r="L92" s="12">
        <f t="shared" si="12"/>
        <v>3754.2857142857147</v>
      </c>
      <c r="M92" s="8">
        <v>1</v>
      </c>
      <c r="N92" s="8" t="s">
        <v>27</v>
      </c>
      <c r="O92" s="13" t="str">
        <f t="shared" si="13"/>
        <v>BLANCO</v>
      </c>
      <c r="P92" s="14">
        <v>0.2</v>
      </c>
      <c r="Q92" s="15">
        <v>0.3</v>
      </c>
      <c r="R92" s="16" t="str">
        <f t="shared" si="11"/>
        <v>AMX</v>
      </c>
      <c r="S92" s="17"/>
      <c r="T92" s="10" t="str">
        <f t="shared" si="14"/>
        <v>7" PANTALLA DE PARED DE LA SERIE MODERO X.</v>
      </c>
    </row>
    <row r="93" spans="1:20" ht="27" customHeight="1" x14ac:dyDescent="0.25">
      <c r="A93" s="8" t="s">
        <v>183</v>
      </c>
      <c r="B93" s="9" t="s">
        <v>183</v>
      </c>
      <c r="C93" s="9"/>
      <c r="D93" s="8" t="s">
        <v>268</v>
      </c>
      <c r="E93" s="8">
        <v>13</v>
      </c>
      <c r="F93" s="8" t="s">
        <v>22</v>
      </c>
      <c r="G93" s="10" t="s">
        <v>298</v>
      </c>
      <c r="H93" s="8" t="s">
        <v>299</v>
      </c>
      <c r="I93" s="10" t="s">
        <v>300</v>
      </c>
      <c r="J93" s="11" t="s">
        <v>26</v>
      </c>
      <c r="K93" s="18">
        <v>6450</v>
      </c>
      <c r="L93" s="12">
        <f t="shared" si="12"/>
        <v>11057.142857142859</v>
      </c>
      <c r="M93" s="8">
        <v>1</v>
      </c>
      <c r="N93" s="8" t="s">
        <v>27</v>
      </c>
      <c r="O93" s="13" t="str">
        <f t="shared" si="13"/>
        <v>BLANCO</v>
      </c>
      <c r="P93" s="14">
        <v>0.2</v>
      </c>
      <c r="Q93" s="15">
        <v>0.3</v>
      </c>
      <c r="R93" s="16" t="str">
        <f t="shared" si="11"/>
        <v>AMX</v>
      </c>
      <c r="S93" s="17"/>
      <c r="T93" s="10" t="str">
        <f t="shared" si="14"/>
        <v>20.3" PANTALLA TÁCTIL DE SOBRE PONER.</v>
      </c>
    </row>
    <row r="94" spans="1:20" ht="27" customHeight="1" x14ac:dyDescent="0.25">
      <c r="A94" s="8" t="s">
        <v>183</v>
      </c>
      <c r="B94" s="9" t="s">
        <v>183</v>
      </c>
      <c r="C94" s="9"/>
      <c r="D94" s="8" t="s">
        <v>268</v>
      </c>
      <c r="E94" s="8">
        <v>14</v>
      </c>
      <c r="F94" s="8" t="s">
        <v>22</v>
      </c>
      <c r="G94" s="10" t="s">
        <v>301</v>
      </c>
      <c r="H94" s="8" t="s">
        <v>302</v>
      </c>
      <c r="I94" s="10" t="s">
        <v>303</v>
      </c>
      <c r="J94" s="11" t="s">
        <v>26</v>
      </c>
      <c r="K94" s="18">
        <v>6450</v>
      </c>
      <c r="L94" s="12">
        <f t="shared" si="12"/>
        <v>11057.142857142859</v>
      </c>
      <c r="M94" s="8">
        <v>1</v>
      </c>
      <c r="N94" s="8" t="s">
        <v>27</v>
      </c>
      <c r="O94" s="13" t="str">
        <f t="shared" si="13"/>
        <v>BLANCO</v>
      </c>
      <c r="P94" s="14">
        <v>0.2</v>
      </c>
      <c r="Q94" s="15">
        <v>0.3</v>
      </c>
      <c r="R94" s="16" t="str">
        <f t="shared" si="11"/>
        <v>AMX</v>
      </c>
      <c r="S94" s="17"/>
      <c r="T94" s="10" t="str">
        <f t="shared" si="14"/>
        <v>20.3" PANTALLA TÁCTIL DE PARED DE LA SERIE MODERO X.</v>
      </c>
    </row>
    <row r="95" spans="1:20" ht="27" customHeight="1" x14ac:dyDescent="0.25">
      <c r="A95" s="8" t="s">
        <v>183</v>
      </c>
      <c r="B95" s="9" t="s">
        <v>183</v>
      </c>
      <c r="C95" s="9"/>
      <c r="D95" s="8" t="s">
        <v>268</v>
      </c>
      <c r="E95" s="8">
        <v>15</v>
      </c>
      <c r="F95" s="8" t="s">
        <v>22</v>
      </c>
      <c r="G95" s="10" t="s">
        <v>304</v>
      </c>
      <c r="H95" s="8" t="s">
        <v>305</v>
      </c>
      <c r="I95" s="10" t="s">
        <v>306</v>
      </c>
      <c r="J95" s="11" t="s">
        <v>26</v>
      </c>
      <c r="K95" s="18">
        <v>6450</v>
      </c>
      <c r="L95" s="12">
        <f t="shared" si="12"/>
        <v>11057.142857142859</v>
      </c>
      <c r="M95" s="8">
        <v>1</v>
      </c>
      <c r="N95" s="8" t="s">
        <v>27</v>
      </c>
      <c r="O95" s="13" t="str">
        <f t="shared" si="13"/>
        <v>BLANCO</v>
      </c>
      <c r="P95" s="14">
        <v>0.2</v>
      </c>
      <c r="Q95" s="15">
        <v>0.3</v>
      </c>
      <c r="R95" s="16" t="str">
        <f t="shared" si="11"/>
        <v>AMX</v>
      </c>
      <c r="S95" s="17"/>
      <c r="T95" s="10" t="str">
        <f t="shared" si="14"/>
        <v>20.3" PANTALLA TÁCTIL DE LA SERIE MODERO X.</v>
      </c>
    </row>
    <row r="96" spans="1:20" ht="27" customHeight="1" x14ac:dyDescent="0.25">
      <c r="A96" s="8" t="s">
        <v>183</v>
      </c>
      <c r="B96" s="9" t="s">
        <v>183</v>
      </c>
      <c r="C96" s="9"/>
      <c r="D96" s="8" t="s">
        <v>268</v>
      </c>
      <c r="E96" s="8">
        <v>16</v>
      </c>
      <c r="F96" s="8" t="s">
        <v>22</v>
      </c>
      <c r="G96" s="10" t="s">
        <v>307</v>
      </c>
      <c r="H96" s="8" t="s">
        <v>308</v>
      </c>
      <c r="I96" s="10" t="s">
        <v>309</v>
      </c>
      <c r="J96" s="11" t="s">
        <v>26</v>
      </c>
      <c r="K96" s="18">
        <v>4800</v>
      </c>
      <c r="L96" s="12">
        <f t="shared" si="12"/>
        <v>8228.5714285714294</v>
      </c>
      <c r="M96" s="8">
        <v>1</v>
      </c>
      <c r="N96" s="8" t="s">
        <v>27</v>
      </c>
      <c r="O96" s="13" t="str">
        <f t="shared" si="13"/>
        <v>BLANCO</v>
      </c>
      <c r="P96" s="14">
        <v>0.2</v>
      </c>
      <c r="Q96" s="15">
        <v>0.3</v>
      </c>
      <c r="R96" s="16" t="str">
        <f t="shared" si="11"/>
        <v>AMX</v>
      </c>
      <c r="S96" s="17"/>
      <c r="T96" s="10" t="str">
        <f t="shared" si="14"/>
        <v>19.4" PANTALLA TÁCTIL DE SOBRE PONER.</v>
      </c>
    </row>
    <row r="97" spans="1:28" ht="27" customHeight="1" x14ac:dyDescent="0.25">
      <c r="A97" s="8" t="s">
        <v>183</v>
      </c>
      <c r="B97" s="9" t="s">
        <v>183</v>
      </c>
      <c r="C97" s="9"/>
      <c r="D97" s="8" t="s">
        <v>268</v>
      </c>
      <c r="E97" s="8">
        <v>17</v>
      </c>
      <c r="F97" s="8" t="s">
        <v>22</v>
      </c>
      <c r="G97" s="10" t="s">
        <v>310</v>
      </c>
      <c r="H97" s="8" t="s">
        <v>311</v>
      </c>
      <c r="I97" s="10" t="s">
        <v>312</v>
      </c>
      <c r="J97" s="11" t="s">
        <v>26</v>
      </c>
      <c r="K97" s="18">
        <v>4800</v>
      </c>
      <c r="L97" s="12">
        <f t="shared" si="12"/>
        <v>8228.5714285714294</v>
      </c>
      <c r="M97" s="8">
        <v>1</v>
      </c>
      <c r="N97" s="8" t="s">
        <v>27</v>
      </c>
      <c r="O97" s="13" t="str">
        <f t="shared" si="13"/>
        <v>BLANCO</v>
      </c>
      <c r="P97" s="14">
        <v>0.2</v>
      </c>
      <c r="Q97" s="15">
        <v>0.3</v>
      </c>
      <c r="R97" s="16" t="str">
        <f t="shared" si="11"/>
        <v>AMX</v>
      </c>
      <c r="S97" s="17"/>
      <c r="T97" s="10" t="str">
        <f t="shared" si="14"/>
        <v>19.4" PANTALLA TÁCTIL DE PARED DE LA SERIE MODERO X.</v>
      </c>
    </row>
    <row r="98" spans="1:28" ht="27" customHeight="1" x14ac:dyDescent="0.25">
      <c r="A98" s="8" t="s">
        <v>183</v>
      </c>
      <c r="B98" s="9" t="s">
        <v>183</v>
      </c>
      <c r="C98" s="9"/>
      <c r="D98" s="8" t="s">
        <v>268</v>
      </c>
      <c r="E98" s="8">
        <v>18</v>
      </c>
      <c r="F98" s="8" t="s">
        <v>22</v>
      </c>
      <c r="G98" s="10" t="s">
        <v>313</v>
      </c>
      <c r="H98" s="8" t="s">
        <v>314</v>
      </c>
      <c r="I98" s="10" t="s">
        <v>315</v>
      </c>
      <c r="J98" s="11" t="s">
        <v>26</v>
      </c>
      <c r="K98" s="18">
        <v>4800</v>
      </c>
      <c r="L98" s="12">
        <f t="shared" si="12"/>
        <v>8228.5714285714294</v>
      </c>
      <c r="M98" s="8">
        <v>1</v>
      </c>
      <c r="N98" s="8" t="s">
        <v>27</v>
      </c>
      <c r="O98" s="13" t="str">
        <f t="shared" si="13"/>
        <v>BLANCO</v>
      </c>
      <c r="P98" s="14">
        <v>0.2</v>
      </c>
      <c r="Q98" s="15">
        <v>0.3</v>
      </c>
      <c r="R98" s="16" t="str">
        <f t="shared" si="11"/>
        <v>AMX</v>
      </c>
      <c r="S98" s="17"/>
      <c r="T98" s="10" t="str">
        <f t="shared" si="14"/>
        <v>19.4" PANTALLA TÁCTIL DE LA SERIE MODERO X.</v>
      </c>
    </row>
    <row r="99" spans="1:28" ht="27" customHeight="1" x14ac:dyDescent="0.25">
      <c r="A99" s="8" t="s">
        <v>183</v>
      </c>
      <c r="B99" s="9" t="s">
        <v>183</v>
      </c>
      <c r="C99" s="9"/>
      <c r="D99" s="8" t="s">
        <v>268</v>
      </c>
      <c r="E99" s="8">
        <v>19</v>
      </c>
      <c r="F99" s="8" t="s">
        <v>22</v>
      </c>
      <c r="G99" s="10" t="s">
        <v>316</v>
      </c>
      <c r="H99" s="8" t="s">
        <v>317</v>
      </c>
      <c r="I99" s="10" t="s">
        <v>318</v>
      </c>
      <c r="J99" s="11" t="s">
        <v>26</v>
      </c>
      <c r="K99" s="18">
        <v>3240</v>
      </c>
      <c r="L99" s="12">
        <f t="shared" si="12"/>
        <v>5554.2857142857147</v>
      </c>
      <c r="M99" s="8">
        <v>1</v>
      </c>
      <c r="N99" s="8" t="s">
        <v>27</v>
      </c>
      <c r="O99" s="13" t="str">
        <f t="shared" si="13"/>
        <v>BLANCO</v>
      </c>
      <c r="P99" s="14">
        <v>0.2</v>
      </c>
      <c r="Q99" s="15">
        <v>0.3</v>
      </c>
      <c r="R99" s="16" t="str">
        <f t="shared" si="11"/>
        <v>AMX</v>
      </c>
      <c r="S99" s="17"/>
      <c r="T99" s="10" t="str">
        <f t="shared" si="14"/>
        <v>10.1" PANTALLA TÁCTIL DE SOBRE PONER DE LA SERIE MODERO X.</v>
      </c>
    </row>
    <row r="100" spans="1:28" ht="27" customHeight="1" x14ac:dyDescent="0.25">
      <c r="A100" s="8" t="s">
        <v>183</v>
      </c>
      <c r="B100" s="9" t="s">
        <v>183</v>
      </c>
      <c r="C100" s="9"/>
      <c r="D100" s="8" t="s">
        <v>268</v>
      </c>
      <c r="E100" s="8">
        <v>20</v>
      </c>
      <c r="F100" s="8" t="s">
        <v>22</v>
      </c>
      <c r="G100" s="10" t="s">
        <v>319</v>
      </c>
      <c r="H100" s="8" t="s">
        <v>320</v>
      </c>
      <c r="I100" s="10" t="s">
        <v>321</v>
      </c>
      <c r="J100" s="11" t="s">
        <v>26</v>
      </c>
      <c r="K100" s="18">
        <v>3240</v>
      </c>
      <c r="L100" s="12">
        <f t="shared" si="12"/>
        <v>5554.2857142857147</v>
      </c>
      <c r="M100" s="8">
        <v>1</v>
      </c>
      <c r="N100" s="8" t="s">
        <v>27</v>
      </c>
      <c r="O100" s="13" t="str">
        <f t="shared" si="13"/>
        <v>BLANCO</v>
      </c>
      <c r="P100" s="14">
        <v>0.2</v>
      </c>
      <c r="Q100" s="15">
        <v>0.3</v>
      </c>
      <c r="R100" s="16" t="str">
        <f t="shared" si="11"/>
        <v>AMX</v>
      </c>
      <c r="S100" s="17"/>
      <c r="T100" s="10" t="str">
        <f t="shared" si="14"/>
        <v>10.1" PANTALLA TÁCTIL DE PARED DE LA SERIE MODERO X.</v>
      </c>
    </row>
    <row r="101" spans="1:28" ht="27" customHeight="1" x14ac:dyDescent="0.25">
      <c r="A101" s="8" t="s">
        <v>183</v>
      </c>
      <c r="B101" s="9" t="s">
        <v>183</v>
      </c>
      <c r="C101" s="9"/>
      <c r="D101" s="8" t="s">
        <v>268</v>
      </c>
      <c r="E101" s="8">
        <v>21</v>
      </c>
      <c r="F101" s="8" t="s">
        <v>22</v>
      </c>
      <c r="G101" s="10" t="s">
        <v>319</v>
      </c>
      <c r="H101" s="8" t="s">
        <v>322</v>
      </c>
      <c r="I101" s="10" t="s">
        <v>323</v>
      </c>
      <c r="J101" s="11" t="s">
        <v>26</v>
      </c>
      <c r="K101" s="18">
        <v>3240</v>
      </c>
      <c r="L101" s="12">
        <f t="shared" si="12"/>
        <v>5554.2857142857147</v>
      </c>
      <c r="M101" s="8">
        <v>1</v>
      </c>
      <c r="N101" s="8" t="s">
        <v>27</v>
      </c>
      <c r="O101" s="13" t="str">
        <f t="shared" si="13"/>
        <v>BLANCO</v>
      </c>
      <c r="P101" s="14">
        <v>0.2</v>
      </c>
      <c r="Q101" s="15">
        <v>0.3</v>
      </c>
      <c r="R101" s="16" t="str">
        <f t="shared" si="11"/>
        <v>AMX</v>
      </c>
      <c r="S101" s="17"/>
      <c r="T101" s="10" t="str">
        <f t="shared" si="14"/>
        <v>10.1" PANTALLA TÁCTIL DE PARED DE LA SERIE MODERO X.</v>
      </c>
    </row>
    <row r="102" spans="1:28" ht="27" customHeight="1" x14ac:dyDescent="0.25">
      <c r="A102" s="8" t="s">
        <v>183</v>
      </c>
      <c r="B102" s="9" t="s">
        <v>183</v>
      </c>
      <c r="C102" s="9"/>
      <c r="D102" s="8" t="s">
        <v>268</v>
      </c>
      <c r="E102" s="8">
        <v>22</v>
      </c>
      <c r="F102" s="8" t="s">
        <v>22</v>
      </c>
      <c r="G102" s="10" t="s">
        <v>324</v>
      </c>
      <c r="H102" s="8" t="s">
        <v>325</v>
      </c>
      <c r="I102" s="10" t="s">
        <v>326</v>
      </c>
      <c r="J102" s="11" t="s">
        <v>26</v>
      </c>
      <c r="K102" s="18">
        <v>2190</v>
      </c>
      <c r="L102" s="12">
        <f t="shared" si="12"/>
        <v>3754.2857142857147</v>
      </c>
      <c r="M102" s="8">
        <v>1</v>
      </c>
      <c r="N102" s="8" t="s">
        <v>27</v>
      </c>
      <c r="O102" s="13" t="str">
        <f t="shared" si="13"/>
        <v>BLANCO</v>
      </c>
      <c r="P102" s="14">
        <v>0.2</v>
      </c>
      <c r="Q102" s="15">
        <v>0.3</v>
      </c>
      <c r="R102" s="16" t="str">
        <f t="shared" si="11"/>
        <v>AMX</v>
      </c>
      <c r="S102" s="17"/>
      <c r="T102" s="10" t="str">
        <f t="shared" si="14"/>
        <v>7" PANTALLA TÁCTIL DE SOBRE PONER DE LA SERIE MODERO X.</v>
      </c>
    </row>
    <row r="103" spans="1:28" ht="27" customHeight="1" x14ac:dyDescent="0.25">
      <c r="A103" s="8" t="s">
        <v>183</v>
      </c>
      <c r="B103" s="9" t="s">
        <v>183</v>
      </c>
      <c r="C103" s="9"/>
      <c r="D103" s="8" t="s">
        <v>268</v>
      </c>
      <c r="E103" s="8">
        <v>23</v>
      </c>
      <c r="F103" s="8" t="s">
        <v>22</v>
      </c>
      <c r="G103" s="10" t="s">
        <v>327</v>
      </c>
      <c r="H103" s="8" t="s">
        <v>328</v>
      </c>
      <c r="I103" s="10" t="s">
        <v>329</v>
      </c>
      <c r="J103" s="11" t="s">
        <v>26</v>
      </c>
      <c r="K103" s="18">
        <v>2190</v>
      </c>
      <c r="L103" s="12">
        <f t="shared" si="12"/>
        <v>3754.2857142857147</v>
      </c>
      <c r="M103" s="8">
        <v>1</v>
      </c>
      <c r="N103" s="8" t="s">
        <v>27</v>
      </c>
      <c r="O103" s="13" t="str">
        <f t="shared" si="13"/>
        <v>BLANCO</v>
      </c>
      <c r="P103" s="14">
        <v>0.2</v>
      </c>
      <c r="Q103" s="15">
        <v>0.3</v>
      </c>
      <c r="R103" s="16" t="str">
        <f t="shared" si="11"/>
        <v>AMX</v>
      </c>
      <c r="S103" s="17"/>
      <c r="T103" s="10" t="str">
        <f t="shared" si="14"/>
        <v>7" PANTALLA TÁCTIL DE PARED DE LA SERIE MODERO X.</v>
      </c>
    </row>
    <row r="104" spans="1:28" ht="27" customHeight="1" x14ac:dyDescent="0.25">
      <c r="A104" s="8" t="s">
        <v>183</v>
      </c>
      <c r="B104" s="9" t="s">
        <v>183</v>
      </c>
      <c r="C104" s="9"/>
      <c r="D104" s="8" t="s">
        <v>268</v>
      </c>
      <c r="E104" s="8">
        <v>24</v>
      </c>
      <c r="F104" s="8" t="s">
        <v>22</v>
      </c>
      <c r="G104" s="10" t="s">
        <v>327</v>
      </c>
      <c r="H104" s="8" t="s">
        <v>330</v>
      </c>
      <c r="I104" s="10" t="s">
        <v>331</v>
      </c>
      <c r="J104" s="11" t="s">
        <v>26</v>
      </c>
      <c r="K104" s="18">
        <v>2190</v>
      </c>
      <c r="L104" s="12">
        <f t="shared" si="12"/>
        <v>3754.2857142857147</v>
      </c>
      <c r="M104" s="8">
        <v>1</v>
      </c>
      <c r="N104" s="8" t="s">
        <v>27</v>
      </c>
      <c r="O104" s="13" t="str">
        <f t="shared" si="13"/>
        <v>BLANCO</v>
      </c>
      <c r="P104" s="14">
        <v>0.2</v>
      </c>
      <c r="Q104" s="15">
        <v>0.3</v>
      </c>
      <c r="R104" s="16" t="str">
        <f t="shared" si="11"/>
        <v>AMX</v>
      </c>
      <c r="S104" s="17"/>
      <c r="T104" s="10" t="str">
        <f t="shared" si="14"/>
        <v>7" PANTALLA TÁCTIL DE PARED DE LA SERIE MODERO X.</v>
      </c>
    </row>
    <row r="105" spans="1:28" ht="27" customHeight="1" x14ac:dyDescent="0.25">
      <c r="A105" s="8" t="s">
        <v>183</v>
      </c>
      <c r="B105" s="9" t="s">
        <v>183</v>
      </c>
      <c r="C105" s="9"/>
      <c r="D105" s="8" t="s">
        <v>268</v>
      </c>
      <c r="E105" s="8">
        <v>25</v>
      </c>
      <c r="F105" s="8" t="s">
        <v>22</v>
      </c>
      <c r="G105" s="10" t="s">
        <v>332</v>
      </c>
      <c r="H105" s="8" t="s">
        <v>333</v>
      </c>
      <c r="I105" s="10" t="s">
        <v>334</v>
      </c>
      <c r="J105" s="11" t="s">
        <v>26</v>
      </c>
      <c r="K105" s="18">
        <v>1150</v>
      </c>
      <c r="L105" s="12">
        <f t="shared" si="12"/>
        <v>1971.4285714285716</v>
      </c>
      <c r="M105" s="8">
        <v>1</v>
      </c>
      <c r="N105" s="8" t="s">
        <v>27</v>
      </c>
      <c r="O105" s="13" t="str">
        <f t="shared" si="13"/>
        <v>BLANCO</v>
      </c>
      <c r="P105" s="14">
        <v>0.2</v>
      </c>
      <c r="Q105" s="15">
        <v>0.3</v>
      </c>
      <c r="R105" s="16" t="str">
        <f t="shared" si="11"/>
        <v>AMX</v>
      </c>
      <c r="S105" s="17"/>
      <c r="T105" s="10" t="str">
        <f t="shared" si="14"/>
        <v>4.3" PANTALLA TÁCTIL DE PARED DE LA SERIE MODERO X.</v>
      </c>
    </row>
    <row r="106" spans="1:28" ht="27" customHeight="1" x14ac:dyDescent="0.25">
      <c r="A106" s="8" t="s">
        <v>183</v>
      </c>
      <c r="B106" s="9" t="s">
        <v>183</v>
      </c>
      <c r="C106" s="9"/>
      <c r="D106" s="8" t="s">
        <v>268</v>
      </c>
      <c r="E106" s="8">
        <v>26</v>
      </c>
      <c r="F106" s="8" t="s">
        <v>22</v>
      </c>
      <c r="G106" s="10" t="s">
        <v>335</v>
      </c>
      <c r="H106" s="8" t="s">
        <v>336</v>
      </c>
      <c r="I106" s="10" t="s">
        <v>337</v>
      </c>
      <c r="J106" s="11" t="s">
        <v>26</v>
      </c>
      <c r="K106" s="18">
        <v>1497.5</v>
      </c>
      <c r="L106" s="12">
        <f t="shared" si="12"/>
        <v>2567.1428571428573</v>
      </c>
      <c r="M106" s="8">
        <v>1</v>
      </c>
      <c r="N106" s="8" t="s">
        <v>27</v>
      </c>
      <c r="O106" s="13" t="str">
        <f t="shared" si="13"/>
        <v>BLANCO</v>
      </c>
      <c r="P106" s="14">
        <v>0.2</v>
      </c>
      <c r="Q106" s="15">
        <v>0.3</v>
      </c>
      <c r="R106" s="16" t="str">
        <f t="shared" si="11"/>
        <v>AMX</v>
      </c>
      <c r="S106" s="17"/>
      <c r="T106" s="10" t="str">
        <f t="shared" si="14"/>
        <v>10.1" PANTALLA TÁCTIL DE PARED DE LA SERIE MODERO S.</v>
      </c>
    </row>
    <row r="107" spans="1:28" ht="27" customHeight="1" x14ac:dyDescent="0.25">
      <c r="A107" s="8" t="s">
        <v>183</v>
      </c>
      <c r="B107" s="9" t="s">
        <v>183</v>
      </c>
      <c r="C107" s="9"/>
      <c r="D107" s="8" t="s">
        <v>268</v>
      </c>
      <c r="E107" s="8">
        <v>27</v>
      </c>
      <c r="F107" s="8" t="s">
        <v>22</v>
      </c>
      <c r="G107" s="10" t="s">
        <v>338</v>
      </c>
      <c r="H107" s="8" t="s">
        <v>339</v>
      </c>
      <c r="I107" s="10" t="s">
        <v>340</v>
      </c>
      <c r="J107" s="11" t="s">
        <v>26</v>
      </c>
      <c r="K107" s="18">
        <v>1450</v>
      </c>
      <c r="L107" s="12">
        <f t="shared" si="12"/>
        <v>2485.7142857142858</v>
      </c>
      <c r="M107" s="8">
        <v>1</v>
      </c>
      <c r="N107" s="8" t="s">
        <v>27</v>
      </c>
      <c r="O107" s="13" t="str">
        <f t="shared" si="13"/>
        <v>BLANCO</v>
      </c>
      <c r="P107" s="14">
        <v>0.2</v>
      </c>
      <c r="Q107" s="15">
        <v>0.3</v>
      </c>
      <c r="R107" s="16" t="str">
        <f t="shared" si="11"/>
        <v>AMX</v>
      </c>
      <c r="S107" s="17"/>
      <c r="T107" s="10" t="str">
        <f t="shared" si="14"/>
        <v>10.1" PANTALLA TÁCTIL DE LA SERIE MODERO S.</v>
      </c>
    </row>
    <row r="108" spans="1:28" ht="27" customHeight="1" x14ac:dyDescent="0.25">
      <c r="A108" s="8" t="s">
        <v>183</v>
      </c>
      <c r="B108" s="9" t="s">
        <v>183</v>
      </c>
      <c r="C108" s="9"/>
      <c r="D108" s="8" t="s">
        <v>268</v>
      </c>
      <c r="E108" s="8">
        <v>28</v>
      </c>
      <c r="F108" s="8" t="s">
        <v>22</v>
      </c>
      <c r="G108" s="10" t="s">
        <v>341</v>
      </c>
      <c r="H108" s="8" t="s">
        <v>342</v>
      </c>
      <c r="I108" s="10" t="s">
        <v>343</v>
      </c>
      <c r="J108" s="11" t="s">
        <v>26</v>
      </c>
      <c r="K108" s="18">
        <v>997.5</v>
      </c>
      <c r="L108" s="12">
        <f t="shared" si="12"/>
        <v>1710</v>
      </c>
      <c r="M108" s="8">
        <v>1</v>
      </c>
      <c r="N108" s="8" t="s">
        <v>27</v>
      </c>
      <c r="O108" s="13" t="str">
        <f t="shared" si="13"/>
        <v>BLANCO</v>
      </c>
      <c r="P108" s="14">
        <v>0.2</v>
      </c>
      <c r="Q108" s="15">
        <v>0.3</v>
      </c>
      <c r="R108" s="16" t="str">
        <f t="shared" si="11"/>
        <v>AMX</v>
      </c>
      <c r="S108" s="17"/>
      <c r="T108" s="10" t="str">
        <f t="shared" si="14"/>
        <v>7" PANTALLA TÁCTIL DE PARED DE LA SERIE MODERO S.</v>
      </c>
    </row>
    <row r="109" spans="1:28" ht="27" customHeight="1" x14ac:dyDescent="0.25">
      <c r="A109" s="8" t="s">
        <v>183</v>
      </c>
      <c r="B109" s="9" t="s">
        <v>183</v>
      </c>
      <c r="C109" s="9"/>
      <c r="D109" s="8" t="s">
        <v>268</v>
      </c>
      <c r="E109" s="8">
        <v>29</v>
      </c>
      <c r="F109" s="8" t="s">
        <v>22</v>
      </c>
      <c r="G109" s="10" t="s">
        <v>341</v>
      </c>
      <c r="H109" s="8" t="s">
        <v>344</v>
      </c>
      <c r="I109" s="10" t="s">
        <v>343</v>
      </c>
      <c r="J109" s="11" t="s">
        <v>26</v>
      </c>
      <c r="K109" s="18">
        <v>950</v>
      </c>
      <c r="L109" s="12">
        <f t="shared" si="12"/>
        <v>1628.5714285714287</v>
      </c>
      <c r="M109" s="8">
        <v>1</v>
      </c>
      <c r="N109" s="8" t="s">
        <v>27</v>
      </c>
      <c r="O109" s="13" t="str">
        <f t="shared" si="13"/>
        <v>BLANCO</v>
      </c>
      <c r="P109" s="14">
        <v>0.2</v>
      </c>
      <c r="Q109" s="15">
        <v>0.3</v>
      </c>
      <c r="R109" s="16" t="str">
        <f t="shared" si="11"/>
        <v>AMX</v>
      </c>
      <c r="S109" s="17"/>
      <c r="T109" s="10" t="str">
        <f t="shared" si="14"/>
        <v>7" PANTALLA TÁCTIL DE PARED DE LA SERIE MODERO S.</v>
      </c>
      <c r="AB109" s="112">
        <v>1</v>
      </c>
    </row>
    <row r="110" spans="1:28" ht="27" customHeight="1" x14ac:dyDescent="0.25">
      <c r="A110" s="8" t="s">
        <v>183</v>
      </c>
      <c r="B110" s="9" t="s">
        <v>183</v>
      </c>
      <c r="C110" s="9"/>
      <c r="D110" s="8" t="s">
        <v>268</v>
      </c>
      <c r="E110" s="8">
        <v>30</v>
      </c>
      <c r="F110" s="8" t="s">
        <v>22</v>
      </c>
      <c r="G110" s="10" t="s">
        <v>345</v>
      </c>
      <c r="H110" s="8" t="s">
        <v>346</v>
      </c>
      <c r="I110" s="10" t="s">
        <v>347</v>
      </c>
      <c r="J110" s="11" t="s">
        <v>26</v>
      </c>
      <c r="K110" s="18">
        <v>647.5</v>
      </c>
      <c r="L110" s="12">
        <f t="shared" si="12"/>
        <v>1110</v>
      </c>
      <c r="M110" s="8">
        <v>1</v>
      </c>
      <c r="N110" s="8" t="s">
        <v>27</v>
      </c>
      <c r="O110" s="13" t="str">
        <f t="shared" si="13"/>
        <v>BLANCO</v>
      </c>
      <c r="P110" s="14">
        <v>0.2</v>
      </c>
      <c r="Q110" s="15">
        <v>0.3</v>
      </c>
      <c r="R110" s="16" t="str">
        <f t="shared" si="11"/>
        <v>AMX</v>
      </c>
      <c r="S110" s="17"/>
      <c r="T110" s="10" t="str">
        <f t="shared" si="14"/>
        <v>4.3" PANTALLA TÁCTIL DE PARED DE LA SERIE MODERO ALIMENTACIÓN PoE.</v>
      </c>
    </row>
    <row r="111" spans="1:28" ht="27" customHeight="1" x14ac:dyDescent="0.25">
      <c r="A111" s="8" t="s">
        <v>183</v>
      </c>
      <c r="B111" s="9" t="s">
        <v>183</v>
      </c>
      <c r="C111" s="9"/>
      <c r="D111" s="8" t="s">
        <v>268</v>
      </c>
      <c r="E111" s="8">
        <v>31</v>
      </c>
      <c r="F111" s="8" t="s">
        <v>22</v>
      </c>
      <c r="G111" s="10" t="s">
        <v>348</v>
      </c>
      <c r="H111" s="8" t="s">
        <v>349</v>
      </c>
      <c r="I111" s="10" t="s">
        <v>350</v>
      </c>
      <c r="J111" s="11" t="s">
        <v>26</v>
      </c>
      <c r="K111" s="18">
        <v>600</v>
      </c>
      <c r="L111" s="12">
        <f t="shared" si="12"/>
        <v>1028.5714285714287</v>
      </c>
      <c r="M111" s="8">
        <v>1</v>
      </c>
      <c r="N111" s="8" t="s">
        <v>27</v>
      </c>
      <c r="O111" s="13" t="str">
        <f t="shared" si="13"/>
        <v>BLANCO</v>
      </c>
      <c r="P111" s="14">
        <v>0.2</v>
      </c>
      <c r="Q111" s="15">
        <v>0.3</v>
      </c>
      <c r="R111" s="16" t="str">
        <f t="shared" si="11"/>
        <v>AMX</v>
      </c>
      <c r="S111" s="17"/>
      <c r="T111" s="10" t="str">
        <f t="shared" si="14"/>
        <v>4.3" PANTALLA TÁCTIL DE PARED DE LA SERIE MODERO S.</v>
      </c>
      <c r="AB111" s="112">
        <v>1</v>
      </c>
    </row>
    <row r="112" spans="1:28" ht="27" customHeight="1" x14ac:dyDescent="0.25">
      <c r="A112" s="8" t="s">
        <v>183</v>
      </c>
      <c r="B112" s="9" t="s">
        <v>183</v>
      </c>
      <c r="C112" s="9"/>
      <c r="D112" s="8" t="s">
        <v>268</v>
      </c>
      <c r="E112" s="8">
        <v>32</v>
      </c>
      <c r="F112" s="8" t="s">
        <v>22</v>
      </c>
      <c r="G112" s="10" t="s">
        <v>351</v>
      </c>
      <c r="H112" s="8" t="s">
        <v>352</v>
      </c>
      <c r="I112" s="10" t="s">
        <v>353</v>
      </c>
      <c r="J112" s="11" t="s">
        <v>26</v>
      </c>
      <c r="K112" s="18">
        <v>6575</v>
      </c>
      <c r="L112" s="12">
        <f t="shared" si="12"/>
        <v>11271.428571428572</v>
      </c>
      <c r="M112" s="8">
        <v>1</v>
      </c>
      <c r="N112" s="8" t="s">
        <v>27</v>
      </c>
      <c r="O112" s="13" t="str">
        <f t="shared" si="13"/>
        <v>BLANCO</v>
      </c>
      <c r="P112" s="14">
        <v>0.2</v>
      </c>
      <c r="Q112" s="15">
        <v>0.3</v>
      </c>
      <c r="R112" s="16" t="str">
        <f t="shared" si="11"/>
        <v>AMX</v>
      </c>
      <c r="S112" s="17"/>
      <c r="T112" s="10" t="str">
        <f t="shared" si="14"/>
        <v>20.3" PANTALLA PANORÁMICA DE LA SERIE X.</v>
      </c>
    </row>
    <row r="113" spans="1:29" ht="27" customHeight="1" x14ac:dyDescent="0.25">
      <c r="A113" s="8" t="s">
        <v>183</v>
      </c>
      <c r="B113" s="9" t="s">
        <v>183</v>
      </c>
      <c r="C113" s="9"/>
      <c r="D113" s="8" t="s">
        <v>268</v>
      </c>
      <c r="E113" s="8">
        <v>33</v>
      </c>
      <c r="F113" s="8" t="s">
        <v>22</v>
      </c>
      <c r="G113" s="10" t="s">
        <v>354</v>
      </c>
      <c r="H113" s="8" t="s">
        <v>355</v>
      </c>
      <c r="I113" s="10" t="s">
        <v>356</v>
      </c>
      <c r="J113" s="11" t="s">
        <v>26</v>
      </c>
      <c r="K113" s="18">
        <v>6575</v>
      </c>
      <c r="L113" s="12">
        <f t="shared" si="12"/>
        <v>11271.428571428572</v>
      </c>
      <c r="M113" s="8">
        <v>1</v>
      </c>
      <c r="N113" s="8" t="s">
        <v>27</v>
      </c>
      <c r="O113" s="13" t="str">
        <f t="shared" si="13"/>
        <v>BLANCO</v>
      </c>
      <c r="P113" s="14">
        <v>0.2</v>
      </c>
      <c r="Q113" s="15">
        <v>0.3</v>
      </c>
      <c r="R113" s="16" t="str">
        <f t="shared" si="11"/>
        <v>AMX</v>
      </c>
      <c r="S113" s="17"/>
      <c r="T113" s="10" t="str">
        <f t="shared" si="14"/>
        <v>20.3" PANTALLA PANORÁMICA PARA PARED DE LA SERIE MODERO X.</v>
      </c>
    </row>
    <row r="114" spans="1:29" ht="27" customHeight="1" x14ac:dyDescent="0.25">
      <c r="A114" s="8" t="s">
        <v>183</v>
      </c>
      <c r="B114" s="9" t="s">
        <v>183</v>
      </c>
      <c r="C114" s="9"/>
      <c r="D114" s="8" t="s">
        <v>268</v>
      </c>
      <c r="E114" s="8">
        <v>34</v>
      </c>
      <c r="F114" s="8" t="s">
        <v>22</v>
      </c>
      <c r="G114" s="10" t="s">
        <v>357</v>
      </c>
      <c r="H114" s="8" t="s">
        <v>358</v>
      </c>
      <c r="I114" s="10" t="s">
        <v>359</v>
      </c>
      <c r="J114" s="11" t="s">
        <v>26</v>
      </c>
      <c r="K114" s="18">
        <v>6575</v>
      </c>
      <c r="L114" s="12">
        <f t="shared" si="12"/>
        <v>11271.428571428572</v>
      </c>
      <c r="M114" s="8">
        <v>1</v>
      </c>
      <c r="N114" s="8" t="s">
        <v>27</v>
      </c>
      <c r="O114" s="13" t="str">
        <f t="shared" si="13"/>
        <v>BLANCO</v>
      </c>
      <c r="P114" s="14">
        <v>0.2</v>
      </c>
      <c r="Q114" s="15">
        <v>0.3</v>
      </c>
      <c r="R114" s="16" t="str">
        <f t="shared" si="11"/>
        <v>AMX</v>
      </c>
      <c r="S114" s="17"/>
      <c r="T114" s="10" t="str">
        <f t="shared" si="14"/>
        <v>20.3" PANTALLA TÁCTIL DE LA SERIE X PARA MONTAJE EN PARED.</v>
      </c>
    </row>
    <row r="115" spans="1:29" ht="27" customHeight="1" x14ac:dyDescent="0.25">
      <c r="A115" s="8" t="s">
        <v>183</v>
      </c>
      <c r="B115" s="9" t="s">
        <v>183</v>
      </c>
      <c r="C115" s="9"/>
      <c r="D115" s="8" t="s">
        <v>268</v>
      </c>
      <c r="E115" s="8">
        <v>35</v>
      </c>
      <c r="F115" s="8" t="s">
        <v>22</v>
      </c>
      <c r="G115" s="10" t="s">
        <v>360</v>
      </c>
      <c r="H115" s="8" t="s">
        <v>361</v>
      </c>
      <c r="I115" s="10" t="s">
        <v>362</v>
      </c>
      <c r="J115" s="11" t="s">
        <v>26</v>
      </c>
      <c r="K115" s="18">
        <v>4925</v>
      </c>
      <c r="L115" s="12">
        <f t="shared" si="12"/>
        <v>8442.8571428571431</v>
      </c>
      <c r="M115" s="8">
        <v>1</v>
      </c>
      <c r="N115" s="8" t="s">
        <v>27</v>
      </c>
      <c r="O115" s="13" t="str">
        <f t="shared" si="13"/>
        <v>BLANCO</v>
      </c>
      <c r="P115" s="14">
        <v>0.2</v>
      </c>
      <c r="Q115" s="15">
        <v>0.3</v>
      </c>
      <c r="R115" s="16" t="str">
        <f t="shared" si="11"/>
        <v>AMX</v>
      </c>
      <c r="S115" s="17"/>
      <c r="T115" s="10" t="str">
        <f t="shared" si="14"/>
        <v>19.4" PANTALLA TÁCTIL DE LA SERIE X PARA SOBRE PONER.</v>
      </c>
    </row>
    <row r="116" spans="1:29" ht="27" customHeight="1" x14ac:dyDescent="0.25">
      <c r="A116" s="8" t="s">
        <v>183</v>
      </c>
      <c r="B116" s="9" t="s">
        <v>183</v>
      </c>
      <c r="C116" s="9"/>
      <c r="D116" s="8" t="s">
        <v>268</v>
      </c>
      <c r="E116" s="8">
        <v>36</v>
      </c>
      <c r="F116" s="8" t="s">
        <v>22</v>
      </c>
      <c r="G116" s="10" t="s">
        <v>363</v>
      </c>
      <c r="H116" s="8" t="s">
        <v>364</v>
      </c>
      <c r="I116" s="10" t="s">
        <v>365</v>
      </c>
      <c r="J116" s="11" t="s">
        <v>26</v>
      </c>
      <c r="K116" s="18">
        <v>4925</v>
      </c>
      <c r="L116" s="12">
        <f t="shared" ref="L116:L147" si="15">IF(J116="P",ROUNDUP(K116/(1-Q116),-2),K116*(1+P116)/(1-Q116))</f>
        <v>8442.8571428571431</v>
      </c>
      <c r="M116" s="8">
        <v>1</v>
      </c>
      <c r="N116" s="8" t="s">
        <v>27</v>
      </c>
      <c r="O116" s="13" t="str">
        <f t="shared" ref="O116:O147" si="16">F116</f>
        <v>BLANCO</v>
      </c>
      <c r="P116" s="14">
        <v>0.2</v>
      </c>
      <c r="Q116" s="15">
        <v>0.3</v>
      </c>
      <c r="R116" s="16" t="str">
        <f t="shared" si="11"/>
        <v>AMX</v>
      </c>
      <c r="S116" s="17"/>
      <c r="T116" s="10" t="str">
        <f t="shared" ref="T116:T147" si="17">G116</f>
        <v>19.4" PANTALLA TÁCTIL DE LA SERIE X PARA MONTAJE EN PARED.</v>
      </c>
    </row>
    <row r="117" spans="1:29" ht="27" customHeight="1" x14ac:dyDescent="0.25">
      <c r="A117" s="8" t="s">
        <v>183</v>
      </c>
      <c r="B117" s="9" t="s">
        <v>183</v>
      </c>
      <c r="C117" s="9"/>
      <c r="D117" s="8" t="s">
        <v>268</v>
      </c>
      <c r="E117" s="8">
        <v>37</v>
      </c>
      <c r="F117" s="8" t="s">
        <v>22</v>
      </c>
      <c r="G117" s="10" t="s">
        <v>363</v>
      </c>
      <c r="H117" s="8" t="s">
        <v>366</v>
      </c>
      <c r="I117" s="10" t="s">
        <v>367</v>
      </c>
      <c r="J117" s="11" t="s">
        <v>26</v>
      </c>
      <c r="K117" s="18">
        <v>4925</v>
      </c>
      <c r="L117" s="12">
        <f t="shared" si="15"/>
        <v>8442.8571428571431</v>
      </c>
      <c r="M117" s="8">
        <v>1</v>
      </c>
      <c r="N117" s="8" t="s">
        <v>27</v>
      </c>
      <c r="O117" s="13" t="str">
        <f t="shared" si="16"/>
        <v>BLANCO</v>
      </c>
      <c r="P117" s="14">
        <v>0.2</v>
      </c>
      <c r="Q117" s="15">
        <v>0.3</v>
      </c>
      <c r="R117" s="16" t="str">
        <f t="shared" si="11"/>
        <v>AMX</v>
      </c>
      <c r="S117" s="17"/>
      <c r="T117" s="10" t="str">
        <f t="shared" si="17"/>
        <v>19.4" PANTALLA TÁCTIL DE LA SERIE X PARA MONTAJE EN PARED.</v>
      </c>
    </row>
    <row r="118" spans="1:29" ht="27" customHeight="1" x14ac:dyDescent="0.25">
      <c r="A118" s="8" t="s">
        <v>183</v>
      </c>
      <c r="B118" s="9" t="s">
        <v>183</v>
      </c>
      <c r="C118" s="9"/>
      <c r="D118" s="8" t="s">
        <v>268</v>
      </c>
      <c r="E118" s="8">
        <v>38</v>
      </c>
      <c r="F118" s="8" t="s">
        <v>22</v>
      </c>
      <c r="G118" s="10" t="s">
        <v>368</v>
      </c>
      <c r="H118" s="8" t="s">
        <v>369</v>
      </c>
      <c r="I118" s="10" t="s">
        <v>370</v>
      </c>
      <c r="J118" s="11" t="s">
        <v>26</v>
      </c>
      <c r="K118" s="18">
        <v>3400</v>
      </c>
      <c r="L118" s="12">
        <f t="shared" si="15"/>
        <v>5828.5714285714294</v>
      </c>
      <c r="M118" s="8">
        <v>1</v>
      </c>
      <c r="N118" s="8" t="s">
        <v>27</v>
      </c>
      <c r="O118" s="13" t="str">
        <f t="shared" si="16"/>
        <v>BLANCO</v>
      </c>
      <c r="P118" s="14">
        <v>0.2</v>
      </c>
      <c r="Q118" s="15">
        <v>0.3</v>
      </c>
      <c r="R118" s="16" t="str">
        <f t="shared" si="11"/>
        <v>AMX</v>
      </c>
      <c r="S118" s="17"/>
      <c r="T118" s="10" t="str">
        <f t="shared" si="17"/>
        <v>10.1" PANTALLA TÁCTIL DE LA SERIE X PARA SOBRE PONER.</v>
      </c>
    </row>
    <row r="119" spans="1:29" ht="27" customHeight="1" x14ac:dyDescent="0.25">
      <c r="A119" s="8" t="s">
        <v>183</v>
      </c>
      <c r="B119" s="9" t="s">
        <v>183</v>
      </c>
      <c r="C119" s="9"/>
      <c r="D119" s="8" t="s">
        <v>268</v>
      </c>
      <c r="E119" s="8">
        <v>39</v>
      </c>
      <c r="F119" s="8" t="s">
        <v>22</v>
      </c>
      <c r="G119" s="10" t="s">
        <v>371</v>
      </c>
      <c r="H119" s="8" t="s">
        <v>372</v>
      </c>
      <c r="I119" s="10" t="s">
        <v>373</v>
      </c>
      <c r="J119" s="11" t="s">
        <v>26</v>
      </c>
      <c r="K119" s="18">
        <v>3400</v>
      </c>
      <c r="L119" s="12">
        <f t="shared" si="15"/>
        <v>5828.5714285714294</v>
      </c>
      <c r="M119" s="8">
        <v>1</v>
      </c>
      <c r="N119" s="8" t="s">
        <v>27</v>
      </c>
      <c r="O119" s="13" t="str">
        <f t="shared" si="16"/>
        <v>BLANCO</v>
      </c>
      <c r="P119" s="14">
        <v>0.2</v>
      </c>
      <c r="Q119" s="15">
        <v>0.3</v>
      </c>
      <c r="R119" s="16" t="str">
        <f t="shared" si="11"/>
        <v>AMX</v>
      </c>
      <c r="S119" s="17"/>
      <c r="T119" s="10" t="str">
        <f t="shared" si="17"/>
        <v>10.1" PANTALLA TÁCTIL DE LA SERIE X PARA MONTAJE EN PARED.</v>
      </c>
    </row>
    <row r="120" spans="1:29" ht="27" customHeight="1" x14ac:dyDescent="0.25">
      <c r="A120" s="8" t="s">
        <v>183</v>
      </c>
      <c r="B120" s="9" t="s">
        <v>183</v>
      </c>
      <c r="C120" s="9"/>
      <c r="D120" s="8" t="s">
        <v>268</v>
      </c>
      <c r="E120" s="8">
        <v>40</v>
      </c>
      <c r="F120" s="8" t="s">
        <v>22</v>
      </c>
      <c r="G120" s="10" t="s">
        <v>319</v>
      </c>
      <c r="H120" s="8" t="s">
        <v>374</v>
      </c>
      <c r="I120" s="10" t="s">
        <v>375</v>
      </c>
      <c r="J120" s="11" t="s">
        <v>26</v>
      </c>
      <c r="K120" s="18">
        <v>3400</v>
      </c>
      <c r="L120" s="12">
        <f t="shared" si="15"/>
        <v>5828.5714285714294</v>
      </c>
      <c r="M120" s="8">
        <v>1</v>
      </c>
      <c r="N120" s="8" t="s">
        <v>27</v>
      </c>
      <c r="O120" s="13" t="str">
        <f t="shared" si="16"/>
        <v>BLANCO</v>
      </c>
      <c r="P120" s="14">
        <v>0.2</v>
      </c>
      <c r="Q120" s="15">
        <v>0.3</v>
      </c>
      <c r="R120" s="16" t="str">
        <f t="shared" si="11"/>
        <v>AMX</v>
      </c>
      <c r="S120" s="17"/>
      <c r="T120" s="10" t="str">
        <f t="shared" si="17"/>
        <v>10.1" PANTALLA TÁCTIL DE PARED DE LA SERIE MODERO X.</v>
      </c>
    </row>
    <row r="121" spans="1:29" ht="27" customHeight="1" x14ac:dyDescent="0.25">
      <c r="A121" s="8" t="s">
        <v>183</v>
      </c>
      <c r="B121" s="9" t="s">
        <v>183</v>
      </c>
      <c r="C121" s="9"/>
      <c r="D121" s="8" t="s">
        <v>268</v>
      </c>
      <c r="E121" s="8">
        <v>41</v>
      </c>
      <c r="F121" s="8" t="s">
        <v>22</v>
      </c>
      <c r="G121" s="10" t="s">
        <v>376</v>
      </c>
      <c r="H121" s="8" t="s">
        <v>377</v>
      </c>
      <c r="I121" s="10" t="s">
        <v>378</v>
      </c>
      <c r="J121" s="11" t="s">
        <v>26</v>
      </c>
      <c r="K121" s="18">
        <v>2340</v>
      </c>
      <c r="L121" s="12">
        <f t="shared" si="15"/>
        <v>4011.4285714285716</v>
      </c>
      <c r="M121" s="8">
        <v>1</v>
      </c>
      <c r="N121" s="8" t="s">
        <v>27</v>
      </c>
      <c r="O121" s="13" t="str">
        <f t="shared" si="16"/>
        <v>BLANCO</v>
      </c>
      <c r="P121" s="14">
        <v>0.2</v>
      </c>
      <c r="Q121" s="15">
        <v>0.3</v>
      </c>
      <c r="R121" s="16" t="str">
        <f t="shared" si="11"/>
        <v>AMX</v>
      </c>
      <c r="S121" s="17"/>
      <c r="T121" s="10" t="str">
        <f t="shared" si="17"/>
        <v>7" PANTALLA TÁCTIL DE LA SERIE X PARA SOBRE PONER.</v>
      </c>
    </row>
    <row r="122" spans="1:29" ht="27" customHeight="1" x14ac:dyDescent="0.25">
      <c r="A122" s="8" t="s">
        <v>183</v>
      </c>
      <c r="B122" s="9" t="s">
        <v>183</v>
      </c>
      <c r="C122" s="9"/>
      <c r="D122" s="8" t="s">
        <v>268</v>
      </c>
      <c r="E122" s="8">
        <v>42</v>
      </c>
      <c r="F122" s="8" t="s">
        <v>22</v>
      </c>
      <c r="G122" s="10" t="s">
        <v>379</v>
      </c>
      <c r="H122" s="8" t="s">
        <v>380</v>
      </c>
      <c r="I122" s="10" t="s">
        <v>381</v>
      </c>
      <c r="J122" s="11" t="s">
        <v>26</v>
      </c>
      <c r="K122" s="18">
        <v>2340</v>
      </c>
      <c r="L122" s="12">
        <f t="shared" si="15"/>
        <v>4011.4285714285716</v>
      </c>
      <c r="M122" s="8">
        <v>1</v>
      </c>
      <c r="N122" s="8" t="s">
        <v>27</v>
      </c>
      <c r="O122" s="13" t="str">
        <f t="shared" si="16"/>
        <v>BLANCO</v>
      </c>
      <c r="P122" s="14">
        <v>0.2</v>
      </c>
      <c r="Q122" s="15">
        <v>0.3</v>
      </c>
      <c r="R122" s="16" t="str">
        <f t="shared" si="11"/>
        <v>AMX</v>
      </c>
      <c r="S122" s="17"/>
      <c r="T122" s="10" t="str">
        <f t="shared" si="17"/>
        <v>7" PANTALLA TÁCTIL DE LA SERIE X PARA MONTAJE EN PARED.</v>
      </c>
    </row>
    <row r="123" spans="1:29" ht="27" customHeight="1" x14ac:dyDescent="0.25">
      <c r="A123" s="8" t="s">
        <v>183</v>
      </c>
      <c r="B123" s="9" t="s">
        <v>183</v>
      </c>
      <c r="C123" s="9"/>
      <c r="D123" s="8" t="s">
        <v>268</v>
      </c>
      <c r="E123" s="8">
        <v>43</v>
      </c>
      <c r="F123" s="8" t="s">
        <v>22</v>
      </c>
      <c r="G123" s="10" t="s">
        <v>327</v>
      </c>
      <c r="H123" s="8" t="s">
        <v>382</v>
      </c>
      <c r="I123" s="10" t="s">
        <v>383</v>
      </c>
      <c r="J123" s="11" t="s">
        <v>26</v>
      </c>
      <c r="K123" s="18">
        <v>2340</v>
      </c>
      <c r="L123" s="12">
        <f t="shared" si="15"/>
        <v>4011.4285714285716</v>
      </c>
      <c r="M123" s="8">
        <v>1</v>
      </c>
      <c r="N123" s="8" t="s">
        <v>27</v>
      </c>
      <c r="O123" s="13" t="str">
        <f t="shared" si="16"/>
        <v>BLANCO</v>
      </c>
      <c r="P123" s="14">
        <v>0.2</v>
      </c>
      <c r="Q123" s="15">
        <v>0.3</v>
      </c>
      <c r="R123" s="16" t="str">
        <f t="shared" si="11"/>
        <v>AMX</v>
      </c>
      <c r="S123" s="17"/>
      <c r="T123" s="10" t="str">
        <f t="shared" si="17"/>
        <v>7" PANTALLA TÁCTIL DE PARED DE LA SERIE MODERO X.</v>
      </c>
    </row>
    <row r="124" spans="1:29" ht="27" customHeight="1" x14ac:dyDescent="0.25">
      <c r="A124" s="8" t="s">
        <v>183</v>
      </c>
      <c r="B124" s="9" t="s">
        <v>183</v>
      </c>
      <c r="C124" s="9"/>
      <c r="D124" s="8" t="s">
        <v>268</v>
      </c>
      <c r="E124" s="8">
        <v>44</v>
      </c>
      <c r="F124" s="8" t="s">
        <v>22</v>
      </c>
      <c r="G124" s="10" t="s">
        <v>384</v>
      </c>
      <c r="H124" s="8" t="s">
        <v>385</v>
      </c>
      <c r="I124" s="10" t="s">
        <v>384</v>
      </c>
      <c r="J124" s="11" t="s">
        <v>26</v>
      </c>
      <c r="K124" s="18">
        <v>2750</v>
      </c>
      <c r="L124" s="12">
        <f t="shared" si="15"/>
        <v>4714.2857142857147</v>
      </c>
      <c r="M124" s="8">
        <v>1</v>
      </c>
      <c r="N124" s="8" t="s">
        <v>27</v>
      </c>
      <c r="O124" s="13" t="str">
        <f t="shared" si="16"/>
        <v>BLANCO</v>
      </c>
      <c r="P124" s="14">
        <v>0.2</v>
      </c>
      <c r="Q124" s="15">
        <v>0.3</v>
      </c>
      <c r="R124" s="16" t="str">
        <f t="shared" si="11"/>
        <v>AMX</v>
      </c>
      <c r="S124" s="17"/>
      <c r="T124" s="10" t="str">
        <f t="shared" si="17"/>
        <v>PANTALLA TÁCTIL DE 9 PULGADAS CON INTER COMUNICADOR EN COLOR NEGRO.</v>
      </c>
    </row>
    <row r="125" spans="1:29" ht="27" customHeight="1" x14ac:dyDescent="0.25">
      <c r="A125" s="8" t="s">
        <v>183</v>
      </c>
      <c r="B125" s="9" t="s">
        <v>183</v>
      </c>
      <c r="C125" s="9"/>
      <c r="D125" s="8" t="s">
        <v>268</v>
      </c>
      <c r="E125" s="8">
        <v>45</v>
      </c>
      <c r="F125" s="8" t="s">
        <v>22</v>
      </c>
      <c r="G125" s="10" t="s">
        <v>386</v>
      </c>
      <c r="H125" s="8" t="s">
        <v>387</v>
      </c>
      <c r="I125" s="10" t="s">
        <v>386</v>
      </c>
      <c r="J125" s="11" t="s">
        <v>26</v>
      </c>
      <c r="K125" s="18">
        <v>2750</v>
      </c>
      <c r="L125" s="12">
        <f t="shared" si="15"/>
        <v>4714.2857142857147</v>
      </c>
      <c r="M125" s="8">
        <v>1</v>
      </c>
      <c r="N125" s="8" t="s">
        <v>27</v>
      </c>
      <c r="O125" s="13" t="str">
        <f t="shared" si="16"/>
        <v>BLANCO</v>
      </c>
      <c r="P125" s="14">
        <v>0.2</v>
      </c>
      <c r="Q125" s="15">
        <v>0.3</v>
      </c>
      <c r="R125" s="16" t="str">
        <f t="shared" si="11"/>
        <v>AMX</v>
      </c>
      <c r="S125" s="17"/>
      <c r="T125" s="10" t="str">
        <f t="shared" si="17"/>
        <v>PANTALLA TÁCTIL DE 9 PULGADAS CON INTER COMUNICADOR EN COLOR BLANCO.</v>
      </c>
    </row>
    <row r="126" spans="1:29" ht="27" customHeight="1" x14ac:dyDescent="0.25">
      <c r="A126" s="8" t="s">
        <v>183</v>
      </c>
      <c r="B126" s="9" t="s">
        <v>183</v>
      </c>
      <c r="C126" s="9"/>
      <c r="D126" s="8" t="s">
        <v>268</v>
      </c>
      <c r="E126" s="8">
        <v>46</v>
      </c>
      <c r="F126" s="8" t="s">
        <v>22</v>
      </c>
      <c r="G126" s="10" t="s">
        <v>388</v>
      </c>
      <c r="H126" s="8" t="s">
        <v>389</v>
      </c>
      <c r="I126" s="10" t="s">
        <v>388</v>
      </c>
      <c r="J126" s="11" t="s">
        <v>26</v>
      </c>
      <c r="K126" s="18">
        <v>575</v>
      </c>
      <c r="L126" s="12">
        <f t="shared" si="15"/>
        <v>985.71428571428578</v>
      </c>
      <c r="M126" s="8">
        <v>1</v>
      </c>
      <c r="N126" s="8" t="s">
        <v>27</v>
      </c>
      <c r="O126" s="13" t="str">
        <f t="shared" si="16"/>
        <v>BLANCO</v>
      </c>
      <c r="P126" s="14">
        <v>0.2</v>
      </c>
      <c r="Q126" s="15">
        <v>0.3</v>
      </c>
      <c r="R126" s="16" t="str">
        <f t="shared" si="11"/>
        <v>AMX</v>
      </c>
      <c r="S126" s="17"/>
      <c r="T126" s="10" t="str">
        <f t="shared" si="17"/>
        <v xml:space="preserve">PANTALLA TÁCTIL DE 4.3" DE MONTAJE EN PARED EN COLOR NEGRO. </v>
      </c>
    </row>
    <row r="127" spans="1:29" ht="27" customHeight="1" x14ac:dyDescent="0.25">
      <c r="A127" s="8" t="s">
        <v>183</v>
      </c>
      <c r="B127" s="9" t="s">
        <v>183</v>
      </c>
      <c r="C127" s="9"/>
      <c r="D127" s="8" t="s">
        <v>268</v>
      </c>
      <c r="E127" s="8">
        <v>47</v>
      </c>
      <c r="F127" s="8" t="s">
        <v>22</v>
      </c>
      <c r="G127" s="10" t="s">
        <v>390</v>
      </c>
      <c r="H127" s="8" t="s">
        <v>391</v>
      </c>
      <c r="I127" s="10" t="s">
        <v>390</v>
      </c>
      <c r="J127" s="11" t="s">
        <v>26</v>
      </c>
      <c r="K127" s="18">
        <v>575</v>
      </c>
      <c r="L127" s="12">
        <f t="shared" si="15"/>
        <v>985.71428571428578</v>
      </c>
      <c r="M127" s="8">
        <v>1</v>
      </c>
      <c r="N127" s="8" t="s">
        <v>27</v>
      </c>
      <c r="O127" s="13" t="str">
        <f t="shared" si="16"/>
        <v>BLANCO</v>
      </c>
      <c r="P127" s="14">
        <v>0.2</v>
      </c>
      <c r="Q127" s="15">
        <v>0.3</v>
      </c>
      <c r="R127" s="16" t="str">
        <f t="shared" si="11"/>
        <v>AMX</v>
      </c>
      <c r="S127" s="17"/>
      <c r="T127" s="10" t="str">
        <f t="shared" si="17"/>
        <v xml:space="preserve">PANTALLA TÁCTIL DE 4.3" DE MONTAJE EN PARED EN COLOR BLANCO. </v>
      </c>
      <c r="AB127" s="112">
        <v>4</v>
      </c>
      <c r="AC127" s="76" t="s">
        <v>392</v>
      </c>
    </row>
    <row r="128" spans="1:29" ht="27" customHeight="1" x14ac:dyDescent="0.25">
      <c r="A128" s="8" t="s">
        <v>183</v>
      </c>
      <c r="B128" s="9" t="s">
        <v>183</v>
      </c>
      <c r="C128" s="9"/>
      <c r="D128" s="8" t="s">
        <v>268</v>
      </c>
      <c r="E128" s="8">
        <v>48</v>
      </c>
      <c r="F128" s="8" t="s">
        <v>22</v>
      </c>
      <c r="G128" s="10" t="s">
        <v>393</v>
      </c>
      <c r="H128" s="8" t="s">
        <v>394</v>
      </c>
      <c r="I128" s="10" t="s">
        <v>393</v>
      </c>
      <c r="J128" s="11" t="s">
        <v>26</v>
      </c>
      <c r="K128" s="18">
        <v>625</v>
      </c>
      <c r="L128" s="12">
        <f t="shared" si="15"/>
        <v>1071.4285714285716</v>
      </c>
      <c r="M128" s="8">
        <v>1</v>
      </c>
      <c r="N128" s="8" t="s">
        <v>27</v>
      </c>
      <c r="O128" s="13" t="str">
        <f t="shared" si="16"/>
        <v>BLANCO</v>
      </c>
      <c r="P128" s="14">
        <v>0.2</v>
      </c>
      <c r="Q128" s="15">
        <v>0.3</v>
      </c>
      <c r="R128" s="16" t="str">
        <f t="shared" si="11"/>
        <v>AMX</v>
      </c>
      <c r="S128" s="17"/>
      <c r="T128" s="10" t="str">
        <f t="shared" si="17"/>
        <v xml:space="preserve">PANTALLA TÁCTIL DE 4.3" DE MONTAJE SOBRE PONER EN COLOR NEGRO. </v>
      </c>
    </row>
    <row r="129" spans="1:28" ht="27" customHeight="1" x14ac:dyDescent="0.25">
      <c r="A129" s="8" t="s">
        <v>183</v>
      </c>
      <c r="B129" s="9" t="s">
        <v>183</v>
      </c>
      <c r="C129" s="9"/>
      <c r="D129" s="8" t="s">
        <v>268</v>
      </c>
      <c r="E129" s="8">
        <v>49</v>
      </c>
      <c r="F129" s="8" t="s">
        <v>22</v>
      </c>
      <c r="G129" s="10" t="s">
        <v>395</v>
      </c>
      <c r="H129" s="8" t="s">
        <v>396</v>
      </c>
      <c r="I129" s="10" t="s">
        <v>395</v>
      </c>
      <c r="J129" s="11" t="s">
        <v>26</v>
      </c>
      <c r="K129" s="18">
        <v>625</v>
      </c>
      <c r="L129" s="12">
        <f t="shared" si="15"/>
        <v>1071.4285714285716</v>
      </c>
      <c r="M129" s="8">
        <v>1</v>
      </c>
      <c r="N129" s="8" t="s">
        <v>27</v>
      </c>
      <c r="O129" s="13" t="str">
        <f t="shared" si="16"/>
        <v>BLANCO</v>
      </c>
      <c r="P129" s="14">
        <v>0.2</v>
      </c>
      <c r="Q129" s="15">
        <v>0.3</v>
      </c>
      <c r="R129" s="16" t="str">
        <f t="shared" ref="R129:R192" si="18">A129</f>
        <v>AMX</v>
      </c>
      <c r="S129" s="17"/>
      <c r="T129" s="10" t="str">
        <f t="shared" si="17"/>
        <v xml:space="preserve">PANTALLA TÁCTIL DE 4.3" DE MONTAJE SOBRE PONER EN COLOR BLANCO. </v>
      </c>
    </row>
    <row r="130" spans="1:28" ht="27" customHeight="1" x14ac:dyDescent="0.25">
      <c r="A130" s="8" t="s">
        <v>183</v>
      </c>
      <c r="B130" s="9" t="s">
        <v>183</v>
      </c>
      <c r="C130" s="9"/>
      <c r="D130" s="8" t="s">
        <v>268</v>
      </c>
      <c r="E130" s="8">
        <v>50</v>
      </c>
      <c r="F130" s="8" t="s">
        <v>22</v>
      </c>
      <c r="G130" s="10" t="s">
        <v>393</v>
      </c>
      <c r="H130" s="8" t="s">
        <v>397</v>
      </c>
      <c r="I130" s="10" t="s">
        <v>398</v>
      </c>
      <c r="J130" s="11" t="s">
        <v>26</v>
      </c>
      <c r="K130" s="18">
        <v>497.5</v>
      </c>
      <c r="L130" s="12">
        <f t="shared" si="15"/>
        <v>852.85714285714289</v>
      </c>
      <c r="M130" s="8">
        <v>1</v>
      </c>
      <c r="N130" s="8" t="s">
        <v>27</v>
      </c>
      <c r="O130" s="13" t="str">
        <f t="shared" si="16"/>
        <v>BLANCO</v>
      </c>
      <c r="P130" s="14">
        <v>0.2</v>
      </c>
      <c r="Q130" s="15">
        <v>0.3</v>
      </c>
      <c r="R130" s="16" t="str">
        <f t="shared" si="18"/>
        <v>AMX</v>
      </c>
      <c r="S130" s="17"/>
      <c r="T130" s="10" t="str">
        <f t="shared" si="17"/>
        <v xml:space="preserve">PANTALLA TÁCTIL DE 4.3" DE MONTAJE SOBRE PONER EN COLOR NEGRO. </v>
      </c>
    </row>
    <row r="131" spans="1:28" ht="27" customHeight="1" x14ac:dyDescent="0.25">
      <c r="A131" s="8" t="s">
        <v>183</v>
      </c>
      <c r="B131" s="9" t="s">
        <v>183</v>
      </c>
      <c r="C131" s="9"/>
      <c r="D131" s="8" t="s">
        <v>268</v>
      </c>
      <c r="E131" s="8">
        <v>51</v>
      </c>
      <c r="F131" s="8" t="s">
        <v>22</v>
      </c>
      <c r="G131" s="10" t="s">
        <v>395</v>
      </c>
      <c r="H131" s="8" t="s">
        <v>399</v>
      </c>
      <c r="I131" s="10" t="s">
        <v>400</v>
      </c>
      <c r="J131" s="11" t="s">
        <v>26</v>
      </c>
      <c r="K131" s="18">
        <v>497.5</v>
      </c>
      <c r="L131" s="12">
        <f t="shared" si="15"/>
        <v>852.85714285714289</v>
      </c>
      <c r="M131" s="8">
        <v>1</v>
      </c>
      <c r="N131" s="8" t="s">
        <v>27</v>
      </c>
      <c r="O131" s="13" t="str">
        <f t="shared" si="16"/>
        <v>BLANCO</v>
      </c>
      <c r="P131" s="14">
        <v>0.2</v>
      </c>
      <c r="Q131" s="15">
        <v>0.3</v>
      </c>
      <c r="R131" s="16" t="str">
        <f t="shared" si="18"/>
        <v>AMX</v>
      </c>
      <c r="S131" s="17"/>
      <c r="T131" s="10" t="str">
        <f t="shared" si="17"/>
        <v xml:space="preserve">PANTALLA TÁCTIL DE 4.3" DE MONTAJE SOBRE PONER EN COLOR BLANCO. </v>
      </c>
    </row>
    <row r="132" spans="1:28" ht="27" customHeight="1" x14ac:dyDescent="0.25">
      <c r="A132" s="8" t="s">
        <v>183</v>
      </c>
      <c r="B132" s="9" t="s">
        <v>183</v>
      </c>
      <c r="C132" s="9"/>
      <c r="D132" s="8" t="s">
        <v>268</v>
      </c>
      <c r="E132" s="8">
        <v>52</v>
      </c>
      <c r="F132" s="8" t="s">
        <v>22</v>
      </c>
      <c r="G132" s="10" t="s">
        <v>401</v>
      </c>
      <c r="H132" s="8" t="s">
        <v>402</v>
      </c>
      <c r="I132" s="10" t="s">
        <v>403</v>
      </c>
      <c r="J132" s="11" t="s">
        <v>26</v>
      </c>
      <c r="K132" s="18">
        <v>495</v>
      </c>
      <c r="L132" s="12">
        <f t="shared" si="15"/>
        <v>848.57142857142867</v>
      </c>
      <c r="M132" s="8">
        <v>1</v>
      </c>
      <c r="N132" s="8" t="s">
        <v>27</v>
      </c>
      <c r="O132" s="13" t="str">
        <f t="shared" si="16"/>
        <v>BLANCO</v>
      </c>
      <c r="P132" s="14">
        <v>0.2</v>
      </c>
      <c r="Q132" s="15">
        <v>0.3</v>
      </c>
      <c r="R132" s="16" t="str">
        <f t="shared" si="18"/>
        <v>AMX</v>
      </c>
      <c r="S132" s="17"/>
      <c r="T132" s="10" t="str">
        <f t="shared" si="17"/>
        <v>PANTALLA TÁCTIL VIRTUAL PARA ACCESO DESDE 3 EQUIPOS EN SIMULTANEA.</v>
      </c>
      <c r="AB132" s="112">
        <v>1</v>
      </c>
    </row>
    <row r="133" spans="1:28" ht="27" customHeight="1" x14ac:dyDescent="0.25">
      <c r="A133" s="8" t="s">
        <v>183</v>
      </c>
      <c r="B133" s="9" t="s">
        <v>183</v>
      </c>
      <c r="C133" s="9"/>
      <c r="D133" s="8" t="s">
        <v>268</v>
      </c>
      <c r="E133" s="8">
        <v>53</v>
      </c>
      <c r="F133" s="8" t="s">
        <v>22</v>
      </c>
      <c r="G133" s="10" t="s">
        <v>404</v>
      </c>
      <c r="H133" s="8" t="s">
        <v>405</v>
      </c>
      <c r="I133" s="10" t="s">
        <v>404</v>
      </c>
      <c r="J133" s="11" t="s">
        <v>26</v>
      </c>
      <c r="K133" s="18">
        <v>4000</v>
      </c>
      <c r="L133" s="12">
        <f t="shared" si="15"/>
        <v>6857.1428571428578</v>
      </c>
      <c r="M133" s="8">
        <v>1</v>
      </c>
      <c r="N133" s="8" t="s">
        <v>27</v>
      </c>
      <c r="O133" s="13" t="str">
        <f t="shared" si="16"/>
        <v>BLANCO</v>
      </c>
      <c r="P133" s="14">
        <v>0.2</v>
      </c>
      <c r="Q133" s="15">
        <v>0.3</v>
      </c>
      <c r="R133" s="16" t="str">
        <f t="shared" si="18"/>
        <v>AMX</v>
      </c>
      <c r="S133" s="17"/>
      <c r="T133" s="10" t="str">
        <f t="shared" si="17"/>
        <v>PROCESADOR DE IMAGEN PARA DOS SALIDAS EN SIMULTANEA</v>
      </c>
    </row>
    <row r="134" spans="1:28" ht="27" customHeight="1" x14ac:dyDescent="0.25">
      <c r="A134" s="8" t="s">
        <v>183</v>
      </c>
      <c r="B134" s="9" t="s">
        <v>183</v>
      </c>
      <c r="C134" s="9"/>
      <c r="D134" s="8" t="s">
        <v>268</v>
      </c>
      <c r="E134" s="8">
        <v>54</v>
      </c>
      <c r="F134" s="8" t="s">
        <v>22</v>
      </c>
      <c r="G134" s="10" t="s">
        <v>406</v>
      </c>
      <c r="H134" s="8" t="s">
        <v>407</v>
      </c>
      <c r="I134" s="10" t="s">
        <v>406</v>
      </c>
      <c r="J134" s="11" t="s">
        <v>26</v>
      </c>
      <c r="K134" s="18">
        <v>5500</v>
      </c>
      <c r="L134" s="12">
        <f t="shared" si="15"/>
        <v>9428.5714285714294</v>
      </c>
      <c r="M134" s="8">
        <v>1</v>
      </c>
      <c r="N134" s="8" t="s">
        <v>27</v>
      </c>
      <c r="O134" s="13" t="str">
        <f t="shared" si="16"/>
        <v>BLANCO</v>
      </c>
      <c r="P134" s="14">
        <v>0.2</v>
      </c>
      <c r="Q134" s="15">
        <v>0.3</v>
      </c>
      <c r="R134" s="16" t="str">
        <f t="shared" si="18"/>
        <v>AMX</v>
      </c>
      <c r="S134" s="17"/>
      <c r="T134" s="10" t="str">
        <f t="shared" si="17"/>
        <v>PROCESADOR DE IMAGEN PARA 4 SALIDAS EN SIMULTANEA</v>
      </c>
    </row>
    <row r="135" spans="1:28" ht="27" customHeight="1" x14ac:dyDescent="0.25">
      <c r="A135" s="8" t="s">
        <v>183</v>
      </c>
      <c r="B135" s="9" t="s">
        <v>183</v>
      </c>
      <c r="C135" s="9"/>
      <c r="D135" s="8" t="s">
        <v>408</v>
      </c>
      <c r="E135" s="8">
        <v>1</v>
      </c>
      <c r="F135" s="8" t="s">
        <v>22</v>
      </c>
      <c r="G135" s="10" t="s">
        <v>409</v>
      </c>
      <c r="H135" s="8" t="s">
        <v>410</v>
      </c>
      <c r="I135" s="10" t="s">
        <v>409</v>
      </c>
      <c r="J135" s="11" t="s">
        <v>26</v>
      </c>
      <c r="K135" s="18">
        <v>300</v>
      </c>
      <c r="L135" s="12">
        <f t="shared" si="15"/>
        <v>514.28571428571433</v>
      </c>
      <c r="M135" s="8">
        <v>1</v>
      </c>
      <c r="N135" s="8" t="s">
        <v>27</v>
      </c>
      <c r="O135" s="13" t="str">
        <f t="shared" si="16"/>
        <v>BLANCO</v>
      </c>
      <c r="P135" s="14">
        <v>0.2</v>
      </c>
      <c r="Q135" s="15">
        <v>0.3</v>
      </c>
      <c r="R135" s="16" t="str">
        <f t="shared" si="18"/>
        <v>AMX</v>
      </c>
      <c r="S135" s="17"/>
      <c r="T135" s="10" t="str">
        <f t="shared" si="17"/>
        <v>MODULO CON 8 PUERTOS DE ENTRADA SALIDA, COMPATIBLE CON SISTEMAS DE CONTROL AMX.</v>
      </c>
    </row>
    <row r="136" spans="1:28" ht="27" customHeight="1" x14ac:dyDescent="0.25">
      <c r="A136" s="8" t="s">
        <v>183</v>
      </c>
      <c r="B136" s="9" t="s">
        <v>183</v>
      </c>
      <c r="C136" s="9"/>
      <c r="D136" s="8" t="s">
        <v>411</v>
      </c>
      <c r="E136" s="8">
        <v>1</v>
      </c>
      <c r="F136" s="8" t="s">
        <v>22</v>
      </c>
      <c r="G136" s="10" t="s">
        <v>412</v>
      </c>
      <c r="H136" s="8" t="s">
        <v>413</v>
      </c>
      <c r="I136" s="10" t="s">
        <v>414</v>
      </c>
      <c r="J136" s="11" t="s">
        <v>26</v>
      </c>
      <c r="K136" s="18">
        <v>1000</v>
      </c>
      <c r="L136" s="12">
        <f t="shared" si="15"/>
        <v>1714.2857142857144</v>
      </c>
      <c r="M136" s="8">
        <v>1</v>
      </c>
      <c r="N136" s="8" t="s">
        <v>27</v>
      </c>
      <c r="O136" s="13" t="str">
        <f t="shared" si="16"/>
        <v>BLANCO</v>
      </c>
      <c r="P136" s="14">
        <v>0.2</v>
      </c>
      <c r="Q136" s="15">
        <v>0.3</v>
      </c>
      <c r="R136" s="16" t="str">
        <f t="shared" si="18"/>
        <v>AMX</v>
      </c>
      <c r="S136" s="17"/>
      <c r="T136" s="10" t="str">
        <f t="shared" si="17"/>
        <v>PROCESADOR DE DIGITAL SIGNAGE CON RESOLUCIÓN DE 720P.</v>
      </c>
    </row>
    <row r="137" spans="1:28" ht="27" customHeight="1" x14ac:dyDescent="0.25">
      <c r="A137" s="8" t="s">
        <v>183</v>
      </c>
      <c r="B137" s="9" t="s">
        <v>183</v>
      </c>
      <c r="C137" s="9"/>
      <c r="D137" s="8" t="s">
        <v>268</v>
      </c>
      <c r="E137" s="8">
        <v>55</v>
      </c>
      <c r="F137" s="8" t="s">
        <v>22</v>
      </c>
      <c r="G137" s="10" t="s">
        <v>415</v>
      </c>
      <c r="H137" s="8" t="s">
        <v>416</v>
      </c>
      <c r="I137" s="10" t="s">
        <v>415</v>
      </c>
      <c r="J137" s="11" t="s">
        <v>26</v>
      </c>
      <c r="K137" s="18"/>
      <c r="L137" s="12">
        <f t="shared" si="15"/>
        <v>0</v>
      </c>
      <c r="M137" s="8">
        <v>1</v>
      </c>
      <c r="N137" s="8" t="s">
        <v>27</v>
      </c>
      <c r="O137" s="13" t="str">
        <f t="shared" si="16"/>
        <v>BLANCO</v>
      </c>
      <c r="P137" s="14"/>
      <c r="Q137" s="15">
        <v>0.3</v>
      </c>
      <c r="R137" s="16" t="str">
        <f t="shared" si="18"/>
        <v>AMX</v>
      </c>
      <c r="S137" s="17"/>
      <c r="T137" s="10" t="str">
        <f t="shared" si="17"/>
        <v>PANEL DE 5" CON RESOLUCIÓN 800x480, EN FORMATO 16:9</v>
      </c>
    </row>
    <row r="138" spans="1:28" ht="27" customHeight="1" x14ac:dyDescent="0.25">
      <c r="A138" s="8" t="s">
        <v>183</v>
      </c>
      <c r="B138" s="9" t="s">
        <v>183</v>
      </c>
      <c r="C138" s="9"/>
      <c r="D138" s="8" t="s">
        <v>208</v>
      </c>
      <c r="E138" s="8">
        <v>2</v>
      </c>
      <c r="F138" s="8" t="s">
        <v>22</v>
      </c>
      <c r="G138" s="10" t="s">
        <v>417</v>
      </c>
      <c r="H138" s="8" t="s">
        <v>418</v>
      </c>
      <c r="I138" s="10" t="s">
        <v>417</v>
      </c>
      <c r="J138" s="11" t="s">
        <v>26</v>
      </c>
      <c r="K138" s="18">
        <v>75</v>
      </c>
      <c r="L138" s="12">
        <f t="shared" si="15"/>
        <v>107.14285714285715</v>
      </c>
      <c r="M138" s="8">
        <v>1</v>
      </c>
      <c r="N138" s="8" t="s">
        <v>27</v>
      </c>
      <c r="O138" s="13" t="str">
        <f t="shared" si="16"/>
        <v>BLANCO</v>
      </c>
      <c r="P138" s="14"/>
      <c r="Q138" s="15">
        <v>0.3</v>
      </c>
      <c r="R138" s="16" t="str">
        <f t="shared" si="18"/>
        <v>AMX</v>
      </c>
      <c r="S138" s="17"/>
      <c r="T138" s="10" t="str">
        <f t="shared" si="17"/>
        <v>FUENTE DE ALIMENTACIÓN DE 4.4 AMPERIOS, 13.5 VDC, CONECTOR PHOENIX.</v>
      </c>
    </row>
    <row r="139" spans="1:28" ht="27" customHeight="1" x14ac:dyDescent="0.25">
      <c r="A139" s="8" t="s">
        <v>183</v>
      </c>
      <c r="B139" s="9" t="s">
        <v>183</v>
      </c>
      <c r="C139" s="9"/>
      <c r="D139" s="8" t="s">
        <v>208</v>
      </c>
      <c r="E139" s="8">
        <v>2</v>
      </c>
      <c r="F139" s="8" t="s">
        <v>22</v>
      </c>
      <c r="G139" s="10" t="s">
        <v>419</v>
      </c>
      <c r="H139" s="8" t="s">
        <v>420</v>
      </c>
      <c r="I139" s="10" t="s">
        <v>421</v>
      </c>
      <c r="J139" s="11" t="s">
        <v>26</v>
      </c>
      <c r="K139" s="18">
        <f>9850*0.7</f>
        <v>6895</v>
      </c>
      <c r="L139" s="12">
        <f t="shared" si="15"/>
        <v>9850</v>
      </c>
      <c r="M139" s="8">
        <v>1</v>
      </c>
      <c r="N139" s="8" t="s">
        <v>27</v>
      </c>
      <c r="O139" s="13" t="str">
        <f t="shared" si="16"/>
        <v>BLANCO</v>
      </c>
      <c r="P139" s="14"/>
      <c r="Q139" s="15">
        <v>0.3</v>
      </c>
      <c r="R139" s="16" t="str">
        <f t="shared" si="18"/>
        <v>AMX</v>
      </c>
      <c r="S139" s="17"/>
      <c r="T139" s="10" t="str">
        <f t="shared" si="17"/>
        <v>CONTROLADORA Y MATRIZ TODO EN UNO PARA EL MANEJO DE HASTA 6 SEÑALES DE ENTRADA.</v>
      </c>
    </row>
    <row r="140" spans="1:28" ht="27" customHeight="1" x14ac:dyDescent="0.25">
      <c r="A140" s="8" t="s">
        <v>183</v>
      </c>
      <c r="B140" s="9" t="s">
        <v>183</v>
      </c>
      <c r="C140" s="9"/>
      <c r="D140" s="8" t="s">
        <v>208</v>
      </c>
      <c r="E140" s="8">
        <v>2</v>
      </c>
      <c r="F140" s="8" t="s">
        <v>22</v>
      </c>
      <c r="G140" s="10" t="s">
        <v>422</v>
      </c>
      <c r="H140" s="8" t="s">
        <v>407</v>
      </c>
      <c r="I140" s="10" t="s">
        <v>422</v>
      </c>
      <c r="J140" s="11" t="s">
        <v>26</v>
      </c>
      <c r="K140" s="18">
        <f>11000*0.7</f>
        <v>7699.9999999999991</v>
      </c>
      <c r="L140" s="12">
        <f t="shared" si="15"/>
        <v>11000</v>
      </c>
      <c r="M140" s="8">
        <v>1</v>
      </c>
      <c r="N140" s="8" t="s">
        <v>27</v>
      </c>
      <c r="O140" s="13" t="str">
        <f t="shared" si="16"/>
        <v>BLANCO</v>
      </c>
      <c r="P140" s="14"/>
      <c r="Q140" s="15">
        <v>0.3</v>
      </c>
      <c r="R140" s="16" t="str">
        <f t="shared" si="18"/>
        <v>AMX</v>
      </c>
      <c r="S140" s="17"/>
      <c r="T140" s="10" t="str">
        <f t="shared" si="17"/>
        <v>MULTIPLEXOR DE 4 ENTRADAS PARA PRESENTACIÓN SIMULTANEA HD</v>
      </c>
    </row>
    <row r="141" spans="1:28" ht="27" customHeight="1" x14ac:dyDescent="0.25">
      <c r="A141" s="8" t="s">
        <v>183</v>
      </c>
      <c r="B141" s="9"/>
      <c r="C141" s="9"/>
      <c r="D141" s="8"/>
      <c r="E141" s="8"/>
      <c r="F141" s="8" t="s">
        <v>22</v>
      </c>
      <c r="G141" s="10" t="s">
        <v>423</v>
      </c>
      <c r="H141" s="8" t="s">
        <v>424</v>
      </c>
      <c r="I141" s="10" t="s">
        <v>425</v>
      </c>
      <c r="J141" s="11" t="s">
        <v>26</v>
      </c>
      <c r="K141" s="18">
        <f>350*0.7</f>
        <v>244.99999999999997</v>
      </c>
      <c r="L141" s="12">
        <f t="shared" si="15"/>
        <v>350</v>
      </c>
      <c r="M141" s="8">
        <v>1</v>
      </c>
      <c r="N141" s="8" t="s">
        <v>27</v>
      </c>
      <c r="O141" s="13" t="str">
        <f t="shared" si="16"/>
        <v>BLANCO</v>
      </c>
      <c r="P141" s="14"/>
      <c r="Q141" s="15">
        <v>0.3</v>
      </c>
      <c r="R141" s="16" t="str">
        <f t="shared" si="18"/>
        <v>AMX</v>
      </c>
      <c r="S141" s="17"/>
      <c r="T141" s="10" t="str">
        <f t="shared" si="17"/>
        <v>MODULO TIPO GROMMET PARA INTEGRACIÓN DE DISPOSITIVOS.</v>
      </c>
      <c r="AB141" s="112">
        <v>1</v>
      </c>
    </row>
    <row r="142" spans="1:28" ht="27" customHeight="1" x14ac:dyDescent="0.25">
      <c r="A142" s="8" t="s">
        <v>183</v>
      </c>
      <c r="B142" s="9"/>
      <c r="C142" s="9"/>
      <c r="D142" s="8"/>
      <c r="E142" s="8"/>
      <c r="F142" s="8" t="s">
        <v>22</v>
      </c>
      <c r="G142" s="10" t="s">
        <v>426</v>
      </c>
      <c r="H142" s="8" t="s">
        <v>427</v>
      </c>
      <c r="I142" s="10" t="s">
        <v>426</v>
      </c>
      <c r="J142" s="11" t="s">
        <v>26</v>
      </c>
      <c r="K142" s="18">
        <f>295*0.7</f>
        <v>206.5</v>
      </c>
      <c r="L142" s="12">
        <f t="shared" si="15"/>
        <v>295</v>
      </c>
      <c r="M142" s="8">
        <v>1</v>
      </c>
      <c r="N142" s="8" t="s">
        <v>27</v>
      </c>
      <c r="O142" s="13" t="str">
        <f t="shared" si="16"/>
        <v>BLANCO</v>
      </c>
      <c r="P142" s="14"/>
      <c r="Q142" s="15">
        <v>0.3</v>
      </c>
      <c r="R142" s="16" t="str">
        <f t="shared" si="18"/>
        <v>AMX</v>
      </c>
      <c r="S142" s="17"/>
      <c r="T142" s="10" t="str">
        <f t="shared" si="17"/>
        <v>CABLE VGA RETRÁCTIL PARA INSTALACIÓN EN GROMMET.</v>
      </c>
    </row>
    <row r="143" spans="1:28" ht="27" customHeight="1" x14ac:dyDescent="0.25">
      <c r="A143" s="8" t="s">
        <v>183</v>
      </c>
      <c r="B143" s="9"/>
      <c r="C143" s="9"/>
      <c r="D143" s="8"/>
      <c r="E143" s="8"/>
      <c r="F143" s="8" t="s">
        <v>22</v>
      </c>
      <c r="G143" s="10" t="s">
        <v>428</v>
      </c>
      <c r="H143" s="8" t="s">
        <v>429</v>
      </c>
      <c r="I143" s="10" t="s">
        <v>428</v>
      </c>
      <c r="J143" s="11" t="s">
        <v>26</v>
      </c>
      <c r="K143" s="18">
        <f>80*0.7</f>
        <v>56</v>
      </c>
      <c r="L143" s="12">
        <f t="shared" si="15"/>
        <v>80</v>
      </c>
      <c r="M143" s="8">
        <v>1</v>
      </c>
      <c r="N143" s="8" t="s">
        <v>27</v>
      </c>
      <c r="O143" s="13" t="str">
        <f t="shared" si="16"/>
        <v>BLANCO</v>
      </c>
      <c r="P143" s="14"/>
      <c r="Q143" s="15">
        <v>0.3</v>
      </c>
      <c r="R143" s="16" t="str">
        <f t="shared" si="18"/>
        <v>AMX</v>
      </c>
      <c r="S143" s="17"/>
      <c r="T143" s="10" t="str">
        <f t="shared" si="17"/>
        <v>MODULO DE SALIDAS USB DOBLES</v>
      </c>
    </row>
    <row r="144" spans="1:28" ht="27" customHeight="1" x14ac:dyDescent="0.25">
      <c r="A144" s="8" t="s">
        <v>183</v>
      </c>
      <c r="B144" s="9"/>
      <c r="C144" s="9"/>
      <c r="D144" s="8"/>
      <c r="E144" s="8"/>
      <c r="F144" s="8" t="s">
        <v>22</v>
      </c>
      <c r="G144" s="10" t="s">
        <v>430</v>
      </c>
      <c r="H144" s="8" t="s">
        <v>431</v>
      </c>
      <c r="I144" s="10" t="s">
        <v>430</v>
      </c>
      <c r="J144" s="11" t="s">
        <v>26</v>
      </c>
      <c r="K144" s="18">
        <f>140*0.7</f>
        <v>98</v>
      </c>
      <c r="L144" s="12">
        <f t="shared" si="15"/>
        <v>140</v>
      </c>
      <c r="M144" s="8">
        <v>1</v>
      </c>
      <c r="N144" s="8" t="s">
        <v>27</v>
      </c>
      <c r="O144" s="13" t="str">
        <f t="shared" si="16"/>
        <v>BLANCO</v>
      </c>
      <c r="P144" s="14"/>
      <c r="Q144" s="15">
        <v>0.3</v>
      </c>
      <c r="R144" s="16" t="str">
        <f t="shared" si="18"/>
        <v>AMX</v>
      </c>
      <c r="S144" s="17"/>
      <c r="T144" s="10" t="str">
        <f t="shared" si="17"/>
        <v>MODULO DE CONEXIÓN A CORRIENTE</v>
      </c>
    </row>
    <row r="145" spans="1:20" ht="27" customHeight="1" x14ac:dyDescent="0.25">
      <c r="A145" s="8" t="s">
        <v>183</v>
      </c>
      <c r="B145" s="9"/>
      <c r="C145" s="9"/>
      <c r="D145" s="8"/>
      <c r="E145" s="8"/>
      <c r="F145" s="8" t="s">
        <v>22</v>
      </c>
      <c r="G145" s="10" t="s">
        <v>432</v>
      </c>
      <c r="H145" s="8" t="s">
        <v>433</v>
      </c>
      <c r="I145" s="10" t="s">
        <v>432</v>
      </c>
      <c r="J145" s="11" t="s">
        <v>26</v>
      </c>
      <c r="K145" s="18">
        <f>78*0.7</f>
        <v>54.599999999999994</v>
      </c>
      <c r="L145" s="12">
        <f t="shared" si="15"/>
        <v>78</v>
      </c>
      <c r="M145" s="8">
        <v>1</v>
      </c>
      <c r="N145" s="8" t="s">
        <v>27</v>
      </c>
      <c r="O145" s="13" t="str">
        <f t="shared" si="16"/>
        <v>BLANCO</v>
      </c>
      <c r="P145" s="14"/>
      <c r="Q145" s="15">
        <v>0.3</v>
      </c>
      <c r="R145" s="16" t="str">
        <f t="shared" si="18"/>
        <v>AMX</v>
      </c>
      <c r="S145" s="17"/>
      <c r="T145" s="10" t="str">
        <f t="shared" si="17"/>
        <v>MODULO PARA DOS CONECTORES RJ45 CAT 6</v>
      </c>
    </row>
    <row r="146" spans="1:20" ht="27" customHeight="1" x14ac:dyDescent="0.25">
      <c r="A146" s="8" t="s">
        <v>183</v>
      </c>
      <c r="B146" s="9"/>
      <c r="C146" s="9"/>
      <c r="D146" s="8"/>
      <c r="E146" s="8"/>
      <c r="F146" s="8" t="s">
        <v>22</v>
      </c>
      <c r="G146" s="10" t="s">
        <v>434</v>
      </c>
      <c r="H146" s="8" t="s">
        <v>435</v>
      </c>
      <c r="I146" s="10" t="s">
        <v>434</v>
      </c>
      <c r="J146" s="11" t="s">
        <v>26</v>
      </c>
      <c r="K146" s="18">
        <f>16*0.7</f>
        <v>11.2</v>
      </c>
      <c r="L146" s="12">
        <f t="shared" si="15"/>
        <v>16</v>
      </c>
      <c r="M146" s="8">
        <v>1</v>
      </c>
      <c r="N146" s="8" t="s">
        <v>27</v>
      </c>
      <c r="O146" s="13" t="str">
        <f t="shared" si="16"/>
        <v>BLANCO</v>
      </c>
      <c r="P146" s="14"/>
      <c r="Q146" s="15">
        <v>0.3</v>
      </c>
      <c r="R146" s="16" t="str">
        <f t="shared" si="18"/>
        <v>AMX</v>
      </c>
      <c r="S146" s="17"/>
      <c r="T146" s="10" t="str">
        <f t="shared" si="17"/>
        <v>MODULO SENCILLO DE TAPA CIEGA</v>
      </c>
    </row>
    <row r="147" spans="1:20" ht="27" customHeight="1" x14ac:dyDescent="0.25">
      <c r="A147" s="8" t="s">
        <v>183</v>
      </c>
      <c r="B147" s="9"/>
      <c r="C147" s="9"/>
      <c r="D147" s="8"/>
      <c r="E147" s="8"/>
      <c r="F147" s="8" t="s">
        <v>22</v>
      </c>
      <c r="G147" s="10" t="s">
        <v>436</v>
      </c>
      <c r="H147" s="8" t="s">
        <v>437</v>
      </c>
      <c r="I147" s="10" t="s">
        <v>436</v>
      </c>
      <c r="J147" s="11" t="s">
        <v>26</v>
      </c>
      <c r="K147" s="18">
        <f>295*0.7</f>
        <v>206.5</v>
      </c>
      <c r="L147" s="12">
        <f t="shared" si="15"/>
        <v>295</v>
      </c>
      <c r="M147" s="8">
        <v>1</v>
      </c>
      <c r="N147" s="8" t="s">
        <v>27</v>
      </c>
      <c r="O147" s="13" t="str">
        <f t="shared" si="16"/>
        <v>BLANCO</v>
      </c>
      <c r="P147" s="14"/>
      <c r="Q147" s="15">
        <v>0.3</v>
      </c>
      <c r="R147" s="16" t="str">
        <f t="shared" si="18"/>
        <v>AMX</v>
      </c>
      <c r="S147" s="17"/>
      <c r="T147" s="10" t="str">
        <f t="shared" si="17"/>
        <v>MODULO DE CABLE RETRÁCTIL HDMI</v>
      </c>
    </row>
    <row r="148" spans="1:20" ht="27" customHeight="1" x14ac:dyDescent="0.25">
      <c r="A148" s="8" t="s">
        <v>183</v>
      </c>
      <c r="B148" s="9"/>
      <c r="C148" s="9"/>
      <c r="D148" s="8"/>
      <c r="E148" s="8"/>
      <c r="F148" s="8" t="s">
        <v>22</v>
      </c>
      <c r="G148" s="10" t="s">
        <v>438</v>
      </c>
      <c r="H148" s="8" t="s">
        <v>439</v>
      </c>
      <c r="I148" s="10" t="s">
        <v>438</v>
      </c>
      <c r="J148" s="11" t="s">
        <v>26</v>
      </c>
      <c r="K148" s="18">
        <v>1350</v>
      </c>
      <c r="L148" s="12">
        <f t="shared" ref="L148:L158" si="19">IF(J148="P",ROUNDUP(K148/(1-Q148),-2),K148*(1+P148)/(1-Q148))</f>
        <v>1928.5714285714287</v>
      </c>
      <c r="M148" s="8">
        <v>1</v>
      </c>
      <c r="N148" s="8" t="s">
        <v>27</v>
      </c>
      <c r="O148" s="13" t="str">
        <f t="shared" ref="O148:O177" si="20">F148</f>
        <v>BLANCO</v>
      </c>
      <c r="P148" s="14"/>
      <c r="Q148" s="15">
        <v>0.3</v>
      </c>
      <c r="R148" s="16" t="str">
        <f t="shared" si="18"/>
        <v>AMX</v>
      </c>
      <c r="S148" s="17"/>
      <c r="T148" s="10" t="str">
        <f t="shared" ref="T148:T177" si="21">G148</f>
        <v>SWITCH MULTIFORMATO CON SALIDA DIGITAL DE 5 ENTRADAS, 3 HDMI Y 2 VGA.</v>
      </c>
    </row>
    <row r="149" spans="1:20" ht="27" customHeight="1" x14ac:dyDescent="0.25">
      <c r="A149" s="8" t="s">
        <v>183</v>
      </c>
      <c r="B149" s="9"/>
      <c r="C149" s="9"/>
      <c r="D149" s="8"/>
      <c r="E149" s="8"/>
      <c r="F149" s="8" t="s">
        <v>22</v>
      </c>
      <c r="G149" s="10" t="s">
        <v>440</v>
      </c>
      <c r="H149" s="8" t="s">
        <v>441</v>
      </c>
      <c r="I149" s="10" t="s">
        <v>440</v>
      </c>
      <c r="J149" s="11" t="s">
        <v>26</v>
      </c>
      <c r="K149" s="18">
        <f>600*0.6</f>
        <v>360</v>
      </c>
      <c r="L149" s="12">
        <f t="shared" si="19"/>
        <v>514.28571428571433</v>
      </c>
      <c r="M149" s="8">
        <v>1</v>
      </c>
      <c r="N149" s="8" t="s">
        <v>27</v>
      </c>
      <c r="O149" s="13" t="str">
        <f t="shared" si="20"/>
        <v>BLANCO</v>
      </c>
      <c r="P149" s="14"/>
      <c r="Q149" s="15">
        <v>0.3</v>
      </c>
      <c r="R149" s="16" t="str">
        <f t="shared" si="18"/>
        <v>AMX</v>
      </c>
      <c r="S149" s="17"/>
      <c r="T149" s="10" t="str">
        <f t="shared" si="21"/>
        <v>TARJETA DE INTEGRACIÓN DE 8 RELEVOS</v>
      </c>
    </row>
    <row r="150" spans="1:20" ht="27" customHeight="1" x14ac:dyDescent="0.25">
      <c r="A150" s="8" t="s">
        <v>183</v>
      </c>
      <c r="B150" s="9"/>
      <c r="C150" s="9"/>
      <c r="D150" s="8"/>
      <c r="E150" s="8"/>
      <c r="F150" s="8" t="s">
        <v>22</v>
      </c>
      <c r="G150" s="10" t="s">
        <v>423</v>
      </c>
      <c r="H150" s="8" t="s">
        <v>442</v>
      </c>
      <c r="I150" s="10" t="s">
        <v>425</v>
      </c>
      <c r="J150" s="11" t="s">
        <v>26</v>
      </c>
      <c r="K150" s="18">
        <v>450</v>
      </c>
      <c r="L150" s="12">
        <f t="shared" si="19"/>
        <v>642.85714285714289</v>
      </c>
      <c r="M150" s="8">
        <v>1</v>
      </c>
      <c r="N150" s="8" t="s">
        <v>27</v>
      </c>
      <c r="O150" s="13" t="str">
        <f t="shared" si="20"/>
        <v>BLANCO</v>
      </c>
      <c r="P150" s="14"/>
      <c r="Q150" s="15">
        <v>0.3</v>
      </c>
      <c r="R150" s="16" t="str">
        <f t="shared" si="18"/>
        <v>AMX</v>
      </c>
      <c r="S150" s="17"/>
      <c r="T150" s="10" t="str">
        <f t="shared" si="21"/>
        <v>MODULO TIPO GROMMET PARA INTEGRACIÓN DE DISPOSITIVOS.</v>
      </c>
    </row>
    <row r="151" spans="1:20" ht="27" customHeight="1" x14ac:dyDescent="0.25">
      <c r="A151" s="8" t="s">
        <v>183</v>
      </c>
      <c r="B151" s="9"/>
      <c r="C151" s="9"/>
      <c r="D151" s="8"/>
      <c r="E151" s="8"/>
      <c r="F151" s="8" t="s">
        <v>22</v>
      </c>
      <c r="G151" s="10" t="s">
        <v>443</v>
      </c>
      <c r="H151" s="8" t="s">
        <v>444</v>
      </c>
      <c r="I151" s="10" t="s">
        <v>443</v>
      </c>
      <c r="J151" s="11" t="s">
        <v>26</v>
      </c>
      <c r="K151" s="18">
        <f>130*0.6</f>
        <v>78</v>
      </c>
      <c r="L151" s="12">
        <f t="shared" si="19"/>
        <v>111.42857142857143</v>
      </c>
      <c r="M151" s="8">
        <v>1</v>
      </c>
      <c r="N151" s="8" t="s">
        <v>27</v>
      </c>
      <c r="O151" s="13" t="str">
        <f t="shared" si="20"/>
        <v>BLANCO</v>
      </c>
      <c r="P151" s="14"/>
      <c r="Q151" s="15">
        <v>0.3</v>
      </c>
      <c r="R151" s="16" t="str">
        <f t="shared" si="18"/>
        <v>AMX</v>
      </c>
      <c r="S151" s="17"/>
      <c r="T151" s="10" t="str">
        <f t="shared" si="21"/>
        <v>MODULO CON CONECTOR FIJO PARA VGA Y CABLE ESTÉREO</v>
      </c>
    </row>
    <row r="152" spans="1:20" ht="27" customHeight="1" x14ac:dyDescent="0.25">
      <c r="A152" s="8" t="s">
        <v>183</v>
      </c>
      <c r="B152" s="9"/>
      <c r="C152" s="9"/>
      <c r="D152" s="8"/>
      <c r="E152" s="8"/>
      <c r="F152" s="8" t="s">
        <v>22</v>
      </c>
      <c r="G152" s="10" t="s">
        <v>445</v>
      </c>
      <c r="H152" s="8" t="s">
        <v>446</v>
      </c>
      <c r="I152" s="10" t="s">
        <v>445</v>
      </c>
      <c r="J152" s="11" t="s">
        <v>26</v>
      </c>
      <c r="K152" s="18">
        <f>160*0.6</f>
        <v>96</v>
      </c>
      <c r="L152" s="12">
        <f t="shared" si="19"/>
        <v>137.14285714285714</v>
      </c>
      <c r="M152" s="8">
        <v>1</v>
      </c>
      <c r="N152" s="8" t="s">
        <v>27</v>
      </c>
      <c r="O152" s="13" t="str">
        <f t="shared" si="20"/>
        <v>BLANCO</v>
      </c>
      <c r="P152" s="14"/>
      <c r="Q152" s="15">
        <v>0.3</v>
      </c>
      <c r="R152" s="16" t="str">
        <f t="shared" si="18"/>
        <v>AMX</v>
      </c>
      <c r="S152" s="17"/>
      <c r="T152" s="10" t="str">
        <f t="shared" si="21"/>
        <v>MODULO FIJO PARA CONEXIÓN HDMI</v>
      </c>
    </row>
    <row r="153" spans="1:20" ht="27" customHeight="1" x14ac:dyDescent="0.25">
      <c r="A153" s="8" t="s">
        <v>183</v>
      </c>
      <c r="B153" s="9"/>
      <c r="C153" s="9"/>
      <c r="D153" s="8"/>
      <c r="E153" s="8"/>
      <c r="F153" s="8" t="s">
        <v>22</v>
      </c>
      <c r="G153" s="10" t="s">
        <v>447</v>
      </c>
      <c r="H153" s="8" t="s">
        <v>448</v>
      </c>
      <c r="I153" s="10" t="s">
        <v>447</v>
      </c>
      <c r="J153" s="11" t="s">
        <v>26</v>
      </c>
      <c r="K153" s="18">
        <f>60*0.7</f>
        <v>42</v>
      </c>
      <c r="L153" s="12">
        <f t="shared" si="19"/>
        <v>60.000000000000007</v>
      </c>
      <c r="M153" s="8">
        <v>1</v>
      </c>
      <c r="N153" s="8" t="s">
        <v>27</v>
      </c>
      <c r="O153" s="13" t="str">
        <f t="shared" si="20"/>
        <v>BLANCO</v>
      </c>
      <c r="P153" s="14"/>
      <c r="Q153" s="15">
        <v>0.3</v>
      </c>
      <c r="R153" s="16" t="str">
        <f t="shared" si="18"/>
        <v>AMX</v>
      </c>
      <c r="S153" s="17"/>
      <c r="T153" s="10" t="str">
        <f t="shared" si="21"/>
        <v>KIT PARA SUJECIÓN DE PROCESADOR EN RACK</v>
      </c>
    </row>
    <row r="154" spans="1:20" ht="27" customHeight="1" x14ac:dyDescent="0.25">
      <c r="A154" s="8" t="s">
        <v>183</v>
      </c>
      <c r="B154" s="9"/>
      <c r="C154" s="9"/>
      <c r="D154" s="8"/>
      <c r="E154" s="8"/>
      <c r="F154" s="8" t="s">
        <v>22</v>
      </c>
      <c r="G154" s="10" t="s">
        <v>449</v>
      </c>
      <c r="H154" s="8" t="s">
        <v>450</v>
      </c>
      <c r="I154" s="10" t="s">
        <v>451</v>
      </c>
      <c r="J154" s="11" t="s">
        <v>26</v>
      </c>
      <c r="K154" s="18">
        <f>2399*0.7</f>
        <v>1679.3</v>
      </c>
      <c r="L154" s="12">
        <f t="shared" si="19"/>
        <v>2399</v>
      </c>
      <c r="M154" s="8">
        <v>1</v>
      </c>
      <c r="N154" s="8" t="s">
        <v>27</v>
      </c>
      <c r="O154" s="13" t="str">
        <f t="shared" si="20"/>
        <v>BLANCO</v>
      </c>
      <c r="P154" s="14"/>
      <c r="Q154" s="15">
        <v>0.3</v>
      </c>
      <c r="R154" s="16" t="str">
        <f t="shared" si="18"/>
        <v>AMX</v>
      </c>
      <c r="S154" s="17"/>
      <c r="T154" s="10" t="str">
        <f t="shared" si="21"/>
        <v>HARDWARE PARA CONTROL EN REMOTO MEDIANTE SOFTWARE TPCONTROL.</v>
      </c>
    </row>
    <row r="155" spans="1:20" ht="27" customHeight="1" x14ac:dyDescent="0.25">
      <c r="A155" s="8" t="s">
        <v>183</v>
      </c>
      <c r="B155" s="9"/>
      <c r="C155" s="9"/>
      <c r="D155" s="8"/>
      <c r="E155" s="8"/>
      <c r="F155" s="8" t="s">
        <v>22</v>
      </c>
      <c r="G155" s="10" t="s">
        <v>452</v>
      </c>
      <c r="H155" s="8" t="s">
        <v>453</v>
      </c>
      <c r="I155" s="10" t="s">
        <v>454</v>
      </c>
      <c r="J155" s="11" t="s">
        <v>26</v>
      </c>
      <c r="K155" s="18">
        <f>5450*0.7</f>
        <v>3814.9999999999995</v>
      </c>
      <c r="L155" s="12">
        <f t="shared" si="19"/>
        <v>5450</v>
      </c>
      <c r="M155" s="8">
        <v>1</v>
      </c>
      <c r="N155" s="8" t="s">
        <v>27</v>
      </c>
      <c r="O155" s="13" t="str">
        <f t="shared" si="20"/>
        <v>BLANCO</v>
      </c>
      <c r="P155" s="14"/>
      <c r="Q155" s="15">
        <v>0.3</v>
      </c>
      <c r="R155" s="16" t="str">
        <f t="shared" si="18"/>
        <v>AMX</v>
      </c>
      <c r="S155" s="17"/>
      <c r="T155" s="10" t="str">
        <f t="shared" si="21"/>
        <v>ENCLOSURE PARA MATRIZ DE 4 SLOTS DE ENTRADA Y 4 DE SALIDA.</v>
      </c>
    </row>
    <row r="156" spans="1:20" ht="27" customHeight="1" x14ac:dyDescent="0.25">
      <c r="A156" s="8" t="s">
        <v>183</v>
      </c>
      <c r="B156" s="9"/>
      <c r="C156" s="9"/>
      <c r="D156" s="8"/>
      <c r="E156" s="8"/>
      <c r="F156" s="8" t="s">
        <v>22</v>
      </c>
      <c r="G156" s="10" t="s">
        <v>455</v>
      </c>
      <c r="H156" s="8" t="s">
        <v>456</v>
      </c>
      <c r="I156" s="10" t="s">
        <v>455</v>
      </c>
      <c r="J156" s="11" t="s">
        <v>26</v>
      </c>
      <c r="K156" s="18">
        <f>1950*0.7</f>
        <v>1365</v>
      </c>
      <c r="L156" s="12">
        <f t="shared" si="19"/>
        <v>1950.0000000000002</v>
      </c>
      <c r="M156" s="8">
        <v>1</v>
      </c>
      <c r="N156" s="8" t="s">
        <v>27</v>
      </c>
      <c r="O156" s="13" t="str">
        <f t="shared" si="20"/>
        <v>BLANCO</v>
      </c>
      <c r="P156" s="14"/>
      <c r="Q156" s="15">
        <v>0.3</v>
      </c>
      <c r="R156" s="16" t="str">
        <f t="shared" si="18"/>
        <v>AMX</v>
      </c>
      <c r="S156" s="17"/>
      <c r="T156" s="10" t="str">
        <f t="shared" si="21"/>
        <v>SLOT DE ENTRADA PARA 4 UNIDADES DX-LINK</v>
      </c>
    </row>
    <row r="157" spans="1:20" ht="27" customHeight="1" x14ac:dyDescent="0.25">
      <c r="A157" s="8" t="s">
        <v>183</v>
      </c>
      <c r="B157" s="9"/>
      <c r="C157" s="9"/>
      <c r="D157" s="8"/>
      <c r="E157" s="8"/>
      <c r="F157" s="8" t="s">
        <v>22</v>
      </c>
      <c r="G157" s="10" t="s">
        <v>457</v>
      </c>
      <c r="H157" s="8" t="s">
        <v>458</v>
      </c>
      <c r="I157" s="10" t="s">
        <v>457</v>
      </c>
      <c r="J157" s="11" t="s">
        <v>26</v>
      </c>
      <c r="K157" s="18">
        <f>1950*0.7</f>
        <v>1365</v>
      </c>
      <c r="L157" s="12">
        <f t="shared" si="19"/>
        <v>1950.0000000000002</v>
      </c>
      <c r="M157" s="8">
        <v>1</v>
      </c>
      <c r="N157" s="8" t="s">
        <v>27</v>
      </c>
      <c r="O157" s="13" t="str">
        <f t="shared" si="20"/>
        <v>BLANCO</v>
      </c>
      <c r="P157" s="14"/>
      <c r="Q157" s="15">
        <v>0.3</v>
      </c>
      <c r="R157" s="16" t="str">
        <f t="shared" si="18"/>
        <v>AMX</v>
      </c>
      <c r="S157" s="17"/>
      <c r="T157" s="10" t="str">
        <f t="shared" si="21"/>
        <v>SLOT DE SALIDA PARA 4 UNIDADES DX-LINK</v>
      </c>
    </row>
    <row r="158" spans="1:20" ht="27" customHeight="1" x14ac:dyDescent="0.25">
      <c r="A158" s="8" t="s">
        <v>183</v>
      </c>
      <c r="B158" s="9"/>
      <c r="C158" s="9"/>
      <c r="D158" s="8"/>
      <c r="E158" s="8"/>
      <c r="F158" s="8" t="s">
        <v>22</v>
      </c>
      <c r="G158" s="10" t="s">
        <v>459</v>
      </c>
      <c r="H158" s="8" t="s">
        <v>460</v>
      </c>
      <c r="I158" s="10" t="s">
        <v>459</v>
      </c>
      <c r="J158" s="11" t="s">
        <v>26</v>
      </c>
      <c r="K158" s="18">
        <f>1500*0.7</f>
        <v>1050</v>
      </c>
      <c r="L158" s="12">
        <f t="shared" si="19"/>
        <v>1500</v>
      </c>
      <c r="M158" s="8">
        <v>1</v>
      </c>
      <c r="N158" s="8" t="s">
        <v>27</v>
      </c>
      <c r="O158" s="13" t="str">
        <f t="shared" si="20"/>
        <v>BLANCO</v>
      </c>
      <c r="P158" s="14"/>
      <c r="Q158" s="15">
        <v>0.3</v>
      </c>
      <c r="R158" s="16" t="str">
        <f t="shared" si="18"/>
        <v>AMX</v>
      </c>
      <c r="S158" s="17"/>
      <c r="T158" s="10" t="str">
        <f t="shared" si="21"/>
        <v>TARJETA DE ENTRADA O SALIDA DE AUDIO DE 4 CANALES</v>
      </c>
    </row>
    <row r="159" spans="1:20" ht="27" customHeight="1" x14ac:dyDescent="0.25">
      <c r="A159" s="8" t="s">
        <v>183</v>
      </c>
      <c r="B159" s="9"/>
      <c r="C159" s="9"/>
      <c r="D159" s="8" t="s">
        <v>45</v>
      </c>
      <c r="E159" s="8"/>
      <c r="F159" s="8" t="s">
        <v>22</v>
      </c>
      <c r="G159" s="10" t="s">
        <v>461</v>
      </c>
      <c r="H159" s="8" t="s">
        <v>462</v>
      </c>
      <c r="I159" s="10" t="s">
        <v>463</v>
      </c>
      <c r="J159" s="11" t="s">
        <v>26</v>
      </c>
      <c r="K159" s="18">
        <f>6850*0.6</f>
        <v>4110</v>
      </c>
      <c r="L159" s="12">
        <f>ROUNDUP(K159*(1+P159)/(1-Q159),0)</f>
        <v>6850</v>
      </c>
      <c r="M159" s="8">
        <v>1</v>
      </c>
      <c r="N159" s="8" t="s">
        <v>27</v>
      </c>
      <c r="O159" s="13" t="str">
        <f t="shared" si="20"/>
        <v>BLANCO</v>
      </c>
      <c r="P159" s="14">
        <v>0.2</v>
      </c>
      <c r="Q159" s="15">
        <v>0.27999012345679009</v>
      </c>
      <c r="R159" s="16" t="str">
        <f t="shared" si="18"/>
        <v>AMX</v>
      </c>
      <c r="S159" s="17"/>
      <c r="T159" s="10" t="str">
        <f t="shared" si="21"/>
        <v>MATRIZ 4x2 HDMI-DVI CON CONTROLADOR Y AMPLIFICADOR INTEGRADO.</v>
      </c>
    </row>
    <row r="160" spans="1:20" ht="27" customHeight="1" x14ac:dyDescent="0.25">
      <c r="A160" s="8" t="s">
        <v>183</v>
      </c>
      <c r="B160" s="9"/>
      <c r="C160" s="9"/>
      <c r="D160" s="8" t="s">
        <v>45</v>
      </c>
      <c r="E160" s="8"/>
      <c r="F160" s="8" t="s">
        <v>22</v>
      </c>
      <c r="G160" s="10" t="s">
        <v>464</v>
      </c>
      <c r="H160" s="8" t="s">
        <v>465</v>
      </c>
      <c r="I160" s="10" t="s">
        <v>464</v>
      </c>
      <c r="J160" s="11" t="s">
        <v>26</v>
      </c>
      <c r="K160" s="18">
        <v>980</v>
      </c>
      <c r="L160" s="12">
        <f>IF(J160="P",ROUNDUP(K160/(1-Q160),-2),K160*(1+P160)/(1-Q160))</f>
        <v>1400</v>
      </c>
      <c r="M160" s="8">
        <v>1</v>
      </c>
      <c r="N160" s="8" t="s">
        <v>27</v>
      </c>
      <c r="O160" s="13" t="str">
        <f t="shared" si="20"/>
        <v>BLANCO</v>
      </c>
      <c r="P160" s="14">
        <v>0</v>
      </c>
      <c r="Q160" s="15">
        <v>0.3</v>
      </c>
      <c r="R160" s="16" t="str">
        <f t="shared" si="18"/>
        <v>AMX</v>
      </c>
      <c r="S160" s="17"/>
      <c r="T160" s="10" t="str">
        <f t="shared" si="21"/>
        <v>PANTALLA TÁCTIL DE 7.5", RESOLUCIÓN DE 1280X800, MEMORIA RAM DE 2GB.</v>
      </c>
    </row>
    <row r="161" spans="1:20" ht="27" customHeight="1" x14ac:dyDescent="0.25">
      <c r="A161" s="8" t="s">
        <v>183</v>
      </c>
      <c r="B161" s="9"/>
      <c r="C161" s="9"/>
      <c r="D161" s="8" t="s">
        <v>45</v>
      </c>
      <c r="E161" s="8"/>
      <c r="F161" s="8" t="s">
        <v>22</v>
      </c>
      <c r="G161" s="10" t="s">
        <v>466</v>
      </c>
      <c r="H161" s="8" t="s">
        <v>467</v>
      </c>
      <c r="I161" s="10" t="s">
        <v>466</v>
      </c>
      <c r="J161" s="11" t="s">
        <v>26</v>
      </c>
      <c r="K161" s="18">
        <f>2495*0.7</f>
        <v>1746.5</v>
      </c>
      <c r="L161" s="12">
        <f>IF(J161="P",ROUNDUP(K161/(1-Q161),-2),K161*(1+P161)/(1-Q161))</f>
        <v>2495</v>
      </c>
      <c r="M161" s="8">
        <v>1</v>
      </c>
      <c r="N161" s="8" t="s">
        <v>27</v>
      </c>
      <c r="O161" s="13" t="str">
        <f t="shared" si="20"/>
        <v>BLANCO</v>
      </c>
      <c r="P161" s="14">
        <v>0</v>
      </c>
      <c r="Q161" s="15">
        <v>0.3</v>
      </c>
      <c r="R161" s="16" t="str">
        <f t="shared" si="18"/>
        <v>AMX</v>
      </c>
      <c r="S161" s="17"/>
      <c r="T161" s="10" t="str">
        <f t="shared" si="21"/>
        <v>GRABADOR HD MULTIFORMATO</v>
      </c>
    </row>
    <row r="162" spans="1:20" ht="27" customHeight="1" x14ac:dyDescent="0.25">
      <c r="A162" s="8" t="s">
        <v>183</v>
      </c>
      <c r="B162" s="9"/>
      <c r="C162" s="9"/>
      <c r="D162" s="8" t="s">
        <v>45</v>
      </c>
      <c r="E162" s="8"/>
      <c r="F162" s="8" t="s">
        <v>22</v>
      </c>
      <c r="G162" s="10" t="s">
        <v>468</v>
      </c>
      <c r="H162" s="8" t="s">
        <v>453</v>
      </c>
      <c r="I162" s="10" t="s">
        <v>468</v>
      </c>
      <c r="J162" s="11" t="s">
        <v>26</v>
      </c>
      <c r="K162" s="18">
        <f>5450*0.7</f>
        <v>3814.9999999999995</v>
      </c>
      <c r="L162" s="12">
        <f t="shared" ref="L162:L177" si="22">ROUNDUP(K162*(1+P162)/(1-Q162),0)</f>
        <v>5450</v>
      </c>
      <c r="M162" s="8">
        <v>1</v>
      </c>
      <c r="N162" s="8" t="s">
        <v>27</v>
      </c>
      <c r="O162" s="13" t="str">
        <f t="shared" si="20"/>
        <v>BLANCO</v>
      </c>
      <c r="P162" s="14">
        <v>0</v>
      </c>
      <c r="Q162" s="15">
        <v>0.3</v>
      </c>
      <c r="R162" s="16" t="str">
        <f t="shared" si="18"/>
        <v>AMX</v>
      </c>
      <c r="S162" s="17"/>
      <c r="T162" s="10" t="str">
        <f t="shared" si="21"/>
        <v>MODULO DE SOPORTE PARA 8 TARJETAS CONFIGURABLES DE AUDIO Y VIDEO</v>
      </c>
    </row>
    <row r="163" spans="1:20" ht="27" customHeight="1" x14ac:dyDescent="0.25">
      <c r="A163" s="8" t="s">
        <v>183</v>
      </c>
      <c r="B163" s="9"/>
      <c r="C163" s="9"/>
      <c r="D163" s="8" t="s">
        <v>45</v>
      </c>
      <c r="E163" s="8"/>
      <c r="F163" s="8" t="s">
        <v>22</v>
      </c>
      <c r="G163" s="10" t="s">
        <v>469</v>
      </c>
      <c r="H163" s="8" t="s">
        <v>470</v>
      </c>
      <c r="I163" s="10" t="s">
        <v>469</v>
      </c>
      <c r="J163" s="11" t="s">
        <v>26</v>
      </c>
      <c r="K163" s="18">
        <f>9500*0.7</f>
        <v>6650</v>
      </c>
      <c r="L163" s="12">
        <f t="shared" si="22"/>
        <v>9500</v>
      </c>
      <c r="M163" s="8">
        <v>1</v>
      </c>
      <c r="N163" s="8" t="s">
        <v>27</v>
      </c>
      <c r="O163" s="13" t="str">
        <f t="shared" si="20"/>
        <v>BLANCO</v>
      </c>
      <c r="P163" s="14">
        <v>0</v>
      </c>
      <c r="Q163" s="15">
        <v>0.3</v>
      </c>
      <c r="R163" s="16" t="str">
        <f t="shared" si="18"/>
        <v>AMX</v>
      </c>
      <c r="S163" s="17"/>
      <c r="T163" s="10" t="str">
        <f t="shared" si="21"/>
        <v>MODULO DE SOPORTE PARA 16 TARJETAS CONFIGURABLES DE AUDIO Y VIDEO</v>
      </c>
    </row>
    <row r="164" spans="1:20" ht="27" customHeight="1" x14ac:dyDescent="0.25">
      <c r="A164" s="8" t="s">
        <v>183</v>
      </c>
      <c r="B164" s="9"/>
      <c r="C164" s="9"/>
      <c r="D164" s="8" t="s">
        <v>45</v>
      </c>
      <c r="E164" s="8"/>
      <c r="F164" s="8" t="s">
        <v>22</v>
      </c>
      <c r="G164" s="10" t="s">
        <v>471</v>
      </c>
      <c r="H164" s="8" t="s">
        <v>472</v>
      </c>
      <c r="I164" s="10" t="s">
        <v>471</v>
      </c>
      <c r="J164" s="11" t="s">
        <v>26</v>
      </c>
      <c r="K164" s="18">
        <f>17900*0.7</f>
        <v>12530</v>
      </c>
      <c r="L164" s="12">
        <f t="shared" si="22"/>
        <v>17900</v>
      </c>
      <c r="M164" s="8">
        <v>1</v>
      </c>
      <c r="N164" s="8" t="s">
        <v>27</v>
      </c>
      <c r="O164" s="13" t="str">
        <f t="shared" si="20"/>
        <v>BLANCO</v>
      </c>
      <c r="P164" s="14">
        <v>0</v>
      </c>
      <c r="Q164" s="15">
        <v>0.3</v>
      </c>
      <c r="R164" s="16" t="str">
        <f t="shared" si="18"/>
        <v>AMX</v>
      </c>
      <c r="S164" s="17"/>
      <c r="T164" s="10" t="str">
        <f t="shared" si="21"/>
        <v>MODULO DE SOPORTE PARA 32 TARJETAS CONFIGURABLES DE AUDIO Y VIDEO</v>
      </c>
    </row>
    <row r="165" spans="1:20" ht="27" customHeight="1" x14ac:dyDescent="0.25">
      <c r="A165" s="8" t="s">
        <v>183</v>
      </c>
      <c r="B165" s="9"/>
      <c r="C165" s="9"/>
      <c r="D165" s="8" t="s">
        <v>45</v>
      </c>
      <c r="E165" s="8"/>
      <c r="F165" s="8" t="s">
        <v>22</v>
      </c>
      <c r="G165" s="10" t="s">
        <v>473</v>
      </c>
      <c r="H165" s="8" t="s">
        <v>474</v>
      </c>
      <c r="I165" s="10" t="s">
        <v>473</v>
      </c>
      <c r="J165" s="11" t="s">
        <v>26</v>
      </c>
      <c r="K165" s="18">
        <f>40000*0.7</f>
        <v>28000</v>
      </c>
      <c r="L165" s="12">
        <f t="shared" si="22"/>
        <v>40000</v>
      </c>
      <c r="M165" s="8">
        <v>1</v>
      </c>
      <c r="N165" s="8" t="s">
        <v>27</v>
      </c>
      <c r="O165" s="13" t="str">
        <f t="shared" si="20"/>
        <v>BLANCO</v>
      </c>
      <c r="P165" s="14">
        <v>0</v>
      </c>
      <c r="Q165" s="15">
        <v>0.3</v>
      </c>
      <c r="R165" s="16" t="str">
        <f t="shared" si="18"/>
        <v>AMX</v>
      </c>
      <c r="S165" s="17"/>
      <c r="T165" s="10" t="str">
        <f t="shared" si="21"/>
        <v>MODULO DE SOPORTE PARA 64 TARJETAS CONFIGURABLES DE AUDIO Y VIDEO</v>
      </c>
    </row>
    <row r="166" spans="1:20" ht="27" customHeight="1" x14ac:dyDescent="0.25">
      <c r="A166" s="8" t="s">
        <v>183</v>
      </c>
      <c r="B166" s="9"/>
      <c r="C166" s="9"/>
      <c r="D166" s="8" t="s">
        <v>45</v>
      </c>
      <c r="E166" s="8"/>
      <c r="F166" s="8" t="s">
        <v>22</v>
      </c>
      <c r="G166" s="10" t="s">
        <v>475</v>
      </c>
      <c r="H166" s="8" t="s">
        <v>476</v>
      </c>
      <c r="I166" s="10" t="s">
        <v>475</v>
      </c>
      <c r="J166" s="11" t="s">
        <v>26</v>
      </c>
      <c r="K166" s="18">
        <f>1500*0.7</f>
        <v>1050</v>
      </c>
      <c r="L166" s="12">
        <f t="shared" si="22"/>
        <v>1500</v>
      </c>
      <c r="M166" s="8">
        <v>1</v>
      </c>
      <c r="N166" s="8" t="s">
        <v>27</v>
      </c>
      <c r="O166" s="13" t="str">
        <f t="shared" si="20"/>
        <v>BLANCO</v>
      </c>
      <c r="P166" s="14">
        <v>0</v>
      </c>
      <c r="Q166" s="15">
        <v>0.3</v>
      </c>
      <c r="R166" s="16" t="str">
        <f t="shared" si="18"/>
        <v>AMX</v>
      </c>
      <c r="S166" s="17"/>
      <c r="T166" s="10" t="str">
        <f t="shared" si="21"/>
        <v>TARJETA DE ENTRADA PARA MATRIZ CON 4 ENTRADAS HDMI</v>
      </c>
    </row>
    <row r="167" spans="1:20" ht="27" customHeight="1" x14ac:dyDescent="0.25">
      <c r="A167" s="8" t="s">
        <v>183</v>
      </c>
      <c r="B167" s="9"/>
      <c r="C167" s="9"/>
      <c r="D167" s="8" t="s">
        <v>45</v>
      </c>
      <c r="E167" s="8"/>
      <c r="F167" s="8" t="s">
        <v>22</v>
      </c>
      <c r="G167" s="10" t="s">
        <v>477</v>
      </c>
      <c r="H167" s="8" t="s">
        <v>458</v>
      </c>
      <c r="I167" s="10" t="s">
        <v>477</v>
      </c>
      <c r="J167" s="11" t="s">
        <v>26</v>
      </c>
      <c r="K167" s="18">
        <f>1950*0.7</f>
        <v>1365</v>
      </c>
      <c r="L167" s="12">
        <f t="shared" si="22"/>
        <v>1950</v>
      </c>
      <c r="M167" s="8">
        <v>1</v>
      </c>
      <c r="N167" s="8" t="s">
        <v>27</v>
      </c>
      <c r="O167" s="13" t="str">
        <f t="shared" si="20"/>
        <v>BLANCO</v>
      </c>
      <c r="P167" s="14">
        <v>0</v>
      </c>
      <c r="Q167" s="15">
        <v>0.3</v>
      </c>
      <c r="R167" s="16" t="str">
        <f t="shared" si="18"/>
        <v>AMX</v>
      </c>
      <c r="S167" s="17"/>
      <c r="T167" s="10" t="str">
        <f t="shared" si="21"/>
        <v>TARJETA DE SALIDA PARA MATRIZ CON 4 SALIDAS UTP PARA TRANSMISIÓN DIGITAL</v>
      </c>
    </row>
    <row r="168" spans="1:20" ht="27" customHeight="1" x14ac:dyDescent="0.25">
      <c r="A168" s="8" t="s">
        <v>183</v>
      </c>
      <c r="B168" s="9"/>
      <c r="C168" s="9"/>
      <c r="D168" s="8" t="s">
        <v>45</v>
      </c>
      <c r="E168" s="8"/>
      <c r="F168" s="8" t="s">
        <v>22</v>
      </c>
      <c r="G168" s="10" t="s">
        <v>478</v>
      </c>
      <c r="H168" s="8" t="s">
        <v>460</v>
      </c>
      <c r="I168" s="10" t="s">
        <v>478</v>
      </c>
      <c r="J168" s="11" t="s">
        <v>26</v>
      </c>
      <c r="K168" s="18">
        <v>1500</v>
      </c>
      <c r="L168" s="12">
        <f t="shared" si="22"/>
        <v>2143</v>
      </c>
      <c r="M168" s="8">
        <v>1</v>
      </c>
      <c r="N168" s="8" t="s">
        <v>27</v>
      </c>
      <c r="O168" s="13" t="str">
        <f t="shared" si="20"/>
        <v>BLANCO</v>
      </c>
      <c r="P168" s="14">
        <v>0</v>
      </c>
      <c r="Q168" s="15">
        <v>0.3</v>
      </c>
      <c r="R168" s="16" t="str">
        <f t="shared" si="18"/>
        <v>AMX</v>
      </c>
      <c r="S168" s="17"/>
      <c r="T168" s="10" t="str">
        <f t="shared" si="21"/>
        <v>TARJETA DE INSERCIÓN O EXTRACCIÓN DE 4 SEÑALES DE AUDIO</v>
      </c>
    </row>
    <row r="169" spans="1:20" ht="27" customHeight="1" x14ac:dyDescent="0.25">
      <c r="A169" s="8" t="s">
        <v>183</v>
      </c>
      <c r="B169" s="9"/>
      <c r="C169" s="9"/>
      <c r="D169" s="8" t="s">
        <v>45</v>
      </c>
      <c r="E169" s="8"/>
      <c r="F169" s="8" t="s">
        <v>22</v>
      </c>
      <c r="G169" s="10" t="s">
        <v>479</v>
      </c>
      <c r="H169" s="8" t="s">
        <v>480</v>
      </c>
      <c r="I169" s="10" t="s">
        <v>479</v>
      </c>
      <c r="J169" s="11" t="s">
        <v>26</v>
      </c>
      <c r="K169" s="18">
        <v>1365</v>
      </c>
      <c r="L169" s="12">
        <f t="shared" si="22"/>
        <v>2340</v>
      </c>
      <c r="M169" s="8">
        <v>1</v>
      </c>
      <c r="N169" s="8" t="s">
        <v>27</v>
      </c>
      <c r="O169" s="13" t="str">
        <f t="shared" si="20"/>
        <v>BLANCO</v>
      </c>
      <c r="P169" s="14">
        <v>0.2</v>
      </c>
      <c r="Q169" s="15">
        <v>0.3</v>
      </c>
      <c r="R169" s="16" t="str">
        <f t="shared" si="18"/>
        <v>AMX</v>
      </c>
      <c r="S169" s="17"/>
      <c r="T169" s="10" t="str">
        <f t="shared" si="21"/>
        <v>TARJETA DE ENTRADA PARA 4 SEÑALES DIGITALES POR UTP RESOLUCIÓN 4K</v>
      </c>
    </row>
    <row r="170" spans="1:20" ht="27" customHeight="1" x14ac:dyDescent="0.25">
      <c r="A170" s="8" t="s">
        <v>183</v>
      </c>
      <c r="B170" s="9"/>
      <c r="C170" s="9"/>
      <c r="D170" s="8" t="s">
        <v>45</v>
      </c>
      <c r="E170" s="8"/>
      <c r="F170" s="8" t="s">
        <v>22</v>
      </c>
      <c r="G170" s="10" t="s">
        <v>481</v>
      </c>
      <c r="H170" s="8" t="s">
        <v>482</v>
      </c>
      <c r="I170" s="10" t="s">
        <v>481</v>
      </c>
      <c r="J170" s="11" t="s">
        <v>26</v>
      </c>
      <c r="K170" s="18">
        <v>1229</v>
      </c>
      <c r="L170" s="12">
        <f t="shared" si="22"/>
        <v>2107</v>
      </c>
      <c r="M170" s="8">
        <v>2</v>
      </c>
      <c r="N170" s="8" t="s">
        <v>27</v>
      </c>
      <c r="O170" s="13" t="str">
        <f t="shared" si="20"/>
        <v>BLANCO</v>
      </c>
      <c r="P170" s="14">
        <v>0.2</v>
      </c>
      <c r="Q170" s="15">
        <v>0.3</v>
      </c>
      <c r="R170" s="16" t="str">
        <f t="shared" si="18"/>
        <v>AMX</v>
      </c>
      <c r="S170" s="17"/>
      <c r="T170" s="10" t="str">
        <f t="shared" si="21"/>
        <v>TARJETA DE SALIDA PARA 4 SEÑALES DIGITALES POR UTP RESOLUCIÓN 4K</v>
      </c>
    </row>
    <row r="171" spans="1:20" ht="27" customHeight="1" x14ac:dyDescent="0.25">
      <c r="A171" s="8" t="s">
        <v>183</v>
      </c>
      <c r="B171" s="9"/>
      <c r="C171" s="9"/>
      <c r="D171" s="8" t="s">
        <v>45</v>
      </c>
      <c r="E171" s="8"/>
      <c r="F171" s="8" t="s">
        <v>22</v>
      </c>
      <c r="G171" s="10" t="s">
        <v>483</v>
      </c>
      <c r="H171" s="8" t="s">
        <v>484</v>
      </c>
      <c r="I171" s="10" t="s">
        <v>483</v>
      </c>
      <c r="J171" s="11" t="s">
        <v>26</v>
      </c>
      <c r="K171" s="18">
        <v>6720</v>
      </c>
      <c r="L171" s="12">
        <f t="shared" si="22"/>
        <v>11520</v>
      </c>
      <c r="M171" s="8">
        <v>3</v>
      </c>
      <c r="N171" s="8" t="s">
        <v>27</v>
      </c>
      <c r="O171" s="13" t="str">
        <f t="shared" si="20"/>
        <v>BLANCO</v>
      </c>
      <c r="P171" s="14">
        <v>0.2</v>
      </c>
      <c r="Q171" s="15">
        <v>0.3</v>
      </c>
      <c r="R171" s="16" t="str">
        <f t="shared" si="18"/>
        <v>AMX</v>
      </c>
      <c r="S171" s="17"/>
      <c r="T171" s="10" t="str">
        <f t="shared" si="21"/>
        <v>TARJETA DE SWITCHEO PARA FUENTES DE AUDIO MEDIANTE PROTOCOLO DANTE</v>
      </c>
    </row>
    <row r="172" spans="1:20" ht="27" customHeight="1" x14ac:dyDescent="0.25">
      <c r="A172" s="8" t="s">
        <v>183</v>
      </c>
      <c r="B172" s="9"/>
      <c r="C172" s="9"/>
      <c r="D172" s="8" t="s">
        <v>45</v>
      </c>
      <c r="E172" s="8"/>
      <c r="F172" s="8" t="s">
        <v>22</v>
      </c>
      <c r="G172" s="10" t="s">
        <v>485</v>
      </c>
      <c r="H172" s="8" t="s">
        <v>486</v>
      </c>
      <c r="I172" s="10" t="s">
        <v>485</v>
      </c>
      <c r="J172" s="11" t="s">
        <v>26</v>
      </c>
      <c r="K172" s="18">
        <v>582</v>
      </c>
      <c r="L172" s="12">
        <f t="shared" si="22"/>
        <v>998</v>
      </c>
      <c r="M172" s="8">
        <v>4</v>
      </c>
      <c r="N172" s="8" t="s">
        <v>27</v>
      </c>
      <c r="O172" s="13" t="str">
        <f t="shared" si="20"/>
        <v>BLANCO</v>
      </c>
      <c r="P172" s="14">
        <v>0.2</v>
      </c>
      <c r="Q172" s="15">
        <v>0.3</v>
      </c>
      <c r="R172" s="16" t="str">
        <f t="shared" si="18"/>
        <v>AMX</v>
      </c>
      <c r="S172" s="17"/>
      <c r="T172" s="10" t="str">
        <f t="shared" si="21"/>
        <v>TRANSMISOR DE SEÑALES DE AUDIO Y VIDEO 4K A TRÁVEZ DE UTP</v>
      </c>
    </row>
    <row r="173" spans="1:20" ht="27" customHeight="1" x14ac:dyDescent="0.25">
      <c r="A173" s="8" t="s">
        <v>183</v>
      </c>
      <c r="B173" s="9"/>
      <c r="C173" s="9"/>
      <c r="D173" s="8" t="s">
        <v>45</v>
      </c>
      <c r="E173" s="8"/>
      <c r="F173" s="8" t="s">
        <v>22</v>
      </c>
      <c r="G173" s="10" t="s">
        <v>487</v>
      </c>
      <c r="H173" s="8" t="s">
        <v>488</v>
      </c>
      <c r="I173" s="10" t="s">
        <v>487</v>
      </c>
      <c r="J173" s="11" t="s">
        <v>26</v>
      </c>
      <c r="K173" s="18">
        <v>829</v>
      </c>
      <c r="L173" s="12">
        <f t="shared" si="22"/>
        <v>1422</v>
      </c>
      <c r="M173" s="8">
        <v>5</v>
      </c>
      <c r="N173" s="8" t="s">
        <v>27</v>
      </c>
      <c r="O173" s="13" t="str">
        <f t="shared" si="20"/>
        <v>BLANCO</v>
      </c>
      <c r="P173" s="14">
        <v>0.2</v>
      </c>
      <c r="Q173" s="15">
        <v>0.3</v>
      </c>
      <c r="R173" s="16" t="str">
        <f t="shared" si="18"/>
        <v>AMX</v>
      </c>
      <c r="S173" s="17"/>
      <c r="T173" s="10" t="str">
        <f t="shared" si="21"/>
        <v>RECEPTOR A TRÁVEZ DE UTO CON SALIDA HDMI Y RESOLUCIÓN 4K</v>
      </c>
    </row>
    <row r="174" spans="1:20" ht="27" customHeight="1" x14ac:dyDescent="0.25">
      <c r="A174" s="8" t="s">
        <v>183</v>
      </c>
      <c r="B174" s="9"/>
      <c r="C174" s="9"/>
      <c r="D174" s="8" t="s">
        <v>45</v>
      </c>
      <c r="E174" s="8"/>
      <c r="F174" s="8" t="s">
        <v>22</v>
      </c>
      <c r="G174" s="10" t="s">
        <v>489</v>
      </c>
      <c r="H174" s="8" t="s">
        <v>490</v>
      </c>
      <c r="I174" s="10" t="s">
        <v>491</v>
      </c>
      <c r="J174" s="11" t="s">
        <v>26</v>
      </c>
      <c r="K174" s="18">
        <v>662</v>
      </c>
      <c r="L174" s="12">
        <f t="shared" si="22"/>
        <v>1135</v>
      </c>
      <c r="M174" s="8">
        <v>1</v>
      </c>
      <c r="N174" s="8" t="s">
        <v>27</v>
      </c>
      <c r="O174" s="13" t="str">
        <f t="shared" si="20"/>
        <v>BLANCO</v>
      </c>
      <c r="P174" s="14">
        <v>0.2</v>
      </c>
      <c r="Q174" s="15">
        <v>0.3</v>
      </c>
      <c r="R174" s="16" t="str">
        <f t="shared" si="18"/>
        <v>AMX</v>
      </c>
      <c r="S174" s="17"/>
      <c r="T174" s="10" t="str">
        <f t="shared" si="21"/>
        <v>ENCODER DE LA SERIE SVSI N2300,  4K CON SFP fiber/RJ45 (with PoE).</v>
      </c>
    </row>
    <row r="175" spans="1:20" ht="27" customHeight="1" x14ac:dyDescent="0.25">
      <c r="A175" s="8" t="s">
        <v>183</v>
      </c>
      <c r="B175" s="9"/>
      <c r="C175" s="9"/>
      <c r="D175" s="8" t="s">
        <v>45</v>
      </c>
      <c r="E175" s="8"/>
      <c r="F175" s="8" t="s">
        <v>22</v>
      </c>
      <c r="G175" s="10" t="s">
        <v>492</v>
      </c>
      <c r="H175" s="8" t="s">
        <v>493</v>
      </c>
      <c r="I175" s="10" t="s">
        <v>494</v>
      </c>
      <c r="J175" s="11" t="s">
        <v>26</v>
      </c>
      <c r="K175" s="18">
        <v>599</v>
      </c>
      <c r="L175" s="12">
        <f t="shared" si="22"/>
        <v>1027</v>
      </c>
      <c r="M175" s="8">
        <v>1</v>
      </c>
      <c r="N175" s="8" t="s">
        <v>27</v>
      </c>
      <c r="O175" s="13" t="str">
        <f t="shared" si="20"/>
        <v>BLANCO</v>
      </c>
      <c r="P175" s="14">
        <v>0.2</v>
      </c>
      <c r="Q175" s="15">
        <v>0.3</v>
      </c>
      <c r="R175" s="16" t="str">
        <f t="shared" si="18"/>
        <v>AMX</v>
      </c>
      <c r="S175" s="17"/>
      <c r="T175" s="10" t="str">
        <f t="shared" si="21"/>
        <v>DECODER DE LA SERIE SVSI N2300, 4K CON SFP fiber/RJ45 (with PoE).</v>
      </c>
    </row>
    <row r="176" spans="1:20" ht="27" customHeight="1" x14ac:dyDescent="0.25">
      <c r="A176" s="8" t="s">
        <v>183</v>
      </c>
      <c r="B176" s="9"/>
      <c r="C176" s="9"/>
      <c r="D176" s="8" t="s">
        <v>45</v>
      </c>
      <c r="E176" s="8"/>
      <c r="F176" s="8" t="s">
        <v>22</v>
      </c>
      <c r="G176" s="10" t="s">
        <v>495</v>
      </c>
      <c r="H176" s="8" t="s">
        <v>496</v>
      </c>
      <c r="I176" s="10" t="s">
        <v>495</v>
      </c>
      <c r="J176" s="11" t="s">
        <v>26</v>
      </c>
      <c r="K176" s="18">
        <v>1506</v>
      </c>
      <c r="L176" s="12">
        <f t="shared" si="22"/>
        <v>2582</v>
      </c>
      <c r="M176" s="8">
        <v>1</v>
      </c>
      <c r="N176" s="8" t="s">
        <v>27</v>
      </c>
      <c r="O176" s="13" t="str">
        <f t="shared" si="20"/>
        <v>BLANCO</v>
      </c>
      <c r="P176" s="14">
        <v>0.2</v>
      </c>
      <c r="Q176" s="15">
        <v>0.3</v>
      </c>
      <c r="R176" s="16" t="str">
        <f t="shared" si="18"/>
        <v>AMX</v>
      </c>
      <c r="S176" s="17"/>
      <c r="T176" s="10" t="str">
        <f t="shared" si="21"/>
        <v>CONTROLADOR PARA 50 EQUIPOS DESDE 5 USUARIOS VÍA WEB.</v>
      </c>
    </row>
    <row r="177" spans="1:28" ht="27" customHeight="1" x14ac:dyDescent="0.25">
      <c r="A177" s="8" t="s">
        <v>183</v>
      </c>
      <c r="B177" s="9"/>
      <c r="C177" s="9"/>
      <c r="D177" s="8" t="s">
        <v>45</v>
      </c>
      <c r="E177" s="8"/>
      <c r="F177" s="8" t="s">
        <v>22</v>
      </c>
      <c r="G177" s="10" t="s">
        <v>497</v>
      </c>
      <c r="H177" s="8" t="s">
        <v>498</v>
      </c>
      <c r="I177" s="10" t="s">
        <v>497</v>
      </c>
      <c r="J177" s="11" t="s">
        <v>26</v>
      </c>
      <c r="K177" s="18">
        <v>586</v>
      </c>
      <c r="L177" s="12">
        <f t="shared" si="22"/>
        <v>1005</v>
      </c>
      <c r="M177" s="8">
        <v>1</v>
      </c>
      <c r="N177" s="8" t="s">
        <v>27</v>
      </c>
      <c r="O177" s="13" t="str">
        <f t="shared" si="20"/>
        <v>BLANCO</v>
      </c>
      <c r="P177" s="14">
        <v>0.2</v>
      </c>
      <c r="Q177" s="15">
        <v>0.3</v>
      </c>
      <c r="R177" s="16" t="str">
        <f t="shared" si="18"/>
        <v>AMX</v>
      </c>
      <c r="S177" s="17"/>
      <c r="T177" s="10" t="str">
        <f t="shared" si="21"/>
        <v>TRANSDUCTOR DE AUDIO A IP.</v>
      </c>
    </row>
    <row r="178" spans="1:28" ht="27" customHeight="1" x14ac:dyDescent="0.25">
      <c r="A178" s="8" t="s">
        <v>183</v>
      </c>
      <c r="B178" s="9"/>
      <c r="C178" s="9"/>
      <c r="D178" s="8"/>
      <c r="E178" s="8"/>
      <c r="F178" s="8"/>
      <c r="G178" s="10"/>
      <c r="H178" s="8" t="s">
        <v>499</v>
      </c>
      <c r="I178" s="10" t="s">
        <v>500</v>
      </c>
      <c r="J178" s="11" t="s">
        <v>26</v>
      </c>
      <c r="K178" s="18">
        <f>175*0.7</f>
        <v>122.49999999999999</v>
      </c>
      <c r="L178" s="12">
        <f>IF(J178="P",ROUNDUP(K178/(1-Q178),-2),K178*(1+P178)/(1-Q178))</f>
        <v>175</v>
      </c>
      <c r="M178" s="8">
        <v>1</v>
      </c>
      <c r="N178" s="8" t="s">
        <v>27</v>
      </c>
      <c r="O178" s="13"/>
      <c r="P178" s="14">
        <v>0</v>
      </c>
      <c r="Q178" s="15">
        <v>0.3</v>
      </c>
      <c r="R178" s="16" t="str">
        <f t="shared" si="18"/>
        <v>AMX</v>
      </c>
      <c r="S178" s="17"/>
      <c r="T178" s="10"/>
    </row>
    <row r="179" spans="1:28" ht="27" customHeight="1" x14ac:dyDescent="0.25">
      <c r="A179" s="8" t="s">
        <v>183</v>
      </c>
      <c r="B179" s="9"/>
      <c r="C179" s="9"/>
      <c r="D179" s="8"/>
      <c r="E179" s="8"/>
      <c r="F179" s="8"/>
      <c r="G179" s="10"/>
      <c r="H179" s="8" t="s">
        <v>501</v>
      </c>
      <c r="I179" s="10" t="s">
        <v>502</v>
      </c>
      <c r="J179" s="11" t="s">
        <v>33</v>
      </c>
      <c r="K179" s="18">
        <v>150</v>
      </c>
      <c r="L179" s="12">
        <f>ROUNDUP(K179*(1+P179)/(1-Q179),0)</f>
        <v>258</v>
      </c>
      <c r="M179" s="8">
        <v>1</v>
      </c>
      <c r="N179" s="8" t="s">
        <v>27</v>
      </c>
      <c r="O179" s="13"/>
      <c r="P179" s="14">
        <v>0.2</v>
      </c>
      <c r="Q179" s="15">
        <v>0.3</v>
      </c>
      <c r="R179" s="16" t="str">
        <f t="shared" si="18"/>
        <v>AMX</v>
      </c>
      <c r="S179" s="17"/>
      <c r="T179" s="10"/>
    </row>
    <row r="180" spans="1:28" ht="27" customHeight="1" x14ac:dyDescent="0.25">
      <c r="A180" s="8" t="s">
        <v>183</v>
      </c>
      <c r="B180" s="9"/>
      <c r="C180" s="9"/>
      <c r="D180" s="8"/>
      <c r="E180" s="8"/>
      <c r="F180" s="8"/>
      <c r="G180" s="10"/>
      <c r="H180" s="8" t="s">
        <v>503</v>
      </c>
      <c r="I180" s="10" t="s">
        <v>504</v>
      </c>
      <c r="J180" s="11" t="s">
        <v>33</v>
      </c>
      <c r="K180" s="18">
        <v>25000</v>
      </c>
      <c r="L180" s="12">
        <f t="shared" ref="L180:L191" si="23">K180*(1+P180)/(1-Q180)</f>
        <v>42857.142857142862</v>
      </c>
      <c r="M180" s="8">
        <v>1</v>
      </c>
      <c r="N180" s="8" t="s">
        <v>27</v>
      </c>
      <c r="O180" s="13"/>
      <c r="P180" s="14">
        <v>0.2</v>
      </c>
      <c r="Q180" s="15">
        <v>0.3</v>
      </c>
      <c r="R180" s="16" t="str">
        <f t="shared" si="18"/>
        <v>AMX</v>
      </c>
      <c r="S180" s="17"/>
      <c r="T180" s="10"/>
    </row>
    <row r="181" spans="1:28" ht="27" customHeight="1" x14ac:dyDescent="0.25">
      <c r="A181" s="8" t="s">
        <v>183</v>
      </c>
      <c r="B181" s="9"/>
      <c r="C181" s="9"/>
      <c r="D181" s="8"/>
      <c r="E181" s="8"/>
      <c r="F181" s="8"/>
      <c r="G181" s="10"/>
      <c r="H181" s="8" t="s">
        <v>505</v>
      </c>
      <c r="I181" s="10" t="s">
        <v>506</v>
      </c>
      <c r="J181" s="11" t="s">
        <v>33</v>
      </c>
      <c r="K181" s="18">
        <v>500000</v>
      </c>
      <c r="L181" s="12">
        <f t="shared" si="23"/>
        <v>857142.85714285716</v>
      </c>
      <c r="M181" s="8">
        <v>1</v>
      </c>
      <c r="N181" s="8" t="s">
        <v>27</v>
      </c>
      <c r="O181" s="13"/>
      <c r="P181" s="14">
        <v>0.2</v>
      </c>
      <c r="Q181" s="15">
        <v>0.3</v>
      </c>
      <c r="R181" s="16" t="str">
        <f t="shared" si="18"/>
        <v>AMX</v>
      </c>
      <c r="S181" s="17"/>
      <c r="T181" s="10"/>
    </row>
    <row r="182" spans="1:28" ht="27" customHeight="1" x14ac:dyDescent="0.25">
      <c r="A182" s="8" t="s">
        <v>183</v>
      </c>
      <c r="B182" s="9"/>
      <c r="C182" s="9"/>
      <c r="D182" s="8"/>
      <c r="E182" s="8"/>
      <c r="F182" s="8"/>
      <c r="G182" s="10"/>
      <c r="H182" s="8" t="s">
        <v>507</v>
      </c>
      <c r="I182" s="10" t="s">
        <v>508</v>
      </c>
      <c r="J182" s="11" t="s">
        <v>26</v>
      </c>
      <c r="K182" s="18">
        <v>295</v>
      </c>
      <c r="L182" s="12">
        <f t="shared" si="23"/>
        <v>505.71428571428572</v>
      </c>
      <c r="M182" s="8">
        <v>1</v>
      </c>
      <c r="N182" s="8" t="s">
        <v>27</v>
      </c>
      <c r="O182" s="13"/>
      <c r="P182" s="14">
        <v>0.2</v>
      </c>
      <c r="Q182" s="15">
        <v>0.3</v>
      </c>
      <c r="R182" s="16" t="str">
        <f t="shared" si="18"/>
        <v>AMX</v>
      </c>
      <c r="S182" s="17"/>
      <c r="T182" s="10"/>
    </row>
    <row r="183" spans="1:28" ht="27" customHeight="1" x14ac:dyDescent="0.25">
      <c r="A183" s="8" t="s">
        <v>183</v>
      </c>
      <c r="B183" s="9"/>
      <c r="C183" s="9"/>
      <c r="D183" s="8"/>
      <c r="E183" s="8"/>
      <c r="F183" s="8"/>
      <c r="G183" s="10"/>
      <c r="H183" s="8" t="s">
        <v>509</v>
      </c>
      <c r="I183" s="10" t="s">
        <v>510</v>
      </c>
      <c r="J183" s="11" t="s">
        <v>26</v>
      </c>
      <c r="K183" s="18">
        <v>98</v>
      </c>
      <c r="L183" s="12">
        <f t="shared" si="23"/>
        <v>168</v>
      </c>
      <c r="M183" s="8">
        <v>1</v>
      </c>
      <c r="N183" s="8" t="s">
        <v>27</v>
      </c>
      <c r="O183" s="13"/>
      <c r="P183" s="14">
        <v>0.2</v>
      </c>
      <c r="Q183" s="15">
        <v>0.3</v>
      </c>
      <c r="R183" s="16" t="str">
        <f t="shared" si="18"/>
        <v>AMX</v>
      </c>
      <c r="S183" s="17"/>
      <c r="T183" s="10"/>
    </row>
    <row r="184" spans="1:28" ht="27" customHeight="1" x14ac:dyDescent="0.25">
      <c r="A184" s="8" t="s">
        <v>183</v>
      </c>
      <c r="B184" s="9"/>
      <c r="C184" s="9"/>
      <c r="D184" s="8"/>
      <c r="E184" s="8"/>
      <c r="F184" s="8"/>
      <c r="G184" s="10"/>
      <c r="H184" s="8" t="s">
        <v>511</v>
      </c>
      <c r="I184" s="10" t="s">
        <v>512</v>
      </c>
      <c r="J184" s="11" t="s">
        <v>26</v>
      </c>
      <c r="K184" s="18">
        <v>200</v>
      </c>
      <c r="L184" s="12">
        <f t="shared" si="23"/>
        <v>300</v>
      </c>
      <c r="M184" s="8">
        <v>1</v>
      </c>
      <c r="N184" s="8" t="s">
        <v>27</v>
      </c>
      <c r="O184" s="13"/>
      <c r="P184" s="14">
        <v>0.2</v>
      </c>
      <c r="Q184" s="15">
        <v>0.2</v>
      </c>
      <c r="R184" s="16" t="str">
        <f t="shared" si="18"/>
        <v>AMX</v>
      </c>
      <c r="S184" s="17"/>
      <c r="T184" s="10"/>
    </row>
    <row r="185" spans="1:28" ht="27" customHeight="1" x14ac:dyDescent="0.25">
      <c r="A185" s="8" t="s">
        <v>183</v>
      </c>
      <c r="B185" s="9"/>
      <c r="C185" s="9"/>
      <c r="D185" s="8"/>
      <c r="E185" s="8"/>
      <c r="F185" s="8"/>
      <c r="G185" s="10"/>
      <c r="H185" s="8" t="s">
        <v>513</v>
      </c>
      <c r="I185" s="10" t="s">
        <v>514</v>
      </c>
      <c r="J185" s="11" t="s">
        <v>26</v>
      </c>
      <c r="K185" s="18">
        <v>200</v>
      </c>
      <c r="L185" s="12">
        <f t="shared" si="23"/>
        <v>300</v>
      </c>
      <c r="M185" s="8">
        <v>1</v>
      </c>
      <c r="N185" s="8" t="s">
        <v>27</v>
      </c>
      <c r="O185" s="13"/>
      <c r="P185" s="14">
        <v>0.2</v>
      </c>
      <c r="Q185" s="15">
        <v>0.2</v>
      </c>
      <c r="R185" s="16" t="str">
        <f t="shared" si="18"/>
        <v>AMX</v>
      </c>
      <c r="S185" s="17"/>
      <c r="T185" s="10"/>
      <c r="AB185" s="112">
        <v>1</v>
      </c>
    </row>
    <row r="186" spans="1:28" ht="27" customHeight="1" x14ac:dyDescent="0.25">
      <c r="A186" s="8" t="s">
        <v>183</v>
      </c>
      <c r="B186" s="9"/>
      <c r="C186" s="9"/>
      <c r="D186" s="8"/>
      <c r="E186" s="8"/>
      <c r="F186" s="8"/>
      <c r="G186" s="10"/>
      <c r="H186" s="8" t="s">
        <v>515</v>
      </c>
      <c r="I186" s="10" t="s">
        <v>516</v>
      </c>
      <c r="J186" s="11" t="s">
        <v>26</v>
      </c>
      <c r="K186" s="18">
        <v>1</v>
      </c>
      <c r="L186" s="12">
        <f t="shared" si="23"/>
        <v>1.4999999999999998</v>
      </c>
      <c r="M186" s="8">
        <v>1</v>
      </c>
      <c r="N186" s="8" t="s">
        <v>27</v>
      </c>
      <c r="O186" s="13"/>
      <c r="P186" s="14">
        <v>0.2</v>
      </c>
      <c r="Q186" s="15">
        <v>0.2</v>
      </c>
      <c r="R186" s="16" t="str">
        <f t="shared" si="18"/>
        <v>AMX</v>
      </c>
      <c r="S186" s="17"/>
      <c r="T186" s="10"/>
      <c r="AB186" s="112">
        <v>1</v>
      </c>
    </row>
    <row r="187" spans="1:28" ht="27" customHeight="1" x14ac:dyDescent="0.25">
      <c r="A187" s="8" t="s">
        <v>183</v>
      </c>
      <c r="B187" s="9"/>
      <c r="C187" s="9"/>
      <c r="D187" s="8"/>
      <c r="E187" s="8"/>
      <c r="F187" s="8"/>
      <c r="G187" s="10"/>
      <c r="H187" s="8" t="s">
        <v>344</v>
      </c>
      <c r="I187" s="10" t="s">
        <v>517</v>
      </c>
      <c r="J187" s="11" t="s">
        <v>26</v>
      </c>
      <c r="K187" s="18">
        <v>800</v>
      </c>
      <c r="L187" s="12">
        <f t="shared" si="23"/>
        <v>1142.8571428571429</v>
      </c>
      <c r="M187" s="8">
        <v>1</v>
      </c>
      <c r="N187" s="8" t="s">
        <v>27</v>
      </c>
      <c r="O187" s="13"/>
      <c r="P187" s="14">
        <v>0</v>
      </c>
      <c r="Q187" s="15">
        <v>0.3</v>
      </c>
      <c r="R187" s="16" t="str">
        <f t="shared" si="18"/>
        <v>AMX</v>
      </c>
      <c r="S187" s="17"/>
      <c r="T187" s="10"/>
    </row>
    <row r="188" spans="1:28" ht="27" customHeight="1" x14ac:dyDescent="0.25">
      <c r="A188" s="8" t="s">
        <v>183</v>
      </c>
      <c r="B188" s="9"/>
      <c r="C188" s="9"/>
      <c r="D188" s="8"/>
      <c r="E188" s="8"/>
      <c r="F188" s="8"/>
      <c r="G188" s="10"/>
      <c r="H188" s="8" t="s">
        <v>402</v>
      </c>
      <c r="I188" s="10" t="s">
        <v>518</v>
      </c>
      <c r="J188" s="11" t="s">
        <v>26</v>
      </c>
      <c r="K188" s="18">
        <v>40</v>
      </c>
      <c r="L188" s="12">
        <f t="shared" si="23"/>
        <v>57.142857142857146</v>
      </c>
      <c r="M188" s="8">
        <v>1</v>
      </c>
      <c r="N188" s="8" t="s">
        <v>27</v>
      </c>
      <c r="O188" s="13"/>
      <c r="P188" s="14">
        <v>0</v>
      </c>
      <c r="Q188" s="15">
        <v>0.3</v>
      </c>
      <c r="R188" s="16" t="str">
        <f t="shared" si="18"/>
        <v>AMX</v>
      </c>
      <c r="S188" s="17"/>
      <c r="T188" s="10"/>
    </row>
    <row r="189" spans="1:28" ht="27" customHeight="1" x14ac:dyDescent="0.25">
      <c r="A189" s="8" t="s">
        <v>183</v>
      </c>
      <c r="B189" s="9"/>
      <c r="C189" s="9"/>
      <c r="D189" s="8"/>
      <c r="E189" s="8"/>
      <c r="F189" s="8"/>
      <c r="G189" s="10"/>
      <c r="H189" s="8" t="s">
        <v>519</v>
      </c>
      <c r="I189" s="10" t="s">
        <v>520</v>
      </c>
      <c r="J189" s="11" t="s">
        <v>26</v>
      </c>
      <c r="K189" s="18">
        <v>10</v>
      </c>
      <c r="L189" s="12">
        <f t="shared" si="23"/>
        <v>14.285714285714286</v>
      </c>
      <c r="M189" s="8">
        <v>1</v>
      </c>
      <c r="N189" s="8" t="s">
        <v>27</v>
      </c>
      <c r="O189" s="13"/>
      <c r="P189" s="14">
        <v>0</v>
      </c>
      <c r="Q189" s="15">
        <v>0.3</v>
      </c>
      <c r="R189" s="16" t="str">
        <f t="shared" si="18"/>
        <v>AMX</v>
      </c>
      <c r="S189" s="17"/>
      <c r="T189" s="10"/>
    </row>
    <row r="190" spans="1:28" ht="27" customHeight="1" x14ac:dyDescent="0.25">
      <c r="A190" s="8" t="s">
        <v>183</v>
      </c>
      <c r="B190" s="9"/>
      <c r="C190" s="9"/>
      <c r="D190" s="8"/>
      <c r="E190" s="8"/>
      <c r="F190" s="8"/>
      <c r="G190" s="10"/>
      <c r="H190" s="8" t="s">
        <v>521</v>
      </c>
      <c r="I190" s="10" t="s">
        <v>522</v>
      </c>
      <c r="J190" s="11" t="s">
        <v>33</v>
      </c>
      <c r="K190" s="18">
        <v>1080000</v>
      </c>
      <c r="L190" s="12">
        <f t="shared" si="23"/>
        <v>1542857.142857143</v>
      </c>
      <c r="M190" s="8">
        <v>1</v>
      </c>
      <c r="N190" s="8" t="s">
        <v>27</v>
      </c>
      <c r="O190" s="13"/>
      <c r="P190" s="14">
        <v>0</v>
      </c>
      <c r="Q190" s="15">
        <v>0.3</v>
      </c>
      <c r="R190" s="16" t="str">
        <f t="shared" si="18"/>
        <v>AMX</v>
      </c>
      <c r="S190" s="17"/>
      <c r="T190" s="10"/>
    </row>
    <row r="191" spans="1:28" ht="27" customHeight="1" x14ac:dyDescent="0.25">
      <c r="A191" s="8" t="s">
        <v>183</v>
      </c>
      <c r="B191" s="9"/>
      <c r="C191" s="9"/>
      <c r="D191" s="8"/>
      <c r="E191" s="8"/>
      <c r="F191" s="8"/>
      <c r="G191" s="10"/>
      <c r="H191" s="8" t="s">
        <v>523</v>
      </c>
      <c r="I191" s="10" t="s">
        <v>524</v>
      </c>
      <c r="J191" s="11" t="s">
        <v>26</v>
      </c>
      <c r="K191" s="18">
        <v>150</v>
      </c>
      <c r="L191" s="12">
        <f t="shared" si="23"/>
        <v>250</v>
      </c>
      <c r="M191" s="8">
        <v>1</v>
      </c>
      <c r="N191" s="8" t="s">
        <v>27</v>
      </c>
      <c r="O191" s="13"/>
      <c r="P191" s="14">
        <v>0</v>
      </c>
      <c r="Q191" s="15">
        <v>0.4</v>
      </c>
      <c r="R191" s="16" t="str">
        <f t="shared" si="18"/>
        <v>AMX</v>
      </c>
      <c r="S191" s="17"/>
      <c r="T191" s="10"/>
    </row>
    <row r="192" spans="1:28" ht="27" customHeight="1" x14ac:dyDescent="0.25">
      <c r="A192" s="8" t="s">
        <v>525</v>
      </c>
      <c r="B192" s="9" t="s">
        <v>208</v>
      </c>
      <c r="C192" s="9"/>
      <c r="D192" s="8" t="s">
        <v>208</v>
      </c>
      <c r="E192" s="8"/>
      <c r="F192" s="8" t="s">
        <v>22</v>
      </c>
      <c r="G192" s="10" t="s">
        <v>526</v>
      </c>
      <c r="H192" s="8" t="s">
        <v>527</v>
      </c>
      <c r="I192" s="10" t="s">
        <v>526</v>
      </c>
      <c r="J192" s="11" t="s">
        <v>26</v>
      </c>
      <c r="K192" s="18">
        <v>0.65245901639344261</v>
      </c>
      <c r="L192" s="12">
        <f>IF(J192="P",ROUNDUP(K192/(1-Q192),-2),K192*(1+P192)/(1-Q192))</f>
        <v>0.97868852459016387</v>
      </c>
      <c r="M192" s="8">
        <v>1</v>
      </c>
      <c r="N192" s="8" t="s">
        <v>110</v>
      </c>
      <c r="O192" s="13" t="str">
        <f>F192</f>
        <v>BLANCO</v>
      </c>
      <c r="P192" s="14">
        <v>0.2</v>
      </c>
      <c r="Q192" s="15">
        <v>0.2</v>
      </c>
      <c r="R192" s="16" t="str">
        <f t="shared" si="18"/>
        <v>ANIXTER</v>
      </c>
      <c r="S192" s="17"/>
      <c r="T192" s="10" t="str">
        <f>G192</f>
        <v>METRO DE CABLE CERTIFICADO PARA ALTAVOCES, LIBRE DE OXIGENO, DE MÁXIMA PUREZA.</v>
      </c>
    </row>
    <row r="193" spans="1:20" ht="27" customHeight="1" x14ac:dyDescent="0.25">
      <c r="A193" s="8" t="s">
        <v>528</v>
      </c>
      <c r="B193" s="9"/>
      <c r="C193" s="9"/>
      <c r="D193" s="8"/>
      <c r="E193" s="8"/>
      <c r="F193" s="8"/>
      <c r="G193" s="10"/>
      <c r="H193" s="8" t="s">
        <v>529</v>
      </c>
      <c r="I193" s="10" t="s">
        <v>530</v>
      </c>
      <c r="J193" s="11" t="s">
        <v>26</v>
      </c>
      <c r="K193" s="18">
        <v>12</v>
      </c>
      <c r="L193" s="12">
        <f>K193*(1+P193)/(1-Q193)</f>
        <v>20.571428571428569</v>
      </c>
      <c r="M193" s="8">
        <v>1</v>
      </c>
      <c r="N193" s="8" t="s">
        <v>27</v>
      </c>
      <c r="O193" s="13"/>
      <c r="P193" s="14">
        <v>0.2</v>
      </c>
      <c r="Q193" s="15">
        <v>0.3</v>
      </c>
      <c r="R193" s="16" t="str">
        <f t="shared" ref="R193:R256" si="24">A193</f>
        <v>ANKER</v>
      </c>
      <c r="S193" s="17"/>
      <c r="T193" s="10"/>
    </row>
    <row r="194" spans="1:20" ht="27" customHeight="1" x14ac:dyDescent="0.25">
      <c r="A194" s="8" t="s">
        <v>531</v>
      </c>
      <c r="B194" s="9"/>
      <c r="C194" s="9"/>
      <c r="D194" s="8"/>
      <c r="E194" s="8"/>
      <c r="F194" s="8"/>
      <c r="G194" s="10"/>
      <c r="H194" s="8" t="s">
        <v>532</v>
      </c>
      <c r="I194" s="10" t="s">
        <v>533</v>
      </c>
      <c r="J194" s="11" t="s">
        <v>33</v>
      </c>
      <c r="K194" s="18">
        <f>95000+31000*21</f>
        <v>746000</v>
      </c>
      <c r="L194" s="12">
        <f t="shared" ref="L194:L233" si="25">IF(J194="P",ROUNDUP(K194/(1-Q194),-2),K194*(1+P194)/(1-Q194))</f>
        <v>1243400</v>
      </c>
      <c r="M194" s="8">
        <v>1</v>
      </c>
      <c r="N194" s="8" t="s">
        <v>27</v>
      </c>
      <c r="O194" s="13">
        <f t="shared" ref="O194:O221" si="26">F194</f>
        <v>0</v>
      </c>
      <c r="P194" s="14">
        <v>0</v>
      </c>
      <c r="Q194" s="15">
        <v>0.4</v>
      </c>
      <c r="R194" s="16" t="str">
        <f t="shared" si="24"/>
        <v>ANSON</v>
      </c>
      <c r="S194" s="17"/>
      <c r="T194" s="10"/>
    </row>
    <row r="195" spans="1:20" ht="27" customHeight="1" x14ac:dyDescent="0.25">
      <c r="A195" s="8" t="s">
        <v>534</v>
      </c>
      <c r="B195" s="9" t="s">
        <v>535</v>
      </c>
      <c r="C195" s="9" t="s">
        <v>536</v>
      </c>
      <c r="D195" s="8" t="s">
        <v>537</v>
      </c>
      <c r="E195" s="8">
        <v>1</v>
      </c>
      <c r="F195" s="8" t="s">
        <v>22</v>
      </c>
      <c r="G195" s="10" t="s">
        <v>538</v>
      </c>
      <c r="H195" s="8" t="s">
        <v>539</v>
      </c>
      <c r="I195" s="10" t="s">
        <v>540</v>
      </c>
      <c r="J195" s="11" t="s">
        <v>26</v>
      </c>
      <c r="K195" s="18">
        <v>566</v>
      </c>
      <c r="L195" s="12">
        <f t="shared" si="25"/>
        <v>1226.3333333333335</v>
      </c>
      <c r="M195" s="8">
        <v>3</v>
      </c>
      <c r="N195" s="8" t="s">
        <v>27</v>
      </c>
      <c r="O195" s="13" t="str">
        <f t="shared" si="26"/>
        <v>BLANCO</v>
      </c>
      <c r="P195" s="14">
        <v>0.3</v>
      </c>
      <c r="Q195" s="15">
        <v>0.4</v>
      </c>
      <c r="R195" s="16" t="str">
        <f t="shared" si="24"/>
        <v>ANTHONY GALLO</v>
      </c>
      <c r="S195" s="17"/>
      <c r="T195" s="10" t="str">
        <f t="shared" ref="T195:T233" si="27">G195</f>
        <v>SISTEMA DE ALTAVOCES 5.1 DE ALTA FIDELIDAD ULTRA COMPACTO.</v>
      </c>
    </row>
    <row r="196" spans="1:20" ht="27" customHeight="1" x14ac:dyDescent="0.25">
      <c r="A196" s="8" t="s">
        <v>534</v>
      </c>
      <c r="B196" s="9" t="s">
        <v>535</v>
      </c>
      <c r="C196" s="9" t="s">
        <v>536</v>
      </c>
      <c r="D196" s="8" t="s">
        <v>537</v>
      </c>
      <c r="E196" s="8">
        <v>2</v>
      </c>
      <c r="F196" s="8" t="s">
        <v>22</v>
      </c>
      <c r="G196" s="10" t="s">
        <v>538</v>
      </c>
      <c r="H196" s="8" t="s">
        <v>541</v>
      </c>
      <c r="I196" s="10" t="s">
        <v>542</v>
      </c>
      <c r="J196" s="11" t="s">
        <v>26</v>
      </c>
      <c r="K196" s="18">
        <v>726</v>
      </c>
      <c r="L196" s="12">
        <f t="shared" si="25"/>
        <v>1573.0000000000002</v>
      </c>
      <c r="M196" s="8">
        <v>3</v>
      </c>
      <c r="N196" s="8" t="s">
        <v>27</v>
      </c>
      <c r="O196" s="13" t="str">
        <f t="shared" si="26"/>
        <v>BLANCO</v>
      </c>
      <c r="P196" s="14">
        <v>0.3</v>
      </c>
      <c r="Q196" s="15">
        <v>0.4</v>
      </c>
      <c r="R196" s="16" t="str">
        <f t="shared" si="24"/>
        <v>ANTHONY GALLO</v>
      </c>
      <c r="S196" s="17"/>
      <c r="T196" s="10" t="str">
        <f t="shared" si="27"/>
        <v>SISTEMA DE ALTAVOCES 5.1 DE ALTA FIDELIDAD ULTRA COMPACTO.</v>
      </c>
    </row>
    <row r="197" spans="1:20" ht="27" customHeight="1" x14ac:dyDescent="0.25">
      <c r="A197" s="8" t="s">
        <v>534</v>
      </c>
      <c r="B197" s="9" t="s">
        <v>535</v>
      </c>
      <c r="C197" s="9" t="s">
        <v>536</v>
      </c>
      <c r="D197" s="8" t="s">
        <v>537</v>
      </c>
      <c r="E197" s="8">
        <v>3</v>
      </c>
      <c r="F197" s="8" t="s">
        <v>543</v>
      </c>
      <c r="G197" s="10" t="s">
        <v>538</v>
      </c>
      <c r="H197" s="8" t="s">
        <v>544</v>
      </c>
      <c r="I197" s="10" t="s">
        <v>545</v>
      </c>
      <c r="J197" s="11" t="s">
        <v>26</v>
      </c>
      <c r="K197" s="18">
        <v>675</v>
      </c>
      <c r="L197" s="12">
        <f t="shared" si="25"/>
        <v>1462.5</v>
      </c>
      <c r="M197" s="8">
        <v>3</v>
      </c>
      <c r="N197" s="8" t="s">
        <v>27</v>
      </c>
      <c r="O197" s="13" t="str">
        <f t="shared" si="26"/>
        <v>SE</v>
      </c>
      <c r="P197" s="14">
        <v>0.3</v>
      </c>
      <c r="Q197" s="15">
        <v>0.4</v>
      </c>
      <c r="R197" s="16" t="str">
        <f t="shared" si="24"/>
        <v>ANTHONY GALLO</v>
      </c>
      <c r="S197" s="17"/>
      <c r="T197" s="10" t="str">
        <f t="shared" si="27"/>
        <v>SISTEMA DE ALTAVOCES 5.1 DE ALTA FIDELIDAD ULTRA COMPACTO.</v>
      </c>
    </row>
    <row r="198" spans="1:20" ht="27" customHeight="1" x14ac:dyDescent="0.25">
      <c r="A198" s="8" t="s">
        <v>534</v>
      </c>
      <c r="B198" s="9" t="s">
        <v>535</v>
      </c>
      <c r="C198" s="9" t="s">
        <v>536</v>
      </c>
      <c r="D198" s="8" t="s">
        <v>537</v>
      </c>
      <c r="E198" s="8">
        <v>4</v>
      </c>
      <c r="F198" s="8" t="s">
        <v>543</v>
      </c>
      <c r="G198" s="10" t="s">
        <v>538</v>
      </c>
      <c r="H198" s="8" t="s">
        <v>546</v>
      </c>
      <c r="I198" s="10" t="s">
        <v>547</v>
      </c>
      <c r="J198" s="11" t="s">
        <v>26</v>
      </c>
      <c r="K198" s="18">
        <v>1119</v>
      </c>
      <c r="L198" s="12">
        <f t="shared" si="25"/>
        <v>2424.5</v>
      </c>
      <c r="M198" s="8">
        <v>3</v>
      </c>
      <c r="N198" s="8" t="s">
        <v>27</v>
      </c>
      <c r="O198" s="13" t="str">
        <f t="shared" si="26"/>
        <v>SE</v>
      </c>
      <c r="P198" s="14">
        <v>0.3</v>
      </c>
      <c r="Q198" s="15">
        <v>0.4</v>
      </c>
      <c r="R198" s="16" t="str">
        <f t="shared" si="24"/>
        <v>ANTHONY GALLO</v>
      </c>
      <c r="S198" s="17"/>
      <c r="T198" s="10" t="str">
        <f t="shared" si="27"/>
        <v>SISTEMA DE ALTAVOCES 5.1 DE ALTA FIDELIDAD ULTRA COMPACTO.</v>
      </c>
    </row>
    <row r="199" spans="1:20" ht="27" customHeight="1" x14ac:dyDescent="0.25">
      <c r="A199" s="8" t="s">
        <v>534</v>
      </c>
      <c r="B199" s="9" t="s">
        <v>535</v>
      </c>
      <c r="C199" s="9" t="s">
        <v>536</v>
      </c>
      <c r="D199" s="8" t="s">
        <v>548</v>
      </c>
      <c r="E199" s="8">
        <v>1</v>
      </c>
      <c r="F199" s="8" t="s">
        <v>22</v>
      </c>
      <c r="G199" s="10" t="s">
        <v>549</v>
      </c>
      <c r="H199" s="8" t="s">
        <v>550</v>
      </c>
      <c r="I199" s="10" t="s">
        <v>551</v>
      </c>
      <c r="J199" s="11" t="s">
        <v>26</v>
      </c>
      <c r="K199" s="18">
        <f>7325/2</f>
        <v>3662.5</v>
      </c>
      <c r="L199" s="12">
        <f t="shared" si="25"/>
        <v>6348.333333333333</v>
      </c>
      <c r="M199" s="8">
        <v>3</v>
      </c>
      <c r="N199" s="8" t="s">
        <v>27</v>
      </c>
      <c r="O199" s="13" t="str">
        <f t="shared" si="26"/>
        <v>BLANCO</v>
      </c>
      <c r="P199" s="14">
        <v>0.3</v>
      </c>
      <c r="Q199" s="15">
        <v>0.25</v>
      </c>
      <c r="R199" s="16" t="str">
        <f t="shared" si="24"/>
        <v>ANTHONY GALLO</v>
      </c>
      <c r="S199" s="17"/>
      <c r="T199" s="10" t="str">
        <f t="shared" si="27"/>
        <v>ALTAVOCES DE ALTA FIDELIDAD LÍNEA REFERENCE 5.</v>
      </c>
    </row>
    <row r="200" spans="1:20" ht="27" customHeight="1" x14ac:dyDescent="0.25">
      <c r="A200" s="8" t="s">
        <v>534</v>
      </c>
      <c r="B200" s="9" t="s">
        <v>535</v>
      </c>
      <c r="C200" s="9" t="s">
        <v>536</v>
      </c>
      <c r="D200" s="8" t="s">
        <v>548</v>
      </c>
      <c r="E200" s="8">
        <v>2</v>
      </c>
      <c r="F200" s="8" t="s">
        <v>22</v>
      </c>
      <c r="G200" s="10" t="s">
        <v>552</v>
      </c>
      <c r="H200" s="8" t="s">
        <v>553</v>
      </c>
      <c r="I200" s="10" t="s">
        <v>554</v>
      </c>
      <c r="J200" s="11" t="s">
        <v>26</v>
      </c>
      <c r="K200" s="18">
        <f>2400/2</f>
        <v>1200</v>
      </c>
      <c r="L200" s="12">
        <f t="shared" si="25"/>
        <v>2600</v>
      </c>
      <c r="M200" s="8">
        <v>3</v>
      </c>
      <c r="N200" s="8" t="s">
        <v>27</v>
      </c>
      <c r="O200" s="13" t="str">
        <f t="shared" si="26"/>
        <v>BLANCO</v>
      </c>
      <c r="P200" s="14">
        <v>0.3</v>
      </c>
      <c r="Q200" s="15">
        <v>0.4</v>
      </c>
      <c r="R200" s="16" t="str">
        <f t="shared" si="24"/>
        <v>ANTHONY GALLO</v>
      </c>
      <c r="S200" s="17"/>
      <c r="T200" s="10" t="str">
        <f t="shared" si="27"/>
        <v>ALTAVOCES DE ALTA FIDELIDAD LÍNEA REFERENCE 3.5.</v>
      </c>
    </row>
    <row r="201" spans="1:20" ht="27" customHeight="1" x14ac:dyDescent="0.25">
      <c r="A201" s="8" t="s">
        <v>534</v>
      </c>
      <c r="B201" s="9" t="s">
        <v>535</v>
      </c>
      <c r="C201" s="9" t="s">
        <v>536</v>
      </c>
      <c r="D201" s="8" t="s">
        <v>548</v>
      </c>
      <c r="E201" s="8">
        <v>3</v>
      </c>
      <c r="F201" s="8" t="s">
        <v>22</v>
      </c>
      <c r="G201" s="10" t="s">
        <v>555</v>
      </c>
      <c r="H201" s="8" t="s">
        <v>556</v>
      </c>
      <c r="I201" s="10" t="s">
        <v>557</v>
      </c>
      <c r="J201" s="11" t="s">
        <v>26</v>
      </c>
      <c r="K201" s="18">
        <v>399</v>
      </c>
      <c r="L201" s="12">
        <f t="shared" si="25"/>
        <v>864.50000000000011</v>
      </c>
      <c r="M201" s="8">
        <v>3</v>
      </c>
      <c r="N201" s="8" t="s">
        <v>27</v>
      </c>
      <c r="O201" s="13" t="str">
        <f t="shared" si="26"/>
        <v>BLANCO</v>
      </c>
      <c r="P201" s="14">
        <v>0.3</v>
      </c>
      <c r="Q201" s="15">
        <v>0.4</v>
      </c>
      <c r="R201" s="16" t="str">
        <f t="shared" si="24"/>
        <v>ANTHONY GALLO</v>
      </c>
      <c r="S201" s="17"/>
      <c r="T201" s="10" t="str">
        <f t="shared" si="27"/>
        <v>ALTAVOCES DUALES CON RESPUESTA EN FRECUENCIA DE 45HZ - 20KHZ.</v>
      </c>
    </row>
    <row r="202" spans="1:20" ht="27" customHeight="1" x14ac:dyDescent="0.25">
      <c r="A202" s="8" t="s">
        <v>534</v>
      </c>
      <c r="B202" s="9" t="s">
        <v>535</v>
      </c>
      <c r="C202" s="9" t="s">
        <v>536</v>
      </c>
      <c r="D202" s="8" t="s">
        <v>548</v>
      </c>
      <c r="E202" s="8">
        <v>4</v>
      </c>
      <c r="F202" s="8" t="s">
        <v>22</v>
      </c>
      <c r="G202" s="10" t="s">
        <v>558</v>
      </c>
      <c r="H202" s="8" t="s">
        <v>559</v>
      </c>
      <c r="I202" s="10" t="s">
        <v>560</v>
      </c>
      <c r="J202" s="11" t="s">
        <v>26</v>
      </c>
      <c r="K202" s="18">
        <v>96</v>
      </c>
      <c r="L202" s="12">
        <f t="shared" si="25"/>
        <v>208.00000000000003</v>
      </c>
      <c r="M202" s="8">
        <v>3</v>
      </c>
      <c r="N202" s="8" t="s">
        <v>27</v>
      </c>
      <c r="O202" s="13" t="str">
        <f t="shared" si="26"/>
        <v>BLANCO</v>
      </c>
      <c r="P202" s="14">
        <v>0.3</v>
      </c>
      <c r="Q202" s="15">
        <v>0.4</v>
      </c>
      <c r="R202" s="16" t="str">
        <f t="shared" si="24"/>
        <v>ANTHONY GALLO</v>
      </c>
      <c r="S202" s="17"/>
      <c r="T202" s="10" t="str">
        <f t="shared" si="27"/>
        <v>ALTAVOZ SATÉLITE DE LA SERIE MICRO, POTENCIA DE HASTA 125 VATIOS.</v>
      </c>
    </row>
    <row r="203" spans="1:20" ht="27" customHeight="1" x14ac:dyDescent="0.25">
      <c r="A203" s="8" t="s">
        <v>534</v>
      </c>
      <c r="B203" s="9" t="s">
        <v>535</v>
      </c>
      <c r="C203" s="9" t="s">
        <v>536</v>
      </c>
      <c r="D203" s="8" t="s">
        <v>548</v>
      </c>
      <c r="E203" s="8">
        <v>5</v>
      </c>
      <c r="F203" s="8" t="s">
        <v>22</v>
      </c>
      <c r="G203" s="10" t="s">
        <v>558</v>
      </c>
      <c r="H203" s="8" t="s">
        <v>561</v>
      </c>
      <c r="I203" s="10" t="s">
        <v>562</v>
      </c>
      <c r="J203" s="11" t="s">
        <v>26</v>
      </c>
      <c r="K203" s="18">
        <v>114</v>
      </c>
      <c r="L203" s="12">
        <f t="shared" si="25"/>
        <v>247.00000000000003</v>
      </c>
      <c r="M203" s="8">
        <v>3</v>
      </c>
      <c r="N203" s="8" t="s">
        <v>27</v>
      </c>
      <c r="O203" s="13" t="str">
        <f t="shared" si="26"/>
        <v>BLANCO</v>
      </c>
      <c r="P203" s="14">
        <v>0.3</v>
      </c>
      <c r="Q203" s="15">
        <v>0.4</v>
      </c>
      <c r="R203" s="16" t="str">
        <f t="shared" si="24"/>
        <v>ANTHONY GALLO</v>
      </c>
      <c r="S203" s="17"/>
      <c r="T203" s="10" t="str">
        <f t="shared" si="27"/>
        <v>ALTAVOZ SATÉLITE DE LA SERIE MICRO, POTENCIA DE HASTA 125 VATIOS.</v>
      </c>
    </row>
    <row r="204" spans="1:20" ht="27" customHeight="1" x14ac:dyDescent="0.25">
      <c r="A204" s="8" t="s">
        <v>534</v>
      </c>
      <c r="B204" s="9" t="s">
        <v>535</v>
      </c>
      <c r="C204" s="9" t="s">
        <v>536</v>
      </c>
      <c r="D204" s="8" t="s">
        <v>563</v>
      </c>
      <c r="E204" s="8">
        <v>1</v>
      </c>
      <c r="F204" s="8" t="s">
        <v>22</v>
      </c>
      <c r="G204" s="10" t="s">
        <v>564</v>
      </c>
      <c r="H204" s="8" t="s">
        <v>565</v>
      </c>
      <c r="I204" s="10" t="s">
        <v>564</v>
      </c>
      <c r="J204" s="11" t="s">
        <v>26</v>
      </c>
      <c r="K204" s="18">
        <v>240</v>
      </c>
      <c r="L204" s="12">
        <f t="shared" si="25"/>
        <v>520</v>
      </c>
      <c r="M204" s="8">
        <v>3</v>
      </c>
      <c r="N204" s="8" t="s">
        <v>27</v>
      </c>
      <c r="O204" s="13" t="str">
        <f t="shared" si="26"/>
        <v>BLANCO</v>
      </c>
      <c r="P204" s="14">
        <v>0.3</v>
      </c>
      <c r="Q204" s="15">
        <v>0.4</v>
      </c>
      <c r="R204" s="16" t="str">
        <f t="shared" si="24"/>
        <v>ANTHONY GALLO</v>
      </c>
      <c r="S204" s="17"/>
      <c r="T204" s="10" t="str">
        <f t="shared" si="27"/>
        <v>SUBWOOFER CON AMPLIFICADOR TIPO AB DE 100 VATIOS, FILTRO PASA BAJOS AJUSTABLE.</v>
      </c>
    </row>
    <row r="205" spans="1:20" ht="27" customHeight="1" x14ac:dyDescent="0.25">
      <c r="A205" s="8" t="s">
        <v>534</v>
      </c>
      <c r="B205" s="9" t="s">
        <v>535</v>
      </c>
      <c r="C205" s="9" t="s">
        <v>536</v>
      </c>
      <c r="D205" s="8" t="s">
        <v>563</v>
      </c>
      <c r="E205" s="8">
        <v>2</v>
      </c>
      <c r="F205" s="8" t="s">
        <v>22</v>
      </c>
      <c r="G205" s="10" t="s">
        <v>566</v>
      </c>
      <c r="H205" s="8" t="s">
        <v>567</v>
      </c>
      <c r="I205" s="10" t="s">
        <v>566</v>
      </c>
      <c r="J205" s="11" t="s">
        <v>26</v>
      </c>
      <c r="K205" s="18">
        <v>406</v>
      </c>
      <c r="L205" s="12">
        <f t="shared" si="25"/>
        <v>879.66666666666686</v>
      </c>
      <c r="M205" s="8">
        <v>3</v>
      </c>
      <c r="N205" s="8" t="s">
        <v>27</v>
      </c>
      <c r="O205" s="13" t="str">
        <f t="shared" si="26"/>
        <v>BLANCO</v>
      </c>
      <c r="P205" s="14">
        <v>0.3</v>
      </c>
      <c r="Q205" s="15">
        <v>0.4</v>
      </c>
      <c r="R205" s="16" t="str">
        <f t="shared" si="24"/>
        <v>ANTHONY GALLO</v>
      </c>
      <c r="S205" s="17"/>
      <c r="T205" s="10" t="str">
        <f t="shared" si="27"/>
        <v>SUBWOOFER CON AMPLIFICADOR TIPO AB DE 300 VATIOS, FILTRO PASA BAJOS AJUSTABLE.</v>
      </c>
    </row>
    <row r="206" spans="1:20" ht="27" customHeight="1" x14ac:dyDescent="0.25">
      <c r="A206" s="8" t="s">
        <v>534</v>
      </c>
      <c r="B206" s="9" t="s">
        <v>535</v>
      </c>
      <c r="C206" s="9" t="s">
        <v>536</v>
      </c>
      <c r="D206" s="8" t="s">
        <v>568</v>
      </c>
      <c r="E206" s="8">
        <v>3</v>
      </c>
      <c r="F206" s="8" t="s">
        <v>22</v>
      </c>
      <c r="G206" s="10" t="s">
        <v>569</v>
      </c>
      <c r="H206" s="8" t="s">
        <v>570</v>
      </c>
      <c r="I206" s="10" t="s">
        <v>569</v>
      </c>
      <c r="J206" s="11" t="s">
        <v>26</v>
      </c>
      <c r="K206" s="18">
        <v>50</v>
      </c>
      <c r="L206" s="12">
        <f t="shared" si="25"/>
        <v>108.33333333333334</v>
      </c>
      <c r="M206" s="8">
        <v>3</v>
      </c>
      <c r="N206" s="8" t="s">
        <v>27</v>
      </c>
      <c r="O206" s="13" t="str">
        <f t="shared" si="26"/>
        <v>BLANCO</v>
      </c>
      <c r="P206" s="14">
        <v>0.3</v>
      </c>
      <c r="Q206" s="15">
        <v>0.4</v>
      </c>
      <c r="R206" s="16" t="str">
        <f t="shared" si="24"/>
        <v>ANTHONY GALLO</v>
      </c>
      <c r="S206" s="17"/>
      <c r="T206" s="10" t="str">
        <f t="shared" si="27"/>
        <v>SOPORTES DE PARED PARA ALTAVOCES STRADA</v>
      </c>
    </row>
    <row r="207" spans="1:20" ht="27" customHeight="1" x14ac:dyDescent="0.25">
      <c r="A207" s="8" t="s">
        <v>534</v>
      </c>
      <c r="B207" s="9" t="s">
        <v>535</v>
      </c>
      <c r="C207" s="9" t="s">
        <v>536</v>
      </c>
      <c r="D207" s="8" t="s">
        <v>568</v>
      </c>
      <c r="E207" s="8">
        <v>4</v>
      </c>
      <c r="F207" s="8" t="s">
        <v>22</v>
      </c>
      <c r="G207" s="10" t="s">
        <v>571</v>
      </c>
      <c r="H207" s="8" t="s">
        <v>572</v>
      </c>
      <c r="I207" s="10" t="s">
        <v>571</v>
      </c>
      <c r="J207" s="11" t="s">
        <v>26</v>
      </c>
      <c r="K207" s="18">
        <v>180</v>
      </c>
      <c r="L207" s="12">
        <f t="shared" si="25"/>
        <v>390</v>
      </c>
      <c r="M207" s="8">
        <v>3</v>
      </c>
      <c r="N207" s="8" t="s">
        <v>27</v>
      </c>
      <c r="O207" s="13" t="str">
        <f t="shared" si="26"/>
        <v>BLANCO</v>
      </c>
      <c r="P207" s="14">
        <v>0.3</v>
      </c>
      <c r="Q207" s="15">
        <v>0.4</v>
      </c>
      <c r="R207" s="16" t="str">
        <f t="shared" si="24"/>
        <v>ANTHONY GALLO</v>
      </c>
      <c r="S207" s="17"/>
      <c r="T207" s="10" t="str">
        <f t="shared" si="27"/>
        <v>SOPORTE DE PISO PARA ALTAVOCES TIPO STRADA</v>
      </c>
    </row>
    <row r="208" spans="1:20" ht="27" customHeight="1" x14ac:dyDescent="0.25">
      <c r="A208" s="8" t="s">
        <v>534</v>
      </c>
      <c r="B208" s="9" t="s">
        <v>535</v>
      </c>
      <c r="C208" s="9" t="s">
        <v>536</v>
      </c>
      <c r="D208" s="8" t="s">
        <v>568</v>
      </c>
      <c r="E208" s="8">
        <v>5</v>
      </c>
      <c r="F208" s="8" t="s">
        <v>22</v>
      </c>
      <c r="G208" s="10" t="s">
        <v>573</v>
      </c>
      <c r="H208" s="8" t="s">
        <v>574</v>
      </c>
      <c r="I208" s="10" t="s">
        <v>573</v>
      </c>
      <c r="J208" s="11" t="s">
        <v>26</v>
      </c>
      <c r="K208" s="18">
        <v>19</v>
      </c>
      <c r="L208" s="12">
        <f t="shared" si="25"/>
        <v>41.166666666666664</v>
      </c>
      <c r="M208" s="8">
        <v>3</v>
      </c>
      <c r="N208" s="8" t="s">
        <v>27</v>
      </c>
      <c r="O208" s="13" t="str">
        <f t="shared" si="26"/>
        <v>BLANCO</v>
      </c>
      <c r="P208" s="14">
        <v>0.3</v>
      </c>
      <c r="Q208" s="15">
        <v>0.4</v>
      </c>
      <c r="R208" s="16" t="str">
        <f t="shared" si="24"/>
        <v>ANTHONY GALLO</v>
      </c>
      <c r="S208" s="17"/>
      <c r="T208" s="10" t="str">
        <f t="shared" si="27"/>
        <v>SOPORTES DE TECHO PARA ALTAVOCES DE LA SERIE MICRO</v>
      </c>
    </row>
    <row r="209" spans="1:20" ht="27" customHeight="1" x14ac:dyDescent="0.25">
      <c r="A209" s="8" t="s">
        <v>534</v>
      </c>
      <c r="B209" s="9" t="s">
        <v>535</v>
      </c>
      <c r="C209" s="9" t="s">
        <v>536</v>
      </c>
      <c r="D209" s="8" t="s">
        <v>568</v>
      </c>
      <c r="E209" s="8">
        <v>6</v>
      </c>
      <c r="F209" s="8" t="s">
        <v>22</v>
      </c>
      <c r="G209" s="10" t="s">
        <v>575</v>
      </c>
      <c r="H209" s="8" t="s">
        <v>576</v>
      </c>
      <c r="I209" s="10" t="s">
        <v>575</v>
      </c>
      <c r="J209" s="11" t="s">
        <v>26</v>
      </c>
      <c r="K209" s="18">
        <v>19</v>
      </c>
      <c r="L209" s="12">
        <f t="shared" si="25"/>
        <v>41.166666666666664</v>
      </c>
      <c r="M209" s="8">
        <v>3</v>
      </c>
      <c r="N209" s="8" t="s">
        <v>27</v>
      </c>
      <c r="O209" s="13" t="str">
        <f t="shared" si="26"/>
        <v>BLANCO</v>
      </c>
      <c r="P209" s="14">
        <v>0.3</v>
      </c>
      <c r="Q209" s="15">
        <v>0.4</v>
      </c>
      <c r="R209" s="16" t="str">
        <f t="shared" si="24"/>
        <v>ANTHONY GALLO</v>
      </c>
      <c r="S209" s="17"/>
      <c r="T209" s="10" t="str">
        <f t="shared" si="27"/>
        <v>SOPORTES DE TECHO PARA ALTAVOCES DE LA SERIE ADIVA</v>
      </c>
    </row>
    <row r="210" spans="1:20" ht="27" customHeight="1" x14ac:dyDescent="0.25">
      <c r="A210" s="8" t="s">
        <v>534</v>
      </c>
      <c r="B210" s="9" t="s">
        <v>535</v>
      </c>
      <c r="C210" s="9" t="s">
        <v>536</v>
      </c>
      <c r="D210" s="8" t="s">
        <v>568</v>
      </c>
      <c r="E210" s="8">
        <v>7</v>
      </c>
      <c r="F210" s="8" t="s">
        <v>22</v>
      </c>
      <c r="G210" s="10" t="s">
        <v>577</v>
      </c>
      <c r="H210" s="8" t="s">
        <v>578</v>
      </c>
      <c r="I210" s="10" t="s">
        <v>577</v>
      </c>
      <c r="J210" s="11" t="s">
        <v>26</v>
      </c>
      <c r="K210" s="18">
        <v>98</v>
      </c>
      <c r="L210" s="12">
        <f t="shared" si="25"/>
        <v>212.33333333333334</v>
      </c>
      <c r="M210" s="8">
        <v>3</v>
      </c>
      <c r="N210" s="8" t="s">
        <v>27</v>
      </c>
      <c r="O210" s="13" t="str">
        <f t="shared" si="26"/>
        <v>BLANCO</v>
      </c>
      <c r="P210" s="14">
        <v>0.3</v>
      </c>
      <c r="Q210" s="15">
        <v>0.4</v>
      </c>
      <c r="R210" s="16" t="str">
        <f t="shared" si="24"/>
        <v>ANTHONY GALLO</v>
      </c>
      <c r="S210" s="17"/>
      <c r="T210" s="10" t="str">
        <f t="shared" si="27"/>
        <v>SOPORTE DE PISO PARA ALTAVOCES TIPO ADIVA</v>
      </c>
    </row>
    <row r="211" spans="1:20" ht="27" customHeight="1" x14ac:dyDescent="0.25">
      <c r="A211" s="8" t="s">
        <v>534</v>
      </c>
      <c r="B211" s="9" t="s">
        <v>535</v>
      </c>
      <c r="C211" s="9" t="s">
        <v>536</v>
      </c>
      <c r="D211" s="8" t="s">
        <v>568</v>
      </c>
      <c r="E211" s="8">
        <v>8</v>
      </c>
      <c r="F211" s="8" t="s">
        <v>22</v>
      </c>
      <c r="G211" s="10" t="s">
        <v>579</v>
      </c>
      <c r="H211" s="8" t="s">
        <v>580</v>
      </c>
      <c r="I211" s="10" t="s">
        <v>579</v>
      </c>
      <c r="J211" s="11" t="s">
        <v>26</v>
      </c>
      <c r="K211" s="18">
        <v>19</v>
      </c>
      <c r="L211" s="12">
        <f t="shared" si="25"/>
        <v>41.166666666666664</v>
      </c>
      <c r="M211" s="8">
        <v>3</v>
      </c>
      <c r="N211" s="8" t="s">
        <v>27</v>
      </c>
      <c r="O211" s="13" t="str">
        <f t="shared" si="26"/>
        <v>BLANCO</v>
      </c>
      <c r="P211" s="14">
        <v>0.3</v>
      </c>
      <c r="Q211" s="15">
        <v>0.4</v>
      </c>
      <c r="R211" s="16" t="str">
        <f t="shared" si="24"/>
        <v>ANTHONY GALLO</v>
      </c>
      <c r="S211" s="17"/>
      <c r="T211" s="10" t="str">
        <f t="shared" si="27"/>
        <v>SOPORTE PARA PARED EN COLOR NEGRO</v>
      </c>
    </row>
    <row r="212" spans="1:20" ht="27" customHeight="1" x14ac:dyDescent="0.25">
      <c r="A212" s="8" t="s">
        <v>534</v>
      </c>
      <c r="B212" s="9" t="s">
        <v>535</v>
      </c>
      <c r="C212" s="9" t="s">
        <v>536</v>
      </c>
      <c r="D212" s="8" t="s">
        <v>568</v>
      </c>
      <c r="E212" s="8">
        <v>9</v>
      </c>
      <c r="F212" s="8" t="s">
        <v>22</v>
      </c>
      <c r="G212" s="10" t="s">
        <v>581</v>
      </c>
      <c r="H212" s="8" t="s">
        <v>582</v>
      </c>
      <c r="I212" s="10" t="s">
        <v>581</v>
      </c>
      <c r="J212" s="11" t="s">
        <v>26</v>
      </c>
      <c r="K212" s="18">
        <v>19</v>
      </c>
      <c r="L212" s="12">
        <f t="shared" si="25"/>
        <v>41.166666666666664</v>
      </c>
      <c r="M212" s="8">
        <v>3</v>
      </c>
      <c r="N212" s="8" t="s">
        <v>27</v>
      </c>
      <c r="O212" s="13" t="str">
        <f t="shared" si="26"/>
        <v>BLANCO</v>
      </c>
      <c r="P212" s="14">
        <v>0.3</v>
      </c>
      <c r="Q212" s="15">
        <v>0.4</v>
      </c>
      <c r="R212" s="16" t="str">
        <f t="shared" si="24"/>
        <v>ANTHONY GALLO</v>
      </c>
      <c r="S212" s="17"/>
      <c r="T212" s="10" t="str">
        <f t="shared" si="27"/>
        <v>SOPORTE PARA PARED EN COLOR BLANCO</v>
      </c>
    </row>
    <row r="213" spans="1:20" ht="27" customHeight="1" x14ac:dyDescent="0.25">
      <c r="A213" s="8" t="s">
        <v>534</v>
      </c>
      <c r="B213" s="9" t="s">
        <v>535</v>
      </c>
      <c r="C213" s="9" t="s">
        <v>536</v>
      </c>
      <c r="D213" s="8" t="s">
        <v>568</v>
      </c>
      <c r="E213" s="8">
        <v>10</v>
      </c>
      <c r="F213" s="8" t="s">
        <v>22</v>
      </c>
      <c r="G213" s="10" t="s">
        <v>583</v>
      </c>
      <c r="H213" s="8" t="s">
        <v>584</v>
      </c>
      <c r="I213" s="10" t="s">
        <v>583</v>
      </c>
      <c r="J213" s="11" t="s">
        <v>26</v>
      </c>
      <c r="K213" s="18">
        <v>19</v>
      </c>
      <c r="L213" s="12">
        <f t="shared" si="25"/>
        <v>41.166666666666664</v>
      </c>
      <c r="M213" s="8">
        <v>3</v>
      </c>
      <c r="N213" s="8" t="s">
        <v>27</v>
      </c>
      <c r="O213" s="13" t="str">
        <f t="shared" si="26"/>
        <v>BLANCO</v>
      </c>
      <c r="P213" s="14">
        <v>0.3</v>
      </c>
      <c r="Q213" s="15">
        <v>0.4</v>
      </c>
      <c r="R213" s="16" t="str">
        <f t="shared" si="24"/>
        <v>ANTHONY GALLO</v>
      </c>
      <c r="S213" s="17"/>
      <c r="T213" s="10" t="str">
        <f t="shared" si="27"/>
        <v>SOPORTE PARA ALTAVOZ MICRO DE MESA COLOR NEGRO</v>
      </c>
    </row>
    <row r="214" spans="1:20" ht="27" customHeight="1" x14ac:dyDescent="0.25">
      <c r="A214" s="8" t="s">
        <v>534</v>
      </c>
      <c r="B214" s="9" t="s">
        <v>535</v>
      </c>
      <c r="C214" s="9" t="s">
        <v>536</v>
      </c>
      <c r="D214" s="8" t="s">
        <v>568</v>
      </c>
      <c r="E214" s="8">
        <v>11</v>
      </c>
      <c r="F214" s="8" t="s">
        <v>22</v>
      </c>
      <c r="G214" s="10" t="s">
        <v>585</v>
      </c>
      <c r="H214" s="8" t="s">
        <v>586</v>
      </c>
      <c r="I214" s="10" t="s">
        <v>585</v>
      </c>
      <c r="J214" s="11" t="s">
        <v>26</v>
      </c>
      <c r="K214" s="18">
        <v>19</v>
      </c>
      <c r="L214" s="12">
        <f t="shared" si="25"/>
        <v>41.166666666666664</v>
      </c>
      <c r="M214" s="8">
        <v>3</v>
      </c>
      <c r="N214" s="8" t="s">
        <v>27</v>
      </c>
      <c r="O214" s="13" t="str">
        <f t="shared" si="26"/>
        <v>BLANCO</v>
      </c>
      <c r="P214" s="14">
        <v>0.3</v>
      </c>
      <c r="Q214" s="15">
        <v>0.4</v>
      </c>
      <c r="R214" s="16" t="str">
        <f t="shared" si="24"/>
        <v>ANTHONY GALLO</v>
      </c>
      <c r="S214" s="17"/>
      <c r="T214" s="10" t="str">
        <f t="shared" si="27"/>
        <v>SOPORTE PARA ALTAVOZ MICRO DE MESA COLOR BLANCO</v>
      </c>
    </row>
    <row r="215" spans="1:20" ht="27" customHeight="1" x14ac:dyDescent="0.25">
      <c r="A215" s="8" t="s">
        <v>534</v>
      </c>
      <c r="B215" s="9" t="s">
        <v>535</v>
      </c>
      <c r="C215" s="9" t="s">
        <v>536</v>
      </c>
      <c r="D215" s="8" t="s">
        <v>537</v>
      </c>
      <c r="E215" s="8">
        <v>3</v>
      </c>
      <c r="F215" s="8" t="s">
        <v>543</v>
      </c>
      <c r="G215" s="10" t="s">
        <v>538</v>
      </c>
      <c r="H215" s="8" t="s">
        <v>544</v>
      </c>
      <c r="I215" s="10" t="s">
        <v>545</v>
      </c>
      <c r="J215" s="11" t="s">
        <v>26</v>
      </c>
      <c r="K215" s="18">
        <v>675</v>
      </c>
      <c r="L215" s="12">
        <f t="shared" si="25"/>
        <v>1462.5</v>
      </c>
      <c r="M215" s="8">
        <v>1</v>
      </c>
      <c r="N215" s="8" t="s">
        <v>27</v>
      </c>
      <c r="O215" s="13" t="str">
        <f t="shared" si="26"/>
        <v>SE</v>
      </c>
      <c r="P215" s="14">
        <v>0.3</v>
      </c>
      <c r="Q215" s="15">
        <v>0.4</v>
      </c>
      <c r="R215" s="16" t="str">
        <f t="shared" si="24"/>
        <v>ANTHONY GALLO</v>
      </c>
      <c r="S215" s="17"/>
      <c r="T215" s="10" t="str">
        <f t="shared" si="27"/>
        <v>SISTEMA DE ALTAVOCES 5.1 DE ALTA FIDELIDAD ULTRA COMPACTO.</v>
      </c>
    </row>
    <row r="216" spans="1:20" ht="27" customHeight="1" x14ac:dyDescent="0.25">
      <c r="A216" s="8" t="s">
        <v>534</v>
      </c>
      <c r="B216" s="9" t="s">
        <v>535</v>
      </c>
      <c r="C216" s="9" t="s">
        <v>536</v>
      </c>
      <c r="D216" s="8" t="s">
        <v>537</v>
      </c>
      <c r="E216" s="8">
        <v>4</v>
      </c>
      <c r="F216" s="8" t="s">
        <v>543</v>
      </c>
      <c r="G216" s="10" t="s">
        <v>538</v>
      </c>
      <c r="H216" s="8" t="s">
        <v>546</v>
      </c>
      <c r="I216" s="10" t="s">
        <v>547</v>
      </c>
      <c r="J216" s="11" t="s">
        <v>26</v>
      </c>
      <c r="K216" s="18">
        <v>1119</v>
      </c>
      <c r="L216" s="12">
        <f t="shared" si="25"/>
        <v>2424.5</v>
      </c>
      <c r="M216" s="8">
        <v>1</v>
      </c>
      <c r="N216" s="8" t="s">
        <v>27</v>
      </c>
      <c r="O216" s="13" t="str">
        <f t="shared" si="26"/>
        <v>SE</v>
      </c>
      <c r="P216" s="14">
        <v>0.3</v>
      </c>
      <c r="Q216" s="15">
        <v>0.4</v>
      </c>
      <c r="R216" s="16" t="str">
        <f t="shared" si="24"/>
        <v>ANTHONY GALLO</v>
      </c>
      <c r="S216" s="17"/>
      <c r="T216" s="10" t="str">
        <f t="shared" si="27"/>
        <v>SISTEMA DE ALTAVOCES 5.1 DE ALTA FIDELIDAD ULTRA COMPACTO.</v>
      </c>
    </row>
    <row r="217" spans="1:20" ht="27" customHeight="1" x14ac:dyDescent="0.25">
      <c r="A217" s="8" t="s">
        <v>534</v>
      </c>
      <c r="B217" s="9" t="s">
        <v>535</v>
      </c>
      <c r="C217" s="9" t="s">
        <v>536</v>
      </c>
      <c r="D217" s="8" t="s">
        <v>548</v>
      </c>
      <c r="E217" s="8">
        <v>1</v>
      </c>
      <c r="F217" s="8" t="s">
        <v>22</v>
      </c>
      <c r="G217" s="10" t="s">
        <v>549</v>
      </c>
      <c r="H217" s="8" t="s">
        <v>550</v>
      </c>
      <c r="I217" s="10" t="s">
        <v>551</v>
      </c>
      <c r="J217" s="11" t="s">
        <v>26</v>
      </c>
      <c r="K217" s="18">
        <f>7325/2</f>
        <v>3662.5</v>
      </c>
      <c r="L217" s="12">
        <f t="shared" si="25"/>
        <v>7935.416666666667</v>
      </c>
      <c r="M217" s="8">
        <v>1</v>
      </c>
      <c r="N217" s="8" t="s">
        <v>27</v>
      </c>
      <c r="O217" s="13" t="str">
        <f t="shared" si="26"/>
        <v>BLANCO</v>
      </c>
      <c r="P217" s="14">
        <v>0.3</v>
      </c>
      <c r="Q217" s="15">
        <v>0.4</v>
      </c>
      <c r="R217" s="16" t="str">
        <f t="shared" si="24"/>
        <v>ANTHONY GALLO</v>
      </c>
      <c r="S217" s="17"/>
      <c r="T217" s="10" t="str">
        <f t="shared" si="27"/>
        <v>ALTAVOCES DE ALTA FIDELIDAD LÍNEA REFERENCE 5.</v>
      </c>
    </row>
    <row r="218" spans="1:20" ht="27" customHeight="1" x14ac:dyDescent="0.25">
      <c r="A218" s="8" t="s">
        <v>534</v>
      </c>
      <c r="B218" s="9" t="s">
        <v>535</v>
      </c>
      <c r="C218" s="9" t="s">
        <v>536</v>
      </c>
      <c r="D218" s="8" t="s">
        <v>548</v>
      </c>
      <c r="E218" s="8">
        <v>2</v>
      </c>
      <c r="F218" s="8" t="s">
        <v>22</v>
      </c>
      <c r="G218" s="10" t="s">
        <v>552</v>
      </c>
      <c r="H218" s="8" t="s">
        <v>553</v>
      </c>
      <c r="I218" s="10" t="s">
        <v>554</v>
      </c>
      <c r="J218" s="11" t="s">
        <v>26</v>
      </c>
      <c r="K218" s="18">
        <f>2400/2</f>
        <v>1200</v>
      </c>
      <c r="L218" s="12">
        <f t="shared" si="25"/>
        <v>2600</v>
      </c>
      <c r="M218" s="8">
        <v>1</v>
      </c>
      <c r="N218" s="8" t="s">
        <v>27</v>
      </c>
      <c r="O218" s="13" t="str">
        <f t="shared" si="26"/>
        <v>BLANCO</v>
      </c>
      <c r="P218" s="14">
        <v>0.3</v>
      </c>
      <c r="Q218" s="15">
        <v>0.4</v>
      </c>
      <c r="R218" s="16" t="str">
        <f t="shared" si="24"/>
        <v>ANTHONY GALLO</v>
      </c>
      <c r="S218" s="17"/>
      <c r="T218" s="10" t="str">
        <f t="shared" si="27"/>
        <v>ALTAVOCES DE ALTA FIDELIDAD LÍNEA REFERENCE 3.5.</v>
      </c>
    </row>
    <row r="219" spans="1:20" ht="27" customHeight="1" x14ac:dyDescent="0.25">
      <c r="A219" s="8" t="s">
        <v>534</v>
      </c>
      <c r="B219" s="9" t="s">
        <v>535</v>
      </c>
      <c r="C219" s="9" t="s">
        <v>536</v>
      </c>
      <c r="D219" s="8" t="s">
        <v>548</v>
      </c>
      <c r="E219" s="8">
        <v>3</v>
      </c>
      <c r="F219" s="8" t="s">
        <v>22</v>
      </c>
      <c r="G219" s="10" t="s">
        <v>555</v>
      </c>
      <c r="H219" s="8" t="s">
        <v>556</v>
      </c>
      <c r="I219" s="10" t="s">
        <v>557</v>
      </c>
      <c r="J219" s="11" t="s">
        <v>26</v>
      </c>
      <c r="K219" s="18">
        <v>399</v>
      </c>
      <c r="L219" s="12">
        <f t="shared" si="25"/>
        <v>864.50000000000011</v>
      </c>
      <c r="M219" s="8">
        <v>1</v>
      </c>
      <c r="N219" s="8" t="s">
        <v>27</v>
      </c>
      <c r="O219" s="13" t="str">
        <f t="shared" si="26"/>
        <v>BLANCO</v>
      </c>
      <c r="P219" s="14">
        <v>0.3</v>
      </c>
      <c r="Q219" s="15">
        <v>0.4</v>
      </c>
      <c r="R219" s="16" t="str">
        <f t="shared" si="24"/>
        <v>ANTHONY GALLO</v>
      </c>
      <c r="S219" s="17"/>
      <c r="T219" s="10" t="str">
        <f t="shared" si="27"/>
        <v>ALTAVOCES DUALES CON RESPUESTA EN FRECUENCIA DE 45HZ - 20KHZ.</v>
      </c>
    </row>
    <row r="220" spans="1:20" ht="27" customHeight="1" x14ac:dyDescent="0.25">
      <c r="A220" s="8" t="s">
        <v>534</v>
      </c>
      <c r="B220" s="9" t="s">
        <v>535</v>
      </c>
      <c r="C220" s="9" t="s">
        <v>536</v>
      </c>
      <c r="D220" s="8" t="s">
        <v>548</v>
      </c>
      <c r="E220" s="8">
        <v>4</v>
      </c>
      <c r="F220" s="8" t="s">
        <v>22</v>
      </c>
      <c r="G220" s="10" t="s">
        <v>558</v>
      </c>
      <c r="H220" s="8" t="s">
        <v>559</v>
      </c>
      <c r="I220" s="10" t="s">
        <v>560</v>
      </c>
      <c r="J220" s="11" t="s">
        <v>26</v>
      </c>
      <c r="K220" s="18">
        <v>96</v>
      </c>
      <c r="L220" s="12">
        <f t="shared" si="25"/>
        <v>208.00000000000003</v>
      </c>
      <c r="M220" s="8">
        <v>1</v>
      </c>
      <c r="N220" s="8" t="s">
        <v>27</v>
      </c>
      <c r="O220" s="13" t="str">
        <f t="shared" si="26"/>
        <v>BLANCO</v>
      </c>
      <c r="P220" s="14">
        <v>0.3</v>
      </c>
      <c r="Q220" s="15">
        <v>0.4</v>
      </c>
      <c r="R220" s="16" t="str">
        <f t="shared" si="24"/>
        <v>ANTHONY GALLO</v>
      </c>
      <c r="S220" s="17"/>
      <c r="T220" s="10" t="str">
        <f t="shared" si="27"/>
        <v>ALTAVOZ SATÉLITE DE LA SERIE MICRO, POTENCIA DE HASTA 125 VATIOS.</v>
      </c>
    </row>
    <row r="221" spans="1:20" ht="27" customHeight="1" x14ac:dyDescent="0.25">
      <c r="A221" s="8" t="s">
        <v>534</v>
      </c>
      <c r="B221" s="9" t="s">
        <v>535</v>
      </c>
      <c r="C221" s="9" t="s">
        <v>536</v>
      </c>
      <c r="D221" s="8" t="s">
        <v>548</v>
      </c>
      <c r="E221" s="8">
        <v>5</v>
      </c>
      <c r="F221" s="8" t="s">
        <v>22</v>
      </c>
      <c r="G221" s="10" t="s">
        <v>558</v>
      </c>
      <c r="H221" s="8" t="s">
        <v>561</v>
      </c>
      <c r="I221" s="10" t="s">
        <v>562</v>
      </c>
      <c r="J221" s="11" t="s">
        <v>26</v>
      </c>
      <c r="K221" s="18">
        <v>114</v>
      </c>
      <c r="L221" s="12">
        <f t="shared" si="25"/>
        <v>247.00000000000003</v>
      </c>
      <c r="M221" s="8">
        <v>1</v>
      </c>
      <c r="N221" s="8" t="s">
        <v>27</v>
      </c>
      <c r="O221" s="13" t="str">
        <f t="shared" si="26"/>
        <v>BLANCO</v>
      </c>
      <c r="P221" s="14">
        <v>0.3</v>
      </c>
      <c r="Q221" s="15">
        <v>0.4</v>
      </c>
      <c r="R221" s="16" t="str">
        <f t="shared" si="24"/>
        <v>ANTHONY GALLO</v>
      </c>
      <c r="S221" s="17"/>
      <c r="T221" s="10" t="str">
        <f t="shared" si="27"/>
        <v>ALTAVOZ SATÉLITE DE LA SERIE MICRO, POTENCIA DE HASTA 125 VATIOS.</v>
      </c>
    </row>
    <row r="222" spans="1:20" ht="27" customHeight="1" x14ac:dyDescent="0.25">
      <c r="A222" s="8" t="s">
        <v>534</v>
      </c>
      <c r="B222" s="9" t="s">
        <v>535</v>
      </c>
      <c r="C222" s="9" t="s">
        <v>536</v>
      </c>
      <c r="D222" s="8" t="s">
        <v>563</v>
      </c>
      <c r="E222" s="8">
        <v>1</v>
      </c>
      <c r="F222" s="8" t="s">
        <v>22</v>
      </c>
      <c r="G222" s="10" t="s">
        <v>564</v>
      </c>
      <c r="H222" s="8" t="s">
        <v>565</v>
      </c>
      <c r="I222" s="10" t="s">
        <v>564</v>
      </c>
      <c r="J222" s="11" t="s">
        <v>26</v>
      </c>
      <c r="K222" s="18">
        <v>240</v>
      </c>
      <c r="L222" s="12">
        <f t="shared" si="25"/>
        <v>520</v>
      </c>
      <c r="M222" s="8">
        <v>1</v>
      </c>
      <c r="N222" s="8" t="s">
        <v>27</v>
      </c>
      <c r="O222" s="13" t="s">
        <v>587</v>
      </c>
      <c r="P222" s="14">
        <v>0.3</v>
      </c>
      <c r="Q222" s="15">
        <v>0.4</v>
      </c>
      <c r="R222" s="16" t="str">
        <f t="shared" si="24"/>
        <v>ANTHONY GALLO</v>
      </c>
      <c r="S222" s="17"/>
      <c r="T222" s="10" t="str">
        <f t="shared" si="27"/>
        <v>SUBWOOFER CON AMPLIFICADOR TIPO AB DE 100 VATIOS, FILTRO PASA BAJOS AJUSTABLE.</v>
      </c>
    </row>
    <row r="223" spans="1:20" ht="27" customHeight="1" x14ac:dyDescent="0.25">
      <c r="A223" s="8" t="s">
        <v>534</v>
      </c>
      <c r="B223" s="9" t="s">
        <v>535</v>
      </c>
      <c r="C223" s="9" t="s">
        <v>536</v>
      </c>
      <c r="D223" s="8" t="s">
        <v>563</v>
      </c>
      <c r="E223" s="8">
        <v>2</v>
      </c>
      <c r="F223" s="8" t="s">
        <v>22</v>
      </c>
      <c r="G223" s="10" t="s">
        <v>566</v>
      </c>
      <c r="H223" s="8" t="s">
        <v>567</v>
      </c>
      <c r="I223" s="10" t="s">
        <v>566</v>
      </c>
      <c r="J223" s="11" t="s">
        <v>26</v>
      </c>
      <c r="K223" s="18">
        <v>406</v>
      </c>
      <c r="L223" s="12">
        <f t="shared" si="25"/>
        <v>879.66666666666686</v>
      </c>
      <c r="M223" s="8">
        <v>1</v>
      </c>
      <c r="N223" s="8" t="s">
        <v>27</v>
      </c>
      <c r="O223" s="13" t="s">
        <v>588</v>
      </c>
      <c r="P223" s="14">
        <v>0.3</v>
      </c>
      <c r="Q223" s="15">
        <v>0.4</v>
      </c>
      <c r="R223" s="16" t="str">
        <f t="shared" si="24"/>
        <v>ANTHONY GALLO</v>
      </c>
      <c r="S223" s="17"/>
      <c r="T223" s="10" t="str">
        <f t="shared" si="27"/>
        <v>SUBWOOFER CON AMPLIFICADOR TIPO AB DE 300 VATIOS, FILTRO PASA BAJOS AJUSTABLE.</v>
      </c>
    </row>
    <row r="224" spans="1:20" ht="27" customHeight="1" x14ac:dyDescent="0.25">
      <c r="A224" s="8" t="s">
        <v>534</v>
      </c>
      <c r="B224" s="9" t="s">
        <v>535</v>
      </c>
      <c r="C224" s="9" t="s">
        <v>536</v>
      </c>
      <c r="D224" s="8" t="s">
        <v>568</v>
      </c>
      <c r="E224" s="8">
        <v>3</v>
      </c>
      <c r="F224" s="8" t="s">
        <v>22</v>
      </c>
      <c r="G224" s="10" t="s">
        <v>569</v>
      </c>
      <c r="H224" s="8" t="s">
        <v>570</v>
      </c>
      <c r="I224" s="10" t="s">
        <v>569</v>
      </c>
      <c r="J224" s="11" t="s">
        <v>26</v>
      </c>
      <c r="K224" s="18">
        <v>50</v>
      </c>
      <c r="L224" s="12">
        <f t="shared" si="25"/>
        <v>108.33333333333334</v>
      </c>
      <c r="M224" s="8">
        <v>1</v>
      </c>
      <c r="N224" s="8" t="s">
        <v>27</v>
      </c>
      <c r="O224" s="13"/>
      <c r="P224" s="14">
        <v>0.3</v>
      </c>
      <c r="Q224" s="15">
        <v>0.4</v>
      </c>
      <c r="R224" s="16" t="str">
        <f t="shared" si="24"/>
        <v>ANTHONY GALLO</v>
      </c>
      <c r="S224" s="17"/>
      <c r="T224" s="10" t="str">
        <f t="shared" si="27"/>
        <v>SOPORTES DE PARED PARA ALTAVOCES STRADA</v>
      </c>
    </row>
    <row r="225" spans="1:20" ht="27" customHeight="1" x14ac:dyDescent="0.25">
      <c r="A225" s="8" t="s">
        <v>534</v>
      </c>
      <c r="B225" s="9" t="s">
        <v>535</v>
      </c>
      <c r="C225" s="9" t="s">
        <v>536</v>
      </c>
      <c r="D225" s="8" t="s">
        <v>568</v>
      </c>
      <c r="E225" s="8">
        <v>4</v>
      </c>
      <c r="F225" s="8" t="s">
        <v>22</v>
      </c>
      <c r="G225" s="10" t="s">
        <v>571</v>
      </c>
      <c r="H225" s="8" t="s">
        <v>572</v>
      </c>
      <c r="I225" s="10" t="s">
        <v>571</v>
      </c>
      <c r="J225" s="11" t="s">
        <v>26</v>
      </c>
      <c r="K225" s="18">
        <v>180</v>
      </c>
      <c r="L225" s="12">
        <f t="shared" si="25"/>
        <v>390</v>
      </c>
      <c r="M225" s="8">
        <v>1</v>
      </c>
      <c r="N225" s="8" t="s">
        <v>27</v>
      </c>
      <c r="O225" s="13"/>
      <c r="P225" s="14">
        <v>0.3</v>
      </c>
      <c r="Q225" s="15">
        <v>0.4</v>
      </c>
      <c r="R225" s="16" t="str">
        <f t="shared" si="24"/>
        <v>ANTHONY GALLO</v>
      </c>
      <c r="S225" s="17"/>
      <c r="T225" s="10" t="str">
        <f t="shared" si="27"/>
        <v>SOPORTE DE PISO PARA ALTAVOCES TIPO STRADA</v>
      </c>
    </row>
    <row r="226" spans="1:20" ht="27" customHeight="1" x14ac:dyDescent="0.25">
      <c r="A226" s="8" t="s">
        <v>534</v>
      </c>
      <c r="B226" s="9" t="s">
        <v>535</v>
      </c>
      <c r="C226" s="9" t="s">
        <v>536</v>
      </c>
      <c r="D226" s="8" t="s">
        <v>568</v>
      </c>
      <c r="E226" s="8">
        <v>5</v>
      </c>
      <c r="F226" s="8" t="s">
        <v>22</v>
      </c>
      <c r="G226" s="10" t="s">
        <v>573</v>
      </c>
      <c r="H226" s="8" t="s">
        <v>574</v>
      </c>
      <c r="I226" s="10" t="s">
        <v>573</v>
      </c>
      <c r="J226" s="11" t="s">
        <v>26</v>
      </c>
      <c r="K226" s="18">
        <v>19</v>
      </c>
      <c r="L226" s="12">
        <f t="shared" si="25"/>
        <v>41.166666666666664</v>
      </c>
      <c r="M226" s="8">
        <v>1</v>
      </c>
      <c r="N226" s="8" t="s">
        <v>27</v>
      </c>
      <c r="O226" s="13"/>
      <c r="P226" s="14">
        <v>0.3</v>
      </c>
      <c r="Q226" s="15">
        <v>0.4</v>
      </c>
      <c r="R226" s="16" t="str">
        <f t="shared" si="24"/>
        <v>ANTHONY GALLO</v>
      </c>
      <c r="S226" s="17"/>
      <c r="T226" s="10" t="str">
        <f t="shared" si="27"/>
        <v>SOPORTES DE TECHO PARA ALTAVOCES DE LA SERIE MICRO</v>
      </c>
    </row>
    <row r="227" spans="1:20" ht="27" customHeight="1" x14ac:dyDescent="0.25">
      <c r="A227" s="8" t="s">
        <v>534</v>
      </c>
      <c r="B227" s="9" t="s">
        <v>535</v>
      </c>
      <c r="C227" s="9" t="s">
        <v>536</v>
      </c>
      <c r="D227" s="8" t="s">
        <v>568</v>
      </c>
      <c r="E227" s="8">
        <v>6</v>
      </c>
      <c r="F227" s="8" t="s">
        <v>22</v>
      </c>
      <c r="G227" s="10" t="s">
        <v>575</v>
      </c>
      <c r="H227" s="8" t="s">
        <v>576</v>
      </c>
      <c r="I227" s="10" t="s">
        <v>575</v>
      </c>
      <c r="J227" s="11" t="s">
        <v>26</v>
      </c>
      <c r="K227" s="18">
        <v>19</v>
      </c>
      <c r="L227" s="12">
        <f t="shared" si="25"/>
        <v>41.166666666666664</v>
      </c>
      <c r="M227" s="8">
        <v>1</v>
      </c>
      <c r="N227" s="8" t="s">
        <v>27</v>
      </c>
      <c r="O227" s="13"/>
      <c r="P227" s="14">
        <v>0.3</v>
      </c>
      <c r="Q227" s="15">
        <v>0.4</v>
      </c>
      <c r="R227" s="16" t="str">
        <f t="shared" si="24"/>
        <v>ANTHONY GALLO</v>
      </c>
      <c r="S227" s="17"/>
      <c r="T227" s="10" t="str">
        <f t="shared" si="27"/>
        <v>SOPORTES DE TECHO PARA ALTAVOCES DE LA SERIE ADIVA</v>
      </c>
    </row>
    <row r="228" spans="1:20" ht="27" customHeight="1" x14ac:dyDescent="0.25">
      <c r="A228" s="8" t="s">
        <v>534</v>
      </c>
      <c r="B228" s="9" t="s">
        <v>535</v>
      </c>
      <c r="C228" s="9" t="s">
        <v>536</v>
      </c>
      <c r="D228" s="8" t="s">
        <v>568</v>
      </c>
      <c r="E228" s="8">
        <v>7</v>
      </c>
      <c r="F228" s="8" t="s">
        <v>22</v>
      </c>
      <c r="G228" s="10" t="s">
        <v>577</v>
      </c>
      <c r="H228" s="8" t="s">
        <v>578</v>
      </c>
      <c r="I228" s="10" t="s">
        <v>577</v>
      </c>
      <c r="J228" s="11" t="s">
        <v>26</v>
      </c>
      <c r="K228" s="18">
        <v>98</v>
      </c>
      <c r="L228" s="12">
        <f t="shared" si="25"/>
        <v>212.33333333333334</v>
      </c>
      <c r="M228" s="8">
        <v>1</v>
      </c>
      <c r="N228" s="8" t="s">
        <v>27</v>
      </c>
      <c r="O228" s="13"/>
      <c r="P228" s="14">
        <v>0.3</v>
      </c>
      <c r="Q228" s="15">
        <v>0.4</v>
      </c>
      <c r="R228" s="16" t="str">
        <f t="shared" si="24"/>
        <v>ANTHONY GALLO</v>
      </c>
      <c r="S228" s="17"/>
      <c r="T228" s="10" t="str">
        <f t="shared" si="27"/>
        <v>SOPORTE DE PISO PARA ALTAVOCES TIPO ADIVA</v>
      </c>
    </row>
    <row r="229" spans="1:20" ht="27" customHeight="1" x14ac:dyDescent="0.25">
      <c r="A229" s="8" t="s">
        <v>534</v>
      </c>
      <c r="B229" s="9" t="s">
        <v>535</v>
      </c>
      <c r="C229" s="9" t="s">
        <v>536</v>
      </c>
      <c r="D229" s="8" t="s">
        <v>568</v>
      </c>
      <c r="E229" s="8">
        <v>8</v>
      </c>
      <c r="F229" s="8" t="s">
        <v>22</v>
      </c>
      <c r="G229" s="10" t="s">
        <v>579</v>
      </c>
      <c r="H229" s="8" t="s">
        <v>580</v>
      </c>
      <c r="I229" s="10" t="s">
        <v>579</v>
      </c>
      <c r="J229" s="11" t="s">
        <v>26</v>
      </c>
      <c r="K229" s="18">
        <v>19</v>
      </c>
      <c r="L229" s="12">
        <f t="shared" si="25"/>
        <v>41.166666666666664</v>
      </c>
      <c r="M229" s="8">
        <v>1</v>
      </c>
      <c r="N229" s="8" t="s">
        <v>27</v>
      </c>
      <c r="O229" s="13"/>
      <c r="P229" s="14">
        <v>0.3</v>
      </c>
      <c r="Q229" s="15">
        <v>0.4</v>
      </c>
      <c r="R229" s="16" t="str">
        <f t="shared" si="24"/>
        <v>ANTHONY GALLO</v>
      </c>
      <c r="S229" s="17"/>
      <c r="T229" s="10" t="str">
        <f t="shared" si="27"/>
        <v>SOPORTE PARA PARED EN COLOR NEGRO</v>
      </c>
    </row>
    <row r="230" spans="1:20" ht="27" customHeight="1" x14ac:dyDescent="0.25">
      <c r="A230" s="8" t="s">
        <v>534</v>
      </c>
      <c r="B230" s="9" t="s">
        <v>535</v>
      </c>
      <c r="C230" s="9" t="s">
        <v>536</v>
      </c>
      <c r="D230" s="8" t="s">
        <v>568</v>
      </c>
      <c r="E230" s="8">
        <v>9</v>
      </c>
      <c r="F230" s="8" t="s">
        <v>22</v>
      </c>
      <c r="G230" s="10" t="s">
        <v>581</v>
      </c>
      <c r="H230" s="8" t="s">
        <v>582</v>
      </c>
      <c r="I230" s="10" t="s">
        <v>581</v>
      </c>
      <c r="J230" s="11" t="s">
        <v>26</v>
      </c>
      <c r="K230" s="18">
        <v>19</v>
      </c>
      <c r="L230" s="12">
        <f t="shared" si="25"/>
        <v>41.166666666666664</v>
      </c>
      <c r="M230" s="8">
        <v>1</v>
      </c>
      <c r="N230" s="8" t="s">
        <v>27</v>
      </c>
      <c r="O230" s="13"/>
      <c r="P230" s="14">
        <v>0.3</v>
      </c>
      <c r="Q230" s="15">
        <v>0.4</v>
      </c>
      <c r="R230" s="16" t="str">
        <f t="shared" si="24"/>
        <v>ANTHONY GALLO</v>
      </c>
      <c r="S230" s="17"/>
      <c r="T230" s="10" t="str">
        <f t="shared" si="27"/>
        <v>SOPORTE PARA PARED EN COLOR BLANCO</v>
      </c>
    </row>
    <row r="231" spans="1:20" ht="27" customHeight="1" x14ac:dyDescent="0.25">
      <c r="A231" s="8" t="s">
        <v>534</v>
      </c>
      <c r="B231" s="9" t="s">
        <v>535</v>
      </c>
      <c r="C231" s="9" t="s">
        <v>536</v>
      </c>
      <c r="D231" s="8" t="s">
        <v>568</v>
      </c>
      <c r="E231" s="8">
        <v>10</v>
      </c>
      <c r="F231" s="8" t="s">
        <v>22</v>
      </c>
      <c r="G231" s="10" t="s">
        <v>583</v>
      </c>
      <c r="H231" s="8" t="s">
        <v>584</v>
      </c>
      <c r="I231" s="10" t="s">
        <v>583</v>
      </c>
      <c r="J231" s="11" t="s">
        <v>26</v>
      </c>
      <c r="K231" s="18">
        <v>19</v>
      </c>
      <c r="L231" s="12">
        <f t="shared" si="25"/>
        <v>41.166666666666664</v>
      </c>
      <c r="M231" s="8">
        <v>1</v>
      </c>
      <c r="N231" s="8" t="s">
        <v>27</v>
      </c>
      <c r="O231" s="13"/>
      <c r="P231" s="14">
        <v>0.3</v>
      </c>
      <c r="Q231" s="15">
        <v>0.4</v>
      </c>
      <c r="R231" s="16" t="str">
        <f t="shared" si="24"/>
        <v>ANTHONY GALLO</v>
      </c>
      <c r="S231" s="17"/>
      <c r="T231" s="10" t="str">
        <f t="shared" si="27"/>
        <v>SOPORTE PARA ALTAVOZ MICRO DE MESA COLOR NEGRO</v>
      </c>
    </row>
    <row r="232" spans="1:20" ht="27" customHeight="1" x14ac:dyDescent="0.25">
      <c r="A232" s="8" t="s">
        <v>534</v>
      </c>
      <c r="B232" s="9" t="s">
        <v>535</v>
      </c>
      <c r="C232" s="9" t="s">
        <v>536</v>
      </c>
      <c r="D232" s="8" t="s">
        <v>568</v>
      </c>
      <c r="E232" s="8">
        <v>11</v>
      </c>
      <c r="F232" s="8" t="s">
        <v>22</v>
      </c>
      <c r="G232" s="10" t="s">
        <v>585</v>
      </c>
      <c r="H232" s="8" t="s">
        <v>586</v>
      </c>
      <c r="I232" s="10" t="s">
        <v>585</v>
      </c>
      <c r="J232" s="11" t="s">
        <v>26</v>
      </c>
      <c r="K232" s="18">
        <v>19</v>
      </c>
      <c r="L232" s="12">
        <f t="shared" si="25"/>
        <v>41.166666666666664</v>
      </c>
      <c r="M232" s="8">
        <v>1</v>
      </c>
      <c r="N232" s="8" t="s">
        <v>27</v>
      </c>
      <c r="O232" s="13"/>
      <c r="P232" s="14">
        <v>0.3</v>
      </c>
      <c r="Q232" s="15">
        <v>0.4</v>
      </c>
      <c r="R232" s="16" t="str">
        <f t="shared" si="24"/>
        <v>ANTHONY GALLO</v>
      </c>
      <c r="S232" s="17"/>
      <c r="T232" s="10" t="str">
        <f t="shared" si="27"/>
        <v>SOPORTE PARA ALTAVOZ MICRO DE MESA COLOR BLANCO</v>
      </c>
    </row>
    <row r="233" spans="1:20" ht="27" customHeight="1" x14ac:dyDescent="0.25">
      <c r="A233" s="8" t="s">
        <v>534</v>
      </c>
      <c r="B233" s="9"/>
      <c r="C233" s="9"/>
      <c r="D233" s="8" t="s">
        <v>45</v>
      </c>
      <c r="E233" s="8"/>
      <c r="F233" s="8" t="s">
        <v>22</v>
      </c>
      <c r="G233" s="10" t="str">
        <f>B233&amp;"-"&amp;D233&amp;"-"&amp;E233&amp;F233</f>
        <v>-PROG_-BLANCO</v>
      </c>
      <c r="H233" s="8" t="s">
        <v>589</v>
      </c>
      <c r="I233" s="10" t="s">
        <v>590</v>
      </c>
      <c r="J233" s="11" t="s">
        <v>26</v>
      </c>
      <c r="K233" s="18">
        <v>93</v>
      </c>
      <c r="L233" s="12">
        <f t="shared" si="25"/>
        <v>183.18181818181822</v>
      </c>
      <c r="M233" s="8">
        <v>1</v>
      </c>
      <c r="N233" s="8" t="s">
        <v>27</v>
      </c>
      <c r="O233" s="13"/>
      <c r="P233" s="14">
        <v>0.3</v>
      </c>
      <c r="Q233" s="15">
        <v>0.34</v>
      </c>
      <c r="R233" s="16" t="str">
        <f t="shared" si="24"/>
        <v>ANTHONY GALLO</v>
      </c>
      <c r="S233" s="17"/>
      <c r="T233" s="10" t="str">
        <f t="shared" si="27"/>
        <v>-PROG_-BLANCO</v>
      </c>
    </row>
    <row r="234" spans="1:20" ht="27" customHeight="1" x14ac:dyDescent="0.25">
      <c r="A234" s="8" t="s">
        <v>591</v>
      </c>
      <c r="B234" s="9"/>
      <c r="C234" s="9"/>
      <c r="D234" s="8"/>
      <c r="E234" s="8"/>
      <c r="F234" s="8"/>
      <c r="G234" s="10"/>
      <c r="H234" s="8" t="s">
        <v>592</v>
      </c>
      <c r="I234" s="10" t="s">
        <v>593</v>
      </c>
      <c r="J234" s="11" t="s">
        <v>33</v>
      </c>
      <c r="K234" s="18">
        <v>86950</v>
      </c>
      <c r="L234" s="12">
        <f>K234*(1+P234)/(1-Q234)</f>
        <v>144916.66666666669</v>
      </c>
      <c r="M234" s="8">
        <v>1</v>
      </c>
      <c r="N234" s="8" t="s">
        <v>27</v>
      </c>
      <c r="O234" s="13"/>
      <c r="P234" s="14">
        <v>0</v>
      </c>
      <c r="Q234" s="15">
        <v>0.4</v>
      </c>
      <c r="R234" s="16" t="str">
        <f t="shared" si="24"/>
        <v>APART</v>
      </c>
      <c r="S234" s="17"/>
      <c r="T234" s="10"/>
    </row>
    <row r="235" spans="1:20" ht="27" customHeight="1" x14ac:dyDescent="0.25">
      <c r="A235" s="8" t="s">
        <v>594</v>
      </c>
      <c r="B235" s="9" t="s">
        <v>594</v>
      </c>
      <c r="C235" s="9"/>
      <c r="D235" s="8" t="s">
        <v>595</v>
      </c>
      <c r="E235" s="8">
        <v>1</v>
      </c>
      <c r="F235" s="8" t="s">
        <v>22</v>
      </c>
      <c r="G235" s="10" t="s">
        <v>596</v>
      </c>
      <c r="H235" s="8" t="s">
        <v>597</v>
      </c>
      <c r="I235" s="10" t="s">
        <v>596</v>
      </c>
      <c r="J235" s="11" t="s">
        <v>33</v>
      </c>
      <c r="K235" s="18">
        <v>370000</v>
      </c>
      <c r="L235" s="12">
        <f t="shared" ref="L235:L245" si="28">IF(J235="P",ROUNDUP(K235/(1-Q235),-2),K235*(1+P235)/(1-Q235))</f>
        <v>462500</v>
      </c>
      <c r="M235" s="8">
        <v>1</v>
      </c>
      <c r="N235" s="8" t="s">
        <v>27</v>
      </c>
      <c r="O235" s="13"/>
      <c r="P235" s="14">
        <v>0.2</v>
      </c>
      <c r="Q235" s="15">
        <v>0.2</v>
      </c>
      <c r="R235" s="16" t="str">
        <f t="shared" si="24"/>
        <v>APC</v>
      </c>
      <c r="S235" s="17"/>
      <c r="T235" s="10" t="str">
        <f t="shared" ref="T235:T245" si="29">G235</f>
        <v>UPS DE 750VA, AUTONOMÍA DE 38 MINUTOS PARA 100 VATIOS.</v>
      </c>
    </row>
    <row r="236" spans="1:20" ht="27" customHeight="1" x14ac:dyDescent="0.25">
      <c r="A236" s="8" t="s">
        <v>594</v>
      </c>
      <c r="B236" s="9"/>
      <c r="C236" s="9"/>
      <c r="D236" s="8"/>
      <c r="E236" s="8"/>
      <c r="F236" s="8" t="s">
        <v>22</v>
      </c>
      <c r="G236" s="10" t="s">
        <v>598</v>
      </c>
      <c r="H236" s="8" t="s">
        <v>599</v>
      </c>
      <c r="I236" s="10" t="s">
        <v>598</v>
      </c>
      <c r="J236" s="11" t="s">
        <v>26</v>
      </c>
      <c r="K236" s="18">
        <v>1117</v>
      </c>
      <c r="L236" s="12">
        <f t="shared" si="28"/>
        <v>1787.1999999999998</v>
      </c>
      <c r="M236" s="8">
        <v>1</v>
      </c>
      <c r="N236" s="8" t="s">
        <v>27</v>
      </c>
      <c r="O236" s="13"/>
      <c r="P236" s="14">
        <v>0.2</v>
      </c>
      <c r="Q236" s="15">
        <v>0.25</v>
      </c>
      <c r="R236" s="16" t="str">
        <f t="shared" si="24"/>
        <v>APC</v>
      </c>
      <c r="S236" s="17"/>
      <c r="T236" s="10" t="str">
        <f t="shared" si="29"/>
        <v>UPS DE 3000VA PARA MONTAJE EN RACK</v>
      </c>
    </row>
    <row r="237" spans="1:20" ht="27" customHeight="1" x14ac:dyDescent="0.25">
      <c r="A237" s="8" t="s">
        <v>594</v>
      </c>
      <c r="B237" s="9"/>
      <c r="C237" s="9"/>
      <c r="D237" s="8"/>
      <c r="E237" s="8"/>
      <c r="F237" s="8" t="s">
        <v>22</v>
      </c>
      <c r="G237" s="10" t="s">
        <v>600</v>
      </c>
      <c r="H237" s="8" t="s">
        <v>601</v>
      </c>
      <c r="I237" s="10" t="s">
        <v>600</v>
      </c>
      <c r="J237" s="11" t="s">
        <v>33</v>
      </c>
      <c r="K237" s="18">
        <v>185000</v>
      </c>
      <c r="L237" s="12">
        <f t="shared" si="28"/>
        <v>219900</v>
      </c>
      <c r="M237" s="8">
        <v>1</v>
      </c>
      <c r="N237" s="8" t="s">
        <v>27</v>
      </c>
      <c r="O237" s="13"/>
      <c r="P237" s="14">
        <v>0</v>
      </c>
      <c r="Q237" s="15">
        <v>0.15866606101815831</v>
      </c>
      <c r="R237" s="16" t="str">
        <f t="shared" si="24"/>
        <v>APC</v>
      </c>
      <c r="S237" s="17"/>
      <c r="T237" s="10" t="str">
        <f t="shared" si="29"/>
        <v>UPS DE PROTECCIÓN DE 255 VATIOS</v>
      </c>
    </row>
    <row r="238" spans="1:20" ht="27" customHeight="1" x14ac:dyDescent="0.25">
      <c r="A238" s="8" t="s">
        <v>594</v>
      </c>
      <c r="B238" s="9" t="s">
        <v>594</v>
      </c>
      <c r="C238" s="9"/>
      <c r="D238" s="8" t="s">
        <v>602</v>
      </c>
      <c r="E238" s="8">
        <v>1</v>
      </c>
      <c r="F238" s="8" t="s">
        <v>22</v>
      </c>
      <c r="G238" s="10" t="s">
        <v>603</v>
      </c>
      <c r="H238" s="8" t="s">
        <v>604</v>
      </c>
      <c r="I238" s="10" t="s">
        <v>605</v>
      </c>
      <c r="J238" s="11" t="s">
        <v>33</v>
      </c>
      <c r="K238" s="18">
        <v>39400</v>
      </c>
      <c r="L238" s="12">
        <f t="shared" si="28"/>
        <v>65700</v>
      </c>
      <c r="M238" s="8">
        <v>1</v>
      </c>
      <c r="N238" s="8" t="s">
        <v>27</v>
      </c>
      <c r="O238" s="13"/>
      <c r="P238" s="14">
        <v>0.2</v>
      </c>
      <c r="Q238" s="15">
        <v>0.4</v>
      </c>
      <c r="R238" s="16" t="str">
        <f t="shared" si="24"/>
        <v>APC</v>
      </c>
      <c r="S238" s="17"/>
      <c r="T238" s="10" t="str">
        <f t="shared" si="29"/>
        <v xml:space="preserve">MULTITOMA DE 6 SALIDAS CON INDICADOR DE CORRIENTE. </v>
      </c>
    </row>
    <row r="239" spans="1:20" ht="27" customHeight="1" x14ac:dyDescent="0.25">
      <c r="A239" s="8" t="s">
        <v>594</v>
      </c>
      <c r="B239" s="9" t="s">
        <v>594</v>
      </c>
      <c r="C239" s="9"/>
      <c r="D239" s="8" t="s">
        <v>595</v>
      </c>
      <c r="E239" s="8">
        <v>1</v>
      </c>
      <c r="F239" s="8" t="s">
        <v>22</v>
      </c>
      <c r="G239" s="10" t="s">
        <v>606</v>
      </c>
      <c r="H239" s="8" t="s">
        <v>607</v>
      </c>
      <c r="I239" s="10" t="s">
        <v>606</v>
      </c>
      <c r="J239" s="11" t="s">
        <v>33</v>
      </c>
      <c r="K239" s="18">
        <v>230000</v>
      </c>
      <c r="L239" s="12">
        <f t="shared" si="28"/>
        <v>383400</v>
      </c>
      <c r="M239" s="8">
        <v>1</v>
      </c>
      <c r="N239" s="8" t="s">
        <v>27</v>
      </c>
      <c r="O239" s="13"/>
      <c r="P239" s="14">
        <v>0.2</v>
      </c>
      <c r="Q239" s="15">
        <v>0.4</v>
      </c>
      <c r="R239" s="16" t="str">
        <f t="shared" si="24"/>
        <v>APC</v>
      </c>
      <c r="S239" s="17"/>
      <c r="T239" s="10" t="str">
        <f t="shared" si="29"/>
        <v>UPS TIPO MULTITOMA DE 350 VA. MARCA: APC.</v>
      </c>
    </row>
    <row r="240" spans="1:20" ht="27" customHeight="1" x14ac:dyDescent="0.25">
      <c r="A240" s="8" t="s">
        <v>594</v>
      </c>
      <c r="B240" s="9" t="s">
        <v>594</v>
      </c>
      <c r="C240" s="9"/>
      <c r="D240" s="8" t="s">
        <v>595</v>
      </c>
      <c r="E240" s="8">
        <v>2</v>
      </c>
      <c r="F240" s="8" t="s">
        <v>22</v>
      </c>
      <c r="G240" s="10" t="s">
        <v>608</v>
      </c>
      <c r="H240" s="8" t="s">
        <v>597</v>
      </c>
      <c r="I240" s="10" t="s">
        <v>608</v>
      </c>
      <c r="J240" s="11" t="s">
        <v>26</v>
      </c>
      <c r="K240" s="18">
        <v>87</v>
      </c>
      <c r="L240" s="12">
        <f t="shared" si="28"/>
        <v>149.14285714285714</v>
      </c>
      <c r="M240" s="8">
        <v>1</v>
      </c>
      <c r="N240" s="8" t="s">
        <v>27</v>
      </c>
      <c r="O240" s="13"/>
      <c r="P240" s="14">
        <v>0.2</v>
      </c>
      <c r="Q240" s="15">
        <v>0.3</v>
      </c>
      <c r="R240" s="16" t="str">
        <f t="shared" si="24"/>
        <v>APC</v>
      </c>
      <c r="S240" s="17"/>
      <c r="T240" s="10" t="str">
        <f t="shared" si="29"/>
        <v>UPS TIPO MULTITOMA DE 750 VA. MARCA: APC.</v>
      </c>
    </row>
    <row r="241" spans="1:20" ht="27" customHeight="1" x14ac:dyDescent="0.25">
      <c r="A241" s="8" t="s">
        <v>594</v>
      </c>
      <c r="B241" s="9" t="s">
        <v>594</v>
      </c>
      <c r="C241" s="9"/>
      <c r="D241" s="8" t="s">
        <v>595</v>
      </c>
      <c r="E241" s="8">
        <v>1</v>
      </c>
      <c r="F241" s="8" t="s">
        <v>22</v>
      </c>
      <c r="G241" s="10" t="s">
        <v>609</v>
      </c>
      <c r="H241" s="8" t="s">
        <v>610</v>
      </c>
      <c r="I241" s="10" t="s">
        <v>609</v>
      </c>
      <c r="J241" s="11" t="s">
        <v>33</v>
      </c>
      <c r="K241" s="18">
        <v>290000</v>
      </c>
      <c r="L241" s="12">
        <f t="shared" si="28"/>
        <v>483400</v>
      </c>
      <c r="M241" s="8">
        <v>1</v>
      </c>
      <c r="N241" s="8" t="s">
        <v>27</v>
      </c>
      <c r="O241" s="13"/>
      <c r="P241" s="14">
        <v>0.2</v>
      </c>
      <c r="Q241" s="15">
        <v>0.4</v>
      </c>
      <c r="R241" s="16" t="str">
        <f t="shared" si="24"/>
        <v>APC</v>
      </c>
      <c r="S241" s="17"/>
      <c r="T241" s="10" t="str">
        <f t="shared" si="29"/>
        <v>UPS TIPO MULTITOMA DE 550 VA. MARCA: APC.</v>
      </c>
    </row>
    <row r="242" spans="1:20" ht="27" customHeight="1" x14ac:dyDescent="0.25">
      <c r="A242" s="8" t="s">
        <v>594</v>
      </c>
      <c r="B242" s="9"/>
      <c r="C242" s="9"/>
      <c r="D242" s="8"/>
      <c r="E242" s="8"/>
      <c r="F242" s="8" t="s">
        <v>22</v>
      </c>
      <c r="G242" s="10" t="s">
        <v>611</v>
      </c>
      <c r="H242" s="8" t="s">
        <v>601</v>
      </c>
      <c r="I242" s="10" t="s">
        <v>611</v>
      </c>
      <c r="J242" s="11" t="s">
        <v>33</v>
      </c>
      <c r="K242" s="18">
        <v>189000</v>
      </c>
      <c r="L242" s="12">
        <f t="shared" si="28"/>
        <v>315000</v>
      </c>
      <c r="M242" s="8">
        <v>1</v>
      </c>
      <c r="N242" s="8" t="s">
        <v>27</v>
      </c>
      <c r="O242" s="13"/>
      <c r="P242" s="14">
        <v>0.2</v>
      </c>
      <c r="Q242" s="15">
        <v>0.4</v>
      </c>
      <c r="R242" s="16" t="str">
        <f t="shared" si="24"/>
        <v>APC</v>
      </c>
      <c r="S242" s="17"/>
      <c r="T242" s="10" t="str">
        <f t="shared" si="29"/>
        <v xml:space="preserve">UPS DE 425VA. </v>
      </c>
    </row>
    <row r="243" spans="1:20" ht="27" customHeight="1" x14ac:dyDescent="0.25">
      <c r="A243" s="8" t="s">
        <v>612</v>
      </c>
      <c r="B243" s="9" t="s">
        <v>613</v>
      </c>
      <c r="C243" s="9"/>
      <c r="D243" s="8" t="s">
        <v>614</v>
      </c>
      <c r="E243" s="8">
        <v>1</v>
      </c>
      <c r="F243" s="8" t="s">
        <v>22</v>
      </c>
      <c r="G243" s="10" t="s">
        <v>615</v>
      </c>
      <c r="H243" s="8" t="s">
        <v>616</v>
      </c>
      <c r="I243" s="10" t="s">
        <v>617</v>
      </c>
      <c r="J243" s="11" t="s">
        <v>26</v>
      </c>
      <c r="K243" s="18">
        <v>99</v>
      </c>
      <c r="L243" s="12">
        <f t="shared" si="28"/>
        <v>158.4</v>
      </c>
      <c r="M243" s="8">
        <v>1</v>
      </c>
      <c r="N243" s="8" t="s">
        <v>27</v>
      </c>
      <c r="O243" s="13"/>
      <c r="P243" s="14">
        <v>0.2</v>
      </c>
      <c r="Q243" s="15">
        <v>0.25</v>
      </c>
      <c r="R243" s="16" t="str">
        <f t="shared" si="24"/>
        <v>APPLE</v>
      </c>
      <c r="S243" s="17"/>
      <c r="T243" s="10" t="str">
        <f t="shared" si="29"/>
        <v>REPETIDOR INALÁMBRICO PARA TRANSMISIÓN DE SEÑALES DE AUDIO.</v>
      </c>
    </row>
    <row r="244" spans="1:20" ht="27" customHeight="1" x14ac:dyDescent="0.25">
      <c r="A244" s="8" t="s">
        <v>612</v>
      </c>
      <c r="B244" s="9"/>
      <c r="C244" s="9"/>
      <c r="D244" s="8"/>
      <c r="E244" s="8"/>
      <c r="F244" s="8" t="s">
        <v>22</v>
      </c>
      <c r="G244" s="10" t="s">
        <v>618</v>
      </c>
      <c r="H244" s="8" t="s">
        <v>619</v>
      </c>
      <c r="I244" s="10" t="s">
        <v>618</v>
      </c>
      <c r="J244" s="11" t="s">
        <v>33</v>
      </c>
      <c r="K244" s="18">
        <v>1100000</v>
      </c>
      <c r="L244" s="12">
        <f t="shared" si="28"/>
        <v>1571500</v>
      </c>
      <c r="M244" s="8">
        <v>1</v>
      </c>
      <c r="N244" s="8" t="s">
        <v>27</v>
      </c>
      <c r="O244" s="13"/>
      <c r="P244" s="14">
        <v>0.2</v>
      </c>
      <c r="Q244" s="15">
        <v>0.3</v>
      </c>
      <c r="R244" s="16" t="str">
        <f t="shared" si="24"/>
        <v>APPLE</v>
      </c>
      <c r="S244" s="17"/>
      <c r="T244" s="10" t="str">
        <f t="shared" si="29"/>
        <v xml:space="preserve">IPAD MINI PANTALLA RETINA DE 32 GIGAS. </v>
      </c>
    </row>
    <row r="245" spans="1:20" ht="27" customHeight="1" x14ac:dyDescent="0.25">
      <c r="A245" s="8" t="s">
        <v>612</v>
      </c>
      <c r="B245" s="9"/>
      <c r="C245" s="9"/>
      <c r="D245" s="8"/>
      <c r="E245" s="8"/>
      <c r="F245" s="8" t="s">
        <v>22</v>
      </c>
      <c r="G245" s="10" t="s">
        <v>620</v>
      </c>
      <c r="H245" s="8" t="s">
        <v>621</v>
      </c>
      <c r="I245" s="10" t="s">
        <v>620</v>
      </c>
      <c r="J245" s="11" t="s">
        <v>33</v>
      </c>
      <c r="K245" s="18">
        <v>669000</v>
      </c>
      <c r="L245" s="12">
        <f t="shared" si="28"/>
        <v>739000</v>
      </c>
      <c r="M245" s="8">
        <v>1</v>
      </c>
      <c r="N245" s="8" t="s">
        <v>27</v>
      </c>
      <c r="O245" s="13"/>
      <c r="P245" s="14">
        <v>0</v>
      </c>
      <c r="Q245" s="15">
        <v>9.4677852142354094E-2</v>
      </c>
      <c r="R245" s="16" t="str">
        <f t="shared" si="24"/>
        <v>APPLE</v>
      </c>
      <c r="S245" s="17"/>
      <c r="T245" s="10" t="str">
        <f t="shared" si="29"/>
        <v>APPLE TV 4K DE 32G.</v>
      </c>
    </row>
    <row r="246" spans="1:20" ht="27" customHeight="1" x14ac:dyDescent="0.25">
      <c r="A246" s="8" t="s">
        <v>612</v>
      </c>
      <c r="B246" s="9"/>
      <c r="C246" s="9"/>
      <c r="D246" s="8"/>
      <c r="E246" s="8"/>
      <c r="F246" s="8"/>
      <c r="G246" s="10"/>
      <c r="H246" s="8" t="s">
        <v>622</v>
      </c>
      <c r="I246" s="10" t="s">
        <v>623</v>
      </c>
      <c r="J246" s="11" t="s">
        <v>33</v>
      </c>
      <c r="K246" s="18">
        <v>739000</v>
      </c>
      <c r="L246" s="12">
        <f>K246*(1+P246)/(1-Q246)</f>
        <v>1055714.2857142857</v>
      </c>
      <c r="M246" s="8">
        <v>1</v>
      </c>
      <c r="N246" s="8" t="s">
        <v>27</v>
      </c>
      <c r="O246" s="13"/>
      <c r="P246" s="14">
        <v>0</v>
      </c>
      <c r="Q246" s="15">
        <v>0.3</v>
      </c>
      <c r="R246" s="16" t="str">
        <f t="shared" si="24"/>
        <v>APPLE</v>
      </c>
      <c r="S246" s="17"/>
      <c r="T246" s="10"/>
    </row>
    <row r="247" spans="1:20" ht="27" customHeight="1" x14ac:dyDescent="0.25">
      <c r="A247" s="8" t="s">
        <v>624</v>
      </c>
      <c r="B247" s="9" t="s">
        <v>625</v>
      </c>
      <c r="C247" s="9"/>
      <c r="D247" s="8" t="s">
        <v>626</v>
      </c>
      <c r="E247" s="8">
        <v>1</v>
      </c>
      <c r="F247" s="8" t="s">
        <v>22</v>
      </c>
      <c r="G247" s="10" t="s">
        <v>627</v>
      </c>
      <c r="H247" s="8" t="s">
        <v>628</v>
      </c>
      <c r="I247" s="10" t="s">
        <v>627</v>
      </c>
      <c r="J247" s="11" t="s">
        <v>26</v>
      </c>
      <c r="K247" s="18">
        <v>6.9</v>
      </c>
      <c r="L247" s="12">
        <f t="shared" ref="L247:L254" si="30">IF(J247="P",ROUNDUP(K247/(1-Q247),-2),K247*(1+P247)/(1-Q247))</f>
        <v>13.799999999999999</v>
      </c>
      <c r="M247" s="8">
        <v>1</v>
      </c>
      <c r="N247" s="8" t="s">
        <v>27</v>
      </c>
      <c r="O247" s="13"/>
      <c r="P247" s="14">
        <v>0.2</v>
      </c>
      <c r="Q247" s="15">
        <v>0.4</v>
      </c>
      <c r="R247" s="16" t="str">
        <f t="shared" si="24"/>
        <v>ARLINGTON</v>
      </c>
      <c r="S247" s="17"/>
      <c r="T247" s="10" t="str">
        <f t="shared" ref="T247:T252" si="31">G247</f>
        <v>SALIDA PASA CABLES TIPO BROCHA EN COLOR BLANCO</v>
      </c>
    </row>
    <row r="248" spans="1:20" ht="27" customHeight="1" x14ac:dyDescent="0.25">
      <c r="A248" s="8" t="s">
        <v>624</v>
      </c>
      <c r="B248" s="9" t="s">
        <v>625</v>
      </c>
      <c r="C248" s="9"/>
      <c r="D248" s="8" t="s">
        <v>626</v>
      </c>
      <c r="E248" s="8">
        <v>2</v>
      </c>
      <c r="F248" s="8" t="s">
        <v>22</v>
      </c>
      <c r="G248" s="10" t="s">
        <v>629</v>
      </c>
      <c r="H248" s="8" t="s">
        <v>630</v>
      </c>
      <c r="I248" s="10" t="s">
        <v>629</v>
      </c>
      <c r="J248" s="11" t="s">
        <v>26</v>
      </c>
      <c r="K248" s="18">
        <v>2</v>
      </c>
      <c r="L248" s="12">
        <f t="shared" si="30"/>
        <v>3.4285714285714288</v>
      </c>
      <c r="M248" s="8">
        <v>1</v>
      </c>
      <c r="N248" s="8" t="s">
        <v>27</v>
      </c>
      <c r="O248" s="13"/>
      <c r="P248" s="14">
        <v>0.2</v>
      </c>
      <c r="Q248" s="15">
        <v>0.3</v>
      </c>
      <c r="R248" s="16" t="str">
        <f t="shared" si="24"/>
        <v>ARLINGTON</v>
      </c>
      <c r="S248" s="17"/>
      <c r="T248" s="10" t="str">
        <f t="shared" si="31"/>
        <v>SALIDA PASA CABLES DE 1 GANG</v>
      </c>
    </row>
    <row r="249" spans="1:20" ht="27" customHeight="1" x14ac:dyDescent="0.25">
      <c r="A249" s="8" t="s">
        <v>624</v>
      </c>
      <c r="B249" s="9" t="s">
        <v>625</v>
      </c>
      <c r="C249" s="9"/>
      <c r="D249" s="8" t="s">
        <v>626</v>
      </c>
      <c r="E249" s="8">
        <v>3</v>
      </c>
      <c r="F249" s="8" t="s">
        <v>22</v>
      </c>
      <c r="G249" s="10" t="s">
        <v>631</v>
      </c>
      <c r="H249" s="8" t="s">
        <v>632</v>
      </c>
      <c r="I249" s="10" t="s">
        <v>631</v>
      </c>
      <c r="J249" s="11" t="s">
        <v>26</v>
      </c>
      <c r="K249" s="18">
        <v>2.9</v>
      </c>
      <c r="L249" s="12">
        <f t="shared" si="30"/>
        <v>4.9714285714285715</v>
      </c>
      <c r="M249" s="8">
        <v>1</v>
      </c>
      <c r="N249" s="8" t="s">
        <v>27</v>
      </c>
      <c r="O249" s="13"/>
      <c r="P249" s="14">
        <v>0.2</v>
      </c>
      <c r="Q249" s="15">
        <v>0.3</v>
      </c>
      <c r="R249" s="16" t="str">
        <f t="shared" si="24"/>
        <v>ARLINGTON</v>
      </c>
      <c r="S249" s="17"/>
      <c r="T249" s="10" t="str">
        <f t="shared" si="31"/>
        <v>SALIDA PASA CABLES DE 2 GANG</v>
      </c>
    </row>
    <row r="250" spans="1:20" ht="27" customHeight="1" x14ac:dyDescent="0.25">
      <c r="A250" s="8" t="s">
        <v>624</v>
      </c>
      <c r="B250" s="9" t="s">
        <v>625</v>
      </c>
      <c r="C250" s="9"/>
      <c r="D250" s="8" t="s">
        <v>633</v>
      </c>
      <c r="E250" s="8"/>
      <c r="F250" s="8" t="s">
        <v>22</v>
      </c>
      <c r="G250" s="10" t="s">
        <v>634</v>
      </c>
      <c r="H250" s="8" t="s">
        <v>635</v>
      </c>
      <c r="I250" s="10" t="s">
        <v>634</v>
      </c>
      <c r="J250" s="11" t="s">
        <v>26</v>
      </c>
      <c r="K250" s="18">
        <v>124</v>
      </c>
      <c r="L250" s="12">
        <f t="shared" si="30"/>
        <v>212.57142857142856</v>
      </c>
      <c r="M250" s="8">
        <v>1</v>
      </c>
      <c r="N250" s="8" t="s">
        <v>27</v>
      </c>
      <c r="O250" s="13"/>
      <c r="P250" s="14">
        <v>0.2</v>
      </c>
      <c r="Q250" s="15">
        <v>0.3</v>
      </c>
      <c r="R250" s="16" t="str">
        <f t="shared" si="24"/>
        <v>ARLINGTON</v>
      </c>
      <c r="S250" s="17"/>
      <c r="T250" s="10" t="str">
        <f t="shared" si="31"/>
        <v xml:space="preserve">CAJA DE CONECTIVIDAD PARA PISO CON SALIDA ELÉCTRICA Y RJ-45. </v>
      </c>
    </row>
    <row r="251" spans="1:20" ht="27" customHeight="1" x14ac:dyDescent="0.25">
      <c r="A251" s="8" t="s">
        <v>624</v>
      </c>
      <c r="B251" s="9" t="s">
        <v>636</v>
      </c>
      <c r="C251" s="9"/>
      <c r="D251" s="8" t="s">
        <v>625</v>
      </c>
      <c r="E251" s="8"/>
      <c r="F251" s="8" t="s">
        <v>22</v>
      </c>
      <c r="G251" s="10" t="s">
        <v>637</v>
      </c>
      <c r="H251" s="8" t="s">
        <v>638</v>
      </c>
      <c r="I251" s="10" t="s">
        <v>637</v>
      </c>
      <c r="J251" s="11" t="s">
        <v>26</v>
      </c>
      <c r="K251" s="18">
        <v>20.79</v>
      </c>
      <c r="L251" s="12">
        <f t="shared" si="30"/>
        <v>31.184999999999995</v>
      </c>
      <c r="M251" s="8">
        <v>1</v>
      </c>
      <c r="N251" s="8" t="s">
        <v>27</v>
      </c>
      <c r="O251" s="13"/>
      <c r="P251" s="14">
        <v>0.2</v>
      </c>
      <c r="Q251" s="15">
        <v>0.2</v>
      </c>
      <c r="R251" s="16" t="str">
        <f t="shared" si="24"/>
        <v>ARLINGTON</v>
      </c>
      <c r="S251" s="17"/>
      <c r="T251" s="10" t="str">
        <f t="shared" si="31"/>
        <v>TOMA CORRIENTE PARA PISO CON TAPA TIPO MONEDA</v>
      </c>
    </row>
    <row r="252" spans="1:20" ht="27" customHeight="1" x14ac:dyDescent="0.25">
      <c r="A252" s="8" t="s">
        <v>639</v>
      </c>
      <c r="B252" s="9"/>
      <c r="C252" s="9"/>
      <c r="D252" s="8" t="s">
        <v>45</v>
      </c>
      <c r="E252" s="8"/>
      <c r="F252" s="8" t="s">
        <v>22</v>
      </c>
      <c r="G252" s="10" t="s">
        <v>640</v>
      </c>
      <c r="H252" s="8" t="s">
        <v>641</v>
      </c>
      <c r="I252" s="10" t="s">
        <v>640</v>
      </c>
      <c r="J252" s="11" t="s">
        <v>33</v>
      </c>
      <c r="K252" s="18">
        <v>718000</v>
      </c>
      <c r="L252" s="12">
        <f t="shared" si="30"/>
        <v>1025800</v>
      </c>
      <c r="M252" s="8">
        <v>1</v>
      </c>
      <c r="N252" s="8" t="s">
        <v>27</v>
      </c>
      <c r="O252" s="13"/>
      <c r="P252" s="14">
        <v>0</v>
      </c>
      <c r="Q252" s="15">
        <v>0.3</v>
      </c>
      <c r="R252" s="16" t="str">
        <f t="shared" si="24"/>
        <v>ARPA</v>
      </c>
      <c r="S252" s="17"/>
      <c r="T252" s="10" t="str">
        <f t="shared" si="31"/>
        <v xml:space="preserve">GABINETE TIPO RACK DE PISO, 45 UNIDADES DE RACK. </v>
      </c>
    </row>
    <row r="253" spans="1:20" ht="27" customHeight="1" x14ac:dyDescent="0.25">
      <c r="A253" s="8" t="s">
        <v>642</v>
      </c>
      <c r="B253" s="9"/>
      <c r="C253" s="9"/>
      <c r="D253" s="8"/>
      <c r="E253" s="8"/>
      <c r="F253" s="8"/>
      <c r="G253" s="10"/>
      <c r="H253" s="8" t="s">
        <v>643</v>
      </c>
      <c r="I253" s="10" t="s">
        <v>644</v>
      </c>
      <c r="J253" s="11" t="s">
        <v>26</v>
      </c>
      <c r="K253" s="18">
        <v>190</v>
      </c>
      <c r="L253" s="12">
        <f t="shared" si="30"/>
        <v>325.71428571428572</v>
      </c>
      <c r="M253" s="8">
        <v>1</v>
      </c>
      <c r="N253" s="8" t="s">
        <v>27</v>
      </c>
      <c r="O253" s="13">
        <f>F253</f>
        <v>0</v>
      </c>
      <c r="P253" s="14">
        <v>0.2</v>
      </c>
      <c r="Q253" s="15">
        <v>0.3</v>
      </c>
      <c r="R253" s="16" t="str">
        <f t="shared" si="24"/>
        <v>ARYLIC</v>
      </c>
      <c r="S253" s="17"/>
      <c r="T253" s="10"/>
    </row>
    <row r="254" spans="1:20" ht="27" customHeight="1" x14ac:dyDescent="0.25">
      <c r="A254" s="8" t="s">
        <v>645</v>
      </c>
      <c r="B254" s="9"/>
      <c r="C254" s="9"/>
      <c r="D254" s="8" t="s">
        <v>45</v>
      </c>
      <c r="E254" s="8"/>
      <c r="F254" s="8" t="s">
        <v>22</v>
      </c>
      <c r="G254" s="10" t="s">
        <v>646</v>
      </c>
      <c r="H254" s="8" t="s">
        <v>647</v>
      </c>
      <c r="I254" s="10" t="s">
        <v>648</v>
      </c>
      <c r="J254" s="11" t="s">
        <v>33</v>
      </c>
      <c r="K254" s="18">
        <v>343000</v>
      </c>
      <c r="L254" s="12">
        <f t="shared" si="30"/>
        <v>571700</v>
      </c>
      <c r="M254" s="8">
        <v>1</v>
      </c>
      <c r="N254" s="8" t="s">
        <v>27</v>
      </c>
      <c r="O254" s="13"/>
      <c r="P254" s="14">
        <v>0</v>
      </c>
      <c r="Q254" s="15">
        <v>0.4</v>
      </c>
      <c r="R254" s="16" t="str">
        <f t="shared" si="24"/>
        <v>ATEN</v>
      </c>
      <c r="S254" s="17"/>
      <c r="T254" s="10" t="str">
        <f>G254</f>
        <v>SWITCH 4x1 PARA SEÑALES HDMI, RESOLUCIÓN 4K.</v>
      </c>
    </row>
    <row r="255" spans="1:20" ht="27" customHeight="1" x14ac:dyDescent="0.25">
      <c r="A255" s="8" t="s">
        <v>645</v>
      </c>
      <c r="B255" s="9"/>
      <c r="C255" s="9"/>
      <c r="D255" s="8" t="s">
        <v>45</v>
      </c>
      <c r="E255" s="8"/>
      <c r="F255" s="8" t="s">
        <v>22</v>
      </c>
      <c r="G255" s="10" t="s">
        <v>649</v>
      </c>
      <c r="H255" s="8" t="s">
        <v>650</v>
      </c>
      <c r="I255" s="10" t="s">
        <v>649</v>
      </c>
      <c r="J255" s="11" t="s">
        <v>33</v>
      </c>
      <c r="K255" s="18">
        <v>627300</v>
      </c>
      <c r="L255" s="12">
        <f>ROUNDUP(K255*(1+P255)/(1-Q255),0)</f>
        <v>1045500</v>
      </c>
      <c r="M255" s="8">
        <v>1</v>
      </c>
      <c r="N255" s="8" t="s">
        <v>27</v>
      </c>
      <c r="O255" s="13"/>
      <c r="P255" s="14">
        <v>0</v>
      </c>
      <c r="Q255" s="15">
        <v>0.4</v>
      </c>
      <c r="R255" s="16" t="str">
        <f t="shared" si="24"/>
        <v>ATEN</v>
      </c>
      <c r="S255" s="17"/>
      <c r="T255" s="10" t="str">
        <f>G255</f>
        <v>SPLITTER DE TRANSMISIÓN POR UTP, PARA 8 SALIDAS</v>
      </c>
    </row>
    <row r="256" spans="1:20" ht="27" customHeight="1" x14ac:dyDescent="0.25">
      <c r="A256" s="8" t="s">
        <v>645</v>
      </c>
      <c r="B256" s="9"/>
      <c r="C256" s="9"/>
      <c r="D256" s="8" t="s">
        <v>45</v>
      </c>
      <c r="E256" s="8"/>
      <c r="F256" s="8" t="s">
        <v>22</v>
      </c>
      <c r="G256" s="10" t="s">
        <v>651</v>
      </c>
      <c r="H256" s="8" t="s">
        <v>652</v>
      </c>
      <c r="I256" s="10" t="s">
        <v>651</v>
      </c>
      <c r="J256" s="11" t="s">
        <v>33</v>
      </c>
      <c r="K256" s="18">
        <v>159900</v>
      </c>
      <c r="L256" s="12">
        <f>ROUNDUP(K256*(1+P256)/(1-Q256),0)</f>
        <v>266500</v>
      </c>
      <c r="M256" s="8">
        <v>1</v>
      </c>
      <c r="N256" s="8" t="s">
        <v>27</v>
      </c>
      <c r="O256" s="13"/>
      <c r="P256" s="14">
        <v>0</v>
      </c>
      <c r="Q256" s="15">
        <v>0.4</v>
      </c>
      <c r="R256" s="16" t="str">
        <f t="shared" si="24"/>
        <v>ATEN</v>
      </c>
      <c r="S256" s="17"/>
      <c r="T256" s="10" t="str">
        <f>G256</f>
        <v>RECEPTOR UTP DE VIDEO POR CATEGORÍA 6</v>
      </c>
    </row>
    <row r="257" spans="1:20" ht="27" customHeight="1" x14ac:dyDescent="0.25">
      <c r="A257" s="8" t="s">
        <v>645</v>
      </c>
      <c r="B257" s="9"/>
      <c r="C257" s="9"/>
      <c r="D257" s="8" t="s">
        <v>45</v>
      </c>
      <c r="E257" s="8"/>
      <c r="F257" s="8" t="s">
        <v>22</v>
      </c>
      <c r="G257" s="10" t="s">
        <v>653</v>
      </c>
      <c r="H257" s="8" t="s">
        <v>654</v>
      </c>
      <c r="I257" s="10" t="s">
        <v>653</v>
      </c>
      <c r="J257" s="11" t="s">
        <v>33</v>
      </c>
      <c r="K257" s="18">
        <v>7592400</v>
      </c>
      <c r="L257" s="12">
        <f>ROUNDUP(K257*(1+P257)/(1-Q257),0)</f>
        <v>12654000</v>
      </c>
      <c r="M257" s="8">
        <v>1</v>
      </c>
      <c r="N257" s="8" t="s">
        <v>27</v>
      </c>
      <c r="O257" s="13"/>
      <c r="P257" s="14">
        <v>0</v>
      </c>
      <c r="Q257" s="15">
        <v>0.4</v>
      </c>
      <c r="R257" s="16" t="str">
        <f t="shared" ref="R257:R320" si="32">A257</f>
        <v>ATEN</v>
      </c>
      <c r="S257" s="17"/>
      <c r="T257" s="10" t="str">
        <f>G257</f>
        <v>MATRIZ DE 8 ENTRADAS 8 SALIDAS HDMI</v>
      </c>
    </row>
    <row r="258" spans="1:20" ht="27" customHeight="1" x14ac:dyDescent="0.25">
      <c r="A258" s="8" t="s">
        <v>645</v>
      </c>
      <c r="B258" s="9"/>
      <c r="C258" s="9"/>
      <c r="D258" s="8"/>
      <c r="E258" s="8"/>
      <c r="F258" s="8"/>
      <c r="G258" s="10"/>
      <c r="H258" s="8" t="s">
        <v>655</v>
      </c>
      <c r="I258" s="10" t="s">
        <v>656</v>
      </c>
      <c r="J258" s="11" t="s">
        <v>33</v>
      </c>
      <c r="K258" s="18">
        <v>1699000</v>
      </c>
      <c r="L258" s="12">
        <f>IF(J258="P",ROUNDUP(K258/(1-Q258),-2),K258*(1+P258)/(1-Q258))</f>
        <v>2831700</v>
      </c>
      <c r="M258" s="8">
        <v>1</v>
      </c>
      <c r="N258" s="8" t="s">
        <v>27</v>
      </c>
      <c r="O258" s="13">
        <f>F258</f>
        <v>0</v>
      </c>
      <c r="P258" s="14">
        <v>0</v>
      </c>
      <c r="Q258" s="15">
        <v>0.4</v>
      </c>
      <c r="R258" s="16" t="str">
        <f t="shared" si="32"/>
        <v>ATEN</v>
      </c>
      <c r="S258" s="17"/>
      <c r="T258" s="10"/>
    </row>
    <row r="259" spans="1:20" ht="27" customHeight="1" x14ac:dyDescent="0.25">
      <c r="A259" s="8" t="s">
        <v>657</v>
      </c>
      <c r="B259" s="9"/>
      <c r="C259" s="9"/>
      <c r="D259" s="8"/>
      <c r="E259" s="8"/>
      <c r="F259" s="8" t="s">
        <v>22</v>
      </c>
      <c r="G259" s="10" t="s">
        <v>658</v>
      </c>
      <c r="H259" s="8" t="s">
        <v>659</v>
      </c>
      <c r="I259" s="10" t="s">
        <v>660</v>
      </c>
      <c r="J259" s="11" t="s">
        <v>26</v>
      </c>
      <c r="K259" s="18">
        <v>229</v>
      </c>
      <c r="L259" s="12">
        <f>IF(J259="P",ROUNDUP(K259/(1-Q259),-2),K259*(1+P259)/(1-Q259))</f>
        <v>392.57142857142861</v>
      </c>
      <c r="M259" s="8">
        <v>1</v>
      </c>
      <c r="N259" s="8" t="s">
        <v>27</v>
      </c>
      <c r="O259" s="13"/>
      <c r="P259" s="14">
        <v>0.2</v>
      </c>
      <c r="Q259" s="15">
        <v>0.3</v>
      </c>
      <c r="R259" s="16" t="str">
        <f t="shared" si="32"/>
        <v>ATLONA</v>
      </c>
      <c r="S259" s="17"/>
      <c r="T259" s="10" t="str">
        <f t="shared" ref="T259:T265" si="33">G259</f>
        <v>PRE AMPLIFICADOR CON CONTROL RS-232, 20 VATIOS DE SALIDA.</v>
      </c>
    </row>
    <row r="260" spans="1:20" ht="27" customHeight="1" x14ac:dyDescent="0.25">
      <c r="A260" s="8" t="s">
        <v>657</v>
      </c>
      <c r="B260" s="9"/>
      <c r="C260" s="9"/>
      <c r="D260" s="8" t="s">
        <v>45</v>
      </c>
      <c r="E260" s="8"/>
      <c r="F260" s="8" t="s">
        <v>22</v>
      </c>
      <c r="G260" s="10" t="s">
        <v>661</v>
      </c>
      <c r="H260" s="8" t="s">
        <v>662</v>
      </c>
      <c r="I260" s="10" t="s">
        <v>661</v>
      </c>
      <c r="J260" s="11" t="s">
        <v>33</v>
      </c>
      <c r="K260" s="18">
        <v>1045318</v>
      </c>
      <c r="L260" s="12">
        <f>IF(J260="P",ROUNDUP(K260/(1-Q260),-2),K260*(1+P260)/(1-Q260))</f>
        <v>1493400</v>
      </c>
      <c r="M260" s="8">
        <v>1</v>
      </c>
      <c r="N260" s="8" t="s">
        <v>27</v>
      </c>
      <c r="O260" s="13"/>
      <c r="P260" s="14">
        <v>0</v>
      </c>
      <c r="Q260" s="15">
        <v>0.3</v>
      </c>
      <c r="R260" s="16" t="str">
        <f t="shared" si="32"/>
        <v>ATLONA</v>
      </c>
      <c r="S260" s="17"/>
      <c r="T260" s="10" t="str">
        <f t="shared" si="33"/>
        <v>TRANSMISOR DE AUDIO Y VIDEO POR HD BASE T, PARA ENTRADA VGA Y HDMI.</v>
      </c>
    </row>
    <row r="261" spans="1:20" ht="27" customHeight="1" x14ac:dyDescent="0.25">
      <c r="A261" s="8" t="s">
        <v>657</v>
      </c>
      <c r="B261" s="9"/>
      <c r="C261" s="9"/>
      <c r="D261" s="8" t="s">
        <v>45</v>
      </c>
      <c r="E261" s="8"/>
      <c r="F261" s="8" t="s">
        <v>22</v>
      </c>
      <c r="G261" s="10" t="s">
        <v>663</v>
      </c>
      <c r="H261" s="8" t="s">
        <v>664</v>
      </c>
      <c r="I261" s="10" t="s">
        <v>663</v>
      </c>
      <c r="J261" s="11" t="s">
        <v>33</v>
      </c>
      <c r="K261" s="18">
        <v>6640000</v>
      </c>
      <c r="L261" s="12">
        <f>ROUNDUP(K261*(1+P261)/(1-Q261),0)</f>
        <v>9485715</v>
      </c>
      <c r="M261" s="8">
        <v>1</v>
      </c>
      <c r="N261" s="8" t="s">
        <v>27</v>
      </c>
      <c r="O261" s="13"/>
      <c r="P261" s="14">
        <v>0</v>
      </c>
      <c r="Q261" s="15">
        <v>0.3</v>
      </c>
      <c r="R261" s="16" t="str">
        <f t="shared" si="32"/>
        <v>ATLONA</v>
      </c>
      <c r="S261" s="17"/>
      <c r="T261" s="10" t="str">
        <f t="shared" si="33"/>
        <v xml:space="preserve">ENCODER CON DOS ENTRADAS HDMI, 4K PARA MATRIZ VIRTUAL POR RED DE DATOS. </v>
      </c>
    </row>
    <row r="262" spans="1:20" ht="27" customHeight="1" x14ac:dyDescent="0.25">
      <c r="A262" s="8" t="s">
        <v>657</v>
      </c>
      <c r="B262" s="9"/>
      <c r="C262" s="9"/>
      <c r="D262" s="8" t="s">
        <v>45</v>
      </c>
      <c r="E262" s="8"/>
      <c r="F262" s="8" t="s">
        <v>22</v>
      </c>
      <c r="G262" s="10" t="s">
        <v>665</v>
      </c>
      <c r="H262" s="8" t="s">
        <v>666</v>
      </c>
      <c r="I262" s="10" t="s">
        <v>665</v>
      </c>
      <c r="J262" s="11" t="s">
        <v>33</v>
      </c>
      <c r="K262" s="18">
        <v>3865000</v>
      </c>
      <c r="L262" s="12">
        <f>ROUNDUP(K262*(1+P262)/(1-Q262),0)</f>
        <v>5521429</v>
      </c>
      <c r="M262" s="8">
        <v>1</v>
      </c>
      <c r="N262" s="8" t="s">
        <v>27</v>
      </c>
      <c r="O262" s="13"/>
      <c r="P262" s="14">
        <v>0</v>
      </c>
      <c r="Q262" s="15">
        <v>0.3</v>
      </c>
      <c r="R262" s="16" t="str">
        <f t="shared" si="32"/>
        <v>ATLONA</v>
      </c>
      <c r="S262" s="17"/>
      <c r="T262" s="10" t="str">
        <f t="shared" si="33"/>
        <v xml:space="preserve">DECODIFICADOR CON SALIDA HDMI, 4K PARA MATRIZ VIRTUAL POR RED DE DATOS. </v>
      </c>
    </row>
    <row r="263" spans="1:20" ht="27" customHeight="1" x14ac:dyDescent="0.25">
      <c r="A263" s="8" t="s">
        <v>657</v>
      </c>
      <c r="B263" s="9"/>
      <c r="C263" s="9"/>
      <c r="D263" s="8" t="s">
        <v>45</v>
      </c>
      <c r="E263" s="8"/>
      <c r="F263" s="8" t="s">
        <v>22</v>
      </c>
      <c r="G263" s="10" t="s">
        <v>667</v>
      </c>
      <c r="H263" s="8" t="s">
        <v>668</v>
      </c>
      <c r="I263" s="10" t="s">
        <v>667</v>
      </c>
      <c r="J263" s="11" t="s">
        <v>33</v>
      </c>
      <c r="K263" s="18">
        <v>2415000</v>
      </c>
      <c r="L263" s="12">
        <f>ROUNDUP(K263*(1+P263)/(1-Q263),0)</f>
        <v>3450000</v>
      </c>
      <c r="M263" s="8">
        <v>1</v>
      </c>
      <c r="N263" s="8" t="s">
        <v>27</v>
      </c>
      <c r="O263" s="13"/>
      <c r="P263" s="14">
        <v>0</v>
      </c>
      <c r="Q263" s="15">
        <v>0.3</v>
      </c>
      <c r="R263" s="16" t="str">
        <f t="shared" si="32"/>
        <v>ATLONA</v>
      </c>
      <c r="S263" s="17"/>
      <c r="T263" s="10" t="str">
        <f t="shared" si="33"/>
        <v>INTERFAZ DE CONTROL PARA EQUIPOS DE AV POR IP</v>
      </c>
    </row>
    <row r="264" spans="1:20" ht="27" customHeight="1" x14ac:dyDescent="0.25">
      <c r="A264" s="8" t="s">
        <v>657</v>
      </c>
      <c r="B264" s="9"/>
      <c r="C264" s="9"/>
      <c r="D264" s="8" t="s">
        <v>45</v>
      </c>
      <c r="E264" s="8"/>
      <c r="F264" s="8" t="s">
        <v>22</v>
      </c>
      <c r="G264" s="10" t="s">
        <v>669</v>
      </c>
      <c r="H264" s="8" t="s">
        <v>670</v>
      </c>
      <c r="I264" s="10" t="s">
        <v>669</v>
      </c>
      <c r="J264" s="11" t="s">
        <v>26</v>
      </c>
      <c r="K264" s="18">
        <f>9660/6</f>
        <v>1610</v>
      </c>
      <c r="L264" s="12">
        <f>ROUNDUP(K264*(1+P264)/(1-Q264),0)</f>
        <v>2684</v>
      </c>
      <c r="M264" s="8">
        <v>1</v>
      </c>
      <c r="N264" s="8" t="s">
        <v>27</v>
      </c>
      <c r="O264" s="13"/>
      <c r="P264" s="14">
        <v>0</v>
      </c>
      <c r="Q264" s="15">
        <v>0.4</v>
      </c>
      <c r="R264" s="16" t="str">
        <f t="shared" si="32"/>
        <v>ATLONA</v>
      </c>
      <c r="S264" s="17"/>
      <c r="T264" s="10" t="str">
        <f t="shared" si="33"/>
        <v>SPLITTER 4K DE DISTRIBUCIÓN HDBaseT CON ENTRADA HDMI Y SALIDAS POR UTP.</v>
      </c>
    </row>
    <row r="265" spans="1:20" ht="27" customHeight="1" x14ac:dyDescent="0.25">
      <c r="A265" s="8" t="s">
        <v>657</v>
      </c>
      <c r="B265" s="9"/>
      <c r="C265" s="9"/>
      <c r="D265" s="8" t="s">
        <v>45</v>
      </c>
      <c r="E265" s="8"/>
      <c r="F265" s="8" t="s">
        <v>22</v>
      </c>
      <c r="G265" s="10" t="s">
        <v>671</v>
      </c>
      <c r="H265" s="8" t="s">
        <v>672</v>
      </c>
      <c r="I265" s="10" t="s">
        <v>671</v>
      </c>
      <c r="J265" s="11" t="s">
        <v>26</v>
      </c>
      <c r="K265" s="18">
        <f>7350/42</f>
        <v>175</v>
      </c>
      <c r="L265" s="12">
        <f>ROUNDUP(K265*(1+P265)/(1-Q265),0)</f>
        <v>292</v>
      </c>
      <c r="M265" s="8">
        <v>1</v>
      </c>
      <c r="N265" s="8" t="s">
        <v>27</v>
      </c>
      <c r="O265" s="13"/>
      <c r="P265" s="14">
        <v>0</v>
      </c>
      <c r="Q265" s="15">
        <v>0.4</v>
      </c>
      <c r="R265" s="16" t="str">
        <f t="shared" si="32"/>
        <v>ATLONA</v>
      </c>
      <c r="S265" s="17"/>
      <c r="T265" s="10" t="str">
        <f t="shared" si="33"/>
        <v>RECEPTOR 4K HDBaseT CON SALIDA HDMI</v>
      </c>
    </row>
    <row r="266" spans="1:20" ht="27" customHeight="1" x14ac:dyDescent="0.25">
      <c r="A266" s="8" t="s">
        <v>657</v>
      </c>
      <c r="B266" s="9"/>
      <c r="C266" s="9"/>
      <c r="D266" s="8"/>
      <c r="E266" s="8"/>
      <c r="F266" s="8"/>
      <c r="G266" s="10"/>
      <c r="H266" s="8" t="s">
        <v>673</v>
      </c>
      <c r="I266" s="10" t="s">
        <v>674</v>
      </c>
      <c r="J266" s="11" t="s">
        <v>26</v>
      </c>
      <c r="K266" s="18">
        <v>350</v>
      </c>
      <c r="L266" s="12">
        <f>K266*(1+P266)/(1-Q266)</f>
        <v>500.00000000000006</v>
      </c>
      <c r="M266" s="8">
        <v>1</v>
      </c>
      <c r="N266" s="8" t="s">
        <v>27</v>
      </c>
      <c r="O266" s="13"/>
      <c r="P266" s="14">
        <v>0</v>
      </c>
      <c r="Q266" s="15">
        <v>0.3</v>
      </c>
      <c r="R266" s="16" t="str">
        <f t="shared" si="32"/>
        <v>ATLONA</v>
      </c>
      <c r="S266" s="17"/>
      <c r="T266" s="10"/>
    </row>
    <row r="267" spans="1:20" ht="27" customHeight="1" x14ac:dyDescent="0.25">
      <c r="A267" s="8" t="s">
        <v>657</v>
      </c>
      <c r="B267" s="9"/>
      <c r="C267" s="9"/>
      <c r="D267" s="8"/>
      <c r="E267" s="8"/>
      <c r="F267" s="8"/>
      <c r="G267" s="10"/>
      <c r="H267" s="8" t="s">
        <v>675</v>
      </c>
      <c r="I267" s="10" t="s">
        <v>676</v>
      </c>
      <c r="J267" s="11" t="s">
        <v>26</v>
      </c>
      <c r="K267" s="18">
        <v>801.53</v>
      </c>
      <c r="L267" s="12">
        <f>IF(J267="P",ROUNDUP(K267/(1-Q267),-2),K267*(1+P267)/(1-Q267))</f>
        <v>942.97647058823532</v>
      </c>
      <c r="M267" s="8">
        <v>1</v>
      </c>
      <c r="N267" s="8" t="s">
        <v>27</v>
      </c>
      <c r="O267" s="13">
        <f>F267</f>
        <v>0</v>
      </c>
      <c r="P267" s="14">
        <v>0</v>
      </c>
      <c r="Q267" s="15">
        <v>0.15</v>
      </c>
      <c r="R267" s="16" t="str">
        <f t="shared" si="32"/>
        <v>ATLONA</v>
      </c>
      <c r="S267" s="17"/>
      <c r="T267" s="10"/>
    </row>
    <row r="268" spans="1:20" ht="27" customHeight="1" x14ac:dyDescent="0.25">
      <c r="A268" s="8" t="s">
        <v>657</v>
      </c>
      <c r="B268" s="9"/>
      <c r="C268" s="9"/>
      <c r="D268" s="8"/>
      <c r="E268" s="8"/>
      <c r="F268" s="8"/>
      <c r="G268" s="10"/>
      <c r="H268" s="8" t="s">
        <v>677</v>
      </c>
      <c r="I268" s="10" t="s">
        <v>678</v>
      </c>
      <c r="J268" s="11" t="s">
        <v>26</v>
      </c>
      <c r="K268" s="18">
        <v>372</v>
      </c>
      <c r="L268" s="12">
        <f>IF(J268="P",ROUNDUP(K268/(1-Q268),-2),K268*(1+P268)/(1-Q268))</f>
        <v>437.64705882352945</v>
      </c>
      <c r="M268" s="8">
        <v>1</v>
      </c>
      <c r="N268" s="8" t="s">
        <v>27</v>
      </c>
      <c r="O268" s="13">
        <f>F268</f>
        <v>0</v>
      </c>
      <c r="P268" s="14">
        <v>0</v>
      </c>
      <c r="Q268" s="15">
        <v>0.15</v>
      </c>
      <c r="R268" s="16" t="str">
        <f t="shared" si="32"/>
        <v>ATLONA</v>
      </c>
      <c r="S268" s="17"/>
      <c r="T268" s="10"/>
    </row>
    <row r="269" spans="1:20" ht="27" customHeight="1" x14ac:dyDescent="0.25">
      <c r="A269" s="8" t="s">
        <v>679</v>
      </c>
      <c r="B269" s="9"/>
      <c r="C269" s="9"/>
      <c r="D269" s="8"/>
      <c r="E269" s="8"/>
      <c r="F269" s="8"/>
      <c r="G269" s="10"/>
      <c r="H269" s="8" t="s">
        <v>680</v>
      </c>
      <c r="I269" s="10" t="s">
        <v>681</v>
      </c>
      <c r="J269" s="11" t="s">
        <v>33</v>
      </c>
      <c r="K269" s="18">
        <f>638000/2</f>
        <v>319000</v>
      </c>
      <c r="L269" s="12">
        <f>IF(J269="P",ROUNDUP(K269/(1-Q269),-2),K269*(1+P269)/(1-Q269))</f>
        <v>531700</v>
      </c>
      <c r="M269" s="8">
        <v>1</v>
      </c>
      <c r="N269" s="8" t="s">
        <v>27</v>
      </c>
      <c r="O269" s="13"/>
      <c r="P269" s="14">
        <v>0</v>
      </c>
      <c r="Q269" s="15">
        <v>0.4</v>
      </c>
      <c r="R269" s="16" t="str">
        <f t="shared" si="32"/>
        <v>AUDAC</v>
      </c>
      <c r="S269" s="17"/>
      <c r="T269" s="10"/>
    </row>
    <row r="270" spans="1:20" ht="27" customHeight="1" x14ac:dyDescent="0.25">
      <c r="A270" s="8" t="s">
        <v>682</v>
      </c>
      <c r="B270" s="9" t="s">
        <v>683</v>
      </c>
      <c r="C270" s="9"/>
      <c r="D270" s="8" t="s">
        <v>684</v>
      </c>
      <c r="E270" s="8"/>
      <c r="F270" s="8" t="s">
        <v>22</v>
      </c>
      <c r="G270" s="10" t="s">
        <v>685</v>
      </c>
      <c r="H270" s="8" t="s">
        <v>686</v>
      </c>
      <c r="I270" s="10" t="s">
        <v>685</v>
      </c>
      <c r="J270" s="11" t="s">
        <v>26</v>
      </c>
      <c r="K270" s="127">
        <f>140*1.2/1000</f>
        <v>0.16800000000000001</v>
      </c>
      <c r="L270" s="12">
        <f>IF(J270="P",ROUNDUP(K270/(1-Q270),-2),K270*(1+P270)/(1-Q270))</f>
        <v>0.33600000000000002</v>
      </c>
      <c r="M270" s="8">
        <v>1</v>
      </c>
      <c r="N270" s="8" t="s">
        <v>110</v>
      </c>
      <c r="O270" s="13"/>
      <c r="P270" s="14">
        <v>0.2</v>
      </c>
      <c r="Q270" s="15">
        <v>0.4</v>
      </c>
      <c r="R270" s="16" t="str">
        <f t="shared" si="32"/>
        <v>AUDIOPIPE</v>
      </c>
      <c r="S270" s="17"/>
      <c r="T270" s="10" t="str">
        <f t="shared" ref="T270:T282" si="34">G270</f>
        <v>METRO CABLE LIBRE DE OXIGENO AWG14</v>
      </c>
    </row>
    <row r="271" spans="1:20" ht="27" customHeight="1" x14ac:dyDescent="0.25">
      <c r="A271" s="8" t="s">
        <v>687</v>
      </c>
      <c r="B271" s="9"/>
      <c r="C271" s="9"/>
      <c r="D271" s="8" t="s">
        <v>45</v>
      </c>
      <c r="E271" s="8"/>
      <c r="F271" s="8" t="s">
        <v>22</v>
      </c>
      <c r="G271" s="10" t="str">
        <f>B271&amp;"-"&amp;D271&amp;"-"&amp;E271&amp;F271</f>
        <v>-PROG_-BLANCO</v>
      </c>
      <c r="H271" s="8" t="s">
        <v>688</v>
      </c>
      <c r="I271" s="10" t="s">
        <v>689</v>
      </c>
      <c r="J271" s="11" t="s">
        <v>26</v>
      </c>
      <c r="K271" s="18">
        <v>60</v>
      </c>
      <c r="L271" s="12">
        <f>K271*(1+P271)/(1-Q271)</f>
        <v>120</v>
      </c>
      <c r="M271" s="8">
        <v>1</v>
      </c>
      <c r="N271" s="8" t="s">
        <v>27</v>
      </c>
      <c r="O271" s="13"/>
      <c r="P271" s="14">
        <v>0.2</v>
      </c>
      <c r="Q271" s="15">
        <v>0.4</v>
      </c>
      <c r="R271" s="16" t="str">
        <f t="shared" si="32"/>
        <v>AUGUST</v>
      </c>
      <c r="S271" s="17"/>
      <c r="T271" s="10" t="str">
        <f t="shared" si="34"/>
        <v>-PROG_-BLANCO</v>
      </c>
    </row>
    <row r="272" spans="1:20" ht="27" customHeight="1" x14ac:dyDescent="0.25">
      <c r="A272" s="8" t="s">
        <v>690</v>
      </c>
      <c r="B272" s="9"/>
      <c r="C272" s="9"/>
      <c r="D272" s="8"/>
      <c r="E272" s="8"/>
      <c r="F272" s="8" t="s">
        <v>22</v>
      </c>
      <c r="G272" s="10" t="s">
        <v>691</v>
      </c>
      <c r="H272" s="8" t="s">
        <v>692</v>
      </c>
      <c r="I272" s="10" t="s">
        <v>691</v>
      </c>
      <c r="J272" s="11" t="s">
        <v>33</v>
      </c>
      <c r="K272" s="18">
        <v>28571</v>
      </c>
      <c r="L272" s="12">
        <f t="shared" ref="L272:L282" si="35">IF(J272="P",ROUNDUP(K272/(1-Q272),-2),K272*(1+P272)/(1-Q272))</f>
        <v>40900</v>
      </c>
      <c r="M272" s="8">
        <v>1</v>
      </c>
      <c r="N272" s="8" t="s">
        <v>27</v>
      </c>
      <c r="O272" s="13"/>
      <c r="P272" s="14">
        <v>0.2</v>
      </c>
      <c r="Q272" s="15">
        <v>0.3</v>
      </c>
      <c r="R272" s="16" t="str">
        <f t="shared" si="32"/>
        <v>AURA</v>
      </c>
      <c r="S272" s="17"/>
      <c r="T272" s="10" t="str">
        <f t="shared" si="34"/>
        <v>SENSOR INFRARROJO 360</v>
      </c>
    </row>
    <row r="273" spans="1:20" ht="27" customHeight="1" x14ac:dyDescent="0.25">
      <c r="A273" s="8" t="s">
        <v>690</v>
      </c>
      <c r="B273" s="9"/>
      <c r="C273" s="9"/>
      <c r="D273" s="8"/>
      <c r="E273" s="8"/>
      <c r="F273" s="8" t="s">
        <v>22</v>
      </c>
      <c r="G273" s="10" t="s">
        <v>693</v>
      </c>
      <c r="H273" s="8" t="s">
        <v>694</v>
      </c>
      <c r="I273" s="10" t="s">
        <v>693</v>
      </c>
      <c r="J273" s="11" t="s">
        <v>33</v>
      </c>
      <c r="K273" s="18">
        <v>12000</v>
      </c>
      <c r="L273" s="12">
        <f t="shared" si="35"/>
        <v>30000</v>
      </c>
      <c r="M273" s="8">
        <v>1</v>
      </c>
      <c r="N273" s="8" t="s">
        <v>27</v>
      </c>
      <c r="O273" s="13"/>
      <c r="P273" s="14">
        <v>0.2</v>
      </c>
      <c r="Q273" s="15">
        <v>0.6</v>
      </c>
      <c r="R273" s="16" t="str">
        <f t="shared" si="32"/>
        <v>AURA</v>
      </c>
      <c r="S273" s="17"/>
      <c r="T273" s="10" t="str">
        <f t="shared" si="34"/>
        <v>SENSOR DE PRESENCIA ULTRA CORTO</v>
      </c>
    </row>
    <row r="274" spans="1:20" ht="27" customHeight="1" x14ac:dyDescent="0.25">
      <c r="A274" s="8" t="s">
        <v>690</v>
      </c>
      <c r="B274" s="9"/>
      <c r="C274" s="9"/>
      <c r="D274" s="8"/>
      <c r="E274" s="8"/>
      <c r="F274" s="8" t="s">
        <v>22</v>
      </c>
      <c r="G274" s="10" t="s">
        <v>695</v>
      </c>
      <c r="H274" s="8" t="s">
        <v>696</v>
      </c>
      <c r="I274" s="10" t="s">
        <v>695</v>
      </c>
      <c r="J274" s="11" t="s">
        <v>697</v>
      </c>
      <c r="K274" s="18">
        <v>18850</v>
      </c>
      <c r="L274" s="12">
        <f t="shared" si="35"/>
        <v>27000</v>
      </c>
      <c r="M274" s="8">
        <v>1</v>
      </c>
      <c r="N274" s="8" t="s">
        <v>27</v>
      </c>
      <c r="O274" s="13"/>
      <c r="P274" s="14">
        <v>0</v>
      </c>
      <c r="Q274" s="15">
        <v>0.3</v>
      </c>
      <c r="R274" s="16" t="str">
        <f t="shared" si="32"/>
        <v>AURA</v>
      </c>
      <c r="S274" s="17"/>
      <c r="T274" s="10" t="str">
        <f t="shared" si="34"/>
        <v>SENSOR INALÁMBRICO DE TECHO INFRA ROJO 360 TIPO BALA</v>
      </c>
    </row>
    <row r="275" spans="1:20" ht="27" customHeight="1" x14ac:dyDescent="0.25">
      <c r="A275" s="8" t="s">
        <v>690</v>
      </c>
      <c r="B275" s="9"/>
      <c r="C275" s="9"/>
      <c r="D275" s="8"/>
      <c r="E275" s="8"/>
      <c r="F275" s="8" t="s">
        <v>22</v>
      </c>
      <c r="G275" s="10" t="s">
        <v>698</v>
      </c>
      <c r="H275" s="8" t="s">
        <v>699</v>
      </c>
      <c r="I275" s="10" t="s">
        <v>698</v>
      </c>
      <c r="J275" s="11" t="s">
        <v>33</v>
      </c>
      <c r="K275" s="18">
        <v>15000</v>
      </c>
      <c r="L275" s="12">
        <f t="shared" si="35"/>
        <v>30000</v>
      </c>
      <c r="M275" s="8">
        <v>1</v>
      </c>
      <c r="N275" s="8" t="s">
        <v>27</v>
      </c>
      <c r="O275" s="13"/>
      <c r="P275" s="14">
        <v>0</v>
      </c>
      <c r="Q275" s="15">
        <v>0.5</v>
      </c>
      <c r="R275" s="16" t="str">
        <f t="shared" si="32"/>
        <v>AURA</v>
      </c>
      <c r="S275" s="17"/>
      <c r="T275" s="10" t="str">
        <f t="shared" si="34"/>
        <v>SENSOR INFRA ROJO 360 GRADOS ALCANCE DE 5 METROS</v>
      </c>
    </row>
    <row r="276" spans="1:20" ht="27" customHeight="1" x14ac:dyDescent="0.25">
      <c r="A276" s="8" t="s">
        <v>690</v>
      </c>
      <c r="B276" s="9"/>
      <c r="C276" s="9"/>
      <c r="D276" s="8"/>
      <c r="E276" s="8"/>
      <c r="F276" s="8" t="s">
        <v>22</v>
      </c>
      <c r="G276" s="10" t="s">
        <v>700</v>
      </c>
      <c r="H276" s="8" t="s">
        <v>701</v>
      </c>
      <c r="I276" s="10" t="s">
        <v>700</v>
      </c>
      <c r="J276" s="11" t="s">
        <v>33</v>
      </c>
      <c r="K276" s="18">
        <v>83500</v>
      </c>
      <c r="L276" s="12">
        <f t="shared" si="35"/>
        <v>139200</v>
      </c>
      <c r="M276" s="8">
        <v>1</v>
      </c>
      <c r="N276" s="8" t="s">
        <v>27</v>
      </c>
      <c r="O276" s="13"/>
      <c r="P276" s="14">
        <v>0.2</v>
      </c>
      <c r="Q276" s="15">
        <v>0.4</v>
      </c>
      <c r="R276" s="16" t="str">
        <f t="shared" si="32"/>
        <v>AURA</v>
      </c>
      <c r="S276" s="17"/>
      <c r="T276" s="10" t="str">
        <f t="shared" si="34"/>
        <v>LUMINARIA HERMÉTICA PARA TUBO T8</v>
      </c>
    </row>
    <row r="277" spans="1:20" ht="27" customHeight="1" x14ac:dyDescent="0.25">
      <c r="A277" s="8" t="s">
        <v>690</v>
      </c>
      <c r="B277" s="9"/>
      <c r="C277" s="9"/>
      <c r="D277" s="8" t="s">
        <v>45</v>
      </c>
      <c r="E277" s="8"/>
      <c r="F277" s="8" t="s">
        <v>22</v>
      </c>
      <c r="G277" s="10" t="s">
        <v>702</v>
      </c>
      <c r="H277" s="8" t="s">
        <v>703</v>
      </c>
      <c r="I277" s="10" t="s">
        <v>704</v>
      </c>
      <c r="J277" s="11" t="s">
        <v>33</v>
      </c>
      <c r="K277" s="18">
        <v>19000</v>
      </c>
      <c r="L277" s="12">
        <f t="shared" si="35"/>
        <v>31700</v>
      </c>
      <c r="M277" s="8">
        <v>1</v>
      </c>
      <c r="N277" s="8" t="s">
        <v>27</v>
      </c>
      <c r="O277" s="13" t="s">
        <v>588</v>
      </c>
      <c r="P277" s="14">
        <v>0</v>
      </c>
      <c r="Q277" s="15">
        <v>0.4</v>
      </c>
      <c r="R277" s="16" t="str">
        <f t="shared" si="32"/>
        <v>AURA</v>
      </c>
      <c r="S277" s="17"/>
      <c r="T277" s="10" t="str">
        <f t="shared" si="34"/>
        <v>SENSOR DE PRESENCIA ULTRA PEQUEÑO CON ALTURA DE INSTALACIÓN DE 2.4M.</v>
      </c>
    </row>
    <row r="278" spans="1:20" ht="27" customHeight="1" x14ac:dyDescent="0.25">
      <c r="A278" s="8" t="s">
        <v>705</v>
      </c>
      <c r="B278" s="9"/>
      <c r="C278" s="9"/>
      <c r="D278" s="8"/>
      <c r="E278" s="8"/>
      <c r="F278" s="8" t="s">
        <v>22</v>
      </c>
      <c r="G278" s="10" t="s">
        <v>706</v>
      </c>
      <c r="H278" s="8" t="s">
        <v>707</v>
      </c>
      <c r="I278" s="10" t="s">
        <v>706</v>
      </c>
      <c r="J278" s="11" t="s">
        <v>33</v>
      </c>
      <c r="K278" s="18">
        <v>10000</v>
      </c>
      <c r="L278" s="12">
        <f t="shared" si="35"/>
        <v>14300</v>
      </c>
      <c r="M278" s="8">
        <v>1</v>
      </c>
      <c r="N278" s="8" t="s">
        <v>27</v>
      </c>
      <c r="O278" s="13"/>
      <c r="P278" s="14">
        <v>0.2</v>
      </c>
      <c r="Q278" s="15">
        <v>0.3</v>
      </c>
      <c r="R278" s="16" t="str">
        <f t="shared" si="32"/>
        <v>AVE</v>
      </c>
      <c r="S278" s="17"/>
      <c r="T278" s="10" t="str">
        <f t="shared" si="34"/>
        <v>TAPA CIEGA BLANCA</v>
      </c>
    </row>
    <row r="279" spans="1:20" ht="27" customHeight="1" x14ac:dyDescent="0.25">
      <c r="A279" s="8" t="s">
        <v>705</v>
      </c>
      <c r="B279" s="9"/>
      <c r="C279" s="9"/>
      <c r="D279" s="8"/>
      <c r="E279" s="8"/>
      <c r="F279" s="8" t="s">
        <v>22</v>
      </c>
      <c r="G279" s="10" t="s">
        <v>708</v>
      </c>
      <c r="H279" s="8" t="s">
        <v>709</v>
      </c>
      <c r="I279" s="10" t="s">
        <v>708</v>
      </c>
      <c r="J279" s="11" t="s">
        <v>33</v>
      </c>
      <c r="K279" s="18">
        <v>11000</v>
      </c>
      <c r="L279" s="12">
        <f t="shared" si="35"/>
        <v>22000</v>
      </c>
      <c r="M279" s="8">
        <v>1</v>
      </c>
      <c r="N279" s="8" t="s">
        <v>27</v>
      </c>
      <c r="O279" s="13" t="s">
        <v>588</v>
      </c>
      <c r="P279" s="14">
        <v>0</v>
      </c>
      <c r="Q279" s="15">
        <v>0.5</v>
      </c>
      <c r="R279" s="16" t="str">
        <f t="shared" si="32"/>
        <v>AVE</v>
      </c>
      <c r="S279" s="17"/>
      <c r="T279" s="10" t="str">
        <f t="shared" si="34"/>
        <v>TIMBRE TIPO DING DONG</v>
      </c>
    </row>
    <row r="280" spans="1:20" ht="27" customHeight="1" x14ac:dyDescent="0.25">
      <c r="A280" s="8" t="s">
        <v>710</v>
      </c>
      <c r="B280" s="9" t="s">
        <v>711</v>
      </c>
      <c r="C280" s="9" t="s">
        <v>536</v>
      </c>
      <c r="D280" s="8" t="s">
        <v>712</v>
      </c>
      <c r="E280" s="8">
        <v>1</v>
      </c>
      <c r="F280" s="8" t="s">
        <v>22</v>
      </c>
      <c r="G280" s="10" t="s">
        <v>713</v>
      </c>
      <c r="H280" s="8" t="s">
        <v>714</v>
      </c>
      <c r="I280" s="10" t="s">
        <v>713</v>
      </c>
      <c r="J280" s="11" t="s">
        <v>26</v>
      </c>
      <c r="K280" s="18">
        <v>566</v>
      </c>
      <c r="L280" s="12">
        <f t="shared" si="35"/>
        <v>1132</v>
      </c>
      <c r="M280" s="8">
        <v>1</v>
      </c>
      <c r="N280" s="8" t="s">
        <v>27</v>
      </c>
      <c r="O280" s="13"/>
      <c r="P280" s="14">
        <v>0.2</v>
      </c>
      <c r="Q280" s="15">
        <v>0.4</v>
      </c>
      <c r="R280" s="16" t="str">
        <f t="shared" si="32"/>
        <v>AXIS</v>
      </c>
      <c r="S280" s="17"/>
      <c r="T280" s="10" t="str">
        <f t="shared" si="34"/>
        <v>PROTECTOR PARA EXTERIORES CON ANTENA, COMPATIBLE PARA CÁMARAS TIPO 211W.</v>
      </c>
    </row>
    <row r="281" spans="1:20" ht="27" customHeight="1" x14ac:dyDescent="0.25">
      <c r="A281" s="8" t="s">
        <v>710</v>
      </c>
      <c r="B281" s="9" t="s">
        <v>711</v>
      </c>
      <c r="C281" s="9" t="s">
        <v>536</v>
      </c>
      <c r="D281" s="8" t="s">
        <v>712</v>
      </c>
      <c r="E281" s="8">
        <v>1</v>
      </c>
      <c r="F281" s="8" t="s">
        <v>22</v>
      </c>
      <c r="G281" s="10" t="s">
        <v>538</v>
      </c>
      <c r="H281" s="8" t="s">
        <v>714</v>
      </c>
      <c r="I281" s="10" t="s">
        <v>542</v>
      </c>
      <c r="J281" s="11" t="s">
        <v>26</v>
      </c>
      <c r="K281" s="18">
        <v>726</v>
      </c>
      <c r="L281" s="12">
        <f t="shared" si="35"/>
        <v>1452</v>
      </c>
      <c r="M281" s="8">
        <v>1</v>
      </c>
      <c r="N281" s="8" t="s">
        <v>27</v>
      </c>
      <c r="O281" s="13"/>
      <c r="P281" s="14">
        <v>0.2</v>
      </c>
      <c r="Q281" s="15">
        <v>0.4</v>
      </c>
      <c r="R281" s="16" t="str">
        <f t="shared" si="32"/>
        <v>AXIS</v>
      </c>
      <c r="S281" s="17"/>
      <c r="T281" s="10" t="str">
        <f t="shared" si="34"/>
        <v>SISTEMA DE ALTAVOCES 5.1 DE ALTA FIDELIDAD ULTRA COMPACTO.</v>
      </c>
    </row>
    <row r="282" spans="1:20" ht="27" customHeight="1" x14ac:dyDescent="0.25">
      <c r="A282" s="8" t="s">
        <v>715</v>
      </c>
      <c r="B282" s="9"/>
      <c r="C282" s="9"/>
      <c r="D282" s="8"/>
      <c r="E282" s="8"/>
      <c r="F282" s="8" t="s">
        <v>22</v>
      </c>
      <c r="G282" s="10" t="s">
        <v>716</v>
      </c>
      <c r="H282" s="8" t="s">
        <v>717</v>
      </c>
      <c r="I282" s="10" t="s">
        <v>716</v>
      </c>
      <c r="J282" s="11" t="s">
        <v>33</v>
      </c>
      <c r="K282" s="18">
        <v>110000</v>
      </c>
      <c r="L282" s="12">
        <f t="shared" si="35"/>
        <v>157200</v>
      </c>
      <c r="M282" s="8">
        <v>1</v>
      </c>
      <c r="N282" s="8" t="s">
        <v>27</v>
      </c>
      <c r="O282" s="13"/>
      <c r="P282" s="14">
        <v>0.2</v>
      </c>
      <c r="Q282" s="15">
        <v>0.3</v>
      </c>
      <c r="R282" s="16" t="str">
        <f t="shared" si="32"/>
        <v>AZ</v>
      </c>
      <c r="S282" s="17"/>
      <c r="T282" s="10" t="str">
        <f t="shared" si="34"/>
        <v>ELECTRO IMÁN DE 350 LIBRAS</v>
      </c>
    </row>
    <row r="283" spans="1:20" ht="27" customHeight="1" x14ac:dyDescent="0.25">
      <c r="A283" s="8" t="s">
        <v>718</v>
      </c>
      <c r="B283" s="9"/>
      <c r="C283" s="9"/>
      <c r="D283" s="8"/>
      <c r="E283" s="8"/>
      <c r="F283" s="8"/>
      <c r="G283" s="10"/>
      <c r="H283" s="8" t="s">
        <v>719</v>
      </c>
      <c r="I283" s="10" t="s">
        <v>720</v>
      </c>
      <c r="J283" s="11" t="s">
        <v>26</v>
      </c>
      <c r="K283" s="18">
        <v>93</v>
      </c>
      <c r="L283" s="12">
        <f>ROUNDUP(K283*(1+P283)/(1-Q283),0)</f>
        <v>155</v>
      </c>
      <c r="M283" s="8">
        <v>1</v>
      </c>
      <c r="N283" s="8" t="s">
        <v>27</v>
      </c>
      <c r="O283" s="13"/>
      <c r="P283" s="14">
        <v>0</v>
      </c>
      <c r="Q283" s="15">
        <v>0.4</v>
      </c>
      <c r="R283" s="16" t="str">
        <f t="shared" si="32"/>
        <v>AZIMON</v>
      </c>
      <c r="S283" s="17"/>
      <c r="T283" s="10"/>
    </row>
    <row r="284" spans="1:20" ht="27" customHeight="1" x14ac:dyDescent="0.25">
      <c r="A284" s="8" t="s">
        <v>721</v>
      </c>
      <c r="B284" s="9"/>
      <c r="C284" s="9"/>
      <c r="D284" s="8"/>
      <c r="E284" s="8"/>
      <c r="F284" s="8" t="s">
        <v>22</v>
      </c>
      <c r="G284" s="10" t="s">
        <v>722</v>
      </c>
      <c r="H284" s="8" t="s">
        <v>721</v>
      </c>
      <c r="I284" s="10" t="s">
        <v>722</v>
      </c>
      <c r="J284" s="11" t="s">
        <v>33</v>
      </c>
      <c r="K284" s="18">
        <v>93000</v>
      </c>
      <c r="L284" s="12">
        <f>IF(J284="P",ROUNDUP(K284/(1-Q284),-2),K284*(1+P284)/(1-Q284))</f>
        <v>132900</v>
      </c>
      <c r="M284" s="8">
        <v>1</v>
      </c>
      <c r="N284" s="8" t="s">
        <v>27</v>
      </c>
      <c r="O284" s="13"/>
      <c r="P284" s="14">
        <v>0.2</v>
      </c>
      <c r="Q284" s="15">
        <v>0.3</v>
      </c>
      <c r="R284" s="16" t="str">
        <f t="shared" si="32"/>
        <v>B_10</v>
      </c>
      <c r="S284" s="17"/>
      <c r="T284" s="10" t="str">
        <f t="shared" ref="T284:T292" si="36">G284</f>
        <v>EXTRACTOR ULTRA SILENCIOSO</v>
      </c>
    </row>
    <row r="285" spans="1:20" ht="27" customHeight="1" x14ac:dyDescent="0.25">
      <c r="A285" s="8" t="s">
        <v>723</v>
      </c>
      <c r="B285" s="9"/>
      <c r="C285" s="9"/>
      <c r="D285" s="8"/>
      <c r="E285" s="8"/>
      <c r="F285" s="8" t="s">
        <v>22</v>
      </c>
      <c r="G285" s="10" t="s">
        <v>724</v>
      </c>
      <c r="H285" s="8" t="s">
        <v>725</v>
      </c>
      <c r="I285" s="10" t="s">
        <v>724</v>
      </c>
      <c r="J285" s="11" t="s">
        <v>26</v>
      </c>
      <c r="K285" s="18">
        <v>1750</v>
      </c>
      <c r="L285" s="12">
        <f>IF(J285="P",ROUNDUP(K285/(1-Q285),-2),K285*(1+P285)/(1-Q285))</f>
        <v>3000</v>
      </c>
      <c r="M285" s="8">
        <v>1</v>
      </c>
      <c r="N285" s="8" t="s">
        <v>27</v>
      </c>
      <c r="O285" s="13"/>
      <c r="P285" s="14">
        <v>0.2</v>
      </c>
      <c r="Q285" s="15">
        <v>0.3</v>
      </c>
      <c r="R285" s="16" t="str">
        <f t="shared" si="32"/>
        <v>BARCO</v>
      </c>
      <c r="S285" s="17"/>
      <c r="T285" s="10" t="str">
        <f t="shared" si="36"/>
        <v>MATRIZ DE VIDEO HD CON 4 BOTONERAS DE SELECCIÓN, Y FUNCIÓN MULTIPANTALLA.</v>
      </c>
    </row>
    <row r="286" spans="1:20" ht="27" customHeight="1" x14ac:dyDescent="0.25">
      <c r="A286" s="8" t="s">
        <v>723</v>
      </c>
      <c r="B286" s="9"/>
      <c r="C286" s="9"/>
      <c r="D286" s="8"/>
      <c r="E286" s="8"/>
      <c r="F286" s="8" t="s">
        <v>22</v>
      </c>
      <c r="G286" s="10" t="s">
        <v>726</v>
      </c>
      <c r="H286" s="8" t="s">
        <v>727</v>
      </c>
      <c r="I286" s="10" t="s">
        <v>726</v>
      </c>
      <c r="J286" s="11" t="s">
        <v>26</v>
      </c>
      <c r="K286" s="18">
        <v>1350</v>
      </c>
      <c r="L286" s="12">
        <f>IF(J286="P",ROUNDUP(K286/(1-Q286),-2),K286*(1+P286)/(1-Q286))</f>
        <v>2076.9230769230767</v>
      </c>
      <c r="M286" s="8">
        <v>1</v>
      </c>
      <c r="N286" s="8" t="s">
        <v>27</v>
      </c>
      <c r="O286" s="13"/>
      <c r="P286" s="14">
        <v>0</v>
      </c>
      <c r="Q286" s="15">
        <v>0.35</v>
      </c>
      <c r="R286" s="16" t="str">
        <f t="shared" si="32"/>
        <v>BARCO</v>
      </c>
      <c r="S286" s="17"/>
      <c r="T286" s="10" t="str">
        <f t="shared" si="36"/>
        <v>MATRIZ DE VIDEO HD CON 2 BOTONERAS DE SELECCIÓN, Y FUNCIÓN MULTIPANTALLA.</v>
      </c>
    </row>
    <row r="287" spans="1:20" ht="27" customHeight="1" x14ac:dyDescent="0.25">
      <c r="A287" s="8" t="s">
        <v>723</v>
      </c>
      <c r="B287" s="9"/>
      <c r="C287" s="9"/>
      <c r="D287" s="8"/>
      <c r="E287" s="8"/>
      <c r="F287" s="8" t="s">
        <v>22</v>
      </c>
      <c r="G287" s="10" t="s">
        <v>728</v>
      </c>
      <c r="H287" s="8" t="s">
        <v>729</v>
      </c>
      <c r="I287" s="10" t="s">
        <v>728</v>
      </c>
      <c r="J287" s="11" t="s">
        <v>26</v>
      </c>
      <c r="K287" s="18">
        <v>1056</v>
      </c>
      <c r="L287" s="12">
        <f>IF(J287="P",ROUNDUP(K287/(1-Q287),-2),K287*(1+P287)/(1-Q287))</f>
        <v>1624.6153846153845</v>
      </c>
      <c r="M287" s="8">
        <v>1</v>
      </c>
      <c r="N287" s="8" t="s">
        <v>27</v>
      </c>
      <c r="O287" s="13"/>
      <c r="P287" s="14">
        <v>0</v>
      </c>
      <c r="Q287" s="15">
        <v>0.35</v>
      </c>
      <c r="R287" s="16" t="str">
        <f t="shared" si="32"/>
        <v>BARCO</v>
      </c>
      <c r="S287" s="17"/>
      <c r="T287" s="10" t="str">
        <f t="shared" si="36"/>
        <v>SISTEMA DE PRESENTACIÓN DE MATRIZ INALÁMBRICA PARA UN USUARIO.</v>
      </c>
    </row>
    <row r="288" spans="1:20" ht="27" customHeight="1" x14ac:dyDescent="0.25">
      <c r="A288" s="8" t="s">
        <v>723</v>
      </c>
      <c r="B288" s="9" t="s">
        <v>730</v>
      </c>
      <c r="C288" s="9"/>
      <c r="D288" s="8"/>
      <c r="E288" s="8">
        <v>1</v>
      </c>
      <c r="F288" s="8" t="s">
        <v>22</v>
      </c>
      <c r="G288" s="10" t="s">
        <v>731</v>
      </c>
      <c r="H288" s="8" t="s">
        <v>727</v>
      </c>
      <c r="I288" s="10" t="s">
        <v>731</v>
      </c>
      <c r="J288" s="11" t="s">
        <v>26</v>
      </c>
      <c r="K288" s="18">
        <v>1550</v>
      </c>
      <c r="L288" s="12">
        <f>IF(J288="P",ROUNDUP(K288/(1-Q288),-2),K288*(1+P288)/(1-Q288))</f>
        <v>2952.3809523809523</v>
      </c>
      <c r="M288" s="8">
        <v>1</v>
      </c>
      <c r="N288" s="8"/>
      <c r="O288" s="13"/>
      <c r="P288" s="14">
        <v>0.2</v>
      </c>
      <c r="Q288" s="15">
        <v>0.37</v>
      </c>
      <c r="R288" s="16" t="str">
        <f t="shared" si="32"/>
        <v>BARCO</v>
      </c>
      <c r="S288" s="17"/>
      <c r="T288" s="10" t="str">
        <f t="shared" si="36"/>
        <v>PRESENTADOS WIRELESS EN SIMULTANEA CON SALIDA HDMI.</v>
      </c>
    </row>
    <row r="289" spans="1:20" ht="27" customHeight="1" x14ac:dyDescent="0.25">
      <c r="A289" s="8" t="s">
        <v>723</v>
      </c>
      <c r="B289" s="9"/>
      <c r="C289" s="9"/>
      <c r="D289" s="8" t="s">
        <v>45</v>
      </c>
      <c r="E289" s="8"/>
      <c r="F289" s="8" t="s">
        <v>22</v>
      </c>
      <c r="G289" s="10" t="s">
        <v>732</v>
      </c>
      <c r="H289" s="8" t="s">
        <v>733</v>
      </c>
      <c r="I289" s="10" t="s">
        <v>732</v>
      </c>
      <c r="J289" s="11" t="s">
        <v>26</v>
      </c>
      <c r="K289" s="18">
        <v>215</v>
      </c>
      <c r="L289" s="12">
        <f>ROUNDUP(K289*(1+P289)/(1-Q289),0)</f>
        <v>308</v>
      </c>
      <c r="M289" s="8">
        <v>1</v>
      </c>
      <c r="N289" s="8" t="s">
        <v>27</v>
      </c>
      <c r="O289" s="13"/>
      <c r="P289" s="14">
        <v>0</v>
      </c>
      <c r="Q289" s="15">
        <v>0.3</v>
      </c>
      <c r="R289" s="16" t="str">
        <f t="shared" si="32"/>
        <v>BARCO</v>
      </c>
      <c r="S289" s="17"/>
      <c r="T289" s="10" t="str">
        <f t="shared" si="36"/>
        <v>BOTONERA DE CONEXIÓN A SISTEMA CLICK SHARE</v>
      </c>
    </row>
    <row r="290" spans="1:20" ht="27" customHeight="1" x14ac:dyDescent="0.25">
      <c r="A290" s="8" t="s">
        <v>723</v>
      </c>
      <c r="B290" s="9"/>
      <c r="C290" s="9"/>
      <c r="D290" s="8" t="s">
        <v>45</v>
      </c>
      <c r="E290" s="8"/>
      <c r="F290" s="8" t="s">
        <v>22</v>
      </c>
      <c r="G290" s="10" t="s">
        <v>734</v>
      </c>
      <c r="H290" s="8" t="s">
        <v>735</v>
      </c>
      <c r="I290" s="10" t="s">
        <v>734</v>
      </c>
      <c r="J290" s="11" t="s">
        <v>26</v>
      </c>
      <c r="K290" s="18">
        <v>110</v>
      </c>
      <c r="L290" s="12">
        <f>ROUNDUP(K290*(1+P290)/(1-Q290),0)</f>
        <v>158</v>
      </c>
      <c r="M290" s="8">
        <v>1</v>
      </c>
      <c r="N290" s="8" t="s">
        <v>27</v>
      </c>
      <c r="O290" s="13"/>
      <c r="P290" s="14">
        <v>0</v>
      </c>
      <c r="Q290" s="15">
        <v>0.3</v>
      </c>
      <c r="R290" s="16" t="str">
        <f t="shared" si="32"/>
        <v>BARCO</v>
      </c>
      <c r="S290" s="17"/>
      <c r="T290" s="10" t="str">
        <f t="shared" si="36"/>
        <v>BASE DE CONEXIÓN PARA BOTONERAS CLICK SHARE</v>
      </c>
    </row>
    <row r="291" spans="1:20" ht="27" customHeight="1" x14ac:dyDescent="0.25">
      <c r="A291" s="8" t="s">
        <v>736</v>
      </c>
      <c r="B291" s="9"/>
      <c r="C291" s="9"/>
      <c r="D291" s="8"/>
      <c r="E291" s="8"/>
      <c r="F291" s="8" t="s">
        <v>22</v>
      </c>
      <c r="G291" s="10" t="s">
        <v>737</v>
      </c>
      <c r="H291" s="8" t="s">
        <v>738</v>
      </c>
      <c r="I291" s="10" t="s">
        <v>737</v>
      </c>
      <c r="J291" s="11" t="s">
        <v>33</v>
      </c>
      <c r="K291" s="18">
        <v>1000000</v>
      </c>
      <c r="L291" s="12">
        <f>IF(J291="P",ROUNDUP(K291/(1-Q291),-2),K291*(1+P291)/(1-Q291))</f>
        <v>1666700</v>
      </c>
      <c r="M291" s="8">
        <v>1</v>
      </c>
      <c r="N291" s="8" t="s">
        <v>27</v>
      </c>
      <c r="O291" s="13"/>
      <c r="P291" s="14">
        <v>0.2</v>
      </c>
      <c r="Q291" s="15">
        <v>0.4</v>
      </c>
      <c r="R291" s="16" t="str">
        <f t="shared" si="32"/>
        <v>BARRISOL</v>
      </c>
      <c r="S291" s="17"/>
      <c r="T291" s="10" t="str">
        <f t="shared" si="36"/>
        <v>SECCIÓN DE BARRISOL RECTANGULAR DE 9.65Mx3M. MIRAR ESPECIFICACIÓN TÉCNICA.</v>
      </c>
    </row>
    <row r="292" spans="1:20" ht="27" customHeight="1" x14ac:dyDescent="0.25">
      <c r="A292" s="8" t="s">
        <v>736</v>
      </c>
      <c r="B292" s="9"/>
      <c r="C292" s="9"/>
      <c r="D292" s="8"/>
      <c r="E292" s="8"/>
      <c r="F292" s="8" t="s">
        <v>22</v>
      </c>
      <c r="G292" s="10" t="s">
        <v>739</v>
      </c>
      <c r="H292" s="8" t="s">
        <v>740</v>
      </c>
      <c r="I292" s="10" t="s">
        <v>739</v>
      </c>
      <c r="J292" s="11" t="s">
        <v>33</v>
      </c>
      <c r="K292" s="18">
        <v>18000</v>
      </c>
      <c r="L292" s="12">
        <f>IF(J292="P",ROUNDUP(K292/(1-Q292),-2),K292*(1+P292)/(1-Q292))</f>
        <v>30000</v>
      </c>
      <c r="M292" s="8">
        <v>1</v>
      </c>
      <c r="N292" s="8" t="s">
        <v>27</v>
      </c>
      <c r="O292" s="13"/>
      <c r="P292" s="14">
        <v>0.2</v>
      </c>
      <c r="Q292" s="15">
        <v>0.4</v>
      </c>
      <c r="R292" s="16" t="str">
        <f t="shared" si="32"/>
        <v>BARRISOL</v>
      </c>
      <c r="S292" s="17"/>
      <c r="T292" s="10" t="str">
        <f t="shared" si="36"/>
        <v>METRO LINEAL DE SOPORTE PARA BARRISOL</v>
      </c>
    </row>
    <row r="293" spans="1:20" ht="27" customHeight="1" x14ac:dyDescent="0.25">
      <c r="A293" s="8" t="s">
        <v>741</v>
      </c>
      <c r="B293" s="9"/>
      <c r="C293" s="9"/>
      <c r="D293" s="8"/>
      <c r="E293" s="8"/>
      <c r="F293" s="8"/>
      <c r="G293" s="10"/>
      <c r="H293" s="8" t="s">
        <v>742</v>
      </c>
      <c r="I293" s="10" t="s">
        <v>743</v>
      </c>
      <c r="J293" s="11" t="s">
        <v>26</v>
      </c>
      <c r="K293" s="18">
        <v>311</v>
      </c>
      <c r="L293" s="12">
        <f t="shared" ref="L293:L298" si="37">K293*(1+P293)/(1-Q293)</f>
        <v>449.63855421686748</v>
      </c>
      <c r="M293" s="8">
        <v>1</v>
      </c>
      <c r="N293" s="8" t="s">
        <v>27</v>
      </c>
      <c r="O293" s="13"/>
      <c r="P293" s="14">
        <v>0.2</v>
      </c>
      <c r="Q293" s="15">
        <v>0.17</v>
      </c>
      <c r="R293" s="16" t="str">
        <f t="shared" si="32"/>
        <v>BASALTE</v>
      </c>
      <c r="S293" s="17"/>
      <c r="T293" s="10"/>
    </row>
    <row r="294" spans="1:20" ht="27" customHeight="1" x14ac:dyDescent="0.25">
      <c r="A294" s="8" t="s">
        <v>741</v>
      </c>
      <c r="B294" s="9"/>
      <c r="C294" s="9"/>
      <c r="D294" s="8"/>
      <c r="E294" s="8"/>
      <c r="F294" s="8"/>
      <c r="G294" s="10"/>
      <c r="H294" s="8" t="s">
        <v>744</v>
      </c>
      <c r="I294" s="10" t="s">
        <v>745</v>
      </c>
      <c r="J294" s="11" t="s">
        <v>26</v>
      </c>
      <c r="K294" s="18">
        <v>112</v>
      </c>
      <c r="L294" s="12">
        <f t="shared" si="37"/>
        <v>161.92771084337352</v>
      </c>
      <c r="M294" s="8">
        <v>1</v>
      </c>
      <c r="N294" s="8" t="s">
        <v>27</v>
      </c>
      <c r="O294" s="13"/>
      <c r="P294" s="14">
        <v>0.2</v>
      </c>
      <c r="Q294" s="15">
        <v>0.17</v>
      </c>
      <c r="R294" s="16" t="str">
        <f t="shared" si="32"/>
        <v>BASALTE</v>
      </c>
      <c r="S294" s="17"/>
      <c r="T294" s="10"/>
    </row>
    <row r="295" spans="1:20" ht="27" customHeight="1" x14ac:dyDescent="0.25">
      <c r="A295" s="8" t="s">
        <v>741</v>
      </c>
      <c r="B295" s="9"/>
      <c r="C295" s="9"/>
      <c r="D295" s="8"/>
      <c r="E295" s="8"/>
      <c r="F295" s="8"/>
      <c r="G295" s="10"/>
      <c r="H295" s="8" t="s">
        <v>746</v>
      </c>
      <c r="I295" s="10" t="s">
        <v>747</v>
      </c>
      <c r="J295" s="11" t="s">
        <v>26</v>
      </c>
      <c r="K295" s="18">
        <v>322</v>
      </c>
      <c r="L295" s="12">
        <f t="shared" si="37"/>
        <v>465.54216867469881</v>
      </c>
      <c r="M295" s="8">
        <v>1</v>
      </c>
      <c r="N295" s="8" t="s">
        <v>27</v>
      </c>
      <c r="O295" s="13"/>
      <c r="P295" s="14">
        <v>0.2</v>
      </c>
      <c r="Q295" s="15">
        <v>0.17</v>
      </c>
      <c r="R295" s="16" t="str">
        <f t="shared" si="32"/>
        <v>BASALTE</v>
      </c>
      <c r="S295" s="17"/>
      <c r="T295" s="10"/>
    </row>
    <row r="296" spans="1:20" ht="27" customHeight="1" x14ac:dyDescent="0.25">
      <c r="A296" s="8" t="s">
        <v>741</v>
      </c>
      <c r="B296" s="9"/>
      <c r="C296" s="9"/>
      <c r="D296" s="8"/>
      <c r="E296" s="8"/>
      <c r="F296" s="8"/>
      <c r="G296" s="10"/>
      <c r="H296" s="8" t="s">
        <v>748</v>
      </c>
      <c r="I296" s="10" t="s">
        <v>749</v>
      </c>
      <c r="J296" s="11" t="s">
        <v>26</v>
      </c>
      <c r="K296" s="18">
        <v>500</v>
      </c>
      <c r="L296" s="12">
        <f t="shared" si="37"/>
        <v>722.89156626506031</v>
      </c>
      <c r="M296" s="8">
        <v>1</v>
      </c>
      <c r="N296" s="8" t="s">
        <v>27</v>
      </c>
      <c r="O296" s="13"/>
      <c r="P296" s="14">
        <v>0.2</v>
      </c>
      <c r="Q296" s="15">
        <v>0.17</v>
      </c>
      <c r="R296" s="16" t="str">
        <f t="shared" si="32"/>
        <v>BASALTE</v>
      </c>
      <c r="S296" s="17"/>
      <c r="T296" s="10"/>
    </row>
    <row r="297" spans="1:20" ht="27" customHeight="1" x14ac:dyDescent="0.25">
      <c r="A297" s="8" t="s">
        <v>741</v>
      </c>
      <c r="B297" s="9"/>
      <c r="C297" s="9"/>
      <c r="D297" s="8"/>
      <c r="E297" s="8"/>
      <c r="F297" s="8"/>
      <c r="G297" s="10"/>
      <c r="H297" s="8" t="s">
        <v>750</v>
      </c>
      <c r="I297" s="10" t="s">
        <v>751</v>
      </c>
      <c r="J297" s="11" t="s">
        <v>26</v>
      </c>
      <c r="K297" s="18">
        <v>268</v>
      </c>
      <c r="L297" s="12">
        <f t="shared" si="37"/>
        <v>412.30769230769226</v>
      </c>
      <c r="M297" s="8">
        <v>1</v>
      </c>
      <c r="N297" s="8" t="s">
        <v>27</v>
      </c>
      <c r="O297" s="13"/>
      <c r="P297" s="14">
        <v>0.2</v>
      </c>
      <c r="Q297" s="15">
        <v>0.22</v>
      </c>
      <c r="R297" s="16" t="str">
        <f t="shared" si="32"/>
        <v>BASALTE</v>
      </c>
      <c r="S297" s="17"/>
      <c r="T297" s="10"/>
    </row>
    <row r="298" spans="1:20" ht="27" customHeight="1" x14ac:dyDescent="0.25">
      <c r="A298" s="8" t="s">
        <v>741</v>
      </c>
      <c r="B298" s="9"/>
      <c r="C298" s="9"/>
      <c r="D298" s="8"/>
      <c r="E298" s="8"/>
      <c r="F298" s="8"/>
      <c r="G298" s="10"/>
      <c r="H298" s="8" t="s">
        <v>752</v>
      </c>
      <c r="I298" s="10" t="s">
        <v>753</v>
      </c>
      <c r="J298" s="11" t="s">
        <v>26</v>
      </c>
      <c r="K298" s="18">
        <v>246</v>
      </c>
      <c r="L298" s="12">
        <f t="shared" si="37"/>
        <v>378.46153846153845</v>
      </c>
      <c r="M298" s="8">
        <v>1</v>
      </c>
      <c r="N298" s="8" t="s">
        <v>27</v>
      </c>
      <c r="O298" s="13"/>
      <c r="P298" s="14">
        <v>0.2</v>
      </c>
      <c r="Q298" s="15">
        <v>0.22</v>
      </c>
      <c r="R298" s="16" t="str">
        <f t="shared" si="32"/>
        <v>BASALTE</v>
      </c>
      <c r="S298" s="17"/>
      <c r="T298" s="10"/>
    </row>
    <row r="299" spans="1:20" ht="27" customHeight="1" x14ac:dyDescent="0.25">
      <c r="A299" s="8" t="s">
        <v>754</v>
      </c>
      <c r="B299" s="9"/>
      <c r="C299" s="9"/>
      <c r="D299" s="8"/>
      <c r="E299" s="8"/>
      <c r="F299" s="8"/>
      <c r="G299" s="10"/>
      <c r="H299" s="8" t="s">
        <v>755</v>
      </c>
      <c r="I299" s="10" t="s">
        <v>756</v>
      </c>
      <c r="J299" s="11" t="s">
        <v>26</v>
      </c>
      <c r="K299" s="18">
        <v>119</v>
      </c>
      <c r="L299" s="12">
        <f t="shared" ref="L299:L312" si="38">IF(J299="P",ROUNDUP(K299/(1-Q299),-2),K299*(1+P299)/(1-Q299))</f>
        <v>170</v>
      </c>
      <c r="M299" s="8">
        <v>1</v>
      </c>
      <c r="N299" s="8" t="s">
        <v>27</v>
      </c>
      <c r="O299" s="13">
        <f>F299</f>
        <v>0</v>
      </c>
      <c r="P299" s="14">
        <v>0</v>
      </c>
      <c r="Q299" s="15">
        <v>0.3</v>
      </c>
      <c r="R299" s="16" t="str">
        <f t="shared" si="32"/>
        <v>BASEWISH</v>
      </c>
      <c r="S299" s="17" t="s">
        <v>757</v>
      </c>
      <c r="T299" s="10"/>
    </row>
    <row r="300" spans="1:20" ht="27" customHeight="1" x14ac:dyDescent="0.25">
      <c r="A300" s="8" t="s">
        <v>758</v>
      </c>
      <c r="B300" s="9"/>
      <c r="C300" s="9"/>
      <c r="D300" s="8"/>
      <c r="E300" s="8"/>
      <c r="F300" s="8" t="s">
        <v>22</v>
      </c>
      <c r="G300" s="10" t="s">
        <v>759</v>
      </c>
      <c r="H300" s="8" t="s">
        <v>760</v>
      </c>
      <c r="I300" s="10" t="s">
        <v>759</v>
      </c>
      <c r="J300" s="11" t="s">
        <v>33</v>
      </c>
      <c r="K300" s="18">
        <v>50000</v>
      </c>
      <c r="L300" s="12">
        <f t="shared" si="38"/>
        <v>71500</v>
      </c>
      <c r="M300" s="8">
        <v>1</v>
      </c>
      <c r="N300" s="8" t="s">
        <v>27</v>
      </c>
      <c r="O300" s="13"/>
      <c r="P300" s="14">
        <v>0.2</v>
      </c>
      <c r="Q300" s="15">
        <v>0.3</v>
      </c>
      <c r="R300" s="16" t="str">
        <f t="shared" si="32"/>
        <v>BAT</v>
      </c>
      <c r="S300" s="17"/>
      <c r="T300" s="10" t="str">
        <f>G300</f>
        <v>BATERÍA DE 12V, 1 AMPERIO.</v>
      </c>
    </row>
    <row r="301" spans="1:20" ht="27" customHeight="1" x14ac:dyDescent="0.25">
      <c r="A301" s="8" t="s">
        <v>761</v>
      </c>
      <c r="B301" s="9"/>
      <c r="C301" s="9"/>
      <c r="D301" s="8"/>
      <c r="E301" s="8"/>
      <c r="F301" s="8" t="s">
        <v>22</v>
      </c>
      <c r="G301" s="10" t="s">
        <v>762</v>
      </c>
      <c r="H301" s="8" t="s">
        <v>763</v>
      </c>
      <c r="I301" s="10" t="s">
        <v>762</v>
      </c>
      <c r="J301" s="11" t="s">
        <v>33</v>
      </c>
      <c r="K301" s="18">
        <v>891870</v>
      </c>
      <c r="L301" s="12">
        <f t="shared" si="38"/>
        <v>1486500</v>
      </c>
      <c r="M301" s="8">
        <v>1</v>
      </c>
      <c r="N301" s="8" t="s">
        <v>27</v>
      </c>
      <c r="O301" s="13"/>
      <c r="P301" s="14">
        <v>0.2</v>
      </c>
      <c r="Q301" s="15">
        <v>0.4</v>
      </c>
      <c r="R301" s="16" t="str">
        <f t="shared" si="32"/>
        <v>BEELINK</v>
      </c>
      <c r="S301" s="17"/>
      <c r="T301" s="10" t="str">
        <f>G301</f>
        <v>MINI PC DE  2M, 2GB, SALIDA HDMI.</v>
      </c>
    </row>
    <row r="302" spans="1:20" ht="27" customHeight="1" x14ac:dyDescent="0.25">
      <c r="A302" s="8" t="s">
        <v>764</v>
      </c>
      <c r="B302" s="9"/>
      <c r="C302" s="9"/>
      <c r="D302" s="8"/>
      <c r="E302" s="8"/>
      <c r="F302" s="8" t="s">
        <v>22</v>
      </c>
      <c r="G302" s="10" t="s">
        <v>765</v>
      </c>
      <c r="H302" s="8" t="s">
        <v>766</v>
      </c>
      <c r="I302" s="10" t="s">
        <v>765</v>
      </c>
      <c r="J302" s="11" t="s">
        <v>26</v>
      </c>
      <c r="K302" s="18">
        <v>40</v>
      </c>
      <c r="L302" s="12">
        <f t="shared" si="38"/>
        <v>68.571428571428569</v>
      </c>
      <c r="M302" s="8">
        <v>1</v>
      </c>
      <c r="N302" s="8" t="s">
        <v>27</v>
      </c>
      <c r="O302" s="13"/>
      <c r="P302" s="14">
        <v>0.2</v>
      </c>
      <c r="Q302" s="15">
        <v>0.3</v>
      </c>
      <c r="R302" s="16" t="str">
        <f t="shared" si="32"/>
        <v>BEHRINGER</v>
      </c>
      <c r="S302" s="17"/>
      <c r="T302" s="10" t="str">
        <f>G302</f>
        <v>MEZCLADOR DE 5 CANALES PARA SEÑALES DE MICRÓFONO Y ESTÉREO DESBALANCEADAS.</v>
      </c>
    </row>
    <row r="303" spans="1:20" ht="27" customHeight="1" x14ac:dyDescent="0.25">
      <c r="A303" s="8" t="s">
        <v>764</v>
      </c>
      <c r="B303" s="9"/>
      <c r="C303" s="9"/>
      <c r="D303" s="8"/>
      <c r="E303" s="8"/>
      <c r="F303" s="8" t="s">
        <v>22</v>
      </c>
      <c r="G303" s="10" t="s">
        <v>767</v>
      </c>
      <c r="H303" s="8" t="s">
        <v>768</v>
      </c>
      <c r="I303" s="10" t="s">
        <v>767</v>
      </c>
      <c r="J303" s="11" t="s">
        <v>26</v>
      </c>
      <c r="K303" s="18">
        <v>48</v>
      </c>
      <c r="L303" s="12">
        <f t="shared" si="38"/>
        <v>71.999999999999986</v>
      </c>
      <c r="M303" s="8">
        <v>1</v>
      </c>
      <c r="N303" s="8" t="s">
        <v>27</v>
      </c>
      <c r="O303" s="13"/>
      <c r="P303" s="14">
        <v>0.2</v>
      </c>
      <c r="Q303" s="15">
        <v>0.2</v>
      </c>
      <c r="R303" s="16" t="str">
        <f t="shared" si="32"/>
        <v>BEHRINGER</v>
      </c>
      <c r="S303" s="17"/>
      <c r="T303" s="10" t="str">
        <f>G303</f>
        <v>MEZCLADOR DE 3 CANALES PARA SEÑALES DE MICRÓFONO Y ESTÉREO DESBALANCEADAS.</v>
      </c>
    </row>
    <row r="304" spans="1:20" ht="27" customHeight="1" x14ac:dyDescent="0.25">
      <c r="A304" s="8" t="s">
        <v>764</v>
      </c>
      <c r="B304" s="9"/>
      <c r="C304" s="9"/>
      <c r="D304" s="8"/>
      <c r="E304" s="8"/>
      <c r="F304" s="8"/>
      <c r="G304" s="10"/>
      <c r="H304" s="8" t="s">
        <v>769</v>
      </c>
      <c r="I304" s="10" t="s">
        <v>770</v>
      </c>
      <c r="J304" s="11" t="s">
        <v>33</v>
      </c>
      <c r="K304" s="18">
        <v>1489000</v>
      </c>
      <c r="L304" s="12">
        <f t="shared" si="38"/>
        <v>2127200</v>
      </c>
      <c r="M304" s="8">
        <v>1</v>
      </c>
      <c r="N304" s="8" t="s">
        <v>27</v>
      </c>
      <c r="O304" s="13">
        <f>F304</f>
        <v>0</v>
      </c>
      <c r="P304" s="14">
        <v>0</v>
      </c>
      <c r="Q304" s="15">
        <v>0.3</v>
      </c>
      <c r="R304" s="16" t="str">
        <f t="shared" si="32"/>
        <v>BEHRINGER</v>
      </c>
      <c r="S304" s="17"/>
      <c r="T304" s="10"/>
    </row>
    <row r="305" spans="1:20" ht="27" customHeight="1" x14ac:dyDescent="0.25">
      <c r="A305" s="8" t="s">
        <v>764</v>
      </c>
      <c r="B305" s="9"/>
      <c r="C305" s="9"/>
      <c r="D305" s="8"/>
      <c r="E305" s="8"/>
      <c r="F305" s="8"/>
      <c r="G305" s="10"/>
      <c r="H305" s="8" t="s">
        <v>771</v>
      </c>
      <c r="I305" s="10" t="s">
        <v>772</v>
      </c>
      <c r="J305" s="11" t="s">
        <v>33</v>
      </c>
      <c r="K305" s="18">
        <v>1145000</v>
      </c>
      <c r="L305" s="12">
        <f t="shared" si="38"/>
        <v>1635800</v>
      </c>
      <c r="M305" s="8">
        <v>1</v>
      </c>
      <c r="N305" s="8" t="s">
        <v>27</v>
      </c>
      <c r="O305" s="13">
        <f>F305</f>
        <v>0</v>
      </c>
      <c r="P305" s="14">
        <v>0</v>
      </c>
      <c r="Q305" s="15">
        <v>0.3</v>
      </c>
      <c r="R305" s="16" t="str">
        <f t="shared" si="32"/>
        <v>BEHRINGER</v>
      </c>
      <c r="S305" s="17"/>
      <c r="T305" s="10"/>
    </row>
    <row r="306" spans="1:20" ht="27" customHeight="1" x14ac:dyDescent="0.25">
      <c r="A306" s="8" t="s">
        <v>773</v>
      </c>
      <c r="B306" s="9" t="s">
        <v>774</v>
      </c>
      <c r="C306" s="9"/>
      <c r="D306" s="8" t="s">
        <v>775</v>
      </c>
      <c r="E306" s="8">
        <v>1</v>
      </c>
      <c r="F306" s="8" t="s">
        <v>22</v>
      </c>
      <c r="G306" s="10" t="s">
        <v>776</v>
      </c>
      <c r="H306" s="8" t="s">
        <v>777</v>
      </c>
      <c r="I306" s="10" t="s">
        <v>776</v>
      </c>
      <c r="J306" s="11" t="s">
        <v>26</v>
      </c>
      <c r="K306" s="18">
        <v>40</v>
      </c>
      <c r="L306" s="12">
        <f t="shared" si="38"/>
        <v>80</v>
      </c>
      <c r="M306" s="8">
        <v>1</v>
      </c>
      <c r="N306" s="8" t="s">
        <v>27</v>
      </c>
      <c r="O306" s="13"/>
      <c r="P306" s="14">
        <v>0.2</v>
      </c>
      <c r="Q306" s="15">
        <v>0.4</v>
      </c>
      <c r="R306" s="16" t="str">
        <f t="shared" si="32"/>
        <v>BELKIN</v>
      </c>
      <c r="S306" s="17"/>
      <c r="T306" s="10" t="str">
        <f t="shared" ref="T306:T312" si="39">G306</f>
        <v>RECEPTOR BLUETOOTH PARA CONEXIÓN DE EQUIPO ESTÉREO.</v>
      </c>
    </row>
    <row r="307" spans="1:20" ht="27" customHeight="1" x14ac:dyDescent="0.25">
      <c r="A307" s="8" t="s">
        <v>778</v>
      </c>
      <c r="B307" s="9" t="s">
        <v>683</v>
      </c>
      <c r="C307" s="9"/>
      <c r="D307" s="8" t="s">
        <v>602</v>
      </c>
      <c r="E307" s="8"/>
      <c r="F307" s="8" t="s">
        <v>22</v>
      </c>
      <c r="G307" s="10" t="s">
        <v>779</v>
      </c>
      <c r="H307" s="8" t="s">
        <v>780</v>
      </c>
      <c r="I307" s="10" t="s">
        <v>779</v>
      </c>
      <c r="J307" s="11" t="s">
        <v>26</v>
      </c>
      <c r="K307" s="18">
        <v>4</v>
      </c>
      <c r="L307" s="12">
        <f t="shared" si="38"/>
        <v>5.9999999999999991</v>
      </c>
      <c r="M307" s="8">
        <v>1</v>
      </c>
      <c r="N307" s="8" t="s">
        <v>27</v>
      </c>
      <c r="O307" s="13"/>
      <c r="P307" s="14">
        <v>0.2</v>
      </c>
      <c r="Q307" s="15">
        <v>0.2</v>
      </c>
      <c r="R307" s="16" t="str">
        <f t="shared" si="32"/>
        <v>BELL</v>
      </c>
      <c r="S307" s="17"/>
      <c r="T307" s="10" t="str">
        <f t="shared" si="39"/>
        <v>JUEGO DE TOMA CORRIENTE CON TAPA PARA INTEMPERIE</v>
      </c>
    </row>
    <row r="308" spans="1:20" ht="27" customHeight="1" x14ac:dyDescent="0.25">
      <c r="A308" s="8" t="s">
        <v>781</v>
      </c>
      <c r="B308" s="9"/>
      <c r="C308" s="9"/>
      <c r="D308" s="8"/>
      <c r="E308" s="8"/>
      <c r="F308" s="8" t="s">
        <v>22</v>
      </c>
      <c r="G308" s="10" t="s">
        <v>782</v>
      </c>
      <c r="H308" s="8" t="s">
        <v>783</v>
      </c>
      <c r="I308" s="10" t="s">
        <v>782</v>
      </c>
      <c r="J308" s="11" t="s">
        <v>26</v>
      </c>
      <c r="K308" s="18">
        <v>749</v>
      </c>
      <c r="L308" s="12">
        <f t="shared" si="38"/>
        <v>1123.4999999999998</v>
      </c>
      <c r="M308" s="8">
        <v>1</v>
      </c>
      <c r="N308" s="8" t="s">
        <v>27</v>
      </c>
      <c r="O308" s="13"/>
      <c r="P308" s="14">
        <v>0.2</v>
      </c>
      <c r="Q308" s="15">
        <v>0.2</v>
      </c>
      <c r="R308" s="16" t="str">
        <f t="shared" si="32"/>
        <v>BENQ</v>
      </c>
      <c r="S308" s="17"/>
      <c r="T308" s="10" t="str">
        <f t="shared" si="39"/>
        <v>PROYECTOR DE 3.000 LUMENS, RESOLUCIÓN DE 1920X1080 EN FORMATO 16:9.</v>
      </c>
    </row>
    <row r="309" spans="1:20" ht="27" customHeight="1" x14ac:dyDescent="0.25">
      <c r="A309" s="8" t="s">
        <v>781</v>
      </c>
      <c r="B309" s="9"/>
      <c r="C309" s="9"/>
      <c r="D309" s="8"/>
      <c r="E309" s="8"/>
      <c r="F309" s="8" t="s">
        <v>22</v>
      </c>
      <c r="G309" s="10" t="s">
        <v>784</v>
      </c>
      <c r="H309" s="8" t="s">
        <v>785</v>
      </c>
      <c r="I309" s="10" t="s">
        <v>786</v>
      </c>
      <c r="J309" s="11" t="s">
        <v>33</v>
      </c>
      <c r="K309" s="18">
        <v>1713000</v>
      </c>
      <c r="L309" s="12">
        <f t="shared" si="38"/>
        <v>2141300</v>
      </c>
      <c r="M309" s="8">
        <v>1</v>
      </c>
      <c r="N309" s="8" t="s">
        <v>27</v>
      </c>
      <c r="O309" s="13"/>
      <c r="P309" s="14">
        <v>0.2</v>
      </c>
      <c r="Q309" s="15">
        <v>0.2</v>
      </c>
      <c r="R309" s="16" t="str">
        <f t="shared" si="32"/>
        <v>BENQ</v>
      </c>
      <c r="S309" s="17"/>
      <c r="T309" s="10" t="str">
        <f t="shared" si="39"/>
        <v>PROYECTOR DLP DE 3300 LUMENS, CONTROL RS232.</v>
      </c>
    </row>
    <row r="310" spans="1:20" ht="27" customHeight="1" x14ac:dyDescent="0.25">
      <c r="A310" s="8" t="s">
        <v>781</v>
      </c>
      <c r="B310" s="9"/>
      <c r="C310" s="9"/>
      <c r="D310" s="8"/>
      <c r="E310" s="8"/>
      <c r="F310" s="8" t="s">
        <v>22</v>
      </c>
      <c r="G310" s="10" t="s">
        <v>787</v>
      </c>
      <c r="H310" s="8" t="s">
        <v>788</v>
      </c>
      <c r="I310" s="10" t="s">
        <v>787</v>
      </c>
      <c r="J310" s="11" t="s">
        <v>33</v>
      </c>
      <c r="K310" s="18">
        <v>4360000</v>
      </c>
      <c r="L310" s="12">
        <f t="shared" si="38"/>
        <v>5450000</v>
      </c>
      <c r="M310" s="8">
        <v>1</v>
      </c>
      <c r="N310" s="8" t="s">
        <v>27</v>
      </c>
      <c r="O310" s="13"/>
      <c r="P310" s="14">
        <v>0</v>
      </c>
      <c r="Q310" s="15">
        <v>0.2</v>
      </c>
      <c r="R310" s="16" t="str">
        <f t="shared" si="32"/>
        <v>BENQ</v>
      </c>
      <c r="S310" s="17"/>
      <c r="T310" s="10" t="str">
        <f t="shared" si="39"/>
        <v>PROYECTOR DE 4500 LUMENS, RESOLUCIÓN NATIVA DE 1920X1080.</v>
      </c>
    </row>
    <row r="311" spans="1:20" ht="27" customHeight="1" x14ac:dyDescent="0.25">
      <c r="A311" s="8" t="s">
        <v>781</v>
      </c>
      <c r="B311" s="9"/>
      <c r="C311" s="9"/>
      <c r="D311" s="8"/>
      <c r="E311" s="8"/>
      <c r="F311" s="8" t="s">
        <v>22</v>
      </c>
      <c r="G311" s="10" t="s">
        <v>789</v>
      </c>
      <c r="H311" s="8" t="s">
        <v>790</v>
      </c>
      <c r="I311" s="10" t="s">
        <v>789</v>
      </c>
      <c r="J311" s="11" t="s">
        <v>26</v>
      </c>
      <c r="K311" s="18">
        <v>750</v>
      </c>
      <c r="L311" s="12">
        <f t="shared" si="38"/>
        <v>1285.7142857142858</v>
      </c>
      <c r="M311" s="8">
        <v>1</v>
      </c>
      <c r="N311" s="8" t="s">
        <v>27</v>
      </c>
      <c r="O311" s="13"/>
      <c r="P311" s="14">
        <v>0.2</v>
      </c>
      <c r="Q311" s="15">
        <v>0.3</v>
      </c>
      <c r="R311" s="16" t="str">
        <f t="shared" si="32"/>
        <v>BENQ</v>
      </c>
      <c r="S311" s="17"/>
      <c r="T311" s="10" t="str">
        <f t="shared" si="39"/>
        <v xml:space="preserve">PROYECTOR DLP DE 2200 LUMENS FULL DH, LAMPARA DE 3500 HORAS. </v>
      </c>
    </row>
    <row r="312" spans="1:20" ht="27" customHeight="1" x14ac:dyDescent="0.25">
      <c r="A312" s="8" t="s">
        <v>791</v>
      </c>
      <c r="B312" s="9"/>
      <c r="C312" s="9"/>
      <c r="D312" s="8"/>
      <c r="E312" s="8"/>
      <c r="F312" s="8" t="s">
        <v>22</v>
      </c>
      <c r="G312" s="10" t="s">
        <v>792</v>
      </c>
      <c r="H312" s="8" t="s">
        <v>793</v>
      </c>
      <c r="I312" s="10" t="s">
        <v>792</v>
      </c>
      <c r="J312" s="11" t="s">
        <v>33</v>
      </c>
      <c r="K312" s="18">
        <v>20000</v>
      </c>
      <c r="L312" s="12">
        <f t="shared" si="38"/>
        <v>33400</v>
      </c>
      <c r="M312" s="8">
        <v>1</v>
      </c>
      <c r="N312" s="8" t="s">
        <v>27</v>
      </c>
      <c r="O312" s="13"/>
      <c r="P312" s="14">
        <v>0.2</v>
      </c>
      <c r="Q312" s="15">
        <v>0.4</v>
      </c>
      <c r="R312" s="16" t="str">
        <f t="shared" si="32"/>
        <v>BESTER</v>
      </c>
      <c r="S312" s="17"/>
      <c r="T312" s="10" t="str">
        <f t="shared" si="39"/>
        <v>BALA INYECTADA BLANCA PARA LUMINARIA MR16</v>
      </c>
    </row>
    <row r="313" spans="1:20" ht="27" customHeight="1" x14ac:dyDescent="0.25">
      <c r="A313" s="8" t="s">
        <v>794</v>
      </c>
      <c r="B313" s="9"/>
      <c r="C313" s="9"/>
      <c r="D313" s="8"/>
      <c r="E313" s="8"/>
      <c r="F313" s="8"/>
      <c r="G313" s="10"/>
      <c r="H313" s="8" t="s">
        <v>795</v>
      </c>
      <c r="I313" s="10" t="s">
        <v>796</v>
      </c>
      <c r="J313" s="11" t="s">
        <v>33</v>
      </c>
      <c r="K313" s="18">
        <v>18000</v>
      </c>
      <c r="L313" s="12">
        <f>K313*(1+P313)/(1-Q313)</f>
        <v>30000</v>
      </c>
      <c r="M313" s="8">
        <v>1</v>
      </c>
      <c r="N313" s="8" t="s">
        <v>27</v>
      </c>
      <c r="O313" s="13"/>
      <c r="P313" s="14">
        <v>0</v>
      </c>
      <c r="Q313" s="15">
        <v>0.4</v>
      </c>
      <c r="R313" s="16" t="str">
        <f t="shared" si="32"/>
        <v>BEXTER</v>
      </c>
      <c r="S313" s="17"/>
      <c r="T313" s="10"/>
    </row>
    <row r="314" spans="1:20" ht="27" customHeight="1" x14ac:dyDescent="0.25">
      <c r="A314" s="8" t="s">
        <v>797</v>
      </c>
      <c r="B314" s="9" t="s">
        <v>798</v>
      </c>
      <c r="C314" s="9"/>
      <c r="D314" s="8" t="s">
        <v>208</v>
      </c>
      <c r="E314" s="8">
        <v>1</v>
      </c>
      <c r="F314" s="8" t="s">
        <v>22</v>
      </c>
      <c r="G314" s="10" t="s">
        <v>799</v>
      </c>
      <c r="H314" s="8" t="s">
        <v>800</v>
      </c>
      <c r="I314" s="10" t="s">
        <v>799</v>
      </c>
      <c r="J314" s="11" t="s">
        <v>26</v>
      </c>
      <c r="K314" s="18">
        <v>2500</v>
      </c>
      <c r="L314" s="12">
        <f t="shared" ref="L314:L338" si="40">IF(J314="P",ROUNDUP(K314/(1-Q314),-2),K314*(1+P314)/(1-Q314))</f>
        <v>5000</v>
      </c>
      <c r="M314" s="8">
        <v>1</v>
      </c>
      <c r="N314" s="8" t="s">
        <v>27</v>
      </c>
      <c r="O314" s="13"/>
      <c r="P314" s="14">
        <v>0.2</v>
      </c>
      <c r="Q314" s="15">
        <v>0.4</v>
      </c>
      <c r="R314" s="16" t="str">
        <f t="shared" si="32"/>
        <v>BIAMB</v>
      </c>
      <c r="S314" s="17"/>
      <c r="T314" s="10" t="str">
        <f t="shared" ref="T314:T323" si="41">G314</f>
        <v>AudiaFLEX chasis with CobraNet® Module</v>
      </c>
    </row>
    <row r="315" spans="1:20" ht="27" customHeight="1" x14ac:dyDescent="0.25">
      <c r="A315" s="8" t="s">
        <v>797</v>
      </c>
      <c r="B315" s="9" t="s">
        <v>798</v>
      </c>
      <c r="C315" s="9"/>
      <c r="D315" s="8" t="s">
        <v>208</v>
      </c>
      <c r="E315" s="8">
        <v>2</v>
      </c>
      <c r="F315" s="8" t="s">
        <v>22</v>
      </c>
      <c r="G315" s="10" t="s">
        <v>801</v>
      </c>
      <c r="H315" s="8" t="s">
        <v>802</v>
      </c>
      <c r="I315" s="10" t="s">
        <v>801</v>
      </c>
      <c r="J315" s="11" t="s">
        <v>26</v>
      </c>
      <c r="K315" s="18">
        <v>170</v>
      </c>
      <c r="L315" s="12">
        <f t="shared" si="40"/>
        <v>340</v>
      </c>
      <c r="M315" s="8">
        <v>2</v>
      </c>
      <c r="N315" s="8" t="s">
        <v>27</v>
      </c>
      <c r="O315" s="13"/>
      <c r="P315" s="14">
        <v>0.2</v>
      </c>
      <c r="Q315" s="15">
        <v>0.4</v>
      </c>
      <c r="R315" s="16" t="str">
        <f t="shared" si="32"/>
        <v>BIAMB</v>
      </c>
      <c r="S315" s="17"/>
      <c r="T315" s="10" t="str">
        <f t="shared" si="41"/>
        <v>AudiaFLEX 2-channel mic/line input card (Card Kit)</v>
      </c>
    </row>
    <row r="316" spans="1:20" ht="27" customHeight="1" x14ac:dyDescent="0.25">
      <c r="A316" s="8" t="s">
        <v>797</v>
      </c>
      <c r="B316" s="9" t="s">
        <v>798</v>
      </c>
      <c r="C316" s="9"/>
      <c r="D316" s="8" t="s">
        <v>208</v>
      </c>
      <c r="E316" s="8">
        <v>3</v>
      </c>
      <c r="F316" s="8" t="s">
        <v>22</v>
      </c>
      <c r="G316" s="10" t="s">
        <v>803</v>
      </c>
      <c r="H316" s="8" t="s">
        <v>804</v>
      </c>
      <c r="I316" s="10" t="s">
        <v>803</v>
      </c>
      <c r="J316" s="11" t="s">
        <v>26</v>
      </c>
      <c r="K316" s="18">
        <v>130</v>
      </c>
      <c r="L316" s="12">
        <f t="shared" si="40"/>
        <v>260</v>
      </c>
      <c r="M316" s="8">
        <v>3</v>
      </c>
      <c r="N316" s="8" t="s">
        <v>27</v>
      </c>
      <c r="O316" s="13"/>
      <c r="P316" s="14">
        <v>0.2</v>
      </c>
      <c r="Q316" s="15">
        <v>0.4</v>
      </c>
      <c r="R316" s="16" t="str">
        <f t="shared" si="32"/>
        <v>BIAMB</v>
      </c>
      <c r="S316" s="17"/>
      <c r="T316" s="10" t="str">
        <f t="shared" si="41"/>
        <v>AudiaFLEX 2-channel mic/line output card (Card Kit)</v>
      </c>
    </row>
    <row r="317" spans="1:20" ht="27" customHeight="1" x14ac:dyDescent="0.25">
      <c r="A317" s="8" t="s">
        <v>797</v>
      </c>
      <c r="B317" s="9" t="s">
        <v>798</v>
      </c>
      <c r="C317" s="9"/>
      <c r="D317" s="8" t="s">
        <v>208</v>
      </c>
      <c r="E317" s="8">
        <v>4</v>
      </c>
      <c r="F317" s="8" t="s">
        <v>22</v>
      </c>
      <c r="G317" s="10" t="s">
        <v>805</v>
      </c>
      <c r="H317" s="8" t="s">
        <v>806</v>
      </c>
      <c r="I317" s="10" t="s">
        <v>807</v>
      </c>
      <c r="J317" s="11" t="s">
        <v>26</v>
      </c>
      <c r="K317" s="18">
        <v>4000</v>
      </c>
      <c r="L317" s="12">
        <f t="shared" si="40"/>
        <v>8000</v>
      </c>
      <c r="M317" s="8">
        <v>4</v>
      </c>
      <c r="N317" s="8" t="s">
        <v>27</v>
      </c>
      <c r="O317" s="13"/>
      <c r="P317" s="14">
        <v>0.2</v>
      </c>
      <c r="Q317" s="15">
        <v>0.4</v>
      </c>
      <c r="R317" s="16" t="str">
        <f t="shared" si="32"/>
        <v>BIAMB</v>
      </c>
      <c r="S317" s="17"/>
      <c r="T317" s="10" t="str">
        <f t="shared" si="41"/>
        <v>AUDIAVOIP CON TARJETAS.</v>
      </c>
    </row>
    <row r="318" spans="1:20" ht="27" customHeight="1" x14ac:dyDescent="0.25">
      <c r="A318" s="8" t="s">
        <v>797</v>
      </c>
      <c r="B318" s="9" t="s">
        <v>798</v>
      </c>
      <c r="C318" s="9"/>
      <c r="D318" s="8" t="s">
        <v>208</v>
      </c>
      <c r="E318" s="8">
        <v>5</v>
      </c>
      <c r="F318" s="8" t="s">
        <v>22</v>
      </c>
      <c r="G318" s="10" t="s">
        <v>808</v>
      </c>
      <c r="H318" s="8" t="s">
        <v>809</v>
      </c>
      <c r="I318" s="10" t="s">
        <v>810</v>
      </c>
      <c r="J318" s="11" t="s">
        <v>26</v>
      </c>
      <c r="K318" s="18">
        <v>1500</v>
      </c>
      <c r="L318" s="12">
        <f t="shared" si="40"/>
        <v>3000</v>
      </c>
      <c r="M318" s="8">
        <v>5</v>
      </c>
      <c r="N318" s="8" t="s">
        <v>27</v>
      </c>
      <c r="O318" s="13"/>
      <c r="P318" s="14">
        <v>0.2</v>
      </c>
      <c r="Q318" s="15">
        <v>0.4</v>
      </c>
      <c r="R318" s="16" t="str">
        <f t="shared" si="32"/>
        <v>BIAMB</v>
      </c>
      <c r="S318" s="17"/>
      <c r="T318" s="10" t="str">
        <f t="shared" si="41"/>
        <v>PROCESADOR DIGITAL DE SEÑAL CON 8 CANALES MICRO/LÍNEA.</v>
      </c>
    </row>
    <row r="319" spans="1:20" ht="27" customHeight="1" x14ac:dyDescent="0.25">
      <c r="A319" s="8" t="s">
        <v>811</v>
      </c>
      <c r="B319" s="9" t="s">
        <v>812</v>
      </c>
      <c r="C319" s="9"/>
      <c r="D319" s="8"/>
      <c r="E319" s="8"/>
      <c r="F319" s="8" t="s">
        <v>22</v>
      </c>
      <c r="G319" s="10" t="s">
        <v>813</v>
      </c>
      <c r="H319" s="8" t="s">
        <v>814</v>
      </c>
      <c r="I319" s="10" t="s">
        <v>813</v>
      </c>
      <c r="J319" s="11" t="s">
        <v>33</v>
      </c>
      <c r="K319" s="18">
        <v>1600000</v>
      </c>
      <c r="L319" s="12">
        <f t="shared" si="40"/>
        <v>2285800</v>
      </c>
      <c r="M319" s="8">
        <v>1</v>
      </c>
      <c r="N319" s="8" t="s">
        <v>27</v>
      </c>
      <c r="O319" s="13"/>
      <c r="P319" s="14">
        <v>0.2</v>
      </c>
      <c r="Q319" s="15">
        <v>0.3</v>
      </c>
      <c r="R319" s="16" t="str">
        <f t="shared" si="32"/>
        <v>BIAMP</v>
      </c>
      <c r="S319" s="17"/>
      <c r="T319" s="10" t="str">
        <f t="shared" si="41"/>
        <v>TECLADO DE VOLUMEN SELECTOR PARA SISTEMAS BIAMP</v>
      </c>
    </row>
    <row r="320" spans="1:20" ht="27" customHeight="1" x14ac:dyDescent="0.25">
      <c r="A320" s="8" t="s">
        <v>811</v>
      </c>
      <c r="B320" s="9"/>
      <c r="C320" s="9"/>
      <c r="D320" s="8" t="s">
        <v>45</v>
      </c>
      <c r="E320" s="8"/>
      <c r="F320" s="8" t="s">
        <v>22</v>
      </c>
      <c r="G320" s="10" t="s">
        <v>815</v>
      </c>
      <c r="H320" s="8" t="s">
        <v>816</v>
      </c>
      <c r="I320" s="10" t="s">
        <v>817</v>
      </c>
      <c r="J320" s="11" t="s">
        <v>26</v>
      </c>
      <c r="K320" s="18">
        <v>1500</v>
      </c>
      <c r="L320" s="12">
        <f t="shared" si="40"/>
        <v>3385.0002580767909</v>
      </c>
      <c r="M320" s="8">
        <v>1</v>
      </c>
      <c r="N320" s="8" t="s">
        <v>27</v>
      </c>
      <c r="O320" s="13"/>
      <c r="P320" s="14">
        <v>0.2</v>
      </c>
      <c r="Q320" s="15">
        <v>0.46824228574130711</v>
      </c>
      <c r="R320" s="16" t="str">
        <f t="shared" si="32"/>
        <v>BIAMP</v>
      </c>
      <c r="S320" s="17"/>
      <c r="T320" s="10" t="str">
        <f t="shared" si="41"/>
        <v>SISTEMA DE VIDEO CONFERENCIA COMPATIBLE CON CÁMARAS USB.</v>
      </c>
    </row>
    <row r="321" spans="1:20" ht="27" customHeight="1" x14ac:dyDescent="0.25">
      <c r="A321" s="8" t="s">
        <v>811</v>
      </c>
      <c r="B321" s="9"/>
      <c r="C321" s="9"/>
      <c r="D321" s="8" t="s">
        <v>45</v>
      </c>
      <c r="E321" s="8"/>
      <c r="F321" s="8" t="s">
        <v>22</v>
      </c>
      <c r="G321" s="10" t="s">
        <v>818</v>
      </c>
      <c r="H321" s="8" t="s">
        <v>819</v>
      </c>
      <c r="I321" s="10" t="str">
        <f>UPPER("Procesador de señal digital con 10 entradas balanceadas de Linea/Mic, y 6 salidas balanceadas en conector barrier strip. Configuracion y control por software. Puerto de control RS232.")</f>
        <v>PROCESADOR DE SEÑAL DIGITAL CON 10 ENTRADAS BALANCEADAS DE LINEA/MIC, Y 6 SALIDAS BALANCEADAS EN CONECTOR BARRIER STRIP. CONFIGURACION Y CONTROL POR SOFTWARE. PUERTO DE CONTROL RS232.</v>
      </c>
      <c r="J321" s="11" t="s">
        <v>26</v>
      </c>
      <c r="K321" s="18">
        <v>1500</v>
      </c>
      <c r="L321" s="12">
        <f t="shared" si="40"/>
        <v>2178.0000055186274</v>
      </c>
      <c r="M321" s="8">
        <v>1</v>
      </c>
      <c r="N321" s="8" t="s">
        <v>27</v>
      </c>
      <c r="O321" s="13"/>
      <c r="P321" s="14">
        <v>0.2</v>
      </c>
      <c r="Q321" s="15">
        <v>0.17355372110231829</v>
      </c>
      <c r="R321" s="16" t="str">
        <f t="shared" ref="R321:R384" si="42">A321</f>
        <v>BIAMP</v>
      </c>
      <c r="S321" s="17"/>
      <c r="T321" s="10" t="str">
        <f t="shared" si="41"/>
        <v>PROCESADOR DE SEÑAL DIGITAL CON 10 ENTRADAS BALANCEADAS DE LINEA/MIC.</v>
      </c>
    </row>
    <row r="322" spans="1:20" ht="27" customHeight="1" x14ac:dyDescent="0.25">
      <c r="A322" s="8" t="s">
        <v>811</v>
      </c>
      <c r="B322" s="9"/>
      <c r="C322" s="9"/>
      <c r="D322" s="8" t="s">
        <v>45</v>
      </c>
      <c r="E322" s="8"/>
      <c r="F322" s="8" t="s">
        <v>22</v>
      </c>
      <c r="G322" s="10" t="s">
        <v>820</v>
      </c>
      <c r="H322" s="8" t="s">
        <v>821</v>
      </c>
      <c r="I322" s="10" t="s">
        <v>820</v>
      </c>
      <c r="J322" s="11" t="s">
        <v>26</v>
      </c>
      <c r="K322" s="18">
        <v>4000</v>
      </c>
      <c r="L322" s="12">
        <f t="shared" si="40"/>
        <v>7933.8842975206617</v>
      </c>
      <c r="M322" s="8">
        <v>1</v>
      </c>
      <c r="N322" s="8" t="s">
        <v>27</v>
      </c>
      <c r="O322" s="13"/>
      <c r="P322" s="14">
        <v>0.2</v>
      </c>
      <c r="Q322" s="15">
        <v>0.39500000000000002</v>
      </c>
      <c r="R322" s="16" t="str">
        <f t="shared" si="42"/>
        <v>BIAMP</v>
      </c>
      <c r="S322" s="17"/>
      <c r="T322" s="10" t="str">
        <f t="shared" si="41"/>
        <v>PROCESADOR DSP DE 32 CANALES</v>
      </c>
    </row>
    <row r="323" spans="1:20" ht="27" customHeight="1" x14ac:dyDescent="0.25">
      <c r="A323" s="8" t="s">
        <v>811</v>
      </c>
      <c r="B323" s="9"/>
      <c r="C323" s="9"/>
      <c r="D323" s="8" t="s">
        <v>45</v>
      </c>
      <c r="E323" s="8"/>
      <c r="F323" s="8" t="s">
        <v>22</v>
      </c>
      <c r="G323" s="10" t="s">
        <v>815</v>
      </c>
      <c r="H323" s="8" t="s">
        <v>822</v>
      </c>
      <c r="I323" s="10" t="s">
        <v>823</v>
      </c>
      <c r="J323" s="11" t="s">
        <v>26</v>
      </c>
      <c r="K323" s="18">
        <v>2274</v>
      </c>
      <c r="L323" s="12">
        <f t="shared" si="40"/>
        <v>3248.5714285714289</v>
      </c>
      <c r="M323" s="8">
        <v>1</v>
      </c>
      <c r="N323" s="8" t="s">
        <v>27</v>
      </c>
      <c r="O323" s="13"/>
      <c r="P323" s="14">
        <v>0</v>
      </c>
      <c r="Q323" s="15">
        <v>0.3</v>
      </c>
      <c r="R323" s="16" t="str">
        <f t="shared" si="42"/>
        <v>BIAMP</v>
      </c>
      <c r="S323" s="17"/>
      <c r="T323" s="10" t="str">
        <f t="shared" si="41"/>
        <v>SISTEMA DE VIDEO CONFERENCIA COMPATIBLE CON CÁMARAS USB.</v>
      </c>
    </row>
    <row r="324" spans="1:20" ht="27" customHeight="1" x14ac:dyDescent="0.25">
      <c r="A324" s="8" t="s">
        <v>811</v>
      </c>
      <c r="B324" s="9"/>
      <c r="C324" s="9"/>
      <c r="D324" s="8"/>
      <c r="E324" s="8"/>
      <c r="F324" s="8"/>
      <c r="G324" s="10"/>
      <c r="H324" s="8" t="s">
        <v>824</v>
      </c>
      <c r="I324" s="10" t="s">
        <v>825</v>
      </c>
      <c r="J324" s="11" t="s">
        <v>26</v>
      </c>
      <c r="K324" s="18">
        <v>2806</v>
      </c>
      <c r="L324" s="12">
        <f t="shared" si="40"/>
        <v>4008.5714285714289</v>
      </c>
      <c r="M324" s="8">
        <v>1</v>
      </c>
      <c r="N324" s="8" t="s">
        <v>110</v>
      </c>
      <c r="O324" s="13"/>
      <c r="P324" s="14">
        <v>0</v>
      </c>
      <c r="Q324" s="15">
        <v>0.3</v>
      </c>
      <c r="R324" s="16" t="str">
        <f t="shared" si="42"/>
        <v>BIAMP</v>
      </c>
      <c r="S324" s="17"/>
      <c r="T324" s="10"/>
    </row>
    <row r="325" spans="1:20" ht="27" customHeight="1" x14ac:dyDescent="0.25">
      <c r="A325" s="8" t="s">
        <v>811</v>
      </c>
      <c r="B325" s="9"/>
      <c r="C325" s="9"/>
      <c r="D325" s="8"/>
      <c r="E325" s="8"/>
      <c r="F325" s="8"/>
      <c r="G325" s="10"/>
      <c r="H325" s="8" t="s">
        <v>826</v>
      </c>
      <c r="I325" s="10" t="s">
        <v>827</v>
      </c>
      <c r="J325" s="11" t="s">
        <v>26</v>
      </c>
      <c r="K325" s="18">
        <v>532</v>
      </c>
      <c r="L325" s="12">
        <f t="shared" si="40"/>
        <v>760</v>
      </c>
      <c r="M325" s="8">
        <v>1</v>
      </c>
      <c r="N325" s="8" t="s">
        <v>110</v>
      </c>
      <c r="O325" s="13"/>
      <c r="P325" s="14">
        <v>0</v>
      </c>
      <c r="Q325" s="15">
        <v>0.3</v>
      </c>
      <c r="R325" s="16" t="str">
        <f t="shared" si="42"/>
        <v>BIAMP</v>
      </c>
      <c r="S325" s="17"/>
      <c r="T325" s="10"/>
    </row>
    <row r="326" spans="1:20" ht="27" customHeight="1" x14ac:dyDescent="0.25">
      <c r="A326" s="8" t="s">
        <v>811</v>
      </c>
      <c r="B326" s="9"/>
      <c r="C326" s="9"/>
      <c r="D326" s="8"/>
      <c r="E326" s="8"/>
      <c r="F326" s="8"/>
      <c r="G326" s="10"/>
      <c r="H326" s="8" t="s">
        <v>828</v>
      </c>
      <c r="I326" s="10" t="s">
        <v>829</v>
      </c>
      <c r="J326" s="11" t="s">
        <v>26</v>
      </c>
      <c r="K326" s="18">
        <v>911</v>
      </c>
      <c r="L326" s="12">
        <f t="shared" si="40"/>
        <v>1301.4285714285716</v>
      </c>
      <c r="M326" s="8">
        <v>1</v>
      </c>
      <c r="N326" s="8" t="s">
        <v>110</v>
      </c>
      <c r="O326" s="13"/>
      <c r="P326" s="14">
        <v>0</v>
      </c>
      <c r="Q326" s="15">
        <v>0.3</v>
      </c>
      <c r="R326" s="16" t="str">
        <f t="shared" si="42"/>
        <v>BIAMP</v>
      </c>
      <c r="S326" s="17"/>
      <c r="T326" s="10"/>
    </row>
    <row r="327" spans="1:20" ht="27" customHeight="1" x14ac:dyDescent="0.25">
      <c r="A327" s="8" t="s">
        <v>811</v>
      </c>
      <c r="B327" s="9"/>
      <c r="C327" s="9"/>
      <c r="D327" s="8"/>
      <c r="E327" s="8"/>
      <c r="F327" s="8"/>
      <c r="G327" s="10"/>
      <c r="H327" s="8" t="s">
        <v>830</v>
      </c>
      <c r="I327" s="10" t="s">
        <v>831</v>
      </c>
      <c r="J327" s="11" t="s">
        <v>26</v>
      </c>
      <c r="K327" s="18">
        <v>1213</v>
      </c>
      <c r="L327" s="12">
        <f t="shared" si="40"/>
        <v>1732.8571428571429</v>
      </c>
      <c r="M327" s="8">
        <v>1</v>
      </c>
      <c r="N327" s="8" t="s">
        <v>110</v>
      </c>
      <c r="O327" s="13"/>
      <c r="P327" s="14">
        <v>0</v>
      </c>
      <c r="Q327" s="15">
        <v>0.3</v>
      </c>
      <c r="R327" s="16" t="str">
        <f t="shared" si="42"/>
        <v>BIAMP</v>
      </c>
      <c r="S327" s="17"/>
      <c r="T327" s="10"/>
    </row>
    <row r="328" spans="1:20" ht="27" customHeight="1" x14ac:dyDescent="0.25">
      <c r="A328" s="8" t="s">
        <v>811</v>
      </c>
      <c r="B328" s="9"/>
      <c r="C328" s="9"/>
      <c r="D328" s="8"/>
      <c r="E328" s="8"/>
      <c r="F328" s="8"/>
      <c r="G328" s="10"/>
      <c r="H328" s="8" t="s">
        <v>832</v>
      </c>
      <c r="I328" s="10" t="s">
        <v>833</v>
      </c>
      <c r="J328" s="11" t="s">
        <v>26</v>
      </c>
      <c r="K328" s="18">
        <v>645</v>
      </c>
      <c r="L328" s="12">
        <f t="shared" si="40"/>
        <v>921.42857142857144</v>
      </c>
      <c r="M328" s="8">
        <v>1</v>
      </c>
      <c r="N328" s="8" t="s">
        <v>110</v>
      </c>
      <c r="O328" s="13"/>
      <c r="P328" s="14">
        <v>0</v>
      </c>
      <c r="Q328" s="15">
        <v>0.3</v>
      </c>
      <c r="R328" s="16" t="str">
        <f t="shared" si="42"/>
        <v>BIAMP</v>
      </c>
      <c r="S328" s="17"/>
      <c r="T328" s="10"/>
    </row>
    <row r="329" spans="1:20" ht="27" customHeight="1" x14ac:dyDescent="0.25">
      <c r="A329" s="8" t="s">
        <v>834</v>
      </c>
      <c r="B329" s="9" t="s">
        <v>835</v>
      </c>
      <c r="C329" s="9"/>
      <c r="D329" s="8" t="s">
        <v>94</v>
      </c>
      <c r="E329" s="8">
        <v>2</v>
      </c>
      <c r="F329" s="8" t="s">
        <v>22</v>
      </c>
      <c r="G329" s="10" t="s">
        <v>836</v>
      </c>
      <c r="H329" s="8" t="s">
        <v>837</v>
      </c>
      <c r="I329" s="10" t="s">
        <v>838</v>
      </c>
      <c r="J329" s="11" t="s">
        <v>33</v>
      </c>
      <c r="K329" s="18">
        <v>22400</v>
      </c>
      <c r="L329" s="12">
        <f t="shared" si="40"/>
        <v>37400</v>
      </c>
      <c r="M329" s="8">
        <v>1</v>
      </c>
      <c r="N329" s="8" t="s">
        <v>27</v>
      </c>
      <c r="O329" s="13"/>
      <c r="P329" s="14">
        <v>0.2</v>
      </c>
      <c r="Q329" s="15">
        <v>0.4</v>
      </c>
      <c r="R329" s="16" t="str">
        <f t="shared" si="42"/>
        <v>BIOLED</v>
      </c>
      <c r="S329" s="17"/>
      <c r="T329" s="10" t="str">
        <f>G329</f>
        <v>DRIVER PARA LED DE 350m AMPERIOS CON SALIDA PARA LÁMPARA DUPLICADA.</v>
      </c>
    </row>
    <row r="330" spans="1:20" ht="27" customHeight="1" x14ac:dyDescent="0.25">
      <c r="A330" s="8" t="s">
        <v>839</v>
      </c>
      <c r="B330" s="9"/>
      <c r="C330" s="9"/>
      <c r="D330" s="8"/>
      <c r="E330" s="8"/>
      <c r="F330" s="8" t="s">
        <v>22</v>
      </c>
      <c r="G330" s="10" t="s">
        <v>840</v>
      </c>
      <c r="H330" s="8" t="s">
        <v>841</v>
      </c>
      <c r="I330" s="10" t="s">
        <v>840</v>
      </c>
      <c r="J330" s="11" t="s">
        <v>33</v>
      </c>
      <c r="K330" s="18">
        <v>520</v>
      </c>
      <c r="L330" s="12">
        <f t="shared" si="40"/>
        <v>1300</v>
      </c>
      <c r="M330" s="8">
        <v>1</v>
      </c>
      <c r="N330" s="8" t="s">
        <v>27</v>
      </c>
      <c r="O330" s="13"/>
      <c r="P330" s="14">
        <v>0.2</v>
      </c>
      <c r="Q330" s="15">
        <v>0.6</v>
      </c>
      <c r="R330" s="16" t="str">
        <f t="shared" si="42"/>
        <v>BJB</v>
      </c>
      <c r="S330" s="17"/>
      <c r="T330" s="10" t="str">
        <f>G330</f>
        <v>SOPORTE ANTI SOBRA PARA TUBO T8</v>
      </c>
    </row>
    <row r="331" spans="1:20" ht="27" customHeight="1" x14ac:dyDescent="0.25">
      <c r="A331" s="8" t="s">
        <v>839</v>
      </c>
      <c r="B331" s="9" t="s">
        <v>839</v>
      </c>
      <c r="C331" s="9"/>
      <c r="D331" s="8" t="s">
        <v>842</v>
      </c>
      <c r="E331" s="8"/>
      <c r="F331" s="8" t="s">
        <v>22</v>
      </c>
      <c r="G331" s="10" t="s">
        <v>843</v>
      </c>
      <c r="H331" s="8" t="s">
        <v>844</v>
      </c>
      <c r="I331" s="10" t="s">
        <v>843</v>
      </c>
      <c r="J331" s="11" t="s">
        <v>33</v>
      </c>
      <c r="K331" s="18">
        <v>450</v>
      </c>
      <c r="L331" s="12">
        <f t="shared" si="40"/>
        <v>600</v>
      </c>
      <c r="M331" s="8">
        <v>1</v>
      </c>
      <c r="N331" s="8" t="s">
        <v>27</v>
      </c>
      <c r="O331" s="13"/>
      <c r="P331" s="14">
        <v>0.2</v>
      </c>
      <c r="Q331" s="15">
        <v>0.25</v>
      </c>
      <c r="R331" s="16" t="str">
        <f t="shared" si="42"/>
        <v>BJB</v>
      </c>
      <c r="S331" s="17"/>
      <c r="T331" s="10" t="str">
        <f>G331</f>
        <v>SOCKET PARA T5 CON ROTOR. MARCA: BJB.</v>
      </c>
    </row>
    <row r="332" spans="1:20" ht="27" customHeight="1" x14ac:dyDescent="0.25">
      <c r="A332" s="8" t="s">
        <v>839</v>
      </c>
      <c r="B332" s="9"/>
      <c r="C332" s="9"/>
      <c r="D332" s="8"/>
      <c r="E332" s="8"/>
      <c r="F332" s="8"/>
      <c r="G332" s="10"/>
      <c r="H332" s="8" t="s">
        <v>845</v>
      </c>
      <c r="I332" s="10" t="s">
        <v>846</v>
      </c>
      <c r="J332" s="11" t="s">
        <v>33</v>
      </c>
      <c r="K332" s="18">
        <v>22000</v>
      </c>
      <c r="L332" s="12">
        <f t="shared" si="40"/>
        <v>36700</v>
      </c>
      <c r="M332" s="8">
        <v>1</v>
      </c>
      <c r="N332" s="8" t="s">
        <v>27</v>
      </c>
      <c r="O332" s="13" t="s">
        <v>588</v>
      </c>
      <c r="P332" s="14">
        <v>0</v>
      </c>
      <c r="Q332" s="15">
        <v>0.4</v>
      </c>
      <c r="R332" s="16" t="str">
        <f t="shared" si="42"/>
        <v>BJB</v>
      </c>
      <c r="S332" s="17"/>
      <c r="T332" s="10"/>
    </row>
    <row r="333" spans="1:20" ht="27" customHeight="1" x14ac:dyDescent="0.25">
      <c r="A333" s="8" t="s">
        <v>847</v>
      </c>
      <c r="B333" s="9"/>
      <c r="C333" s="9"/>
      <c r="D333" s="8"/>
      <c r="E333" s="8"/>
      <c r="F333" s="8" t="s">
        <v>22</v>
      </c>
      <c r="G333" s="10" t="s">
        <v>848</v>
      </c>
      <c r="H333" s="8" t="s">
        <v>849</v>
      </c>
      <c r="I333" s="10" t="s">
        <v>848</v>
      </c>
      <c r="J333" s="11" t="s">
        <v>33</v>
      </c>
      <c r="K333" s="18">
        <v>114000</v>
      </c>
      <c r="L333" s="12">
        <f t="shared" si="40"/>
        <v>190000</v>
      </c>
      <c r="M333" s="8">
        <v>1</v>
      </c>
      <c r="N333" s="8" t="s">
        <v>27</v>
      </c>
      <c r="O333" s="13"/>
      <c r="P333" s="14">
        <v>0</v>
      </c>
      <c r="Q333" s="15">
        <v>0.4</v>
      </c>
      <c r="R333" s="16" t="str">
        <f t="shared" si="42"/>
        <v>BLUELINE</v>
      </c>
      <c r="S333" s="17"/>
      <c r="T333" s="10" t="str">
        <f t="shared" ref="T333:T338" si="43">G333</f>
        <v>ELECTROIMÁN DE 300 LIBRAS</v>
      </c>
    </row>
    <row r="334" spans="1:20" ht="27" customHeight="1" x14ac:dyDescent="0.25">
      <c r="A334" s="8" t="s">
        <v>847</v>
      </c>
      <c r="B334" s="9"/>
      <c r="C334" s="9"/>
      <c r="D334" s="8"/>
      <c r="E334" s="8"/>
      <c r="F334" s="8" t="s">
        <v>22</v>
      </c>
      <c r="G334" s="10" t="s">
        <v>850</v>
      </c>
      <c r="H334" s="8" t="s">
        <v>851</v>
      </c>
      <c r="I334" s="10" t="s">
        <v>850</v>
      </c>
      <c r="J334" s="11" t="s">
        <v>33</v>
      </c>
      <c r="K334" s="18">
        <v>38000</v>
      </c>
      <c r="L334" s="12">
        <f t="shared" si="40"/>
        <v>63400</v>
      </c>
      <c r="M334" s="8">
        <v>1</v>
      </c>
      <c r="N334" s="8" t="s">
        <v>27</v>
      </c>
      <c r="O334" s="13"/>
      <c r="P334" s="14">
        <v>0</v>
      </c>
      <c r="Q334" s="15">
        <v>0.4</v>
      </c>
      <c r="R334" s="16" t="str">
        <f t="shared" si="42"/>
        <v>BLUELINE</v>
      </c>
      <c r="S334" s="17"/>
      <c r="T334" s="10" t="str">
        <f t="shared" si="43"/>
        <v>SOPORTE EN U PARA ELECTROIMÁN</v>
      </c>
    </row>
    <row r="335" spans="1:20" ht="27" customHeight="1" x14ac:dyDescent="0.25">
      <c r="A335" s="8" t="s">
        <v>847</v>
      </c>
      <c r="B335" s="9"/>
      <c r="C335" s="9"/>
      <c r="D335" s="8"/>
      <c r="E335" s="8"/>
      <c r="F335" s="8" t="s">
        <v>22</v>
      </c>
      <c r="G335" s="10" t="s">
        <v>852</v>
      </c>
      <c r="H335" s="8" t="s">
        <v>853</v>
      </c>
      <c r="I335" s="10" t="s">
        <v>852</v>
      </c>
      <c r="J335" s="11" t="s">
        <v>33</v>
      </c>
      <c r="K335" s="18">
        <v>115000</v>
      </c>
      <c r="L335" s="12">
        <f t="shared" si="40"/>
        <v>191700</v>
      </c>
      <c r="M335" s="8">
        <v>1</v>
      </c>
      <c r="N335" s="8" t="s">
        <v>27</v>
      </c>
      <c r="O335" s="13"/>
      <c r="P335" s="14">
        <v>0</v>
      </c>
      <c r="Q335" s="15">
        <v>0.4</v>
      </c>
      <c r="R335" s="16" t="str">
        <f t="shared" si="42"/>
        <v>BLUELINE</v>
      </c>
      <c r="S335" s="17"/>
      <c r="T335" s="10" t="str">
        <f t="shared" si="43"/>
        <v>ELECTROIMÁN DE 600 LIBRAS</v>
      </c>
    </row>
    <row r="336" spans="1:20" ht="27" customHeight="1" x14ac:dyDescent="0.25">
      <c r="A336" s="8" t="s">
        <v>847</v>
      </c>
      <c r="B336" s="9"/>
      <c r="C336" s="9"/>
      <c r="D336" s="8"/>
      <c r="E336" s="8"/>
      <c r="F336" s="8" t="s">
        <v>22</v>
      </c>
      <c r="G336" s="10" t="s">
        <v>854</v>
      </c>
      <c r="H336" s="8" t="s">
        <v>855</v>
      </c>
      <c r="I336" s="10" t="s">
        <v>854</v>
      </c>
      <c r="J336" s="11" t="s">
        <v>33</v>
      </c>
      <c r="K336" s="18">
        <v>46300</v>
      </c>
      <c r="L336" s="12">
        <f t="shared" si="40"/>
        <v>77200</v>
      </c>
      <c r="M336" s="8">
        <v>1</v>
      </c>
      <c r="N336" s="8" t="s">
        <v>27</v>
      </c>
      <c r="O336" s="13"/>
      <c r="P336" s="14">
        <v>0</v>
      </c>
      <c r="Q336" s="15">
        <v>0.4</v>
      </c>
      <c r="R336" s="16" t="str">
        <f t="shared" si="42"/>
        <v>BLUELINE</v>
      </c>
      <c r="S336" s="17"/>
      <c r="T336" s="10" t="str">
        <f t="shared" si="43"/>
        <v>RECEPTOR UNIVERSAL DE CONTROL</v>
      </c>
    </row>
    <row r="337" spans="1:20" ht="27" customHeight="1" x14ac:dyDescent="0.25">
      <c r="A337" s="8" t="s">
        <v>847</v>
      </c>
      <c r="B337" s="9"/>
      <c r="C337" s="9"/>
      <c r="D337" s="8"/>
      <c r="E337" s="8"/>
      <c r="F337" s="8" t="s">
        <v>22</v>
      </c>
      <c r="G337" s="10" t="s">
        <v>856</v>
      </c>
      <c r="H337" s="8" t="s">
        <v>857</v>
      </c>
      <c r="I337" s="10" t="s">
        <v>856</v>
      </c>
      <c r="J337" s="11" t="s">
        <v>33</v>
      </c>
      <c r="K337" s="18">
        <v>29500</v>
      </c>
      <c r="L337" s="12">
        <f t="shared" si="40"/>
        <v>49200</v>
      </c>
      <c r="M337" s="8">
        <v>1</v>
      </c>
      <c r="N337" s="8" t="s">
        <v>27</v>
      </c>
      <c r="O337" s="13"/>
      <c r="P337" s="14">
        <v>0</v>
      </c>
      <c r="Q337" s="15">
        <v>0.4</v>
      </c>
      <c r="R337" s="16" t="str">
        <f t="shared" si="42"/>
        <v>BLUELINE</v>
      </c>
      <c r="S337" s="17"/>
      <c r="T337" s="10" t="str">
        <f t="shared" si="43"/>
        <v>CONTROL REMOTO UNIVERSAL</v>
      </c>
    </row>
    <row r="338" spans="1:20" ht="27" customHeight="1" x14ac:dyDescent="0.25">
      <c r="A338" s="8" t="s">
        <v>858</v>
      </c>
      <c r="B338" s="9"/>
      <c r="C338" s="9"/>
      <c r="D338" s="8"/>
      <c r="E338" s="8"/>
      <c r="F338" s="8" t="s">
        <v>22</v>
      </c>
      <c r="G338" s="10" t="s">
        <v>859</v>
      </c>
      <c r="H338" s="8" t="s">
        <v>860</v>
      </c>
      <c r="I338" s="10" t="s">
        <v>859</v>
      </c>
      <c r="J338" s="11" t="s">
        <v>33</v>
      </c>
      <c r="K338" s="18">
        <v>6000</v>
      </c>
      <c r="L338" s="12">
        <f t="shared" si="40"/>
        <v>10000</v>
      </c>
      <c r="M338" s="8">
        <v>1</v>
      </c>
      <c r="N338" s="8" t="s">
        <v>27</v>
      </c>
      <c r="O338" s="13"/>
      <c r="P338" s="14">
        <v>0.2</v>
      </c>
      <c r="Q338" s="15">
        <v>0.4</v>
      </c>
      <c r="R338" s="16" t="str">
        <f t="shared" si="42"/>
        <v>BLULIGHT</v>
      </c>
      <c r="S338" s="17"/>
      <c r="T338" s="10" t="str">
        <f t="shared" si="43"/>
        <v>PANEL LED DE 3W, CÁLIDO.</v>
      </c>
    </row>
    <row r="339" spans="1:20" ht="27" customHeight="1" x14ac:dyDescent="0.25">
      <c r="A339" s="8" t="s">
        <v>861</v>
      </c>
      <c r="B339" s="9"/>
      <c r="C339" s="9"/>
      <c r="D339" s="8"/>
      <c r="E339" s="8"/>
      <c r="F339" s="8"/>
      <c r="G339" s="10"/>
      <c r="H339" s="8" t="s">
        <v>862</v>
      </c>
      <c r="I339" s="10" t="s">
        <v>863</v>
      </c>
      <c r="J339" s="11" t="s">
        <v>26</v>
      </c>
      <c r="K339" s="18">
        <f>1500*0.75</f>
        <v>1125</v>
      </c>
      <c r="L339" s="12">
        <f>K339*(1+P339)/(1-Q339)</f>
        <v>1500</v>
      </c>
      <c r="M339" s="8">
        <v>1</v>
      </c>
      <c r="N339" s="8" t="s">
        <v>27</v>
      </c>
      <c r="O339" s="13"/>
      <c r="P339" s="14">
        <v>0</v>
      </c>
      <c r="Q339" s="15">
        <v>0.25</v>
      </c>
      <c r="R339" s="16" t="str">
        <f t="shared" si="42"/>
        <v>BLUOS</v>
      </c>
      <c r="S339" s="17"/>
      <c r="T339" s="10"/>
    </row>
    <row r="340" spans="1:20" ht="27" customHeight="1" x14ac:dyDescent="0.25">
      <c r="A340" s="8" t="s">
        <v>864</v>
      </c>
      <c r="B340" s="9"/>
      <c r="C340" s="9"/>
      <c r="D340" s="8"/>
      <c r="E340" s="8"/>
      <c r="F340" s="8"/>
      <c r="G340" s="10"/>
      <c r="H340" s="8" t="s">
        <v>865</v>
      </c>
      <c r="I340" s="10" t="s">
        <v>866</v>
      </c>
      <c r="J340" s="11" t="s">
        <v>33</v>
      </c>
      <c r="K340" s="18">
        <v>446000</v>
      </c>
      <c r="L340" s="12">
        <f>K340*(1+P340)/(1-Q340)</f>
        <v>557500</v>
      </c>
      <c r="M340" s="8">
        <v>1</v>
      </c>
      <c r="N340" s="8" t="s">
        <v>27</v>
      </c>
      <c r="O340" s="13"/>
      <c r="P340" s="14">
        <v>0</v>
      </c>
      <c r="Q340" s="15">
        <v>0.2</v>
      </c>
      <c r="R340" s="16" t="str">
        <f t="shared" si="42"/>
        <v>BOSCH</v>
      </c>
      <c r="S340" s="17"/>
      <c r="T340" s="10"/>
    </row>
    <row r="341" spans="1:20" ht="27" customHeight="1" x14ac:dyDescent="0.25">
      <c r="A341" s="8" t="s">
        <v>867</v>
      </c>
      <c r="B341" s="9" t="s">
        <v>868</v>
      </c>
      <c r="C341" s="9"/>
      <c r="D341" s="8" t="s">
        <v>869</v>
      </c>
      <c r="E341" s="8">
        <v>1</v>
      </c>
      <c r="F341" s="8" t="s">
        <v>22</v>
      </c>
      <c r="G341" s="10" t="s">
        <v>870</v>
      </c>
      <c r="H341" s="8" t="s">
        <v>871</v>
      </c>
      <c r="I341" s="10" t="s">
        <v>872</v>
      </c>
      <c r="J341" s="11" t="s">
        <v>26</v>
      </c>
      <c r="K341" s="18">
        <f>122*0.7</f>
        <v>85.399999999999991</v>
      </c>
      <c r="L341" s="12">
        <f t="shared" ref="L341:L354" si="44">IF(J341="P",ROUNDUP(K341/(1-Q341),-2),K341*(1+P341)/(1-Q341))</f>
        <v>128.09999999999997</v>
      </c>
      <c r="M341" s="8">
        <v>1</v>
      </c>
      <c r="N341" s="8" t="s">
        <v>27</v>
      </c>
      <c r="O341" s="13"/>
      <c r="P341" s="14">
        <v>0.2</v>
      </c>
      <c r="Q341" s="15">
        <v>0.2</v>
      </c>
      <c r="R341" s="16" t="str">
        <f t="shared" si="42"/>
        <v>BOSE</v>
      </c>
      <c r="S341" s="17"/>
      <c r="T341" s="10" t="str">
        <f>G341</f>
        <v>ALTAVOZ DE MONTAJE EMPOTRADO DISEÑADO PARA LA MÚSICA DE FONDO.</v>
      </c>
    </row>
    <row r="342" spans="1:20" ht="27" customHeight="1" x14ac:dyDescent="0.25">
      <c r="A342" s="8" t="s">
        <v>867</v>
      </c>
      <c r="B342" s="9"/>
      <c r="C342" s="9"/>
      <c r="D342" s="8"/>
      <c r="E342" s="8"/>
      <c r="F342" s="8"/>
      <c r="G342" s="10"/>
      <c r="H342" s="8" t="s">
        <v>873</v>
      </c>
      <c r="I342" s="10" t="s">
        <v>874</v>
      </c>
      <c r="J342" s="11" t="s">
        <v>26</v>
      </c>
      <c r="K342" s="18">
        <v>217</v>
      </c>
      <c r="L342" s="12">
        <f t="shared" si="44"/>
        <v>310</v>
      </c>
      <c r="M342" s="8">
        <v>1</v>
      </c>
      <c r="N342" s="8" t="s">
        <v>27</v>
      </c>
      <c r="O342" s="13">
        <f>F342</f>
        <v>0</v>
      </c>
      <c r="P342" s="14">
        <v>0</v>
      </c>
      <c r="Q342" s="15">
        <v>0.3</v>
      </c>
      <c r="R342" s="16" t="str">
        <f t="shared" si="42"/>
        <v>BOSE</v>
      </c>
      <c r="S342" s="17"/>
      <c r="T342" s="10"/>
    </row>
    <row r="343" spans="1:20" ht="27" customHeight="1" x14ac:dyDescent="0.25">
      <c r="A343" s="8" t="s">
        <v>875</v>
      </c>
      <c r="B343" s="9" t="s">
        <v>812</v>
      </c>
      <c r="C343" s="9"/>
      <c r="D343" s="8"/>
      <c r="E343" s="8"/>
      <c r="F343" s="8" t="s">
        <v>22</v>
      </c>
      <c r="G343" s="10" t="s">
        <v>876</v>
      </c>
      <c r="H343" s="8" t="s">
        <v>877</v>
      </c>
      <c r="I343" s="10" t="s">
        <v>876</v>
      </c>
      <c r="J343" s="11" t="s">
        <v>26</v>
      </c>
      <c r="K343" s="18">
        <v>60</v>
      </c>
      <c r="L343" s="12">
        <f t="shared" si="44"/>
        <v>102.85714285714286</v>
      </c>
      <c r="M343" s="8">
        <v>1</v>
      </c>
      <c r="N343" s="8" t="s">
        <v>27</v>
      </c>
      <c r="O343" s="13"/>
      <c r="P343" s="14">
        <v>0.2</v>
      </c>
      <c r="Q343" s="15">
        <v>0.3</v>
      </c>
      <c r="R343" s="16" t="str">
        <f t="shared" si="42"/>
        <v>BOSH</v>
      </c>
      <c r="S343" s="17"/>
      <c r="T343" s="10" t="str">
        <f t="shared" ref="T343:T354" si="45">G343</f>
        <v>SENSOR PERIMETRAL</v>
      </c>
    </row>
    <row r="344" spans="1:20" ht="27" customHeight="1" x14ac:dyDescent="0.25">
      <c r="A344" s="8" t="s">
        <v>875</v>
      </c>
      <c r="B344" s="9" t="s">
        <v>868</v>
      </c>
      <c r="C344" s="9"/>
      <c r="D344" s="8" t="s">
        <v>869</v>
      </c>
      <c r="E344" s="8">
        <v>1</v>
      </c>
      <c r="F344" s="8" t="s">
        <v>22</v>
      </c>
      <c r="G344" s="10" t="s">
        <v>878</v>
      </c>
      <c r="H344" s="8" t="s">
        <v>877</v>
      </c>
      <c r="I344" s="10" t="s">
        <v>878</v>
      </c>
      <c r="J344" s="11" t="s">
        <v>26</v>
      </c>
      <c r="K344" s="18">
        <v>80</v>
      </c>
      <c r="L344" s="12">
        <f t="shared" si="44"/>
        <v>120</v>
      </c>
      <c r="M344" s="8">
        <v>1</v>
      </c>
      <c r="N344" s="8" t="s">
        <v>27</v>
      </c>
      <c r="O344" s="13"/>
      <c r="P344" s="14">
        <v>0.2</v>
      </c>
      <c r="Q344" s="15">
        <v>0.2</v>
      </c>
      <c r="R344" s="16" t="str">
        <f t="shared" si="42"/>
        <v>BOSH</v>
      </c>
      <c r="S344" s="17"/>
      <c r="T344" s="10" t="str">
        <f t="shared" si="45"/>
        <v>SENSOR FOTOELÉCTRICO PERIMETRAL</v>
      </c>
    </row>
    <row r="345" spans="1:20" ht="27" customHeight="1" x14ac:dyDescent="0.25">
      <c r="A345" s="8" t="s">
        <v>879</v>
      </c>
      <c r="B345" s="9" t="s">
        <v>868</v>
      </c>
      <c r="C345" s="9"/>
      <c r="D345" s="8" t="s">
        <v>869</v>
      </c>
      <c r="E345" s="8">
        <v>1</v>
      </c>
      <c r="F345" s="8" t="s">
        <v>22</v>
      </c>
      <c r="G345" s="10" t="s">
        <v>880</v>
      </c>
      <c r="H345" s="8" t="s">
        <v>881</v>
      </c>
      <c r="I345" s="10" t="s">
        <v>882</v>
      </c>
      <c r="J345" s="11" t="s">
        <v>26</v>
      </c>
      <c r="K345" s="18">
        <v>150</v>
      </c>
      <c r="L345" s="12">
        <f t="shared" si="44"/>
        <v>300</v>
      </c>
      <c r="M345" s="8">
        <v>3</v>
      </c>
      <c r="N345" s="8" t="s">
        <v>27</v>
      </c>
      <c r="O345" s="13"/>
      <c r="P345" s="14">
        <v>0.2</v>
      </c>
      <c r="Q345" s="15">
        <v>0.4</v>
      </c>
      <c r="R345" s="16" t="str">
        <f t="shared" si="42"/>
        <v>BOSTON ACOUSTICS</v>
      </c>
      <c r="S345" s="17"/>
      <c r="T345" s="10" t="str">
        <f t="shared" si="45"/>
        <v>ALTAVOCES PARA EXTERIORES DE ALTA FIDELIDAD EN COLOR NEGRO.</v>
      </c>
    </row>
    <row r="346" spans="1:20" ht="27" customHeight="1" x14ac:dyDescent="0.25">
      <c r="A346" s="8" t="s">
        <v>879</v>
      </c>
      <c r="B346" s="9" t="s">
        <v>868</v>
      </c>
      <c r="C346" s="9"/>
      <c r="D346" s="8" t="s">
        <v>869</v>
      </c>
      <c r="E346" s="8">
        <v>2</v>
      </c>
      <c r="F346" s="8" t="s">
        <v>22</v>
      </c>
      <c r="G346" s="10" t="s">
        <v>883</v>
      </c>
      <c r="H346" s="8" t="s">
        <v>884</v>
      </c>
      <c r="I346" s="10" t="s">
        <v>885</v>
      </c>
      <c r="J346" s="11" t="s">
        <v>26</v>
      </c>
      <c r="K346" s="18">
        <v>50</v>
      </c>
      <c r="L346" s="12">
        <f t="shared" si="44"/>
        <v>100</v>
      </c>
      <c r="M346" s="8">
        <v>3</v>
      </c>
      <c r="N346" s="8" t="s">
        <v>27</v>
      </c>
      <c r="O346" s="13"/>
      <c r="P346" s="14">
        <v>0.2</v>
      </c>
      <c r="Q346" s="15">
        <v>0.4</v>
      </c>
      <c r="R346" s="16" t="str">
        <f t="shared" si="42"/>
        <v>BOSTON ACOUSTICS</v>
      </c>
      <c r="S346" s="17"/>
      <c r="T346" s="10" t="str">
        <f t="shared" si="45"/>
        <v>ALTAVOZ DE SOBRE PONER EN COLOR NEGRO O BLANCO.</v>
      </c>
    </row>
    <row r="347" spans="1:20" ht="27" customHeight="1" x14ac:dyDescent="0.25">
      <c r="A347" s="8" t="s">
        <v>879</v>
      </c>
      <c r="B347" s="9" t="s">
        <v>868</v>
      </c>
      <c r="C347" s="9"/>
      <c r="D347" s="8">
        <v>5.0999999999999996</v>
      </c>
      <c r="E347" s="8">
        <v>1</v>
      </c>
      <c r="F347" s="8" t="s">
        <v>22</v>
      </c>
      <c r="G347" s="10" t="s">
        <v>886</v>
      </c>
      <c r="H347" s="8" t="s">
        <v>887</v>
      </c>
      <c r="I347" s="10" t="s">
        <v>886</v>
      </c>
      <c r="J347" s="11" t="s">
        <v>26</v>
      </c>
      <c r="K347" s="18">
        <v>266</v>
      </c>
      <c r="L347" s="12">
        <f t="shared" si="44"/>
        <v>532</v>
      </c>
      <c r="M347" s="8">
        <v>3</v>
      </c>
      <c r="N347" s="8" t="s">
        <v>27</v>
      </c>
      <c r="O347" s="13"/>
      <c r="P347" s="14">
        <v>0.2</v>
      </c>
      <c r="Q347" s="15">
        <v>0.4</v>
      </c>
      <c r="R347" s="16" t="str">
        <f t="shared" si="42"/>
        <v>BOSTON ACOUSTICS</v>
      </c>
      <c r="S347" s="17"/>
      <c r="T347" s="10" t="str">
        <f t="shared" si="45"/>
        <v>SISTEMA 5.1 ULTRA COMPACTO. CON 5 ALTAVOCES Y SUBWOOFER.</v>
      </c>
    </row>
    <row r="348" spans="1:20" ht="27" customHeight="1" x14ac:dyDescent="0.25">
      <c r="A348" s="8" t="s">
        <v>879</v>
      </c>
      <c r="B348" s="9" t="s">
        <v>868</v>
      </c>
      <c r="C348" s="9"/>
      <c r="D348" s="8">
        <v>5.0999999999999996</v>
      </c>
      <c r="E348" s="8">
        <v>1</v>
      </c>
      <c r="F348" s="8" t="s">
        <v>22</v>
      </c>
      <c r="G348" s="10" t="s">
        <v>888</v>
      </c>
      <c r="H348" s="8" t="s">
        <v>889</v>
      </c>
      <c r="I348" s="10" t="s">
        <v>888</v>
      </c>
      <c r="J348" s="11" t="s">
        <v>26</v>
      </c>
      <c r="K348" s="18">
        <v>135</v>
      </c>
      <c r="L348" s="12">
        <f t="shared" si="44"/>
        <v>270</v>
      </c>
      <c r="M348" s="8">
        <v>3</v>
      </c>
      <c r="N348" s="8" t="s">
        <v>27</v>
      </c>
      <c r="O348" s="13"/>
      <c r="P348" s="14">
        <v>0.2</v>
      </c>
      <c r="Q348" s="15">
        <v>0.4</v>
      </c>
      <c r="R348" s="16" t="str">
        <f t="shared" si="42"/>
        <v>BOSTON ACOUSTICS</v>
      </c>
      <c r="S348" s="17"/>
      <c r="T348" s="10" t="str">
        <f t="shared" si="45"/>
        <v>SUBWOOFER ACTIVO DE 100W 10"</v>
      </c>
    </row>
    <row r="349" spans="1:20" ht="27" customHeight="1" x14ac:dyDescent="0.25">
      <c r="A349" s="8" t="s">
        <v>879</v>
      </c>
      <c r="B349" s="9" t="s">
        <v>868</v>
      </c>
      <c r="C349" s="9"/>
      <c r="D349" s="8">
        <v>5.0999999999999996</v>
      </c>
      <c r="E349" s="8">
        <v>1</v>
      </c>
      <c r="F349" s="8" t="s">
        <v>22</v>
      </c>
      <c r="G349" s="10" t="s">
        <v>890</v>
      </c>
      <c r="H349" s="8" t="s">
        <v>891</v>
      </c>
      <c r="I349" s="10" t="s">
        <v>890</v>
      </c>
      <c r="J349" s="11" t="s">
        <v>26</v>
      </c>
      <c r="K349" s="18">
        <v>40</v>
      </c>
      <c r="L349" s="12">
        <f t="shared" si="44"/>
        <v>80</v>
      </c>
      <c r="M349" s="8">
        <v>3</v>
      </c>
      <c r="N349" s="8" t="s">
        <v>27</v>
      </c>
      <c r="O349" s="13"/>
      <c r="P349" s="14">
        <v>0.2</v>
      </c>
      <c r="Q349" s="15">
        <v>0.4</v>
      </c>
      <c r="R349" s="16" t="str">
        <f t="shared" si="42"/>
        <v>BOSTON ACOUSTICS</v>
      </c>
      <c r="S349" s="17"/>
      <c r="T349" s="10" t="str">
        <f t="shared" si="45"/>
        <v xml:space="preserve">ALTAVOZ ULTRA COMPACTO DE SOBRE PONER EN COLOR NEGRO O BLANCO. </v>
      </c>
    </row>
    <row r="350" spans="1:20" ht="27" customHeight="1" x14ac:dyDescent="0.25">
      <c r="A350" s="8" t="s">
        <v>879</v>
      </c>
      <c r="B350" s="9" t="s">
        <v>868</v>
      </c>
      <c r="C350" s="9"/>
      <c r="D350" s="8">
        <v>5.0999999999999996</v>
      </c>
      <c r="E350" s="8">
        <v>1</v>
      </c>
      <c r="F350" s="8" t="s">
        <v>22</v>
      </c>
      <c r="G350" s="10" t="s">
        <v>892</v>
      </c>
      <c r="H350" s="8" t="s">
        <v>893</v>
      </c>
      <c r="I350" s="10" t="s">
        <v>894</v>
      </c>
      <c r="J350" s="11" t="s">
        <v>26</v>
      </c>
      <c r="K350" s="18">
        <v>50</v>
      </c>
      <c r="L350" s="12">
        <f t="shared" si="44"/>
        <v>100</v>
      </c>
      <c r="M350" s="8">
        <v>3</v>
      </c>
      <c r="N350" s="8" t="s">
        <v>27</v>
      </c>
      <c r="O350" s="13"/>
      <c r="P350" s="14">
        <v>0.2</v>
      </c>
      <c r="Q350" s="15">
        <v>0.4</v>
      </c>
      <c r="R350" s="16" t="str">
        <f t="shared" si="42"/>
        <v>BOSTON ACOUSTICS</v>
      </c>
      <c r="S350" s="17"/>
      <c r="T350" s="10" t="str">
        <f t="shared" si="45"/>
        <v>ALTAVOZ DE 6.5", SUBWOOFER LAMINADO, IMPEDANCIA DE 8OHM.</v>
      </c>
    </row>
    <row r="351" spans="1:20" ht="27" customHeight="1" x14ac:dyDescent="0.25">
      <c r="A351" s="8" t="s">
        <v>879</v>
      </c>
      <c r="B351" s="9" t="s">
        <v>868</v>
      </c>
      <c r="C351" s="9"/>
      <c r="D351" s="8">
        <v>5.0999999999999996</v>
      </c>
      <c r="E351" s="8">
        <v>1</v>
      </c>
      <c r="F351" s="8" t="s">
        <v>22</v>
      </c>
      <c r="G351" s="10" t="s">
        <v>895</v>
      </c>
      <c r="H351" s="8" t="s">
        <v>896</v>
      </c>
      <c r="I351" s="10" t="s">
        <v>895</v>
      </c>
      <c r="J351" s="11" t="s">
        <v>26</v>
      </c>
      <c r="K351" s="18">
        <v>75</v>
      </c>
      <c r="L351" s="12">
        <f t="shared" si="44"/>
        <v>150</v>
      </c>
      <c r="M351" s="8">
        <v>3</v>
      </c>
      <c r="N351" s="8" t="s">
        <v>27</v>
      </c>
      <c r="O351" s="13"/>
      <c r="P351" s="14">
        <v>0.2</v>
      </c>
      <c r="Q351" s="15">
        <v>0.4</v>
      </c>
      <c r="R351" s="16" t="str">
        <f t="shared" si="42"/>
        <v>BOSTON ACOUSTICS</v>
      </c>
      <c r="S351" s="17"/>
      <c r="T351" s="10" t="str">
        <f t="shared" si="45"/>
        <v xml:space="preserve">ALTAVOZ CENTRAL CON SUBWOOFER DE 5.5", </v>
      </c>
    </row>
    <row r="352" spans="1:20" ht="27" customHeight="1" x14ac:dyDescent="0.25">
      <c r="A352" s="8" t="s">
        <v>879</v>
      </c>
      <c r="B352" s="9" t="s">
        <v>868</v>
      </c>
      <c r="C352" s="9"/>
      <c r="D352" s="8">
        <v>5.0999999999999996</v>
      </c>
      <c r="E352" s="8">
        <v>1</v>
      </c>
      <c r="F352" s="8" t="s">
        <v>22</v>
      </c>
      <c r="G352" s="10" t="s">
        <v>897</v>
      </c>
      <c r="H352" s="8" t="s">
        <v>898</v>
      </c>
      <c r="I352" s="10" t="s">
        <v>899</v>
      </c>
      <c r="J352" s="11" t="s">
        <v>26</v>
      </c>
      <c r="K352" s="18">
        <v>270</v>
      </c>
      <c r="L352" s="12">
        <f t="shared" si="44"/>
        <v>540</v>
      </c>
      <c r="M352" s="8">
        <v>3</v>
      </c>
      <c r="N352" s="8" t="s">
        <v>27</v>
      </c>
      <c r="O352" s="13"/>
      <c r="P352" s="14">
        <v>0.2</v>
      </c>
      <c r="Q352" s="15">
        <v>0.4</v>
      </c>
      <c r="R352" s="16" t="str">
        <f t="shared" si="42"/>
        <v>BOSTON ACOUSTICS</v>
      </c>
      <c r="S352" s="17"/>
      <c r="T352" s="10" t="str">
        <f t="shared" si="45"/>
        <v>BARRA DE SONIDO CON SUBWOOFER INALÁMBRICO.</v>
      </c>
    </row>
    <row r="353" spans="1:20" ht="27" customHeight="1" x14ac:dyDescent="0.25">
      <c r="A353" s="8" t="s">
        <v>879</v>
      </c>
      <c r="B353" s="9" t="s">
        <v>868</v>
      </c>
      <c r="C353" s="9"/>
      <c r="D353" s="8">
        <v>5.0999999999999996</v>
      </c>
      <c r="E353" s="8">
        <v>1</v>
      </c>
      <c r="F353" s="8" t="s">
        <v>22</v>
      </c>
      <c r="G353" s="10" t="s">
        <v>900</v>
      </c>
      <c r="H353" s="8" t="s">
        <v>901</v>
      </c>
      <c r="I353" s="10" t="s">
        <v>900</v>
      </c>
      <c r="J353" s="11" t="s">
        <v>26</v>
      </c>
      <c r="K353" s="18">
        <v>75</v>
      </c>
      <c r="L353" s="12">
        <f t="shared" si="44"/>
        <v>150</v>
      </c>
      <c r="M353" s="8">
        <v>3</v>
      </c>
      <c r="N353" s="8" t="s">
        <v>27</v>
      </c>
      <c r="O353" s="13"/>
      <c r="P353" s="14">
        <v>0.2</v>
      </c>
      <c r="Q353" s="15">
        <v>0.4</v>
      </c>
      <c r="R353" s="16" t="str">
        <f t="shared" si="42"/>
        <v>BOSTON ACOUSTICS</v>
      </c>
      <c r="S353" s="17"/>
      <c r="T353" s="10" t="str">
        <f t="shared" si="45"/>
        <v>PARLANTE CENTRAL CON DOS PARLANTES DE 5.25".</v>
      </c>
    </row>
    <row r="354" spans="1:20" ht="27" customHeight="1" x14ac:dyDescent="0.25">
      <c r="A354" s="8" t="s">
        <v>879</v>
      </c>
      <c r="B354" s="9"/>
      <c r="C354" s="9"/>
      <c r="D354" s="8" t="s">
        <v>45</v>
      </c>
      <c r="E354" s="8"/>
      <c r="F354" s="8" t="s">
        <v>22</v>
      </c>
      <c r="G354" s="10" t="s">
        <v>902</v>
      </c>
      <c r="H354" s="8" t="s">
        <v>903</v>
      </c>
      <c r="I354" s="10" t="s">
        <v>902</v>
      </c>
      <c r="J354" s="11" t="s">
        <v>26</v>
      </c>
      <c r="K354" s="18">
        <v>125</v>
      </c>
      <c r="L354" s="12">
        <f t="shared" si="44"/>
        <v>250</v>
      </c>
      <c r="M354" s="8">
        <v>1</v>
      </c>
      <c r="N354" s="8" t="s">
        <v>27</v>
      </c>
      <c r="O354" s="13"/>
      <c r="P354" s="14">
        <v>0.2</v>
      </c>
      <c r="Q354" s="15">
        <v>0.4</v>
      </c>
      <c r="R354" s="16" t="str">
        <f t="shared" si="42"/>
        <v>BOSTON ACOUSTICS</v>
      </c>
      <c r="S354" s="17"/>
      <c r="T354" s="10" t="str">
        <f t="shared" si="45"/>
        <v>ALTAVOZ CENTRAL CON WOOFERS DE 5.25", MANEJO DE POTENCIA HASTA 100W.</v>
      </c>
    </row>
    <row r="355" spans="1:20" ht="27" customHeight="1" x14ac:dyDescent="0.25">
      <c r="A355" s="8" t="s">
        <v>904</v>
      </c>
      <c r="B355" s="9"/>
      <c r="C355" s="9"/>
      <c r="D355" s="8"/>
      <c r="E355" s="8"/>
      <c r="F355" s="8"/>
      <c r="G355" s="10"/>
      <c r="H355" s="8" t="s">
        <v>905</v>
      </c>
      <c r="I355" s="10" t="s">
        <v>906</v>
      </c>
      <c r="J355" s="11" t="s">
        <v>26</v>
      </c>
      <c r="K355" s="18">
        <f>334/2</f>
        <v>167</v>
      </c>
      <c r="L355" s="12">
        <f t="shared" ref="L355:L362" si="46">K355*(1+P355)/(1-Q355)</f>
        <v>278.33333333333337</v>
      </c>
      <c r="M355" s="8">
        <v>1</v>
      </c>
      <c r="N355" s="8" t="s">
        <v>27</v>
      </c>
      <c r="O355" s="13"/>
      <c r="P355" s="14">
        <v>0</v>
      </c>
      <c r="Q355" s="15">
        <v>0.4</v>
      </c>
      <c r="R355" s="16" t="str">
        <f t="shared" si="42"/>
        <v>BOWER AND WILKINS</v>
      </c>
      <c r="S355" s="17"/>
      <c r="T355" s="10"/>
    </row>
    <row r="356" spans="1:20" ht="27" customHeight="1" x14ac:dyDescent="0.25">
      <c r="A356" s="8" t="s">
        <v>904</v>
      </c>
      <c r="B356" s="9"/>
      <c r="C356" s="9"/>
      <c r="D356" s="8"/>
      <c r="E356" s="8"/>
      <c r="F356" s="8"/>
      <c r="G356" s="10"/>
      <c r="H356" s="8" t="s">
        <v>907</v>
      </c>
      <c r="I356" s="10" t="s">
        <v>908</v>
      </c>
      <c r="J356" s="11" t="s">
        <v>26</v>
      </c>
      <c r="K356" s="18">
        <v>210</v>
      </c>
      <c r="L356" s="12">
        <f t="shared" si="46"/>
        <v>350</v>
      </c>
      <c r="M356" s="8">
        <v>1</v>
      </c>
      <c r="N356" s="8" t="s">
        <v>27</v>
      </c>
      <c r="O356" s="13"/>
      <c r="P356" s="14">
        <v>0</v>
      </c>
      <c r="Q356" s="15">
        <v>0.4</v>
      </c>
      <c r="R356" s="16" t="str">
        <f t="shared" si="42"/>
        <v>BOWER AND WILKINS</v>
      </c>
      <c r="S356" s="17"/>
      <c r="T356" s="10"/>
    </row>
    <row r="357" spans="1:20" ht="27" customHeight="1" x14ac:dyDescent="0.25">
      <c r="A357" s="8" t="s">
        <v>904</v>
      </c>
      <c r="B357" s="9"/>
      <c r="C357" s="9"/>
      <c r="D357" s="8"/>
      <c r="E357" s="8"/>
      <c r="F357" s="8"/>
      <c r="G357" s="10"/>
      <c r="H357" s="8" t="s">
        <v>909</v>
      </c>
      <c r="I357" s="10" t="s">
        <v>910</v>
      </c>
      <c r="J357" s="11" t="s">
        <v>26</v>
      </c>
      <c r="K357" s="18">
        <v>168</v>
      </c>
      <c r="L357" s="12">
        <f t="shared" si="46"/>
        <v>280</v>
      </c>
      <c r="M357" s="8">
        <v>1</v>
      </c>
      <c r="N357" s="8" t="s">
        <v>27</v>
      </c>
      <c r="O357" s="13"/>
      <c r="P357" s="14">
        <v>0</v>
      </c>
      <c r="Q357" s="15">
        <v>0.4</v>
      </c>
      <c r="R357" s="16" t="str">
        <f t="shared" si="42"/>
        <v>BOWER AND WILKINS</v>
      </c>
      <c r="S357" s="17"/>
      <c r="T357" s="10"/>
    </row>
    <row r="358" spans="1:20" ht="27" customHeight="1" x14ac:dyDescent="0.25">
      <c r="A358" s="8" t="s">
        <v>904</v>
      </c>
      <c r="B358" s="9"/>
      <c r="C358" s="9"/>
      <c r="D358" s="8"/>
      <c r="E358" s="8"/>
      <c r="F358" s="8"/>
      <c r="G358" s="10"/>
      <c r="H358" s="8" t="s">
        <v>911</v>
      </c>
      <c r="I358" s="10" t="s">
        <v>912</v>
      </c>
      <c r="J358" s="11" t="s">
        <v>26</v>
      </c>
      <c r="K358" s="18">
        <v>300</v>
      </c>
      <c r="L358" s="12">
        <f t="shared" si="46"/>
        <v>500</v>
      </c>
      <c r="M358" s="8">
        <v>1</v>
      </c>
      <c r="N358" s="8" t="s">
        <v>27</v>
      </c>
      <c r="O358" s="13"/>
      <c r="P358" s="14">
        <v>0</v>
      </c>
      <c r="Q358" s="15">
        <v>0.4</v>
      </c>
      <c r="R358" s="16" t="str">
        <f t="shared" si="42"/>
        <v>BOWER AND WILKINS</v>
      </c>
      <c r="S358" s="17"/>
      <c r="T358" s="10"/>
    </row>
    <row r="359" spans="1:20" ht="27" customHeight="1" x14ac:dyDescent="0.25">
      <c r="A359" s="8" t="s">
        <v>904</v>
      </c>
      <c r="B359" s="9"/>
      <c r="C359" s="9"/>
      <c r="D359" s="8"/>
      <c r="E359" s="8"/>
      <c r="F359" s="8"/>
      <c r="G359" s="10"/>
      <c r="H359" s="8" t="s">
        <v>913</v>
      </c>
      <c r="I359" s="10" t="s">
        <v>910</v>
      </c>
      <c r="J359" s="11" t="s">
        <v>26</v>
      </c>
      <c r="K359" s="18">
        <v>130</v>
      </c>
      <c r="L359" s="12">
        <f t="shared" si="46"/>
        <v>200.0000007878302</v>
      </c>
      <c r="M359" s="8">
        <v>1</v>
      </c>
      <c r="N359" s="8" t="s">
        <v>27</v>
      </c>
      <c r="O359" s="13"/>
      <c r="P359" s="14">
        <v>0</v>
      </c>
      <c r="Q359" s="15">
        <v>0.35000000256044811</v>
      </c>
      <c r="R359" s="16" t="str">
        <f t="shared" si="42"/>
        <v>BOWER AND WILKINS</v>
      </c>
      <c r="S359" s="17"/>
      <c r="T359" s="10"/>
    </row>
    <row r="360" spans="1:20" ht="27" customHeight="1" x14ac:dyDescent="0.25">
      <c r="A360" s="8" t="s">
        <v>904</v>
      </c>
      <c r="B360" s="9"/>
      <c r="C360" s="9"/>
      <c r="D360" s="8"/>
      <c r="E360" s="8"/>
      <c r="F360" s="8"/>
      <c r="G360" s="10"/>
      <c r="H360" s="8" t="s">
        <v>914</v>
      </c>
      <c r="I360" s="10" t="s">
        <v>915</v>
      </c>
      <c r="J360" s="11" t="s">
        <v>26</v>
      </c>
      <c r="K360" s="18">
        <v>448.5</v>
      </c>
      <c r="L360" s="12">
        <f t="shared" si="46"/>
        <v>690</v>
      </c>
      <c r="M360" s="8">
        <v>1</v>
      </c>
      <c r="N360" s="8" t="s">
        <v>27</v>
      </c>
      <c r="O360" s="13"/>
      <c r="P360" s="14">
        <v>0</v>
      </c>
      <c r="Q360" s="15">
        <v>0.35</v>
      </c>
      <c r="R360" s="16" t="str">
        <f t="shared" si="42"/>
        <v>BOWER AND WILKINS</v>
      </c>
      <c r="S360" s="17"/>
      <c r="T360" s="10"/>
    </row>
    <row r="361" spans="1:20" ht="27" customHeight="1" x14ac:dyDescent="0.25">
      <c r="A361" s="8" t="s">
        <v>904</v>
      </c>
      <c r="B361" s="9"/>
      <c r="C361" s="9"/>
      <c r="D361" s="8"/>
      <c r="E361" s="8"/>
      <c r="F361" s="8"/>
      <c r="G361" s="10"/>
      <c r="H361" s="8" t="s">
        <v>916</v>
      </c>
      <c r="I361" s="10" t="s">
        <v>917</v>
      </c>
      <c r="J361" s="11" t="s">
        <v>26</v>
      </c>
      <c r="K361" s="18">
        <v>364</v>
      </c>
      <c r="L361" s="12">
        <f t="shared" si="46"/>
        <v>520</v>
      </c>
      <c r="M361" s="8">
        <v>1</v>
      </c>
      <c r="N361" s="8" t="s">
        <v>27</v>
      </c>
      <c r="O361" s="13"/>
      <c r="P361" s="14">
        <v>0</v>
      </c>
      <c r="Q361" s="15">
        <v>0.3</v>
      </c>
      <c r="R361" s="16" t="str">
        <f t="shared" si="42"/>
        <v>BOWER AND WILKINS</v>
      </c>
      <c r="S361" s="17"/>
      <c r="T361" s="10"/>
    </row>
    <row r="362" spans="1:20" ht="27" customHeight="1" x14ac:dyDescent="0.25">
      <c r="A362" s="8" t="s">
        <v>904</v>
      </c>
      <c r="B362" s="9"/>
      <c r="C362" s="9"/>
      <c r="D362" s="8"/>
      <c r="E362" s="8"/>
      <c r="F362" s="8"/>
      <c r="G362" s="10"/>
      <c r="H362" s="8" t="s">
        <v>918</v>
      </c>
      <c r="I362" s="10" t="s">
        <v>919</v>
      </c>
      <c r="J362" s="11" t="s">
        <v>26</v>
      </c>
      <c r="K362" s="18">
        <v>257</v>
      </c>
      <c r="L362" s="12">
        <f t="shared" si="46"/>
        <v>428.33333333333337</v>
      </c>
      <c r="M362" s="8">
        <v>1</v>
      </c>
      <c r="N362" s="8" t="s">
        <v>27</v>
      </c>
      <c r="O362" s="13"/>
      <c r="P362" s="14">
        <v>0</v>
      </c>
      <c r="Q362" s="15">
        <v>0.4</v>
      </c>
      <c r="R362" s="16" t="str">
        <f t="shared" si="42"/>
        <v>BOWER AND WILKINS</v>
      </c>
      <c r="S362" s="17"/>
      <c r="T362" s="10"/>
    </row>
    <row r="363" spans="1:20" ht="27" customHeight="1" x14ac:dyDescent="0.25">
      <c r="A363" s="8" t="s">
        <v>904</v>
      </c>
      <c r="B363" s="9"/>
      <c r="C363" s="9"/>
      <c r="D363" s="8"/>
      <c r="E363" s="8"/>
      <c r="F363" s="8"/>
      <c r="G363" s="10"/>
      <c r="H363" s="8" t="s">
        <v>920</v>
      </c>
      <c r="I363" s="10" t="s">
        <v>921</v>
      </c>
      <c r="J363" s="11" t="s">
        <v>26</v>
      </c>
      <c r="K363" s="18">
        <v>273</v>
      </c>
      <c r="L363" s="12">
        <f>ROUNDUP(K363*(1+P363)/(1-Q363),0)</f>
        <v>420</v>
      </c>
      <c r="M363" s="8">
        <v>1</v>
      </c>
      <c r="N363" s="8" t="s">
        <v>27</v>
      </c>
      <c r="O363" s="13"/>
      <c r="P363" s="14">
        <v>0</v>
      </c>
      <c r="Q363" s="15">
        <v>0.35</v>
      </c>
      <c r="R363" s="16" t="str">
        <f t="shared" si="42"/>
        <v>BOWER AND WILKINS</v>
      </c>
      <c r="S363" s="17"/>
      <c r="T363" s="10"/>
    </row>
    <row r="364" spans="1:20" ht="27" customHeight="1" x14ac:dyDescent="0.25">
      <c r="A364" s="8" t="s">
        <v>904</v>
      </c>
      <c r="B364" s="9"/>
      <c r="C364" s="9"/>
      <c r="D364" s="8"/>
      <c r="E364" s="8"/>
      <c r="F364" s="8"/>
      <c r="G364" s="10"/>
      <c r="H364" s="8" t="s">
        <v>922</v>
      </c>
      <c r="I364" s="10" t="s">
        <v>923</v>
      </c>
      <c r="J364" s="11" t="s">
        <v>26</v>
      </c>
      <c r="K364" s="18">
        <v>60</v>
      </c>
      <c r="L364" s="12">
        <f>ROUNDUP(K364*(1+P364)/(1-Q364),0)</f>
        <v>100</v>
      </c>
      <c r="M364" s="8">
        <v>1</v>
      </c>
      <c r="N364" s="8" t="s">
        <v>27</v>
      </c>
      <c r="O364" s="13"/>
      <c r="P364" s="14">
        <v>0</v>
      </c>
      <c r="Q364" s="15">
        <v>0.4</v>
      </c>
      <c r="R364" s="16" t="str">
        <f t="shared" si="42"/>
        <v>BOWER AND WILKINS</v>
      </c>
      <c r="S364" s="17"/>
      <c r="T364" s="10"/>
    </row>
    <row r="365" spans="1:20" ht="27" customHeight="1" x14ac:dyDescent="0.25">
      <c r="A365" s="8" t="s">
        <v>924</v>
      </c>
      <c r="B365" s="9"/>
      <c r="C365" s="9"/>
      <c r="D365" s="8"/>
      <c r="E365" s="8"/>
      <c r="F365" s="8" t="s">
        <v>22</v>
      </c>
      <c r="G365" s="10" t="s">
        <v>925</v>
      </c>
      <c r="H365" s="8" t="s">
        <v>926</v>
      </c>
      <c r="I365" s="10" t="s">
        <v>925</v>
      </c>
      <c r="J365" s="11" t="s">
        <v>33</v>
      </c>
      <c r="K365" s="18">
        <v>548000</v>
      </c>
      <c r="L365" s="12">
        <f>IF(J365="P",ROUNDUP(K365/(1-Q365),-2),K365*(1+P365)/(1-Q365))</f>
        <v>913400</v>
      </c>
      <c r="M365" s="8">
        <v>1</v>
      </c>
      <c r="N365" s="8" t="s">
        <v>27</v>
      </c>
      <c r="O365" s="13"/>
      <c r="P365" s="14">
        <v>0.2</v>
      </c>
      <c r="Q365" s="15">
        <v>0.4</v>
      </c>
      <c r="R365" s="16" t="str">
        <f t="shared" si="42"/>
        <v>BOXNUC</v>
      </c>
      <c r="S365" s="17"/>
      <c r="T365" s="10" t="str">
        <f>G365</f>
        <v>PROCESADOR CELERON 1.6GHz, SALIDA HDMI, 8G DE MEMORIA.</v>
      </c>
    </row>
    <row r="366" spans="1:20" ht="27" customHeight="1" x14ac:dyDescent="0.25">
      <c r="A366" s="8" t="s">
        <v>927</v>
      </c>
      <c r="B366" s="9"/>
      <c r="C366" s="9"/>
      <c r="D366" s="8"/>
      <c r="E366" s="8"/>
      <c r="F366" s="8" t="s">
        <v>22</v>
      </c>
      <c r="G366" s="10" t="s">
        <v>928</v>
      </c>
      <c r="H366" s="8" t="s">
        <v>929</v>
      </c>
      <c r="I366" s="10" t="s">
        <v>928</v>
      </c>
      <c r="J366" s="11" t="s">
        <v>33</v>
      </c>
      <c r="K366" s="18">
        <v>69000</v>
      </c>
      <c r="L366" s="12">
        <f>IF(J366="P",ROUNDUP(K366/(1-Q366),-2),K366*(1+P366)/(1-Q366))</f>
        <v>115000</v>
      </c>
      <c r="M366" s="8">
        <v>1</v>
      </c>
      <c r="N366" s="8" t="s">
        <v>27</v>
      </c>
      <c r="O366" s="13"/>
      <c r="P366" s="14">
        <v>0.2</v>
      </c>
      <c r="Q366" s="15">
        <v>0.4</v>
      </c>
      <c r="R366" s="16" t="str">
        <f t="shared" si="42"/>
        <v>BRATECK</v>
      </c>
      <c r="S366" s="17"/>
      <c r="T366" s="10" t="str">
        <f>G366</f>
        <v>SOPORTE UNIVERSAL PARA PROYECTOR EN TECHO, DE BRAZO CORTO</v>
      </c>
    </row>
    <row r="367" spans="1:20" ht="27" customHeight="1" x14ac:dyDescent="0.25">
      <c r="A367" s="8" t="s">
        <v>930</v>
      </c>
      <c r="B367" s="9" t="s">
        <v>931</v>
      </c>
      <c r="C367" s="9"/>
      <c r="D367" s="8"/>
      <c r="E367" s="8">
        <v>1</v>
      </c>
      <c r="F367" s="8" t="s">
        <v>22</v>
      </c>
      <c r="G367" s="10" t="s">
        <v>932</v>
      </c>
      <c r="H367" s="8" t="s">
        <v>933</v>
      </c>
      <c r="I367" s="10" t="s">
        <v>934</v>
      </c>
      <c r="J367" s="11" t="s">
        <v>26</v>
      </c>
      <c r="K367" s="18">
        <v>898</v>
      </c>
      <c r="L367" s="12">
        <f>IF(J367="P",ROUNDUP(K367/(1-Q367),-2),K367*(1+P367)/(1-Q367))</f>
        <v>1346.9999999999998</v>
      </c>
      <c r="M367" s="8">
        <v>1</v>
      </c>
      <c r="N367" s="8" t="s">
        <v>27</v>
      </c>
      <c r="O367" s="13"/>
      <c r="P367" s="14">
        <v>0.2</v>
      </c>
      <c r="Q367" s="15">
        <v>0.2</v>
      </c>
      <c r="R367" s="16" t="str">
        <f t="shared" si="42"/>
        <v>BRIGHTLINK</v>
      </c>
      <c r="S367" s="17"/>
      <c r="T367" s="10" t="str">
        <f>G367</f>
        <v>SPLITTER PARA TRANSMISIÓN DE SEÑALES HDMI A 1080P POR CABLE CATEGORÍA 5/6.</v>
      </c>
    </row>
    <row r="368" spans="1:20" ht="27" customHeight="1" x14ac:dyDescent="0.25">
      <c r="A368" s="8" t="s">
        <v>935</v>
      </c>
      <c r="B368" s="9"/>
      <c r="C368" s="9"/>
      <c r="D368" s="8"/>
      <c r="E368" s="8"/>
      <c r="F368" s="8"/>
      <c r="G368" s="10"/>
      <c r="H368" s="8" t="s">
        <v>936</v>
      </c>
      <c r="I368" s="10" t="s">
        <v>937</v>
      </c>
      <c r="J368" s="11" t="s">
        <v>33</v>
      </c>
      <c r="K368" s="18">
        <v>22000</v>
      </c>
      <c r="L368" s="12">
        <f>ROUNDUP(K368*(1+P368)/(1-Q368),0)</f>
        <v>31429</v>
      </c>
      <c r="M368" s="8">
        <v>1</v>
      </c>
      <c r="N368" s="8" t="s">
        <v>27</v>
      </c>
      <c r="O368" s="13"/>
      <c r="P368" s="14">
        <v>0</v>
      </c>
      <c r="Q368" s="15">
        <v>0.3</v>
      </c>
      <c r="R368" s="16" t="str">
        <f t="shared" si="42"/>
        <v>BRIOLIGHT</v>
      </c>
      <c r="S368" s="17"/>
      <c r="T368" s="10"/>
    </row>
    <row r="369" spans="1:20" ht="27" customHeight="1" x14ac:dyDescent="0.25">
      <c r="A369" s="8" t="s">
        <v>938</v>
      </c>
      <c r="B369" s="9"/>
      <c r="C369" s="9"/>
      <c r="D369" s="8" t="s">
        <v>45</v>
      </c>
      <c r="E369" s="8"/>
      <c r="F369" s="8" t="s">
        <v>22</v>
      </c>
      <c r="G369" s="10" t="s">
        <v>939</v>
      </c>
      <c r="H369" s="8" t="s">
        <v>940</v>
      </c>
      <c r="I369" s="10" t="s">
        <v>939</v>
      </c>
      <c r="J369" s="11" t="s">
        <v>26</v>
      </c>
      <c r="K369" s="18">
        <v>3581</v>
      </c>
      <c r="L369" s="12">
        <f t="shared" ref="L369:L413" si="47">IF(J369="P",ROUNDUP(K369/(1-Q369),-2),K369*(1+P369)/(1-Q369))</f>
        <v>5115.7142857142862</v>
      </c>
      <c r="M369" s="8">
        <v>1</v>
      </c>
      <c r="N369" s="8" t="s">
        <v>27</v>
      </c>
      <c r="O369" s="13"/>
      <c r="P369" s="14">
        <v>0</v>
      </c>
      <c r="Q369" s="15">
        <v>0.3</v>
      </c>
      <c r="R369" s="16" t="str">
        <f t="shared" si="42"/>
        <v>BSS</v>
      </c>
      <c r="S369" s="17"/>
      <c r="T369" s="10" t="str">
        <f t="shared" ref="T369:T400" si="48">G369</f>
        <v>PROCESADOR DIGITAL DE AUDIO CON BLU LINK Y DANTE</v>
      </c>
    </row>
    <row r="370" spans="1:20" ht="27" customHeight="1" x14ac:dyDescent="0.25">
      <c r="A370" s="8" t="s">
        <v>941</v>
      </c>
      <c r="B370" s="9"/>
      <c r="C370" s="9"/>
      <c r="D370" s="8"/>
      <c r="E370" s="8"/>
      <c r="F370" s="8" t="s">
        <v>22</v>
      </c>
      <c r="G370" s="10" t="s">
        <v>942</v>
      </c>
      <c r="H370" s="8" t="s">
        <v>943</v>
      </c>
      <c r="I370" s="10" t="s">
        <v>942</v>
      </c>
      <c r="J370" s="11" t="s">
        <v>33</v>
      </c>
      <c r="K370" s="18">
        <v>1750</v>
      </c>
      <c r="L370" s="12">
        <f t="shared" si="47"/>
        <v>2500</v>
      </c>
      <c r="M370" s="8">
        <v>1</v>
      </c>
      <c r="N370" s="8" t="s">
        <v>27</v>
      </c>
      <c r="O370" s="13"/>
      <c r="P370" s="14">
        <v>0.2</v>
      </c>
      <c r="Q370" s="15">
        <v>0.3</v>
      </c>
      <c r="R370" s="16" t="str">
        <f t="shared" si="42"/>
        <v>BTICINO</v>
      </c>
      <c r="S370" s="17"/>
      <c r="T370" s="10" t="str">
        <f t="shared" si="48"/>
        <v>MODULO CIEGO LIVING LIGHT</v>
      </c>
    </row>
    <row r="371" spans="1:20" ht="27" customHeight="1" x14ac:dyDescent="0.25">
      <c r="A371" s="8" t="s">
        <v>941</v>
      </c>
      <c r="B371" s="9"/>
      <c r="C371" s="9"/>
      <c r="D371" s="8"/>
      <c r="E371" s="8"/>
      <c r="F371" s="8" t="s">
        <v>22</v>
      </c>
      <c r="G371" s="10" t="s">
        <v>944</v>
      </c>
      <c r="H371" s="8" t="s">
        <v>945</v>
      </c>
      <c r="I371" s="10" t="s">
        <v>944</v>
      </c>
      <c r="J371" s="11" t="s">
        <v>33</v>
      </c>
      <c r="K371" s="18">
        <v>20000</v>
      </c>
      <c r="L371" s="12">
        <f t="shared" si="47"/>
        <v>28600</v>
      </c>
      <c r="M371" s="8">
        <v>1</v>
      </c>
      <c r="N371" s="8" t="s">
        <v>27</v>
      </c>
      <c r="O371" s="13"/>
      <c r="P371" s="14">
        <v>0.2</v>
      </c>
      <c r="Q371" s="15">
        <v>0.3</v>
      </c>
      <c r="R371" s="16" t="str">
        <f t="shared" si="42"/>
        <v>BTICINO</v>
      </c>
      <c r="S371" s="17"/>
      <c r="T371" s="10" t="str">
        <f t="shared" si="48"/>
        <v>TOMA CORRIENTE 15A BLANCO LÍNEA LUZICA</v>
      </c>
    </row>
    <row r="372" spans="1:20" ht="27" customHeight="1" x14ac:dyDescent="0.25">
      <c r="A372" s="8" t="s">
        <v>941</v>
      </c>
      <c r="B372" s="9" t="s">
        <v>946</v>
      </c>
      <c r="C372" s="9"/>
      <c r="D372" s="8" t="s">
        <v>947</v>
      </c>
      <c r="E372" s="8">
        <v>1</v>
      </c>
      <c r="F372" s="8" t="s">
        <v>22</v>
      </c>
      <c r="G372" s="10" t="s">
        <v>948</v>
      </c>
      <c r="H372" s="8" t="s">
        <v>949</v>
      </c>
      <c r="I372" s="10" t="s">
        <v>948</v>
      </c>
      <c r="J372" s="11" t="s">
        <v>26</v>
      </c>
      <c r="K372" s="18">
        <f>35.36*0.75</f>
        <v>26.52</v>
      </c>
      <c r="L372" s="12">
        <f t="shared" si="47"/>
        <v>45.462857142857146</v>
      </c>
      <c r="M372" s="8">
        <v>1</v>
      </c>
      <c r="N372" s="8" t="s">
        <v>27</v>
      </c>
      <c r="O372" s="13"/>
      <c r="P372" s="14">
        <v>0.2</v>
      </c>
      <c r="Q372" s="15">
        <v>0.3</v>
      </c>
      <c r="R372" s="16" t="str">
        <f t="shared" si="42"/>
        <v>BTICINO</v>
      </c>
      <c r="S372" s="17"/>
      <c r="T372" s="10" t="str">
        <f t="shared" si="48"/>
        <v>CITÓFONO DE TRANSMISIÓN A DOS HILOS. MARCA: BTICINO.</v>
      </c>
    </row>
    <row r="373" spans="1:20" ht="27" customHeight="1" x14ac:dyDescent="0.25">
      <c r="A373" s="8" t="s">
        <v>941</v>
      </c>
      <c r="B373" s="9" t="s">
        <v>946</v>
      </c>
      <c r="C373" s="9"/>
      <c r="D373" s="8" t="s">
        <v>947</v>
      </c>
      <c r="E373" s="8">
        <v>1</v>
      </c>
      <c r="F373" s="8" t="s">
        <v>22</v>
      </c>
      <c r="G373" s="10" t="s">
        <v>950</v>
      </c>
      <c r="H373" s="8" t="s">
        <v>951</v>
      </c>
      <c r="I373" s="10" t="s">
        <v>952</v>
      </c>
      <c r="J373" s="11" t="s">
        <v>33</v>
      </c>
      <c r="K373" s="18">
        <f>3100+23800+11500</f>
        <v>38400</v>
      </c>
      <c r="L373" s="12">
        <f t="shared" si="47"/>
        <v>48000</v>
      </c>
      <c r="M373" s="8">
        <v>1</v>
      </c>
      <c r="N373" s="8" t="s">
        <v>27</v>
      </c>
      <c r="O373" s="13"/>
      <c r="P373" s="14">
        <v>0.2</v>
      </c>
      <c r="Q373" s="15">
        <v>0.2</v>
      </c>
      <c r="R373" s="16" t="str">
        <f t="shared" si="42"/>
        <v>BTICINO</v>
      </c>
      <c r="S373" s="17"/>
      <c r="T373" s="10" t="str">
        <f t="shared" si="48"/>
        <v>TOMA CORRIENTE BLANCO COMPUESTO.</v>
      </c>
    </row>
    <row r="374" spans="1:20" ht="27" customHeight="1" x14ac:dyDescent="0.25">
      <c r="A374" s="8" t="s">
        <v>941</v>
      </c>
      <c r="B374" s="9" t="s">
        <v>946</v>
      </c>
      <c r="C374" s="9"/>
      <c r="D374" s="8" t="s">
        <v>947</v>
      </c>
      <c r="E374" s="8">
        <v>1</v>
      </c>
      <c r="F374" s="8" t="s">
        <v>22</v>
      </c>
      <c r="G374" s="10" t="s">
        <v>950</v>
      </c>
      <c r="H374" s="8" t="s">
        <v>953</v>
      </c>
      <c r="I374" s="10" t="s">
        <v>954</v>
      </c>
      <c r="J374" s="11" t="s">
        <v>33</v>
      </c>
      <c r="K374" s="18">
        <f>3100+95100+11500</f>
        <v>109700</v>
      </c>
      <c r="L374" s="12">
        <f t="shared" si="47"/>
        <v>137200</v>
      </c>
      <c r="M374" s="8">
        <v>1</v>
      </c>
      <c r="N374" s="8" t="s">
        <v>27</v>
      </c>
      <c r="O374" s="13"/>
      <c r="P374" s="14">
        <v>0.2</v>
      </c>
      <c r="Q374" s="15">
        <v>0.2</v>
      </c>
      <c r="R374" s="16" t="str">
        <f t="shared" si="42"/>
        <v>BTICINO</v>
      </c>
      <c r="S374" s="17"/>
      <c r="T374" s="10" t="str">
        <f t="shared" si="48"/>
        <v>TOMA CORRIENTE BLANCO COMPUESTO.</v>
      </c>
    </row>
    <row r="375" spans="1:20" ht="27" customHeight="1" x14ac:dyDescent="0.25">
      <c r="A375" s="8" t="s">
        <v>941</v>
      </c>
      <c r="B375" s="9" t="s">
        <v>946</v>
      </c>
      <c r="C375" s="9"/>
      <c r="D375" s="8" t="s">
        <v>947</v>
      </c>
      <c r="E375" s="8">
        <v>1</v>
      </c>
      <c r="F375" s="8" t="s">
        <v>22</v>
      </c>
      <c r="G375" s="10" t="s">
        <v>955</v>
      </c>
      <c r="H375" s="8" t="s">
        <v>956</v>
      </c>
      <c r="I375" s="10" t="s">
        <v>957</v>
      </c>
      <c r="J375" s="11" t="s">
        <v>33</v>
      </c>
      <c r="K375" s="18">
        <f>2100*2+13000+3100+11500+6500</f>
        <v>38300</v>
      </c>
      <c r="L375" s="12">
        <f t="shared" si="47"/>
        <v>54800</v>
      </c>
      <c r="M375" s="8">
        <v>1</v>
      </c>
      <c r="N375" s="8" t="s">
        <v>27</v>
      </c>
      <c r="O375" s="13"/>
      <c r="P375" s="14">
        <v>0.2</v>
      </c>
      <c r="Q375" s="15">
        <v>0.3</v>
      </c>
      <c r="R375" s="16" t="str">
        <f t="shared" si="42"/>
        <v>BTICINO</v>
      </c>
      <c r="S375" s="17"/>
      <c r="T375" s="10" t="str">
        <f t="shared" si="48"/>
        <v xml:space="preserve">INTERRUPTOR SENCILLO CON TAPA DECORATIVA LÍNEA LIVING. </v>
      </c>
    </row>
    <row r="376" spans="1:20" ht="27" customHeight="1" x14ac:dyDescent="0.25">
      <c r="A376" s="8" t="s">
        <v>941</v>
      </c>
      <c r="B376" s="9" t="s">
        <v>946</v>
      </c>
      <c r="C376" s="9"/>
      <c r="D376" s="8" t="s">
        <v>947</v>
      </c>
      <c r="E376" s="8">
        <v>1</v>
      </c>
      <c r="F376" s="8" t="s">
        <v>22</v>
      </c>
      <c r="G376" s="10" t="s">
        <v>955</v>
      </c>
      <c r="H376" s="8" t="s">
        <v>958</v>
      </c>
      <c r="I376" s="10" t="s">
        <v>959</v>
      </c>
      <c r="J376" s="11" t="s">
        <v>33</v>
      </c>
      <c r="K376" s="18">
        <f>2100+13000*2+3100+11500+6500*2</f>
        <v>55700</v>
      </c>
      <c r="L376" s="12">
        <f t="shared" si="47"/>
        <v>74300</v>
      </c>
      <c r="M376" s="8">
        <v>1</v>
      </c>
      <c r="N376" s="8" t="s">
        <v>27</v>
      </c>
      <c r="O376" s="13"/>
      <c r="P376" s="14">
        <v>0.2</v>
      </c>
      <c r="Q376" s="15">
        <v>0.25</v>
      </c>
      <c r="R376" s="16" t="str">
        <f t="shared" si="42"/>
        <v>BTICINO</v>
      </c>
      <c r="S376" s="17"/>
      <c r="T376" s="10" t="str">
        <f t="shared" si="48"/>
        <v xml:space="preserve">INTERRUPTOR SENCILLO CON TAPA DECORATIVA LÍNEA LIVING. </v>
      </c>
    </row>
    <row r="377" spans="1:20" ht="27" customHeight="1" x14ac:dyDescent="0.25">
      <c r="A377" s="8" t="s">
        <v>941</v>
      </c>
      <c r="B377" s="9" t="s">
        <v>946</v>
      </c>
      <c r="C377" s="9"/>
      <c r="D377" s="8" t="s">
        <v>947</v>
      </c>
      <c r="E377" s="8">
        <v>1</v>
      </c>
      <c r="F377" s="8" t="s">
        <v>22</v>
      </c>
      <c r="G377" s="10" t="s">
        <v>960</v>
      </c>
      <c r="H377" s="8" t="s">
        <v>961</v>
      </c>
      <c r="I377" s="10" t="s">
        <v>962</v>
      </c>
      <c r="J377" s="11" t="s">
        <v>33</v>
      </c>
      <c r="K377" s="18">
        <f>2100*2+14900+3100+11500+6500</f>
        <v>40200</v>
      </c>
      <c r="L377" s="12">
        <f t="shared" si="47"/>
        <v>53600</v>
      </c>
      <c r="M377" s="8">
        <v>1</v>
      </c>
      <c r="N377" s="8" t="s">
        <v>27</v>
      </c>
      <c r="O377" s="13"/>
      <c r="P377" s="14">
        <v>0.2</v>
      </c>
      <c r="Q377" s="15">
        <v>0.25</v>
      </c>
      <c r="R377" s="16" t="str">
        <f t="shared" si="42"/>
        <v>BTICINO</v>
      </c>
      <c r="S377" s="17"/>
      <c r="T377" s="10" t="str">
        <f t="shared" si="48"/>
        <v>INTERRUPTOR SENCILLO CONMUTABLE CON TAPA DECORATIVA LÍNEA LIVING.</v>
      </c>
    </row>
    <row r="378" spans="1:20" ht="27" customHeight="1" x14ac:dyDescent="0.25">
      <c r="A378" s="8" t="s">
        <v>941</v>
      </c>
      <c r="B378" s="9" t="s">
        <v>946</v>
      </c>
      <c r="C378" s="9"/>
      <c r="D378" s="8" t="s">
        <v>947</v>
      </c>
      <c r="E378" s="8">
        <v>1</v>
      </c>
      <c r="F378" s="8" t="s">
        <v>22</v>
      </c>
      <c r="G378" s="10" t="s">
        <v>963</v>
      </c>
      <c r="H378" s="8" t="s">
        <v>964</v>
      </c>
      <c r="I378" s="10" t="s">
        <v>965</v>
      </c>
      <c r="J378" s="11" t="s">
        <v>33</v>
      </c>
      <c r="K378" s="18">
        <f>2100+14900*2+3100+11500+6500*2</f>
        <v>59500</v>
      </c>
      <c r="L378" s="12">
        <f t="shared" si="47"/>
        <v>79400</v>
      </c>
      <c r="M378" s="8">
        <v>1</v>
      </c>
      <c r="N378" s="8" t="s">
        <v>27</v>
      </c>
      <c r="O378" s="13"/>
      <c r="P378" s="14">
        <v>0.2</v>
      </c>
      <c r="Q378" s="15">
        <v>0.25</v>
      </c>
      <c r="R378" s="16" t="str">
        <f t="shared" si="42"/>
        <v>BTICINO</v>
      </c>
      <c r="S378" s="17"/>
      <c r="T378" s="10" t="str">
        <f t="shared" si="48"/>
        <v xml:space="preserve">INTERRUPTOR DOBLE CONMUTABLE CON TAPA DECORATIVA LÍNEA LIVING. </v>
      </c>
    </row>
    <row r="379" spans="1:20" ht="27" customHeight="1" x14ac:dyDescent="0.25">
      <c r="A379" s="8" t="s">
        <v>941</v>
      </c>
      <c r="B379" s="9" t="s">
        <v>946</v>
      </c>
      <c r="C379" s="9"/>
      <c r="D379" s="8" t="s">
        <v>947</v>
      </c>
      <c r="E379" s="8">
        <v>1</v>
      </c>
      <c r="F379" s="8" t="s">
        <v>22</v>
      </c>
      <c r="G379" s="10" t="s">
        <v>966</v>
      </c>
      <c r="H379" s="8" t="s">
        <v>967</v>
      </c>
      <c r="I379" s="10" t="s">
        <v>966</v>
      </c>
      <c r="J379" s="11" t="s">
        <v>33</v>
      </c>
      <c r="K379" s="18">
        <v>9300</v>
      </c>
      <c r="L379" s="12">
        <f t="shared" si="47"/>
        <v>13300</v>
      </c>
      <c r="M379" s="8">
        <v>1</v>
      </c>
      <c r="N379" s="8" t="s">
        <v>27</v>
      </c>
      <c r="O379" s="13"/>
      <c r="P379" s="14">
        <v>0.2</v>
      </c>
      <c r="Q379" s="15">
        <v>0.3</v>
      </c>
      <c r="R379" s="16" t="str">
        <f t="shared" si="42"/>
        <v>BTICINO</v>
      </c>
      <c r="S379" s="17"/>
      <c r="T379" s="10" t="str">
        <f t="shared" si="48"/>
        <v>PLACA BLANCA DE TRES MÓDULOS QUADRA NEUTRI</v>
      </c>
    </row>
    <row r="380" spans="1:20" ht="27" customHeight="1" x14ac:dyDescent="0.25">
      <c r="A380" s="8" t="s">
        <v>941</v>
      </c>
      <c r="B380" s="9" t="s">
        <v>946</v>
      </c>
      <c r="C380" s="9"/>
      <c r="D380" s="8" t="s">
        <v>947</v>
      </c>
      <c r="E380" s="8">
        <v>1</v>
      </c>
      <c r="F380" s="8" t="s">
        <v>22</v>
      </c>
      <c r="G380" s="10" t="s">
        <v>968</v>
      </c>
      <c r="H380" s="8" t="s">
        <v>969</v>
      </c>
      <c r="I380" s="10" t="s">
        <v>968</v>
      </c>
      <c r="J380" s="11" t="s">
        <v>33</v>
      </c>
      <c r="K380" s="18">
        <v>8800</v>
      </c>
      <c r="L380" s="12">
        <f t="shared" si="47"/>
        <v>14700</v>
      </c>
      <c r="M380" s="8">
        <v>1</v>
      </c>
      <c r="N380" s="8" t="s">
        <v>27</v>
      </c>
      <c r="O380" s="13"/>
      <c r="P380" s="14">
        <v>0.2</v>
      </c>
      <c r="Q380" s="15">
        <v>0.4</v>
      </c>
      <c r="R380" s="16" t="str">
        <f t="shared" si="42"/>
        <v>BTICINO</v>
      </c>
      <c r="S380" s="17"/>
      <c r="T380" s="10" t="str">
        <f t="shared" si="48"/>
        <v>CUBRE TECLA PULSADOR DE 3 MÓDULOS BLANCO. LIVING LIGHT.</v>
      </c>
    </row>
    <row r="381" spans="1:20" ht="27" customHeight="1" x14ac:dyDescent="0.25">
      <c r="A381" s="8" t="s">
        <v>941</v>
      </c>
      <c r="B381" s="9" t="s">
        <v>946</v>
      </c>
      <c r="C381" s="9"/>
      <c r="D381" s="8" t="s">
        <v>947</v>
      </c>
      <c r="E381" s="8">
        <v>1</v>
      </c>
      <c r="F381" s="8" t="s">
        <v>22</v>
      </c>
      <c r="G381" s="10" t="s">
        <v>970</v>
      </c>
      <c r="H381" s="8" t="s">
        <v>971</v>
      </c>
      <c r="I381" s="10" t="s">
        <v>970</v>
      </c>
      <c r="J381" s="11" t="s">
        <v>33</v>
      </c>
      <c r="K381" s="18">
        <v>12400</v>
      </c>
      <c r="L381" s="12">
        <f t="shared" si="47"/>
        <v>20700</v>
      </c>
      <c r="M381" s="8">
        <v>1</v>
      </c>
      <c r="N381" s="8" t="s">
        <v>27</v>
      </c>
      <c r="O381" s="13"/>
      <c r="P381" s="14">
        <v>0.2</v>
      </c>
      <c r="Q381" s="15">
        <v>0.4</v>
      </c>
      <c r="R381" s="16" t="str">
        <f t="shared" si="42"/>
        <v>BTICINO</v>
      </c>
      <c r="S381" s="17"/>
      <c r="T381" s="10" t="str">
        <f t="shared" si="48"/>
        <v>INTERRUPTOR CONMUTABLE DE 3 VÍAS.</v>
      </c>
    </row>
    <row r="382" spans="1:20" ht="27" customHeight="1" x14ac:dyDescent="0.25">
      <c r="A382" s="8" t="s">
        <v>941</v>
      </c>
      <c r="B382" s="9" t="s">
        <v>946</v>
      </c>
      <c r="C382" s="9"/>
      <c r="D382" s="8" t="s">
        <v>947</v>
      </c>
      <c r="E382" s="8">
        <v>1</v>
      </c>
      <c r="F382" s="8" t="s">
        <v>22</v>
      </c>
      <c r="G382" s="10" t="s">
        <v>972</v>
      </c>
      <c r="H382" s="8" t="s">
        <v>973</v>
      </c>
      <c r="I382" s="10" t="s">
        <v>972</v>
      </c>
      <c r="J382" s="11" t="s">
        <v>33</v>
      </c>
      <c r="K382" s="18">
        <v>7300</v>
      </c>
      <c r="L382" s="12">
        <f t="shared" si="47"/>
        <v>12200</v>
      </c>
      <c r="M382" s="8">
        <v>1</v>
      </c>
      <c r="N382" s="8" t="s">
        <v>27</v>
      </c>
      <c r="O382" s="13"/>
      <c r="P382" s="14">
        <v>0.2</v>
      </c>
      <c r="Q382" s="15">
        <v>0.4</v>
      </c>
      <c r="R382" s="16" t="str">
        <f t="shared" si="42"/>
        <v>BTICINO</v>
      </c>
      <c r="S382" s="17"/>
      <c r="T382" s="10" t="str">
        <f t="shared" si="48"/>
        <v>CUBRE TECLA PULSADOR DE 2 MÓDULOS BLANCO. LIVING LIGHT.</v>
      </c>
    </row>
    <row r="383" spans="1:20" ht="27" customHeight="1" x14ac:dyDescent="0.25">
      <c r="A383" s="8" t="s">
        <v>941</v>
      </c>
      <c r="B383" s="9" t="s">
        <v>946</v>
      </c>
      <c r="C383" s="9"/>
      <c r="D383" s="8" t="s">
        <v>947</v>
      </c>
      <c r="E383" s="8">
        <v>1</v>
      </c>
      <c r="F383" s="8" t="s">
        <v>22</v>
      </c>
      <c r="G383" s="10" t="s">
        <v>974</v>
      </c>
      <c r="H383" s="8" t="s">
        <v>975</v>
      </c>
      <c r="I383" s="10" t="s">
        <v>974</v>
      </c>
      <c r="J383" s="11" t="s">
        <v>33</v>
      </c>
      <c r="K383" s="18">
        <v>5400</v>
      </c>
      <c r="L383" s="12">
        <f t="shared" si="47"/>
        <v>9000</v>
      </c>
      <c r="M383" s="8">
        <v>1</v>
      </c>
      <c r="N383" s="8" t="s">
        <v>27</v>
      </c>
      <c r="O383" s="13"/>
      <c r="P383" s="14">
        <v>0.2</v>
      </c>
      <c r="Q383" s="15">
        <v>0.4</v>
      </c>
      <c r="R383" s="16" t="str">
        <f t="shared" si="42"/>
        <v>BTICINO</v>
      </c>
      <c r="S383" s="17"/>
      <c r="T383" s="10" t="str">
        <f t="shared" si="48"/>
        <v>CUBRE TECLA PULSADOR DE 1 MODULO BLANCO. LIVING LIGHT.</v>
      </c>
    </row>
    <row r="384" spans="1:20" ht="27" customHeight="1" x14ac:dyDescent="0.25">
      <c r="A384" s="8" t="s">
        <v>941</v>
      </c>
      <c r="B384" s="9" t="s">
        <v>946</v>
      </c>
      <c r="C384" s="9"/>
      <c r="D384" s="8" t="s">
        <v>947</v>
      </c>
      <c r="E384" s="8">
        <v>1</v>
      </c>
      <c r="F384" s="8" t="s">
        <v>22</v>
      </c>
      <c r="G384" s="10" t="s">
        <v>976</v>
      </c>
      <c r="H384" s="8" t="s">
        <v>977</v>
      </c>
      <c r="I384" s="10" t="s">
        <v>976</v>
      </c>
      <c r="J384" s="11" t="s">
        <v>33</v>
      </c>
      <c r="K384" s="18">
        <v>10960</v>
      </c>
      <c r="L384" s="12">
        <f t="shared" si="47"/>
        <v>18300</v>
      </c>
      <c r="M384" s="8">
        <v>1</v>
      </c>
      <c r="N384" s="8" t="s">
        <v>27</v>
      </c>
      <c r="O384" s="13"/>
      <c r="P384" s="14">
        <v>0.2</v>
      </c>
      <c r="Q384" s="15">
        <v>0.4</v>
      </c>
      <c r="R384" s="16" t="str">
        <f t="shared" si="42"/>
        <v>BTICINO</v>
      </c>
      <c r="S384" s="17"/>
      <c r="T384" s="10" t="str">
        <f t="shared" si="48"/>
        <v>INTERRUPTOR SENCILLO.</v>
      </c>
    </row>
    <row r="385" spans="1:20" ht="27" customHeight="1" x14ac:dyDescent="0.25">
      <c r="A385" s="8" t="s">
        <v>941</v>
      </c>
      <c r="B385" s="9" t="s">
        <v>946</v>
      </c>
      <c r="C385" s="9"/>
      <c r="D385" s="8" t="s">
        <v>947</v>
      </c>
      <c r="E385" s="8">
        <v>1</v>
      </c>
      <c r="F385" s="8" t="s">
        <v>22</v>
      </c>
      <c r="G385" s="10" t="s">
        <v>978</v>
      </c>
      <c r="H385" s="8" t="s">
        <v>979</v>
      </c>
      <c r="I385" s="10" t="s">
        <v>978</v>
      </c>
      <c r="J385" s="11" t="s">
        <v>33</v>
      </c>
      <c r="K385" s="18">
        <v>2400</v>
      </c>
      <c r="L385" s="12">
        <f t="shared" si="47"/>
        <v>4000</v>
      </c>
      <c r="M385" s="8">
        <v>1</v>
      </c>
      <c r="N385" s="8" t="s">
        <v>27</v>
      </c>
      <c r="O385" s="13"/>
      <c r="P385" s="14">
        <v>0.2</v>
      </c>
      <c r="Q385" s="15">
        <v>0.4</v>
      </c>
      <c r="R385" s="16" t="str">
        <f t="shared" ref="R385:R448" si="49">A385</f>
        <v>BTICINO</v>
      </c>
      <c r="S385" s="17"/>
      <c r="T385" s="10" t="str">
        <f t="shared" si="48"/>
        <v>SOPORTE PARA 3 MÓDULOS LIVING LIGHT</v>
      </c>
    </row>
    <row r="386" spans="1:20" ht="27" customHeight="1" x14ac:dyDescent="0.25">
      <c r="A386" s="8" t="s">
        <v>941</v>
      </c>
      <c r="B386" s="9"/>
      <c r="C386" s="9"/>
      <c r="D386" s="8"/>
      <c r="E386" s="8"/>
      <c r="F386" s="8" t="s">
        <v>22</v>
      </c>
      <c r="G386" s="10" t="s">
        <v>980</v>
      </c>
      <c r="H386" s="8" t="s">
        <v>981</v>
      </c>
      <c r="I386" s="10" t="s">
        <v>980</v>
      </c>
      <c r="J386" s="11" t="s">
        <v>33</v>
      </c>
      <c r="K386" s="18">
        <v>18900</v>
      </c>
      <c r="L386" s="12">
        <f t="shared" si="47"/>
        <v>23700</v>
      </c>
      <c r="M386" s="8">
        <v>1</v>
      </c>
      <c r="N386" s="8" t="s">
        <v>27</v>
      </c>
      <c r="O386" s="13"/>
      <c r="P386" s="14">
        <v>0</v>
      </c>
      <c r="Q386" s="15">
        <v>0.2</v>
      </c>
      <c r="R386" s="16" t="str">
        <f t="shared" si="49"/>
        <v>BTICINO</v>
      </c>
      <c r="S386" s="17"/>
      <c r="T386" s="10" t="str">
        <f t="shared" si="48"/>
        <v>INTERRUPTOR SENCILLO, COLOR GRAFITO O BLANCO.</v>
      </c>
    </row>
    <row r="387" spans="1:20" ht="27" customHeight="1" x14ac:dyDescent="0.25">
      <c r="A387" s="8" t="s">
        <v>941</v>
      </c>
      <c r="B387" s="9"/>
      <c r="C387" s="9"/>
      <c r="D387" s="8"/>
      <c r="E387" s="8"/>
      <c r="F387" s="8" t="s">
        <v>22</v>
      </c>
      <c r="G387" s="10" t="s">
        <v>982</v>
      </c>
      <c r="H387" s="8" t="s">
        <v>983</v>
      </c>
      <c r="I387" s="10" t="s">
        <v>982</v>
      </c>
      <c r="J387" s="11" t="s">
        <v>33</v>
      </c>
      <c r="K387" s="18">
        <v>8200</v>
      </c>
      <c r="L387" s="12">
        <f t="shared" si="47"/>
        <v>10300</v>
      </c>
      <c r="M387" s="8">
        <v>1</v>
      </c>
      <c r="N387" s="8" t="s">
        <v>27</v>
      </c>
      <c r="O387" s="13"/>
      <c r="P387" s="14">
        <v>0</v>
      </c>
      <c r="Q387" s="15">
        <v>0.2</v>
      </c>
      <c r="R387" s="16" t="str">
        <f t="shared" si="49"/>
        <v>BTICINO</v>
      </c>
      <c r="S387" s="17"/>
      <c r="T387" s="10" t="str">
        <f t="shared" si="48"/>
        <v>CUBRE TECLA DE UNA UNIDAD, COLOR GRAFITO O BLANCO.</v>
      </c>
    </row>
    <row r="388" spans="1:20" ht="27" customHeight="1" x14ac:dyDescent="0.25">
      <c r="A388" s="8" t="s">
        <v>941</v>
      </c>
      <c r="B388" s="9"/>
      <c r="C388" s="9"/>
      <c r="D388" s="8"/>
      <c r="E388" s="8"/>
      <c r="F388" s="8" t="s">
        <v>22</v>
      </c>
      <c r="G388" s="10" t="s">
        <v>984</v>
      </c>
      <c r="H388" s="8" t="s">
        <v>985</v>
      </c>
      <c r="I388" s="10" t="s">
        <v>984</v>
      </c>
      <c r="J388" s="11" t="s">
        <v>33</v>
      </c>
      <c r="K388" s="18">
        <v>11100</v>
      </c>
      <c r="L388" s="12">
        <f t="shared" si="47"/>
        <v>13900</v>
      </c>
      <c r="M388" s="8">
        <v>1</v>
      </c>
      <c r="N388" s="8" t="s">
        <v>27</v>
      </c>
      <c r="O388" s="13"/>
      <c r="P388" s="14">
        <v>0</v>
      </c>
      <c r="Q388" s="15">
        <v>0.2</v>
      </c>
      <c r="R388" s="16" t="str">
        <f t="shared" si="49"/>
        <v>BTICINO</v>
      </c>
      <c r="S388" s="17"/>
      <c r="T388" s="10" t="str">
        <f t="shared" si="48"/>
        <v>CUBRE TECLA DOBLE, COLOR GRAFITO O BLANCO.</v>
      </c>
    </row>
    <row r="389" spans="1:20" ht="27" customHeight="1" x14ac:dyDescent="0.25">
      <c r="A389" s="8" t="s">
        <v>941</v>
      </c>
      <c r="B389" s="9"/>
      <c r="C389" s="9"/>
      <c r="D389" s="8"/>
      <c r="E389" s="8"/>
      <c r="F389" s="8" t="s">
        <v>22</v>
      </c>
      <c r="G389" s="10" t="s">
        <v>986</v>
      </c>
      <c r="H389" s="8" t="s">
        <v>987</v>
      </c>
      <c r="I389" s="10" t="s">
        <v>986</v>
      </c>
      <c r="J389" s="11" t="s">
        <v>33</v>
      </c>
      <c r="K389" s="18">
        <v>13800</v>
      </c>
      <c r="L389" s="12">
        <f t="shared" si="47"/>
        <v>17300</v>
      </c>
      <c r="M389" s="8">
        <v>1</v>
      </c>
      <c r="N389" s="8" t="s">
        <v>27</v>
      </c>
      <c r="O389" s="13"/>
      <c r="P389" s="14">
        <v>0</v>
      </c>
      <c r="Q389" s="15">
        <v>0.2</v>
      </c>
      <c r="R389" s="16" t="str">
        <f t="shared" si="49"/>
        <v>BTICINO</v>
      </c>
      <c r="S389" s="17"/>
      <c r="T389" s="10" t="str">
        <f t="shared" si="48"/>
        <v>CUBRE TECLA TRIPLE, COLOR GRAFITO O BLANCO.</v>
      </c>
    </row>
    <row r="390" spans="1:20" ht="27" customHeight="1" x14ac:dyDescent="0.25">
      <c r="A390" s="8" t="s">
        <v>941</v>
      </c>
      <c r="B390" s="9"/>
      <c r="C390" s="9"/>
      <c r="D390" s="8"/>
      <c r="E390" s="8"/>
      <c r="F390" s="8" t="s">
        <v>22</v>
      </c>
      <c r="G390" s="10" t="s">
        <v>988</v>
      </c>
      <c r="H390" s="8" t="s">
        <v>989</v>
      </c>
      <c r="I390" s="10" t="s">
        <v>988</v>
      </c>
      <c r="J390" s="11" t="s">
        <v>33</v>
      </c>
      <c r="K390" s="18">
        <v>2700</v>
      </c>
      <c r="L390" s="12">
        <f t="shared" si="47"/>
        <v>3400</v>
      </c>
      <c r="M390" s="8">
        <v>1</v>
      </c>
      <c r="N390" s="8" t="s">
        <v>27</v>
      </c>
      <c r="O390" s="13"/>
      <c r="P390" s="14">
        <v>0</v>
      </c>
      <c r="Q390" s="15">
        <v>0.2</v>
      </c>
      <c r="R390" s="16" t="str">
        <f t="shared" si="49"/>
        <v>BTICINO</v>
      </c>
      <c r="S390" s="17"/>
      <c r="T390" s="10" t="str">
        <f t="shared" si="48"/>
        <v>TAPÓN CIEGO DE TECLA SENCILLO, COLOR GRAFITO O BLANCO.</v>
      </c>
    </row>
    <row r="391" spans="1:20" ht="27" customHeight="1" x14ac:dyDescent="0.25">
      <c r="A391" s="8" t="s">
        <v>941</v>
      </c>
      <c r="B391" s="9"/>
      <c r="C391" s="9"/>
      <c r="D391" s="8"/>
      <c r="E391" s="8"/>
      <c r="F391" s="8" t="s">
        <v>22</v>
      </c>
      <c r="G391" s="10" t="s">
        <v>990</v>
      </c>
      <c r="H391" s="8" t="s">
        <v>991</v>
      </c>
      <c r="I391" s="10" t="s">
        <v>990</v>
      </c>
      <c r="J391" s="11" t="s">
        <v>33</v>
      </c>
      <c r="K391" s="18">
        <v>30100</v>
      </c>
      <c r="L391" s="12">
        <f t="shared" si="47"/>
        <v>37700</v>
      </c>
      <c r="M391" s="8">
        <v>1</v>
      </c>
      <c r="N391" s="8" t="s">
        <v>27</v>
      </c>
      <c r="O391" s="13"/>
      <c r="P391" s="14">
        <v>0</v>
      </c>
      <c r="Q391" s="15">
        <v>0.2</v>
      </c>
      <c r="R391" s="16" t="str">
        <f t="shared" si="49"/>
        <v>BTICINO</v>
      </c>
      <c r="S391" s="17"/>
      <c r="T391" s="10" t="str">
        <f t="shared" si="48"/>
        <v>TOMA CORRIENTE SENCILLO, COLOR GRAFITO O BLANCO.</v>
      </c>
    </row>
    <row r="392" spans="1:20" ht="27" customHeight="1" x14ac:dyDescent="0.25">
      <c r="A392" s="8" t="s">
        <v>941</v>
      </c>
      <c r="B392" s="9"/>
      <c r="C392" s="9"/>
      <c r="D392" s="8"/>
      <c r="E392" s="8"/>
      <c r="F392" s="8" t="s">
        <v>22</v>
      </c>
      <c r="G392" s="10" t="s">
        <v>992</v>
      </c>
      <c r="H392" s="8" t="s">
        <v>993</v>
      </c>
      <c r="I392" s="10" t="s">
        <v>992</v>
      </c>
      <c r="J392" s="11" t="s">
        <v>33</v>
      </c>
      <c r="K392" s="18">
        <v>120500</v>
      </c>
      <c r="L392" s="12">
        <f t="shared" si="47"/>
        <v>150700</v>
      </c>
      <c r="M392" s="8">
        <v>1</v>
      </c>
      <c r="N392" s="8" t="s">
        <v>27</v>
      </c>
      <c r="O392" s="13"/>
      <c r="P392" s="14">
        <v>0</v>
      </c>
      <c r="Q392" s="15">
        <v>0.2</v>
      </c>
      <c r="R392" s="16" t="str">
        <f t="shared" si="49"/>
        <v>BTICINO</v>
      </c>
      <c r="S392" s="17"/>
      <c r="T392" s="10" t="str">
        <f t="shared" si="48"/>
        <v>TOMA CORRIENTE GFCI, COLOR GRAFITO O BLANCO.</v>
      </c>
    </row>
    <row r="393" spans="1:20" ht="27" customHeight="1" x14ac:dyDescent="0.25">
      <c r="A393" s="8" t="s">
        <v>941</v>
      </c>
      <c r="B393" s="9"/>
      <c r="C393" s="9"/>
      <c r="D393" s="8"/>
      <c r="E393" s="8"/>
      <c r="F393" s="8" t="s">
        <v>22</v>
      </c>
      <c r="G393" s="10" t="s">
        <v>966</v>
      </c>
      <c r="H393" s="8" t="s">
        <v>994</v>
      </c>
      <c r="I393" s="10" t="s">
        <v>966</v>
      </c>
      <c r="J393" s="11" t="s">
        <v>33</v>
      </c>
      <c r="K393" s="18">
        <v>21800</v>
      </c>
      <c r="L393" s="12">
        <f t="shared" si="47"/>
        <v>27300</v>
      </c>
      <c r="M393" s="8">
        <v>1</v>
      </c>
      <c r="N393" s="8" t="s">
        <v>27</v>
      </c>
      <c r="O393" s="13"/>
      <c r="P393" s="14">
        <v>0</v>
      </c>
      <c r="Q393" s="15">
        <v>0.2</v>
      </c>
      <c r="R393" s="16" t="str">
        <f t="shared" si="49"/>
        <v>BTICINO</v>
      </c>
      <c r="S393" s="17"/>
      <c r="T393" s="10" t="str">
        <f t="shared" si="48"/>
        <v>PLACA BLANCA DE TRES MÓDULOS QUADRA NEUTRI</v>
      </c>
    </row>
    <row r="394" spans="1:20" ht="27" customHeight="1" x14ac:dyDescent="0.25">
      <c r="A394" s="8" t="s">
        <v>941</v>
      </c>
      <c r="B394" s="9"/>
      <c r="C394" s="9"/>
      <c r="D394" s="8"/>
      <c r="E394" s="8"/>
      <c r="F394" s="8" t="s">
        <v>22</v>
      </c>
      <c r="G394" s="10" t="s">
        <v>995</v>
      </c>
      <c r="H394" s="8" t="s">
        <v>996</v>
      </c>
      <c r="I394" s="10" t="s">
        <v>995</v>
      </c>
      <c r="J394" s="11" t="s">
        <v>33</v>
      </c>
      <c r="K394" s="18">
        <v>52300</v>
      </c>
      <c r="L394" s="12">
        <f t="shared" si="47"/>
        <v>65400</v>
      </c>
      <c r="M394" s="8">
        <v>1</v>
      </c>
      <c r="N394" s="8" t="s">
        <v>27</v>
      </c>
      <c r="O394" s="13"/>
      <c r="P394" s="14">
        <v>0</v>
      </c>
      <c r="Q394" s="15">
        <v>0.2</v>
      </c>
      <c r="R394" s="16" t="str">
        <f t="shared" si="49"/>
        <v>BTICINO</v>
      </c>
      <c r="S394" s="17"/>
      <c r="T394" s="10" t="str">
        <f t="shared" si="48"/>
        <v>PLACA TIPO KRISTAL</v>
      </c>
    </row>
    <row r="395" spans="1:20" ht="27" customHeight="1" x14ac:dyDescent="0.25">
      <c r="A395" s="8" t="s">
        <v>941</v>
      </c>
      <c r="B395" s="9"/>
      <c r="C395" s="9"/>
      <c r="D395" s="8"/>
      <c r="E395" s="8"/>
      <c r="F395" s="8" t="s">
        <v>22</v>
      </c>
      <c r="G395" s="10" t="s">
        <v>997</v>
      </c>
      <c r="H395" s="8" t="s">
        <v>998</v>
      </c>
      <c r="I395" s="10" t="s">
        <v>997</v>
      </c>
      <c r="J395" s="11" t="s">
        <v>33</v>
      </c>
      <c r="K395" s="18">
        <v>84100</v>
      </c>
      <c r="L395" s="12">
        <f t="shared" si="47"/>
        <v>105200</v>
      </c>
      <c r="M395" s="8">
        <v>1</v>
      </c>
      <c r="N395" s="8" t="s">
        <v>27</v>
      </c>
      <c r="O395" s="13"/>
      <c r="P395" s="14">
        <v>0</v>
      </c>
      <c r="Q395" s="15">
        <v>0.2</v>
      </c>
      <c r="R395" s="16" t="str">
        <f t="shared" si="49"/>
        <v>BTICINO</v>
      </c>
      <c r="S395" s="17"/>
      <c r="T395" s="10" t="str">
        <f t="shared" si="48"/>
        <v>PLACA TIPO MADERA</v>
      </c>
    </row>
    <row r="396" spans="1:20" ht="27" customHeight="1" x14ac:dyDescent="0.25">
      <c r="A396" s="8" t="s">
        <v>941</v>
      </c>
      <c r="B396" s="9"/>
      <c r="C396" s="9"/>
      <c r="D396" s="8"/>
      <c r="E396" s="8"/>
      <c r="F396" s="8" t="s">
        <v>22</v>
      </c>
      <c r="G396" s="10" t="s">
        <v>999</v>
      </c>
      <c r="H396" s="8" t="s">
        <v>1000</v>
      </c>
      <c r="I396" s="10" t="s">
        <v>999</v>
      </c>
      <c r="J396" s="11" t="s">
        <v>33</v>
      </c>
      <c r="K396" s="18">
        <v>84100</v>
      </c>
      <c r="L396" s="12">
        <f t="shared" si="47"/>
        <v>105200</v>
      </c>
      <c r="M396" s="8">
        <v>1</v>
      </c>
      <c r="N396" s="8" t="s">
        <v>27</v>
      </c>
      <c r="O396" s="13"/>
      <c r="P396" s="14">
        <v>0</v>
      </c>
      <c r="Q396" s="15">
        <v>0.2</v>
      </c>
      <c r="R396" s="16" t="str">
        <f t="shared" si="49"/>
        <v>BTICINO</v>
      </c>
      <c r="S396" s="17"/>
      <c r="T396" s="10" t="str">
        <f t="shared" si="48"/>
        <v>SOPORTE PARA 3 MÓDULOS</v>
      </c>
    </row>
    <row r="397" spans="1:20" ht="27" customHeight="1" x14ac:dyDescent="0.25">
      <c r="A397" s="8" t="s">
        <v>941</v>
      </c>
      <c r="B397" s="9"/>
      <c r="C397" s="9"/>
      <c r="D397" s="8"/>
      <c r="E397" s="8"/>
      <c r="F397" s="8" t="s">
        <v>22</v>
      </c>
      <c r="G397" s="10" t="s">
        <v>1001</v>
      </c>
      <c r="H397" s="8" t="s">
        <v>1002</v>
      </c>
      <c r="I397" s="10" t="s">
        <v>1001</v>
      </c>
      <c r="J397" s="11" t="s">
        <v>33</v>
      </c>
      <c r="K397" s="18">
        <v>2200000</v>
      </c>
      <c r="L397" s="12">
        <f t="shared" si="47"/>
        <v>3142900</v>
      </c>
      <c r="M397" s="8">
        <v>1</v>
      </c>
      <c r="N397" s="8" t="s">
        <v>27</v>
      </c>
      <c r="O397" s="13"/>
      <c r="P397" s="14">
        <v>0.2</v>
      </c>
      <c r="Q397" s="15">
        <v>0.3</v>
      </c>
      <c r="R397" s="16" t="str">
        <f t="shared" si="49"/>
        <v>BTICINO</v>
      </c>
      <c r="S397" s="17"/>
      <c r="T397" s="10" t="str">
        <f t="shared" si="48"/>
        <v>CONSOLA DIGITAL 2 HILOS</v>
      </c>
    </row>
    <row r="398" spans="1:20" ht="27" customHeight="1" x14ac:dyDescent="0.25">
      <c r="A398" s="8" t="s">
        <v>941</v>
      </c>
      <c r="B398" s="9"/>
      <c r="C398" s="9"/>
      <c r="D398" s="8"/>
      <c r="E398" s="8"/>
      <c r="F398" s="8" t="s">
        <v>22</v>
      </c>
      <c r="G398" s="10" t="s">
        <v>1003</v>
      </c>
      <c r="H398" s="8" t="s">
        <v>1004</v>
      </c>
      <c r="I398" s="10" t="s">
        <v>1003</v>
      </c>
      <c r="J398" s="11" t="s">
        <v>33</v>
      </c>
      <c r="K398" s="18">
        <v>332000</v>
      </c>
      <c r="L398" s="12">
        <f t="shared" si="47"/>
        <v>474300</v>
      </c>
      <c r="M398" s="8">
        <v>1</v>
      </c>
      <c r="N398" s="8" t="s">
        <v>27</v>
      </c>
      <c r="O398" s="13"/>
      <c r="P398" s="14">
        <v>0.2</v>
      </c>
      <c r="Q398" s="15">
        <v>0.3</v>
      </c>
      <c r="R398" s="16" t="str">
        <f t="shared" si="49"/>
        <v>BTICINO</v>
      </c>
      <c r="S398" s="17"/>
      <c r="T398" s="10" t="str">
        <f t="shared" si="48"/>
        <v>FUENTE DE ALIMENTACIÓN</v>
      </c>
    </row>
    <row r="399" spans="1:20" ht="27" customHeight="1" x14ac:dyDescent="0.25">
      <c r="A399" s="8" t="s">
        <v>941</v>
      </c>
      <c r="B399" s="9"/>
      <c r="C399" s="9"/>
      <c r="D399" s="8"/>
      <c r="E399" s="8"/>
      <c r="F399" s="8" t="s">
        <v>22</v>
      </c>
      <c r="G399" s="10" t="s">
        <v>1005</v>
      </c>
      <c r="H399" s="8" t="s">
        <v>1006</v>
      </c>
      <c r="I399" s="10" t="s">
        <v>1005</v>
      </c>
      <c r="J399" s="11" t="s">
        <v>33</v>
      </c>
      <c r="K399" s="18">
        <v>62000</v>
      </c>
      <c r="L399" s="12">
        <f t="shared" si="47"/>
        <v>88600</v>
      </c>
      <c r="M399" s="8">
        <v>1</v>
      </c>
      <c r="N399" s="8" t="s">
        <v>27</v>
      </c>
      <c r="O399" s="13"/>
      <c r="P399" s="14">
        <v>0.2</v>
      </c>
      <c r="Q399" s="15">
        <v>0.3</v>
      </c>
      <c r="R399" s="16" t="str">
        <f t="shared" si="49"/>
        <v>BTICINO</v>
      </c>
      <c r="S399" s="17"/>
      <c r="T399" s="10" t="str">
        <f t="shared" si="48"/>
        <v>CITÓFONO ECO</v>
      </c>
    </row>
    <row r="400" spans="1:20" ht="27" customHeight="1" x14ac:dyDescent="0.25">
      <c r="A400" s="8" t="s">
        <v>941</v>
      </c>
      <c r="B400" s="9"/>
      <c r="C400" s="9"/>
      <c r="D400" s="8"/>
      <c r="E400" s="8"/>
      <c r="F400" s="8" t="s">
        <v>22</v>
      </c>
      <c r="G400" s="10" t="s">
        <v>1007</v>
      </c>
      <c r="H400" s="8" t="s">
        <v>1008</v>
      </c>
      <c r="I400" s="10" t="s">
        <v>1007</v>
      </c>
      <c r="J400" s="11" t="s">
        <v>33</v>
      </c>
      <c r="K400" s="18">
        <v>22000</v>
      </c>
      <c r="L400" s="12">
        <f t="shared" si="47"/>
        <v>31500</v>
      </c>
      <c r="M400" s="8">
        <v>1</v>
      </c>
      <c r="N400" s="8" t="s">
        <v>27</v>
      </c>
      <c r="O400" s="13"/>
      <c r="P400" s="14">
        <v>0.2</v>
      </c>
      <c r="Q400" s="15">
        <v>0.3</v>
      </c>
      <c r="R400" s="16" t="str">
        <f t="shared" si="49"/>
        <v>BTICINO</v>
      </c>
      <c r="S400" s="17"/>
      <c r="T400" s="10" t="str">
        <f t="shared" si="48"/>
        <v>CONFIGURADOR DE 1</v>
      </c>
    </row>
    <row r="401" spans="1:20" ht="27" customHeight="1" x14ac:dyDescent="0.25">
      <c r="A401" s="8" t="s">
        <v>941</v>
      </c>
      <c r="B401" s="9"/>
      <c r="C401" s="9"/>
      <c r="D401" s="8"/>
      <c r="E401" s="8"/>
      <c r="F401" s="8" t="s">
        <v>22</v>
      </c>
      <c r="G401" s="10" t="s">
        <v>1009</v>
      </c>
      <c r="H401" s="8" t="s">
        <v>1010</v>
      </c>
      <c r="I401" s="10" t="s">
        <v>1009</v>
      </c>
      <c r="J401" s="11" t="s">
        <v>33</v>
      </c>
      <c r="K401" s="18">
        <v>22000</v>
      </c>
      <c r="L401" s="12">
        <f t="shared" si="47"/>
        <v>31500</v>
      </c>
      <c r="M401" s="8">
        <v>1</v>
      </c>
      <c r="N401" s="8" t="s">
        <v>27</v>
      </c>
      <c r="O401" s="13"/>
      <c r="P401" s="14">
        <v>0.2</v>
      </c>
      <c r="Q401" s="15">
        <v>0.3</v>
      </c>
      <c r="R401" s="16" t="str">
        <f t="shared" si="49"/>
        <v>BTICINO</v>
      </c>
      <c r="S401" s="17"/>
      <c r="T401" s="10" t="str">
        <f t="shared" ref="T401:T432" si="50">G401</f>
        <v>CONFIGURADOR DE 2</v>
      </c>
    </row>
    <row r="402" spans="1:20" ht="27" customHeight="1" x14ac:dyDescent="0.25">
      <c r="A402" s="8" t="s">
        <v>941</v>
      </c>
      <c r="B402" s="9"/>
      <c r="C402" s="9"/>
      <c r="D402" s="8"/>
      <c r="E402" s="8"/>
      <c r="F402" s="8" t="s">
        <v>22</v>
      </c>
      <c r="G402" s="10" t="s">
        <v>1011</v>
      </c>
      <c r="H402" s="8" t="s">
        <v>1012</v>
      </c>
      <c r="I402" s="10" t="s">
        <v>1011</v>
      </c>
      <c r="J402" s="11" t="s">
        <v>33</v>
      </c>
      <c r="K402" s="18">
        <v>22000</v>
      </c>
      <c r="L402" s="12">
        <f t="shared" si="47"/>
        <v>31500</v>
      </c>
      <c r="M402" s="8">
        <v>1</v>
      </c>
      <c r="N402" s="8" t="s">
        <v>27</v>
      </c>
      <c r="O402" s="13"/>
      <c r="P402" s="14">
        <v>0.2</v>
      </c>
      <c r="Q402" s="15">
        <v>0.3</v>
      </c>
      <c r="R402" s="16" t="str">
        <f t="shared" si="49"/>
        <v>BTICINO</v>
      </c>
      <c r="S402" s="17"/>
      <c r="T402" s="10" t="str">
        <f t="shared" si="50"/>
        <v>CONFIGURADOR DE 3</v>
      </c>
    </row>
    <row r="403" spans="1:20" ht="27" customHeight="1" x14ac:dyDescent="0.25">
      <c r="A403" s="8" t="s">
        <v>941</v>
      </c>
      <c r="B403" s="9"/>
      <c r="C403" s="9"/>
      <c r="D403" s="8"/>
      <c r="E403" s="8"/>
      <c r="F403" s="8" t="s">
        <v>22</v>
      </c>
      <c r="G403" s="10" t="s">
        <v>1013</v>
      </c>
      <c r="H403" s="8" t="s">
        <v>1014</v>
      </c>
      <c r="I403" s="10" t="s">
        <v>1013</v>
      </c>
      <c r="J403" s="11" t="s">
        <v>33</v>
      </c>
      <c r="K403" s="18">
        <v>22000</v>
      </c>
      <c r="L403" s="12">
        <f t="shared" si="47"/>
        <v>31500</v>
      </c>
      <c r="M403" s="8">
        <v>1</v>
      </c>
      <c r="N403" s="8" t="s">
        <v>27</v>
      </c>
      <c r="O403" s="13"/>
      <c r="P403" s="14">
        <v>0.2</v>
      </c>
      <c r="Q403" s="15">
        <v>0.3</v>
      </c>
      <c r="R403" s="16" t="str">
        <f t="shared" si="49"/>
        <v>BTICINO</v>
      </c>
      <c r="S403" s="17"/>
      <c r="T403" s="10" t="str">
        <f t="shared" si="50"/>
        <v>CONFIGURADOR DE 4</v>
      </c>
    </row>
    <row r="404" spans="1:20" ht="27" customHeight="1" x14ac:dyDescent="0.25">
      <c r="A404" s="8" t="s">
        <v>941</v>
      </c>
      <c r="B404" s="9"/>
      <c r="C404" s="9"/>
      <c r="D404" s="8"/>
      <c r="E404" s="8"/>
      <c r="F404" s="8" t="s">
        <v>22</v>
      </c>
      <c r="G404" s="10" t="s">
        <v>1015</v>
      </c>
      <c r="H404" s="8" t="s">
        <v>1016</v>
      </c>
      <c r="I404" s="10" t="s">
        <v>1015</v>
      </c>
      <c r="J404" s="11" t="s">
        <v>33</v>
      </c>
      <c r="K404" s="18">
        <v>22000</v>
      </c>
      <c r="L404" s="12">
        <f t="shared" si="47"/>
        <v>31500</v>
      </c>
      <c r="M404" s="8">
        <v>1</v>
      </c>
      <c r="N404" s="8" t="s">
        <v>27</v>
      </c>
      <c r="O404" s="13"/>
      <c r="P404" s="14">
        <v>0.2</v>
      </c>
      <c r="Q404" s="15">
        <v>0.3</v>
      </c>
      <c r="R404" s="16" t="str">
        <f t="shared" si="49"/>
        <v>BTICINO</v>
      </c>
      <c r="S404" s="17"/>
      <c r="T404" s="10" t="str">
        <f t="shared" si="50"/>
        <v>CONFIGURADOR DE 5</v>
      </c>
    </row>
    <row r="405" spans="1:20" ht="27" customHeight="1" x14ac:dyDescent="0.25">
      <c r="A405" s="8" t="s">
        <v>941</v>
      </c>
      <c r="B405" s="9"/>
      <c r="C405" s="9"/>
      <c r="D405" s="8"/>
      <c r="E405" s="8"/>
      <c r="F405" s="8" t="s">
        <v>22</v>
      </c>
      <c r="G405" s="10" t="s">
        <v>1017</v>
      </c>
      <c r="H405" s="8" t="s">
        <v>1018</v>
      </c>
      <c r="I405" s="10" t="s">
        <v>1017</v>
      </c>
      <c r="J405" s="11" t="s">
        <v>33</v>
      </c>
      <c r="K405" s="18">
        <v>22000</v>
      </c>
      <c r="L405" s="12">
        <f t="shared" si="47"/>
        <v>31500</v>
      </c>
      <c r="M405" s="8">
        <v>1</v>
      </c>
      <c r="N405" s="8" t="s">
        <v>27</v>
      </c>
      <c r="O405" s="13"/>
      <c r="P405" s="14">
        <v>0.2</v>
      </c>
      <c r="Q405" s="15">
        <v>0.3</v>
      </c>
      <c r="R405" s="16" t="str">
        <f t="shared" si="49"/>
        <v>BTICINO</v>
      </c>
      <c r="S405" s="17"/>
      <c r="T405" s="10" t="str">
        <f t="shared" si="50"/>
        <v>CONFIGURADOR DE 6</v>
      </c>
    </row>
    <row r="406" spans="1:20" ht="27" customHeight="1" x14ac:dyDescent="0.25">
      <c r="A406" s="8" t="s">
        <v>941</v>
      </c>
      <c r="B406" s="9"/>
      <c r="C406" s="9"/>
      <c r="D406" s="8"/>
      <c r="E406" s="8"/>
      <c r="F406" s="8" t="s">
        <v>22</v>
      </c>
      <c r="G406" s="10" t="s">
        <v>1019</v>
      </c>
      <c r="H406" s="8" t="s">
        <v>1020</v>
      </c>
      <c r="I406" s="10" t="s">
        <v>1019</v>
      </c>
      <c r="J406" s="11" t="s">
        <v>33</v>
      </c>
      <c r="K406" s="18">
        <v>22000</v>
      </c>
      <c r="L406" s="12">
        <f t="shared" si="47"/>
        <v>31500</v>
      </c>
      <c r="M406" s="8">
        <v>1</v>
      </c>
      <c r="N406" s="8" t="s">
        <v>27</v>
      </c>
      <c r="O406" s="13"/>
      <c r="P406" s="14">
        <v>0.2</v>
      </c>
      <c r="Q406" s="15">
        <v>0.3</v>
      </c>
      <c r="R406" s="16" t="str">
        <f t="shared" si="49"/>
        <v>BTICINO</v>
      </c>
      <c r="S406" s="17"/>
      <c r="T406" s="10" t="str">
        <f t="shared" si="50"/>
        <v>CONFIGURADOR DE 9</v>
      </c>
    </row>
    <row r="407" spans="1:20" ht="27" customHeight="1" x14ac:dyDescent="0.25">
      <c r="A407" s="8" t="s">
        <v>941</v>
      </c>
      <c r="B407" s="9"/>
      <c r="C407" s="9"/>
      <c r="D407" s="8"/>
      <c r="E407" s="8"/>
      <c r="F407" s="8" t="s">
        <v>22</v>
      </c>
      <c r="G407" s="10" t="s">
        <v>1021</v>
      </c>
      <c r="H407" s="8" t="s">
        <v>1022</v>
      </c>
      <c r="I407" s="10" t="s">
        <v>1021</v>
      </c>
      <c r="J407" s="11" t="s">
        <v>33</v>
      </c>
      <c r="K407" s="18">
        <v>21830</v>
      </c>
      <c r="L407" s="12">
        <f t="shared" si="47"/>
        <v>31200</v>
      </c>
      <c r="M407" s="8">
        <v>1</v>
      </c>
      <c r="N407" s="8" t="s">
        <v>27</v>
      </c>
      <c r="O407" s="13"/>
      <c r="P407" s="14">
        <v>0.2</v>
      </c>
      <c r="Q407" s="15">
        <v>0.3</v>
      </c>
      <c r="R407" s="16" t="str">
        <f t="shared" si="49"/>
        <v>BTICINO</v>
      </c>
      <c r="S407" s="17"/>
      <c r="T407" s="10" t="str">
        <f t="shared" si="50"/>
        <v>INT DX3 1A 1P 10 KA 230/440V</v>
      </c>
    </row>
    <row r="408" spans="1:20" ht="27" customHeight="1" x14ac:dyDescent="0.25">
      <c r="A408" s="8" t="s">
        <v>941</v>
      </c>
      <c r="B408" s="9"/>
      <c r="C408" s="9"/>
      <c r="D408" s="8"/>
      <c r="E408" s="8"/>
      <c r="F408" s="8" t="s">
        <v>22</v>
      </c>
      <c r="G408" s="10" t="s">
        <v>1023</v>
      </c>
      <c r="H408" s="8" t="s">
        <v>1024</v>
      </c>
      <c r="I408" s="10" t="s">
        <v>1023</v>
      </c>
      <c r="J408" s="11" t="s">
        <v>33</v>
      </c>
      <c r="K408" s="18">
        <v>6000</v>
      </c>
      <c r="L408" s="12">
        <f t="shared" si="47"/>
        <v>8600</v>
      </c>
      <c r="M408" s="8">
        <v>1</v>
      </c>
      <c r="N408" s="8" t="s">
        <v>27</v>
      </c>
      <c r="O408" s="13"/>
      <c r="P408" s="14">
        <v>0.2</v>
      </c>
      <c r="Q408" s="15">
        <v>0.3</v>
      </c>
      <c r="R408" s="16" t="str">
        <f t="shared" si="49"/>
        <v>BTICINO</v>
      </c>
      <c r="S408" s="17"/>
      <c r="T408" s="10" t="str">
        <f t="shared" si="50"/>
        <v>BORNERA DE 8 CONEXIONES</v>
      </c>
    </row>
    <row r="409" spans="1:20" ht="27" customHeight="1" x14ac:dyDescent="0.25">
      <c r="A409" s="8" t="s">
        <v>941</v>
      </c>
      <c r="B409" s="9"/>
      <c r="C409" s="9"/>
      <c r="D409" s="8"/>
      <c r="E409" s="8"/>
      <c r="F409" s="8" t="s">
        <v>22</v>
      </c>
      <c r="G409" s="10" t="s">
        <v>1023</v>
      </c>
      <c r="H409" s="8" t="s">
        <v>1025</v>
      </c>
      <c r="I409" s="10" t="s">
        <v>1023</v>
      </c>
      <c r="J409" s="11" t="s">
        <v>33</v>
      </c>
      <c r="K409" s="18">
        <v>6000</v>
      </c>
      <c r="L409" s="12">
        <f t="shared" si="47"/>
        <v>8600</v>
      </c>
      <c r="M409" s="8">
        <v>1</v>
      </c>
      <c r="N409" s="8" t="s">
        <v>27</v>
      </c>
      <c r="O409" s="13"/>
      <c r="P409" s="14">
        <v>0.2</v>
      </c>
      <c r="Q409" s="15">
        <v>0.3</v>
      </c>
      <c r="R409" s="16" t="str">
        <f t="shared" si="49"/>
        <v>BTICINO</v>
      </c>
      <c r="S409" s="17"/>
      <c r="T409" s="10" t="str">
        <f t="shared" si="50"/>
        <v>BORNERA DE 8 CONEXIONES</v>
      </c>
    </row>
    <row r="410" spans="1:20" ht="27" customHeight="1" x14ac:dyDescent="0.25">
      <c r="A410" s="8" t="s">
        <v>941</v>
      </c>
      <c r="B410" s="9"/>
      <c r="C410" s="9"/>
      <c r="D410" s="8"/>
      <c r="E410" s="8"/>
      <c r="F410" s="8" t="s">
        <v>22</v>
      </c>
      <c r="G410" s="10" t="s">
        <v>1026</v>
      </c>
      <c r="H410" s="8" t="s">
        <v>1027</v>
      </c>
      <c r="I410" s="10" t="s">
        <v>1026</v>
      </c>
      <c r="J410" s="11" t="s">
        <v>33</v>
      </c>
      <c r="K410" s="18">
        <v>360000</v>
      </c>
      <c r="L410" s="12">
        <f t="shared" si="47"/>
        <v>514300</v>
      </c>
      <c r="M410" s="8">
        <v>1</v>
      </c>
      <c r="N410" s="8" t="s">
        <v>27</v>
      </c>
      <c r="O410" s="13"/>
      <c r="P410" s="14">
        <v>0.2</v>
      </c>
      <c r="Q410" s="15">
        <v>0.3</v>
      </c>
      <c r="R410" s="16" t="str">
        <f t="shared" si="49"/>
        <v>BTICINO</v>
      </c>
      <c r="S410" s="17"/>
      <c r="T410" s="10" t="str">
        <f t="shared" si="50"/>
        <v>MODULO FÓNICO 2 HILOS 2 COLUMNAS</v>
      </c>
    </row>
    <row r="411" spans="1:20" ht="27" customHeight="1" x14ac:dyDescent="0.25">
      <c r="A411" s="8" t="s">
        <v>941</v>
      </c>
      <c r="B411" s="9"/>
      <c r="C411" s="9"/>
      <c r="D411" s="8"/>
      <c r="E411" s="8"/>
      <c r="F411" s="8" t="s">
        <v>22</v>
      </c>
      <c r="G411" s="10" t="s">
        <v>1028</v>
      </c>
      <c r="H411" s="8" t="s">
        <v>1029</v>
      </c>
      <c r="I411" s="10" t="s">
        <v>1028</v>
      </c>
      <c r="J411" s="11" t="s">
        <v>33</v>
      </c>
      <c r="K411" s="18">
        <v>93000</v>
      </c>
      <c r="L411" s="12">
        <f t="shared" si="47"/>
        <v>132900</v>
      </c>
      <c r="M411" s="8">
        <v>1</v>
      </c>
      <c r="N411" s="8" t="s">
        <v>27</v>
      </c>
      <c r="O411" s="13"/>
      <c r="P411" s="14">
        <v>0.2</v>
      </c>
      <c r="Q411" s="15">
        <v>0.3</v>
      </c>
      <c r="R411" s="16" t="str">
        <f t="shared" si="49"/>
        <v>BTICINO</v>
      </c>
      <c r="S411" s="17"/>
      <c r="T411" s="10" t="str">
        <f t="shared" si="50"/>
        <v>SFERA MARCO 1MOD COLOR ALUMINIO</v>
      </c>
    </row>
    <row r="412" spans="1:20" ht="27" customHeight="1" x14ac:dyDescent="0.25">
      <c r="A412" s="8" t="s">
        <v>941</v>
      </c>
      <c r="B412" s="9"/>
      <c r="C412" s="9"/>
      <c r="D412" s="8"/>
      <c r="E412" s="8"/>
      <c r="F412" s="8" t="s">
        <v>22</v>
      </c>
      <c r="G412" s="10" t="s">
        <v>1030</v>
      </c>
      <c r="H412" s="8" t="s">
        <v>1031</v>
      </c>
      <c r="I412" s="10" t="s">
        <v>1030</v>
      </c>
      <c r="J412" s="11" t="s">
        <v>33</v>
      </c>
      <c r="K412" s="18">
        <v>66000</v>
      </c>
      <c r="L412" s="12">
        <f t="shared" si="47"/>
        <v>94300</v>
      </c>
      <c r="M412" s="8">
        <v>1</v>
      </c>
      <c r="N412" s="8" t="s">
        <v>27</v>
      </c>
      <c r="O412" s="13"/>
      <c r="P412" s="14">
        <v>0.2</v>
      </c>
      <c r="Q412" s="15">
        <v>0.3</v>
      </c>
      <c r="R412" s="16" t="str">
        <f t="shared" si="49"/>
        <v>BTICINO</v>
      </c>
      <c r="S412" s="17"/>
      <c r="T412" s="10" t="str">
        <f t="shared" si="50"/>
        <v>SFERA - FRONTAL 1 PULSADOR</v>
      </c>
    </row>
    <row r="413" spans="1:20" ht="27" customHeight="1" x14ac:dyDescent="0.25">
      <c r="A413" s="8" t="s">
        <v>941</v>
      </c>
      <c r="B413" s="9"/>
      <c r="C413" s="9"/>
      <c r="D413" s="8"/>
      <c r="E413" s="8"/>
      <c r="F413" s="8" t="s">
        <v>22</v>
      </c>
      <c r="G413" s="10" t="s">
        <v>1032</v>
      </c>
      <c r="H413" s="8" t="s">
        <v>1033</v>
      </c>
      <c r="I413" s="10" t="s">
        <v>1032</v>
      </c>
      <c r="J413" s="11" t="s">
        <v>33</v>
      </c>
      <c r="K413" s="18">
        <v>66000</v>
      </c>
      <c r="L413" s="12">
        <f t="shared" si="47"/>
        <v>94300</v>
      </c>
      <c r="M413" s="8">
        <v>1</v>
      </c>
      <c r="N413" s="8" t="s">
        <v>27</v>
      </c>
      <c r="O413" s="13"/>
      <c r="P413" s="14">
        <v>0.2</v>
      </c>
      <c r="Q413" s="15">
        <v>0.3</v>
      </c>
      <c r="R413" s="16" t="str">
        <f t="shared" si="49"/>
        <v>BTICINO</v>
      </c>
      <c r="S413" s="17"/>
      <c r="T413" s="10" t="str">
        <f t="shared" si="50"/>
        <v>SFERA SOPOR+CAJA EMPOTRA 1 MOD</v>
      </c>
    </row>
    <row r="414" spans="1:20" ht="27" customHeight="1" x14ac:dyDescent="0.25">
      <c r="A414" s="8" t="s">
        <v>941</v>
      </c>
      <c r="B414" s="9"/>
      <c r="C414" s="9"/>
      <c r="D414" s="8" t="s">
        <v>45</v>
      </c>
      <c r="E414" s="8"/>
      <c r="F414" s="8" t="s">
        <v>22</v>
      </c>
      <c r="G414" s="10" t="s">
        <v>1034</v>
      </c>
      <c r="H414" s="8" t="s">
        <v>1035</v>
      </c>
      <c r="I414" s="10" t="s">
        <v>1034</v>
      </c>
      <c r="J414" s="11" t="s">
        <v>33</v>
      </c>
      <c r="K414" s="18">
        <v>33000</v>
      </c>
      <c r="L414" s="12">
        <f>ROUNDUP(K414*(1+P414)/(1-Q414),0)</f>
        <v>47143</v>
      </c>
      <c r="M414" s="8">
        <v>1</v>
      </c>
      <c r="N414" s="8" t="s">
        <v>27</v>
      </c>
      <c r="O414" s="13"/>
      <c r="P414" s="14">
        <v>0</v>
      </c>
      <c r="Q414" s="15">
        <v>0.3</v>
      </c>
      <c r="R414" s="16" t="str">
        <f t="shared" si="49"/>
        <v>BTICINO</v>
      </c>
      <c r="S414" s="17"/>
      <c r="T414" s="10" t="str">
        <f t="shared" si="50"/>
        <v>TAPA PARA INTEMPERIE</v>
      </c>
    </row>
    <row r="415" spans="1:20" ht="27" customHeight="1" x14ac:dyDescent="0.25">
      <c r="A415" s="8" t="s">
        <v>1036</v>
      </c>
      <c r="B415" s="9" t="s">
        <v>1036</v>
      </c>
      <c r="C415" s="9"/>
      <c r="D415" s="8" t="s">
        <v>1037</v>
      </c>
      <c r="E415" s="8"/>
      <c r="F415" s="8" t="s">
        <v>22</v>
      </c>
      <c r="G415" s="10" t="s">
        <v>1038</v>
      </c>
      <c r="H415" s="8" t="s">
        <v>1039</v>
      </c>
      <c r="I415" s="10" t="s">
        <v>1038</v>
      </c>
      <c r="J415" s="11" t="s">
        <v>26</v>
      </c>
      <c r="K415" s="18">
        <v>7.59</v>
      </c>
      <c r="L415" s="12">
        <f t="shared" ref="L415:L448" si="51">IF(J415="P",ROUNDUP(K415/(1-Q415),-2),K415*(1+P415)/(1-Q415))</f>
        <v>13.011428571428571</v>
      </c>
      <c r="M415" s="8">
        <v>1</v>
      </c>
      <c r="N415" s="8" t="s">
        <v>27</v>
      </c>
      <c r="O415" s="13"/>
      <c r="P415" s="14">
        <v>0.2</v>
      </c>
      <c r="Q415" s="15">
        <v>0.3</v>
      </c>
      <c r="R415" s="16" t="str">
        <f t="shared" si="49"/>
        <v>C&amp;E</v>
      </c>
      <c r="S415" s="17"/>
      <c r="T415" s="10" t="str">
        <f t="shared" si="50"/>
        <v>FACEPLATE RCA DE UN GANG EN COLOR BLANCO</v>
      </c>
    </row>
    <row r="416" spans="1:20" ht="27" customHeight="1" x14ac:dyDescent="0.25">
      <c r="A416" s="8" t="s">
        <v>1040</v>
      </c>
      <c r="B416" s="9"/>
      <c r="C416" s="9"/>
      <c r="D416" s="8"/>
      <c r="E416" s="8"/>
      <c r="F416" s="8" t="s">
        <v>22</v>
      </c>
      <c r="G416" s="10" t="s">
        <v>1041</v>
      </c>
      <c r="H416" s="8" t="s">
        <v>1042</v>
      </c>
      <c r="I416" s="10" t="s">
        <v>1041</v>
      </c>
      <c r="J416" s="11" t="s">
        <v>26</v>
      </c>
      <c r="K416" s="18">
        <v>37</v>
      </c>
      <c r="L416" s="12">
        <f t="shared" si="51"/>
        <v>74</v>
      </c>
      <c r="M416" s="8">
        <v>1</v>
      </c>
      <c r="N416" s="8" t="s">
        <v>27</v>
      </c>
      <c r="O416" s="13"/>
      <c r="P416" s="14">
        <v>0.2</v>
      </c>
      <c r="Q416" s="15">
        <v>0.4</v>
      </c>
      <c r="R416" s="16" t="str">
        <f t="shared" si="49"/>
        <v>C2G</v>
      </c>
      <c r="S416" s="17"/>
      <c r="T416" s="10" t="str">
        <f t="shared" si="50"/>
        <v>CONECTOR DE VIDEO HDMI Y VGA</v>
      </c>
    </row>
    <row r="417" spans="1:20" ht="27" customHeight="1" x14ac:dyDescent="0.25">
      <c r="A417" s="8" t="s">
        <v>1040</v>
      </c>
      <c r="B417" s="9" t="s">
        <v>1043</v>
      </c>
      <c r="C417" s="9"/>
      <c r="D417" s="8" t="s">
        <v>28</v>
      </c>
      <c r="E417" s="8">
        <v>1</v>
      </c>
      <c r="F417" s="8" t="s">
        <v>22</v>
      </c>
      <c r="G417" s="10" t="s">
        <v>1044</v>
      </c>
      <c r="H417" s="8" t="s">
        <v>1045</v>
      </c>
      <c r="I417" s="10" t="s">
        <v>1044</v>
      </c>
      <c r="J417" s="11" t="s">
        <v>26</v>
      </c>
      <c r="K417" s="18">
        <v>10.6</v>
      </c>
      <c r="L417" s="12">
        <f t="shared" si="51"/>
        <v>19.569230769230767</v>
      </c>
      <c r="M417" s="8">
        <v>1</v>
      </c>
      <c r="N417" s="8" t="s">
        <v>27</v>
      </c>
      <c r="O417" s="13"/>
      <c r="P417" s="14">
        <v>0.2</v>
      </c>
      <c r="Q417" s="15">
        <v>0.35</v>
      </c>
      <c r="R417" s="16" t="str">
        <f t="shared" si="49"/>
        <v>C2G</v>
      </c>
      <c r="S417" s="17"/>
      <c r="T417" s="10" t="str">
        <f t="shared" si="50"/>
        <v>CABLE HDMI DE ALTA VELOCIDAD, MEDIDA: 0.5M.</v>
      </c>
    </row>
    <row r="418" spans="1:20" ht="27" customHeight="1" x14ac:dyDescent="0.25">
      <c r="A418" s="8" t="s">
        <v>1040</v>
      </c>
      <c r="B418" s="9" t="s">
        <v>1043</v>
      </c>
      <c r="C418" s="9"/>
      <c r="D418" s="8" t="s">
        <v>28</v>
      </c>
      <c r="E418" s="8">
        <v>2</v>
      </c>
      <c r="F418" s="8" t="s">
        <v>22</v>
      </c>
      <c r="G418" s="10" t="s">
        <v>1046</v>
      </c>
      <c r="H418" s="8" t="s">
        <v>1047</v>
      </c>
      <c r="I418" s="10" t="s">
        <v>1046</v>
      </c>
      <c r="J418" s="11" t="s">
        <v>26</v>
      </c>
      <c r="K418" s="18">
        <v>13.3</v>
      </c>
      <c r="L418" s="12">
        <f t="shared" si="51"/>
        <v>24.553846153846155</v>
      </c>
      <c r="M418" s="8">
        <v>1</v>
      </c>
      <c r="N418" s="8" t="s">
        <v>27</v>
      </c>
      <c r="O418" s="13"/>
      <c r="P418" s="14">
        <v>0.2</v>
      </c>
      <c r="Q418" s="15">
        <v>0.35</v>
      </c>
      <c r="R418" s="16" t="str">
        <f t="shared" si="49"/>
        <v>C2G</v>
      </c>
      <c r="S418" s="17"/>
      <c r="T418" s="10" t="str">
        <f t="shared" si="50"/>
        <v>CABLE HDMI DE ALTA VELOCIDAD, MEDIDA: 1M.</v>
      </c>
    </row>
    <row r="419" spans="1:20" ht="27" customHeight="1" x14ac:dyDescent="0.25">
      <c r="A419" s="8" t="s">
        <v>1040</v>
      </c>
      <c r="B419" s="9" t="s">
        <v>1043</v>
      </c>
      <c r="C419" s="9"/>
      <c r="D419" s="8" t="s">
        <v>28</v>
      </c>
      <c r="E419" s="8">
        <v>3</v>
      </c>
      <c r="F419" s="8" t="s">
        <v>22</v>
      </c>
      <c r="G419" s="10" t="s">
        <v>1048</v>
      </c>
      <c r="H419" s="8" t="s">
        <v>1049</v>
      </c>
      <c r="I419" s="10" t="s">
        <v>1048</v>
      </c>
      <c r="J419" s="11" t="s">
        <v>26</v>
      </c>
      <c r="K419" s="18">
        <v>23.8</v>
      </c>
      <c r="L419" s="12">
        <f t="shared" si="51"/>
        <v>47.6</v>
      </c>
      <c r="M419" s="8">
        <v>1</v>
      </c>
      <c r="N419" s="8" t="s">
        <v>27</v>
      </c>
      <c r="O419" s="13"/>
      <c r="P419" s="14">
        <v>0.2</v>
      </c>
      <c r="Q419" s="15">
        <v>0.4</v>
      </c>
      <c r="R419" s="16" t="str">
        <f t="shared" si="49"/>
        <v>C2G</v>
      </c>
      <c r="S419" s="17"/>
      <c r="T419" s="10" t="str">
        <f t="shared" si="50"/>
        <v>CABLE HDMI DE ALTA VELOCIDAD, MEDIDA: 5M.</v>
      </c>
    </row>
    <row r="420" spans="1:20" ht="27" customHeight="1" x14ac:dyDescent="0.25">
      <c r="A420" s="8" t="s">
        <v>1040</v>
      </c>
      <c r="B420" s="9" t="s">
        <v>1043</v>
      </c>
      <c r="C420" s="9"/>
      <c r="D420" s="8" t="s">
        <v>28</v>
      </c>
      <c r="E420" s="8">
        <v>4</v>
      </c>
      <c r="F420" s="8" t="s">
        <v>22</v>
      </c>
      <c r="G420" s="10" t="s">
        <v>1050</v>
      </c>
      <c r="H420" s="8" t="s">
        <v>1051</v>
      </c>
      <c r="I420" s="10" t="s">
        <v>1050</v>
      </c>
      <c r="J420" s="11" t="s">
        <v>26</v>
      </c>
      <c r="K420" s="18">
        <v>57.9</v>
      </c>
      <c r="L420" s="12">
        <f t="shared" si="51"/>
        <v>115.79999999999998</v>
      </c>
      <c r="M420" s="8">
        <v>1</v>
      </c>
      <c r="N420" s="8" t="s">
        <v>27</v>
      </c>
      <c r="O420" s="13"/>
      <c r="P420" s="14">
        <v>0.2</v>
      </c>
      <c r="Q420" s="15">
        <v>0.4</v>
      </c>
      <c r="R420" s="16" t="str">
        <f t="shared" si="49"/>
        <v>C2G</v>
      </c>
      <c r="S420" s="17"/>
      <c r="T420" s="10" t="str">
        <f t="shared" si="50"/>
        <v>CABLE HDMI DE ALTA VELOCIDAD, MEDIDA: 25FT</v>
      </c>
    </row>
    <row r="421" spans="1:20" ht="27" customHeight="1" x14ac:dyDescent="0.25">
      <c r="A421" s="8" t="s">
        <v>1040</v>
      </c>
      <c r="B421" s="9" t="s">
        <v>1043</v>
      </c>
      <c r="C421" s="9"/>
      <c r="D421" s="8" t="s">
        <v>28</v>
      </c>
      <c r="E421" s="8">
        <v>5</v>
      </c>
      <c r="F421" s="8" t="s">
        <v>22</v>
      </c>
      <c r="G421" s="10" t="s">
        <v>1052</v>
      </c>
      <c r="H421" s="8" t="s">
        <v>1053</v>
      </c>
      <c r="I421" s="10" t="s">
        <v>1052</v>
      </c>
      <c r="J421" s="11" t="s">
        <v>26</v>
      </c>
      <c r="K421" s="18">
        <v>69.599999999999994</v>
      </c>
      <c r="L421" s="12">
        <f t="shared" si="51"/>
        <v>139.19999999999999</v>
      </c>
      <c r="M421" s="8">
        <v>1</v>
      </c>
      <c r="N421" s="8" t="s">
        <v>27</v>
      </c>
      <c r="O421" s="13"/>
      <c r="P421" s="14">
        <v>0.2</v>
      </c>
      <c r="Q421" s="15">
        <v>0.4</v>
      </c>
      <c r="R421" s="16" t="str">
        <f t="shared" si="49"/>
        <v>C2G</v>
      </c>
      <c r="S421" s="17"/>
      <c r="T421" s="10" t="str">
        <f t="shared" si="50"/>
        <v>CABLE HDMI DE ALTA VELOCIDAD, MEDIDA: 35FT</v>
      </c>
    </row>
    <row r="422" spans="1:20" ht="27" customHeight="1" x14ac:dyDescent="0.25">
      <c r="A422" s="8" t="s">
        <v>1040</v>
      </c>
      <c r="B422" s="9" t="s">
        <v>1043</v>
      </c>
      <c r="C422" s="9"/>
      <c r="D422" s="8" t="s">
        <v>28</v>
      </c>
      <c r="E422" s="8">
        <v>6</v>
      </c>
      <c r="F422" s="8" t="s">
        <v>22</v>
      </c>
      <c r="G422" s="10" t="s">
        <v>1054</v>
      </c>
      <c r="H422" s="8" t="s">
        <v>1055</v>
      </c>
      <c r="I422" s="10" t="s">
        <v>1054</v>
      </c>
      <c r="J422" s="11" t="s">
        <v>26</v>
      </c>
      <c r="K422" s="18">
        <v>91.4</v>
      </c>
      <c r="L422" s="12">
        <f t="shared" si="51"/>
        <v>182.8</v>
      </c>
      <c r="M422" s="8">
        <v>1</v>
      </c>
      <c r="N422" s="8" t="s">
        <v>27</v>
      </c>
      <c r="O422" s="13"/>
      <c r="P422" s="14">
        <v>0.2</v>
      </c>
      <c r="Q422" s="15">
        <v>0.4</v>
      </c>
      <c r="R422" s="16" t="str">
        <f t="shared" si="49"/>
        <v>C2G</v>
      </c>
      <c r="S422" s="17"/>
      <c r="T422" s="10" t="str">
        <f t="shared" si="50"/>
        <v>CABLE HDMI DE ALTA VELOCIDAD, MEDIDA: 50FT</v>
      </c>
    </row>
    <row r="423" spans="1:20" ht="27" customHeight="1" x14ac:dyDescent="0.25">
      <c r="A423" s="8" t="s">
        <v>1040</v>
      </c>
      <c r="B423" s="9" t="s">
        <v>1043</v>
      </c>
      <c r="C423" s="9"/>
      <c r="D423" s="8" t="s">
        <v>28</v>
      </c>
      <c r="E423" s="8">
        <v>7</v>
      </c>
      <c r="F423" s="8" t="s">
        <v>22</v>
      </c>
      <c r="G423" s="10" t="s">
        <v>1056</v>
      </c>
      <c r="H423" s="8" t="s">
        <v>1057</v>
      </c>
      <c r="I423" s="10" t="s">
        <v>1056</v>
      </c>
      <c r="J423" s="11" t="s">
        <v>26</v>
      </c>
      <c r="K423" s="18">
        <v>135</v>
      </c>
      <c r="L423" s="12">
        <f t="shared" si="51"/>
        <v>270</v>
      </c>
      <c r="M423" s="8">
        <v>1</v>
      </c>
      <c r="N423" s="8" t="s">
        <v>27</v>
      </c>
      <c r="O423" s="13"/>
      <c r="P423" s="14">
        <v>0.2</v>
      </c>
      <c r="Q423" s="15">
        <v>0.4</v>
      </c>
      <c r="R423" s="16" t="str">
        <f t="shared" si="49"/>
        <v>C2G</v>
      </c>
      <c r="S423" s="17"/>
      <c r="T423" s="10" t="str">
        <f t="shared" si="50"/>
        <v>CABLE HDMI DE ALTA VELOCIDAD, MEDIDA: 75FT</v>
      </c>
    </row>
    <row r="424" spans="1:20" ht="27" customHeight="1" x14ac:dyDescent="0.25">
      <c r="A424" s="8" t="s">
        <v>1040</v>
      </c>
      <c r="B424" s="9" t="s">
        <v>1043</v>
      </c>
      <c r="C424" s="9"/>
      <c r="D424" s="8" t="s">
        <v>28</v>
      </c>
      <c r="E424" s="8">
        <v>8</v>
      </c>
      <c r="F424" s="8" t="s">
        <v>22</v>
      </c>
      <c r="G424" s="10" t="s">
        <v>1058</v>
      </c>
      <c r="H424" s="8" t="s">
        <v>1059</v>
      </c>
      <c r="I424" s="10" t="s">
        <v>1058</v>
      </c>
      <c r="J424" s="11" t="s">
        <v>26</v>
      </c>
      <c r="K424" s="18" t="e">
        <f>#REF!*0.8</f>
        <v>#REF!</v>
      </c>
      <c r="L424" s="12" t="e">
        <f t="shared" si="51"/>
        <v>#REF!</v>
      </c>
      <c r="M424" s="8">
        <v>1</v>
      </c>
      <c r="N424" s="8" t="s">
        <v>27</v>
      </c>
      <c r="O424" s="13"/>
      <c r="P424" s="14">
        <v>0.2</v>
      </c>
      <c r="Q424" s="15">
        <v>0.2</v>
      </c>
      <c r="R424" s="16" t="str">
        <f t="shared" si="49"/>
        <v>C2G</v>
      </c>
      <c r="S424" s="17"/>
      <c r="T424" s="10" t="str">
        <f t="shared" si="50"/>
        <v>CABLE ÓPTICO DIGITAL DE 1 METRO DE LARGO.</v>
      </c>
    </row>
    <row r="425" spans="1:20" ht="27" customHeight="1" x14ac:dyDescent="0.25">
      <c r="A425" s="8" t="s">
        <v>1040</v>
      </c>
      <c r="B425" s="9" t="s">
        <v>1043</v>
      </c>
      <c r="C425" s="9"/>
      <c r="D425" s="8" t="s">
        <v>28</v>
      </c>
      <c r="E425" s="8">
        <v>9</v>
      </c>
      <c r="F425" s="8" t="s">
        <v>22</v>
      </c>
      <c r="G425" s="10" t="s">
        <v>1060</v>
      </c>
      <c r="H425" s="8" t="s">
        <v>1061</v>
      </c>
      <c r="I425" s="10" t="s">
        <v>1060</v>
      </c>
      <c r="J425" s="11" t="s">
        <v>26</v>
      </c>
      <c r="K425" s="18">
        <v>6.5</v>
      </c>
      <c r="L425" s="12">
        <f t="shared" si="51"/>
        <v>13</v>
      </c>
      <c r="M425" s="8">
        <v>1</v>
      </c>
      <c r="N425" s="8" t="s">
        <v>27</v>
      </c>
      <c r="O425" s="13"/>
      <c r="P425" s="14">
        <v>0.2</v>
      </c>
      <c r="Q425" s="15">
        <v>0.4</v>
      </c>
      <c r="R425" s="16" t="str">
        <f t="shared" si="49"/>
        <v>C2G</v>
      </c>
      <c r="S425" s="17"/>
      <c r="T425" s="10" t="str">
        <f t="shared" si="50"/>
        <v>SPLIT DE CABLE DE PODER</v>
      </c>
    </row>
    <row r="426" spans="1:20" ht="27" customHeight="1" x14ac:dyDescent="0.25">
      <c r="A426" s="8" t="s">
        <v>1040</v>
      </c>
      <c r="B426" s="9" t="s">
        <v>1043</v>
      </c>
      <c r="C426" s="9"/>
      <c r="D426" s="8" t="s">
        <v>28</v>
      </c>
      <c r="E426" s="8">
        <v>10</v>
      </c>
      <c r="F426" s="8" t="s">
        <v>22</v>
      </c>
      <c r="G426" s="10" t="s">
        <v>1062</v>
      </c>
      <c r="H426" s="8" t="s">
        <v>1063</v>
      </c>
      <c r="I426" s="10" t="s">
        <v>1064</v>
      </c>
      <c r="J426" s="11" t="s">
        <v>26</v>
      </c>
      <c r="K426" s="18">
        <v>44.98</v>
      </c>
      <c r="L426" s="12">
        <f t="shared" si="51"/>
        <v>73.939726027397256</v>
      </c>
      <c r="M426" s="8">
        <v>1</v>
      </c>
      <c r="N426" s="8" t="s">
        <v>27</v>
      </c>
      <c r="O426" s="13"/>
      <c r="P426" s="14">
        <v>0.2</v>
      </c>
      <c r="Q426" s="15">
        <v>0.27</v>
      </c>
      <c r="R426" s="16" t="str">
        <f t="shared" si="49"/>
        <v>C2G</v>
      </c>
      <c r="S426" s="17"/>
      <c r="T426" s="10" t="str">
        <f t="shared" si="50"/>
        <v>FACEPLATE EN ALUMINIO ANODIZADO PARA CAJA DE 10X10.</v>
      </c>
    </row>
    <row r="427" spans="1:20" ht="27" customHeight="1" x14ac:dyDescent="0.25">
      <c r="A427" s="8" t="s">
        <v>1065</v>
      </c>
      <c r="B427" s="9"/>
      <c r="C427" s="9"/>
      <c r="D427" s="8"/>
      <c r="E427" s="8"/>
      <c r="F427" s="8" t="s">
        <v>22</v>
      </c>
      <c r="G427" s="10" t="s">
        <v>1066</v>
      </c>
      <c r="H427" s="8" t="s">
        <v>1067</v>
      </c>
      <c r="I427" s="10" t="s">
        <v>1066</v>
      </c>
      <c r="J427" s="11" t="s">
        <v>26</v>
      </c>
      <c r="K427" s="18">
        <v>350</v>
      </c>
      <c r="L427" s="12">
        <f t="shared" si="51"/>
        <v>600</v>
      </c>
      <c r="M427" s="8">
        <v>1</v>
      </c>
      <c r="N427" s="8" t="s">
        <v>27</v>
      </c>
      <c r="O427" s="13"/>
      <c r="P427" s="14">
        <v>0.2</v>
      </c>
      <c r="Q427" s="15">
        <v>0.3</v>
      </c>
      <c r="R427" s="16" t="str">
        <f t="shared" si="49"/>
        <v>CABLE MATTERS</v>
      </c>
      <c r="S427" s="17" t="s">
        <v>1068</v>
      </c>
      <c r="T427" s="10" t="str">
        <f t="shared" si="50"/>
        <v>MATRIZ 4X4, CON RESOLUCIÓN 4K. CONTROL RS232.</v>
      </c>
    </row>
    <row r="428" spans="1:20" ht="27" customHeight="1" x14ac:dyDescent="0.25">
      <c r="A428" s="8" t="s">
        <v>1069</v>
      </c>
      <c r="B428" s="9" t="s">
        <v>1070</v>
      </c>
      <c r="C428" s="9"/>
      <c r="D428" s="8" t="s">
        <v>28</v>
      </c>
      <c r="E428" s="8">
        <v>5</v>
      </c>
      <c r="F428" s="8" t="s">
        <v>22</v>
      </c>
      <c r="G428" s="10" t="s">
        <v>1071</v>
      </c>
      <c r="H428" s="8" t="s">
        <v>1072</v>
      </c>
      <c r="I428" s="10" t="s">
        <v>1071</v>
      </c>
      <c r="J428" s="11" t="s">
        <v>33</v>
      </c>
      <c r="K428" s="18">
        <f>95420/20</f>
        <v>4771</v>
      </c>
      <c r="L428" s="12">
        <f t="shared" si="51"/>
        <v>6900</v>
      </c>
      <c r="M428" s="8">
        <v>1</v>
      </c>
      <c r="N428" s="8" t="s">
        <v>27</v>
      </c>
      <c r="O428" s="13"/>
      <c r="P428" s="14">
        <v>0.2</v>
      </c>
      <c r="Q428" s="15">
        <v>0.3</v>
      </c>
      <c r="R428" s="16" t="str">
        <f t="shared" si="49"/>
        <v>CABLOFIL</v>
      </c>
      <c r="S428" s="17"/>
      <c r="T428" s="10" t="str">
        <f t="shared" si="50"/>
        <v>PLACA PARA DERIVACIÓN DE TUBERÍA DE 1/2 Y 3/4.</v>
      </c>
    </row>
    <row r="429" spans="1:20" ht="27" customHeight="1" x14ac:dyDescent="0.25">
      <c r="A429" s="8" t="s">
        <v>1069</v>
      </c>
      <c r="B429" s="9"/>
      <c r="C429" s="9"/>
      <c r="D429" s="8"/>
      <c r="E429" s="8"/>
      <c r="F429" s="8" t="s">
        <v>22</v>
      </c>
      <c r="G429" s="10" t="s">
        <v>1073</v>
      </c>
      <c r="H429" s="8" t="s">
        <v>1074</v>
      </c>
      <c r="I429" s="10" t="s">
        <v>1073</v>
      </c>
      <c r="J429" s="11" t="s">
        <v>33</v>
      </c>
      <c r="K429" s="18">
        <v>1583</v>
      </c>
      <c r="L429" s="12">
        <f t="shared" si="51"/>
        <v>2300</v>
      </c>
      <c r="M429" s="8">
        <v>1</v>
      </c>
      <c r="N429" s="8" t="s">
        <v>27</v>
      </c>
      <c r="O429" s="13"/>
      <c r="P429" s="14">
        <v>0.2</v>
      </c>
      <c r="Q429" s="15">
        <v>0.3</v>
      </c>
      <c r="R429" s="16" t="str">
        <f t="shared" si="49"/>
        <v>CABLOFIL</v>
      </c>
      <c r="S429" s="17"/>
      <c r="T429" s="10" t="str">
        <f t="shared" si="50"/>
        <v>CLIP DE UNIÓN PARA CURVAS</v>
      </c>
    </row>
    <row r="430" spans="1:20" ht="27" customHeight="1" x14ac:dyDescent="0.25">
      <c r="A430" s="8" t="s">
        <v>1069</v>
      </c>
      <c r="B430" s="9"/>
      <c r="C430" s="9"/>
      <c r="D430" s="8"/>
      <c r="E430" s="8"/>
      <c r="F430" s="8" t="s">
        <v>22</v>
      </c>
      <c r="G430" s="10" t="s">
        <v>1075</v>
      </c>
      <c r="H430" s="8" t="s">
        <v>1076</v>
      </c>
      <c r="I430" s="10" t="s">
        <v>1075</v>
      </c>
      <c r="J430" s="11" t="s">
        <v>33</v>
      </c>
      <c r="K430" s="18">
        <f>53102/14</f>
        <v>3793</v>
      </c>
      <c r="L430" s="12">
        <f t="shared" si="51"/>
        <v>5500</v>
      </c>
      <c r="M430" s="8">
        <v>1</v>
      </c>
      <c r="N430" s="8" t="s">
        <v>27</v>
      </c>
      <c r="O430" s="13"/>
      <c r="P430" s="14">
        <v>0.2</v>
      </c>
      <c r="Q430" s="15">
        <v>0.3</v>
      </c>
      <c r="R430" s="16" t="str">
        <f t="shared" si="49"/>
        <v>CABLOFIL</v>
      </c>
      <c r="S430" s="17"/>
      <c r="T430" s="10" t="str">
        <f t="shared" si="50"/>
        <v>CLIP PARA UNIÓN RÁPIDA</v>
      </c>
    </row>
    <row r="431" spans="1:20" ht="27" customHeight="1" x14ac:dyDescent="0.25">
      <c r="A431" s="8" t="s">
        <v>1069</v>
      </c>
      <c r="B431" s="9"/>
      <c r="C431" s="9"/>
      <c r="D431" s="8"/>
      <c r="E431" s="8"/>
      <c r="F431" s="8" t="s">
        <v>22</v>
      </c>
      <c r="G431" s="10" t="s">
        <v>1073</v>
      </c>
      <c r="H431" s="8" t="s">
        <v>1077</v>
      </c>
      <c r="I431" s="10" t="s">
        <v>1073</v>
      </c>
      <c r="J431" s="11" t="s">
        <v>33</v>
      </c>
      <c r="K431" s="18">
        <v>2864</v>
      </c>
      <c r="L431" s="12">
        <f t="shared" si="51"/>
        <v>4100</v>
      </c>
      <c r="M431" s="8">
        <v>1</v>
      </c>
      <c r="N431" s="8" t="s">
        <v>27</v>
      </c>
      <c r="O431" s="13"/>
      <c r="P431" s="14">
        <v>0.2</v>
      </c>
      <c r="Q431" s="15">
        <v>0.3</v>
      </c>
      <c r="R431" s="16" t="str">
        <f t="shared" si="49"/>
        <v>CABLOFIL</v>
      </c>
      <c r="S431" s="17"/>
      <c r="T431" s="10" t="str">
        <f t="shared" si="50"/>
        <v>CLIP DE UNIÓN PARA CURVAS</v>
      </c>
    </row>
    <row r="432" spans="1:20" ht="27" customHeight="1" x14ac:dyDescent="0.25">
      <c r="A432" s="8" t="s">
        <v>1069</v>
      </c>
      <c r="B432" s="9"/>
      <c r="C432" s="9"/>
      <c r="D432" s="8"/>
      <c r="E432" s="8"/>
      <c r="F432" s="8" t="s">
        <v>22</v>
      </c>
      <c r="G432" s="10" t="s">
        <v>1078</v>
      </c>
      <c r="H432" s="8" t="s">
        <v>1079</v>
      </c>
      <c r="I432" s="10" t="s">
        <v>1078</v>
      </c>
      <c r="J432" s="11" t="s">
        <v>33</v>
      </c>
      <c r="K432" s="18">
        <v>15800</v>
      </c>
      <c r="L432" s="12">
        <f t="shared" si="51"/>
        <v>22600</v>
      </c>
      <c r="M432" s="8">
        <v>1</v>
      </c>
      <c r="N432" s="8" t="s">
        <v>27</v>
      </c>
      <c r="O432" s="13"/>
      <c r="P432" s="14">
        <v>0.2</v>
      </c>
      <c r="Q432" s="15">
        <v>0.3</v>
      </c>
      <c r="R432" s="16" t="str">
        <f t="shared" si="49"/>
        <v>CABLOFIL</v>
      </c>
      <c r="S432" s="17"/>
      <c r="T432" s="10" t="str">
        <f t="shared" si="50"/>
        <v>SUJETADOR PARA PUESTA A TIERRA</v>
      </c>
    </row>
    <row r="433" spans="1:20" ht="27" customHeight="1" x14ac:dyDescent="0.25">
      <c r="A433" s="8" t="s">
        <v>1069</v>
      </c>
      <c r="B433" s="9"/>
      <c r="C433" s="9"/>
      <c r="D433" s="8"/>
      <c r="E433" s="8"/>
      <c r="F433" s="8" t="s">
        <v>22</v>
      </c>
      <c r="G433" s="10" t="s">
        <v>1080</v>
      </c>
      <c r="H433" s="8" t="s">
        <v>1081</v>
      </c>
      <c r="I433" s="10" t="s">
        <v>1080</v>
      </c>
      <c r="J433" s="11" t="s">
        <v>33</v>
      </c>
      <c r="K433" s="18">
        <v>66718</v>
      </c>
      <c r="L433" s="12">
        <f t="shared" si="51"/>
        <v>95400</v>
      </c>
      <c r="M433" s="8">
        <v>1</v>
      </c>
      <c r="N433" s="8" t="s">
        <v>27</v>
      </c>
      <c r="O433" s="13"/>
      <c r="P433" s="14">
        <v>0.2</v>
      </c>
      <c r="Q433" s="15">
        <v>0.3</v>
      </c>
      <c r="R433" s="16" t="str">
        <f t="shared" si="49"/>
        <v>CABLOFIL</v>
      </c>
      <c r="S433" s="17"/>
      <c r="T433" s="10" t="str">
        <f t="shared" ref="T433:T450" si="52">G433</f>
        <v>BANDEJA TIPO MAYA 54X200mm. 3 METROS LINEALES</v>
      </c>
    </row>
    <row r="434" spans="1:20" ht="27" customHeight="1" x14ac:dyDescent="0.25">
      <c r="A434" s="8" t="s">
        <v>1069</v>
      </c>
      <c r="B434" s="9"/>
      <c r="C434" s="9"/>
      <c r="D434" s="8"/>
      <c r="E434" s="8"/>
      <c r="F434" s="8" t="s">
        <v>22</v>
      </c>
      <c r="G434" s="10" t="s">
        <v>1082</v>
      </c>
      <c r="H434" s="8" t="s">
        <v>1083</v>
      </c>
      <c r="I434" s="10" t="s">
        <v>1082</v>
      </c>
      <c r="J434" s="11" t="s">
        <v>33</v>
      </c>
      <c r="K434" s="18">
        <v>18876</v>
      </c>
      <c r="L434" s="12">
        <f t="shared" si="51"/>
        <v>27000</v>
      </c>
      <c r="M434" s="8">
        <v>1</v>
      </c>
      <c r="N434" s="8" t="s">
        <v>27</v>
      </c>
      <c r="O434" s="13"/>
      <c r="P434" s="14">
        <v>0.2</v>
      </c>
      <c r="Q434" s="15">
        <v>0.3</v>
      </c>
      <c r="R434" s="16" t="str">
        <f t="shared" si="49"/>
        <v>CABLOFIL</v>
      </c>
      <c r="S434" s="17"/>
      <c r="T434" s="10" t="str">
        <f t="shared" si="52"/>
        <v>SEPARADOR COT DE 50mm POR 3 METROS.</v>
      </c>
    </row>
    <row r="435" spans="1:20" ht="27" customHeight="1" x14ac:dyDescent="0.25">
      <c r="A435" s="8" t="s">
        <v>1069</v>
      </c>
      <c r="B435" s="9"/>
      <c r="C435" s="9"/>
      <c r="D435" s="8"/>
      <c r="E435" s="8"/>
      <c r="F435" s="8" t="s">
        <v>22</v>
      </c>
      <c r="G435" s="10" t="s">
        <v>1084</v>
      </c>
      <c r="H435" s="8" t="s">
        <v>1085</v>
      </c>
      <c r="I435" s="10" t="s">
        <v>1084</v>
      </c>
      <c r="J435" s="11" t="s">
        <v>33</v>
      </c>
      <c r="K435" s="18">
        <v>2080</v>
      </c>
      <c r="L435" s="12">
        <f t="shared" si="51"/>
        <v>3000</v>
      </c>
      <c r="M435" s="8">
        <v>1</v>
      </c>
      <c r="N435" s="8" t="s">
        <v>27</v>
      </c>
      <c r="O435" s="13"/>
      <c r="P435" s="14">
        <v>0.2</v>
      </c>
      <c r="Q435" s="15">
        <v>0.3</v>
      </c>
      <c r="R435" s="16" t="str">
        <f t="shared" si="49"/>
        <v>CABLOFIL</v>
      </c>
      <c r="S435" s="17"/>
      <c r="T435" s="10" t="str">
        <f t="shared" si="52"/>
        <v>UNIÓN PARA DIVISIÓN DE CABLOFIL</v>
      </c>
    </row>
    <row r="436" spans="1:20" ht="27" customHeight="1" x14ac:dyDescent="0.25">
      <c r="A436" s="8" t="s">
        <v>1069</v>
      </c>
      <c r="B436" s="9"/>
      <c r="C436" s="9"/>
      <c r="D436" s="8"/>
      <c r="E436" s="8"/>
      <c r="F436" s="8" t="s">
        <v>22</v>
      </c>
      <c r="G436" s="10" t="s">
        <v>1086</v>
      </c>
      <c r="H436" s="8" t="s">
        <v>1087</v>
      </c>
      <c r="I436" s="10" t="s">
        <v>1086</v>
      </c>
      <c r="J436" s="11" t="s">
        <v>33</v>
      </c>
      <c r="K436" s="18">
        <v>7015</v>
      </c>
      <c r="L436" s="12">
        <f t="shared" si="51"/>
        <v>10100</v>
      </c>
      <c r="M436" s="8">
        <v>1</v>
      </c>
      <c r="N436" s="8" t="s">
        <v>27</v>
      </c>
      <c r="O436" s="13"/>
      <c r="P436" s="14">
        <v>0.2</v>
      </c>
      <c r="Q436" s="15">
        <v>0.3</v>
      </c>
      <c r="R436" s="16" t="str">
        <f t="shared" si="49"/>
        <v>CABLOFIL</v>
      </c>
      <c r="S436" s="17"/>
      <c r="T436" s="10" t="str">
        <f t="shared" si="52"/>
        <v>ACCESORIO CURVADO PARA SALIDA DE CABLE.</v>
      </c>
    </row>
    <row r="437" spans="1:20" ht="27" customHeight="1" x14ac:dyDescent="0.25">
      <c r="A437" s="8" t="s">
        <v>1069</v>
      </c>
      <c r="B437" s="9"/>
      <c r="C437" s="9"/>
      <c r="D437" s="8"/>
      <c r="E437" s="8"/>
      <c r="F437" s="8" t="s">
        <v>22</v>
      </c>
      <c r="G437" s="10" t="s">
        <v>1088</v>
      </c>
      <c r="H437" s="8" t="s">
        <v>1089</v>
      </c>
      <c r="I437" s="10" t="s">
        <v>1088</v>
      </c>
      <c r="J437" s="11" t="s">
        <v>33</v>
      </c>
      <c r="K437" s="18">
        <v>111488</v>
      </c>
      <c r="L437" s="12">
        <f t="shared" si="51"/>
        <v>159300</v>
      </c>
      <c r="M437" s="8">
        <v>1</v>
      </c>
      <c r="N437" s="8" t="s">
        <v>27</v>
      </c>
      <c r="O437" s="13"/>
      <c r="P437" s="14">
        <v>0.2</v>
      </c>
      <c r="Q437" s="15">
        <v>0.3</v>
      </c>
      <c r="R437" s="16" t="str">
        <f t="shared" si="49"/>
        <v>CABLOFIL</v>
      </c>
      <c r="S437" s="17"/>
      <c r="T437" s="10" t="str">
        <f t="shared" si="52"/>
        <v>GANCHO PARA SUSPENSIÓN DE CABLES, BOLSA POR 100 UNIDADES.</v>
      </c>
    </row>
    <row r="438" spans="1:20" ht="27" customHeight="1" x14ac:dyDescent="0.25">
      <c r="A438" s="8" t="s">
        <v>1069</v>
      </c>
      <c r="B438" s="9"/>
      <c r="C438" s="9"/>
      <c r="D438" s="8"/>
      <c r="E438" s="8"/>
      <c r="F438" s="8" t="s">
        <v>22</v>
      </c>
      <c r="G438" s="10" t="s">
        <v>1090</v>
      </c>
      <c r="H438" s="8" t="s">
        <v>1081</v>
      </c>
      <c r="I438" s="10" t="s">
        <v>1090</v>
      </c>
      <c r="J438" s="11" t="s">
        <v>33</v>
      </c>
      <c r="K438" s="18">
        <v>66800</v>
      </c>
      <c r="L438" s="12">
        <f t="shared" si="51"/>
        <v>95500</v>
      </c>
      <c r="M438" s="8">
        <v>1</v>
      </c>
      <c r="N438" s="8" t="s">
        <v>110</v>
      </c>
      <c r="O438" s="13"/>
      <c r="P438" s="14">
        <v>0.2</v>
      </c>
      <c r="Q438" s="15">
        <v>0.3</v>
      </c>
      <c r="R438" s="16" t="str">
        <f t="shared" si="49"/>
        <v>CABLOFIL</v>
      </c>
      <c r="S438" s="17"/>
      <c r="T438" s="10" t="str">
        <f t="shared" si="52"/>
        <v>METRO DE CANASTILLA CABLOFIL CON ACCESORIOS, 20cm DE ANCHO Y 5.4cm DE ALTO.</v>
      </c>
    </row>
    <row r="439" spans="1:20" ht="27" customHeight="1" x14ac:dyDescent="0.25">
      <c r="A439" s="8" t="s">
        <v>1069</v>
      </c>
      <c r="B439" s="9"/>
      <c r="C439" s="9"/>
      <c r="D439" s="8"/>
      <c r="E439" s="8"/>
      <c r="F439" s="8" t="s">
        <v>22</v>
      </c>
      <c r="G439" s="10" t="s">
        <v>1091</v>
      </c>
      <c r="H439" s="8" t="s">
        <v>1092</v>
      </c>
      <c r="I439" s="10" t="s">
        <v>1091</v>
      </c>
      <c r="J439" s="11" t="s">
        <v>33</v>
      </c>
      <c r="K439" s="18">
        <v>63000</v>
      </c>
      <c r="L439" s="12">
        <f t="shared" si="51"/>
        <v>90000</v>
      </c>
      <c r="M439" s="8">
        <v>1</v>
      </c>
      <c r="N439" s="8" t="s">
        <v>27</v>
      </c>
      <c r="O439" s="13"/>
      <c r="P439" s="14">
        <v>0.2</v>
      </c>
      <c r="Q439" s="15">
        <v>0.3</v>
      </c>
      <c r="R439" s="16" t="str">
        <f t="shared" si="49"/>
        <v>CABLOFIL</v>
      </c>
      <c r="S439" s="17"/>
      <c r="T439" s="10" t="str">
        <f t="shared" si="52"/>
        <v>CF54/300EZ REJILLA</v>
      </c>
    </row>
    <row r="440" spans="1:20" ht="27" customHeight="1" x14ac:dyDescent="0.25">
      <c r="A440" s="8" t="s">
        <v>1069</v>
      </c>
      <c r="B440" s="9"/>
      <c r="C440" s="9"/>
      <c r="D440" s="8"/>
      <c r="E440" s="8"/>
      <c r="F440" s="8" t="s">
        <v>22</v>
      </c>
      <c r="G440" s="10" t="s">
        <v>1093</v>
      </c>
      <c r="H440" s="8" t="s">
        <v>1094</v>
      </c>
      <c r="I440" s="10" t="s">
        <v>1093</v>
      </c>
      <c r="J440" s="11" t="s">
        <v>33</v>
      </c>
      <c r="K440" s="18">
        <v>46600</v>
      </c>
      <c r="L440" s="12">
        <f t="shared" si="51"/>
        <v>66600</v>
      </c>
      <c r="M440" s="8">
        <v>1</v>
      </c>
      <c r="N440" s="8" t="s">
        <v>27</v>
      </c>
      <c r="O440" s="13"/>
      <c r="P440" s="14">
        <v>0.2</v>
      </c>
      <c r="Q440" s="15">
        <v>0.3</v>
      </c>
      <c r="R440" s="16" t="str">
        <f t="shared" si="49"/>
        <v>CABLOFIL</v>
      </c>
      <c r="S440" s="17"/>
      <c r="T440" s="10" t="str">
        <f t="shared" si="52"/>
        <v xml:space="preserve">PERFIL DE FIJACIÓN RCSN 3M GS </v>
      </c>
    </row>
    <row r="441" spans="1:20" ht="27" customHeight="1" x14ac:dyDescent="0.25">
      <c r="A441" s="8" t="s">
        <v>1069</v>
      </c>
      <c r="B441" s="9"/>
      <c r="C441" s="9"/>
      <c r="D441" s="8"/>
      <c r="E441" s="8"/>
      <c r="F441" s="8" t="s">
        <v>22</v>
      </c>
      <c r="G441" s="10" t="s">
        <v>1095</v>
      </c>
      <c r="H441" s="8" t="s">
        <v>1096</v>
      </c>
      <c r="I441" s="10" t="s">
        <v>1095</v>
      </c>
      <c r="J441" s="11" t="s">
        <v>33</v>
      </c>
      <c r="K441" s="18">
        <v>260</v>
      </c>
      <c r="L441" s="12">
        <f t="shared" si="51"/>
        <v>400</v>
      </c>
      <c r="M441" s="8">
        <v>1</v>
      </c>
      <c r="N441" s="8" t="s">
        <v>27</v>
      </c>
      <c r="O441" s="13"/>
      <c r="P441" s="14">
        <v>0.2</v>
      </c>
      <c r="Q441" s="15">
        <v>0.3</v>
      </c>
      <c r="R441" s="16" t="str">
        <f t="shared" si="49"/>
        <v>CABLOFIL</v>
      </c>
      <c r="S441" s="17"/>
      <c r="T441" s="10" t="str">
        <f t="shared" si="52"/>
        <v>ARANDELAS CE 25MM EZ</v>
      </c>
    </row>
    <row r="442" spans="1:20" ht="27" customHeight="1" x14ac:dyDescent="0.25">
      <c r="A442" s="8" t="s">
        <v>1069</v>
      </c>
      <c r="B442" s="9"/>
      <c r="C442" s="9"/>
      <c r="D442" s="8"/>
      <c r="E442" s="8"/>
      <c r="F442" s="8" t="s">
        <v>22</v>
      </c>
      <c r="G442" s="10" t="s">
        <v>1097</v>
      </c>
      <c r="H442" s="8" t="s">
        <v>1098</v>
      </c>
      <c r="I442" s="10" t="s">
        <v>1097</v>
      </c>
      <c r="J442" s="11" t="s">
        <v>33</v>
      </c>
      <c r="K442" s="18">
        <v>360</v>
      </c>
      <c r="L442" s="12">
        <f t="shared" si="51"/>
        <v>600</v>
      </c>
      <c r="M442" s="8">
        <v>1</v>
      </c>
      <c r="N442" s="8" t="s">
        <v>27</v>
      </c>
      <c r="O442" s="13"/>
      <c r="P442" s="14">
        <v>0.2</v>
      </c>
      <c r="Q442" s="15">
        <v>0.3</v>
      </c>
      <c r="R442" s="16" t="str">
        <f t="shared" si="49"/>
        <v>CABLOFIL</v>
      </c>
      <c r="S442" s="17"/>
      <c r="T442" s="10" t="str">
        <f t="shared" si="52"/>
        <v>ARANDELAS CE 30MM EZ</v>
      </c>
    </row>
    <row r="443" spans="1:20" ht="27" customHeight="1" x14ac:dyDescent="0.25">
      <c r="A443" s="8" t="s">
        <v>1069</v>
      </c>
      <c r="B443" s="9"/>
      <c r="C443" s="9"/>
      <c r="D443" s="8"/>
      <c r="E443" s="8"/>
      <c r="F443" s="8" t="s">
        <v>22</v>
      </c>
      <c r="G443" s="10" t="s">
        <v>1099</v>
      </c>
      <c r="H443" s="8" t="s">
        <v>1076</v>
      </c>
      <c r="I443" s="10" t="s">
        <v>1099</v>
      </c>
      <c r="J443" s="11" t="s">
        <v>33</v>
      </c>
      <c r="K443" s="18">
        <v>2450</v>
      </c>
      <c r="L443" s="12">
        <f t="shared" si="51"/>
        <v>3500</v>
      </c>
      <c r="M443" s="8">
        <v>1</v>
      </c>
      <c r="N443" s="8" t="s">
        <v>27</v>
      </c>
      <c r="O443" s="13"/>
      <c r="P443" s="14">
        <v>0.2</v>
      </c>
      <c r="Q443" s="15">
        <v>0.3</v>
      </c>
      <c r="R443" s="16" t="str">
        <f t="shared" si="49"/>
        <v>CABLOFIL</v>
      </c>
      <c r="S443" s="17"/>
      <c r="T443" s="10" t="str">
        <f t="shared" si="52"/>
        <v xml:space="preserve">UNIÓN RÁPIDA EDRN ACABADO EZ </v>
      </c>
    </row>
    <row r="444" spans="1:20" ht="27" customHeight="1" x14ac:dyDescent="0.25">
      <c r="A444" s="8" t="s">
        <v>1069</v>
      </c>
      <c r="B444" s="9"/>
      <c r="C444" s="9"/>
      <c r="D444" s="8"/>
      <c r="E444" s="8"/>
      <c r="F444" s="8" t="s">
        <v>22</v>
      </c>
      <c r="G444" s="10" t="s">
        <v>1100</v>
      </c>
      <c r="H444" s="8" t="s">
        <v>1101</v>
      </c>
      <c r="I444" s="10" t="s">
        <v>1100</v>
      </c>
      <c r="J444" s="11" t="s">
        <v>33</v>
      </c>
      <c r="K444" s="18">
        <v>151</v>
      </c>
      <c r="L444" s="12">
        <f t="shared" si="51"/>
        <v>300</v>
      </c>
      <c r="M444" s="8">
        <v>1</v>
      </c>
      <c r="N444" s="8" t="s">
        <v>27</v>
      </c>
      <c r="O444" s="13"/>
      <c r="P444" s="14">
        <v>0.2</v>
      </c>
      <c r="Q444" s="15">
        <v>0.3</v>
      </c>
      <c r="R444" s="16" t="str">
        <f t="shared" si="49"/>
        <v>CABLOFIL</v>
      </c>
      <c r="S444" s="17"/>
      <c r="T444" s="10" t="str">
        <f t="shared" si="52"/>
        <v>TORNILLO DE SUJECIÓN</v>
      </c>
    </row>
    <row r="445" spans="1:20" ht="27" customHeight="1" x14ac:dyDescent="0.25">
      <c r="A445" s="8" t="s">
        <v>1102</v>
      </c>
      <c r="B445" s="9"/>
      <c r="C445" s="9"/>
      <c r="D445" s="8" t="s">
        <v>45</v>
      </c>
      <c r="E445" s="8"/>
      <c r="F445" s="8" t="s">
        <v>22</v>
      </c>
      <c r="G445" s="10" t="s">
        <v>1103</v>
      </c>
      <c r="H445" s="8" t="s">
        <v>1104</v>
      </c>
      <c r="I445" s="10" t="s">
        <v>1103</v>
      </c>
      <c r="J445" s="11" t="s">
        <v>26</v>
      </c>
      <c r="K445" s="18">
        <v>470</v>
      </c>
      <c r="L445" s="12">
        <f t="shared" si="51"/>
        <v>671.42857142857144</v>
      </c>
      <c r="M445" s="8">
        <v>1</v>
      </c>
      <c r="N445" s="8" t="s">
        <v>27</v>
      </c>
      <c r="O445" s="13"/>
      <c r="P445" s="14">
        <v>0</v>
      </c>
      <c r="Q445" s="15">
        <v>0.3</v>
      </c>
      <c r="R445" s="16" t="str">
        <f t="shared" si="49"/>
        <v>CAMBRIDGE</v>
      </c>
      <c r="S445" s="17"/>
      <c r="T445" s="10" t="str">
        <f t="shared" si="52"/>
        <v>SOUNDBAR CON 3 CANALES DE ENTRADA, BLUETOOTH, PASSTRUE 4K, SUBWOOFER DE 6.5".</v>
      </c>
    </row>
    <row r="446" spans="1:20" ht="27" customHeight="1" x14ac:dyDescent="0.25">
      <c r="A446" s="8" t="s">
        <v>1102</v>
      </c>
      <c r="B446" s="9"/>
      <c r="C446" s="9"/>
      <c r="D446" s="8" t="s">
        <v>45</v>
      </c>
      <c r="E446" s="8"/>
      <c r="F446" s="8" t="s">
        <v>22</v>
      </c>
      <c r="G446" s="10" t="s">
        <v>1105</v>
      </c>
      <c r="H446" s="8" t="s">
        <v>1106</v>
      </c>
      <c r="I446" s="10" t="s">
        <v>1105</v>
      </c>
      <c r="J446" s="11" t="s">
        <v>26</v>
      </c>
      <c r="K446" s="18">
        <v>425</v>
      </c>
      <c r="L446" s="12">
        <f t="shared" si="51"/>
        <v>590.2777837729368</v>
      </c>
      <c r="M446" s="8">
        <v>1</v>
      </c>
      <c r="N446" s="8" t="s">
        <v>27</v>
      </c>
      <c r="O446" s="13"/>
      <c r="P446" s="14">
        <v>0</v>
      </c>
      <c r="Q446" s="15">
        <v>0.28000000731268332</v>
      </c>
      <c r="R446" s="16" t="str">
        <f t="shared" si="49"/>
        <v>CAMBRIDGE</v>
      </c>
      <c r="S446" s="17"/>
      <c r="T446" s="10" t="str">
        <f t="shared" si="52"/>
        <v>SUBWOOFER DE 200W DE 36Hz a 200Hz. MEMBRANA DE 6.5".</v>
      </c>
    </row>
    <row r="447" spans="1:20" ht="27" customHeight="1" x14ac:dyDescent="0.25">
      <c r="A447" s="8" t="s">
        <v>1102</v>
      </c>
      <c r="B447" s="9"/>
      <c r="C447" s="9"/>
      <c r="D447" s="8" t="s">
        <v>45</v>
      </c>
      <c r="E447" s="8"/>
      <c r="F447" s="8" t="s">
        <v>22</v>
      </c>
      <c r="G447" s="10" t="s">
        <v>1107</v>
      </c>
      <c r="H447" s="8" t="s">
        <v>1108</v>
      </c>
      <c r="I447" s="10" t="s">
        <v>1107</v>
      </c>
      <c r="J447" s="11" t="s">
        <v>26</v>
      </c>
      <c r="K447" s="18">
        <v>300</v>
      </c>
      <c r="L447" s="12">
        <f t="shared" si="51"/>
        <v>416.66667089854366</v>
      </c>
      <c r="M447" s="8">
        <v>1</v>
      </c>
      <c r="N447" s="8" t="s">
        <v>27</v>
      </c>
      <c r="O447" s="13"/>
      <c r="P447" s="14">
        <v>0</v>
      </c>
      <c r="Q447" s="15">
        <v>0.28000000731268332</v>
      </c>
      <c r="R447" s="16" t="str">
        <f t="shared" si="49"/>
        <v>CAMBRIDGE</v>
      </c>
      <c r="S447" s="17"/>
      <c r="T447" s="10" t="str">
        <f t="shared" si="52"/>
        <v xml:space="preserve">SUBWOOFER DE 70W, </v>
      </c>
    </row>
    <row r="448" spans="1:20" ht="27" customHeight="1" x14ac:dyDescent="0.25">
      <c r="A448" s="8" t="s">
        <v>1102</v>
      </c>
      <c r="B448" s="9"/>
      <c r="C448" s="9"/>
      <c r="D448" s="8" t="s">
        <v>45</v>
      </c>
      <c r="E448" s="8"/>
      <c r="F448" s="8" t="s">
        <v>22</v>
      </c>
      <c r="G448" s="10" t="s">
        <v>1109</v>
      </c>
      <c r="H448" s="8" t="s">
        <v>1110</v>
      </c>
      <c r="I448" s="10" t="s">
        <v>1109</v>
      </c>
      <c r="J448" s="11" t="s">
        <v>26</v>
      </c>
      <c r="K448" s="18">
        <v>180</v>
      </c>
      <c r="L448" s="12">
        <f t="shared" si="51"/>
        <v>257.14285714285717</v>
      </c>
      <c r="M448" s="8">
        <v>1</v>
      </c>
      <c r="N448" s="8" t="s">
        <v>27</v>
      </c>
      <c r="O448" s="13"/>
      <c r="P448" s="14">
        <v>0</v>
      </c>
      <c r="Q448" s="15">
        <v>0.3</v>
      </c>
      <c r="R448" s="16" t="str">
        <f t="shared" si="49"/>
        <v>CAMBRIDGE</v>
      </c>
      <c r="S448" s="17"/>
      <c r="T448" s="10" t="str">
        <f t="shared" si="52"/>
        <v>ALTAVOZ CENTRAL DE SOBREPONER CON DOBLE TWEETER</v>
      </c>
    </row>
    <row r="449" spans="1:28" ht="27" customHeight="1" x14ac:dyDescent="0.25">
      <c r="A449" s="8" t="s">
        <v>1102</v>
      </c>
      <c r="B449" s="9"/>
      <c r="C449" s="9"/>
      <c r="D449" s="8" t="s">
        <v>45</v>
      </c>
      <c r="E449" s="8"/>
      <c r="F449" s="8" t="s">
        <v>22</v>
      </c>
      <c r="G449" s="10" t="s">
        <v>1111</v>
      </c>
      <c r="H449" s="8" t="s">
        <v>1112</v>
      </c>
      <c r="I449" s="10" t="s">
        <v>1111</v>
      </c>
      <c r="J449" s="11" t="s">
        <v>26</v>
      </c>
      <c r="K449" s="18">
        <v>80</v>
      </c>
      <c r="L449" s="12">
        <f>ROUNDUP(K449*(1+P449)/(1-Q449),0)</f>
        <v>134</v>
      </c>
      <c r="M449" s="8">
        <v>1</v>
      </c>
      <c r="N449" s="8" t="s">
        <v>27</v>
      </c>
      <c r="O449" s="13"/>
      <c r="P449" s="14">
        <v>0</v>
      </c>
      <c r="Q449" s="15">
        <v>0.4</v>
      </c>
      <c r="R449" s="16" t="str">
        <f t="shared" ref="R449:R512" si="53">A449</f>
        <v>CAMBRIDGE</v>
      </c>
      <c r="S449" s="17"/>
      <c r="T449" s="10" t="str">
        <f t="shared" si="52"/>
        <v>PARLANTE ULTRA COMPACTO DE 25-200W DE 8OHM</v>
      </c>
    </row>
    <row r="450" spans="1:28" ht="27" customHeight="1" x14ac:dyDescent="0.25">
      <c r="A450" s="8" t="s">
        <v>1102</v>
      </c>
      <c r="B450" s="9"/>
      <c r="C450" s="9"/>
      <c r="D450" s="8" t="s">
        <v>45</v>
      </c>
      <c r="E450" s="8"/>
      <c r="F450" s="8" t="s">
        <v>22</v>
      </c>
      <c r="G450" s="10" t="s">
        <v>1113</v>
      </c>
      <c r="H450" s="8" t="s">
        <v>1114</v>
      </c>
      <c r="I450" s="10" t="s">
        <v>1113</v>
      </c>
      <c r="J450" s="11" t="s">
        <v>26</v>
      </c>
      <c r="K450" s="18">
        <v>20</v>
      </c>
      <c r="L450" s="12">
        <f>ROUNDUP(K450*(1+P450)/(1-Q450),0)</f>
        <v>34</v>
      </c>
      <c r="M450" s="8">
        <v>1</v>
      </c>
      <c r="N450" s="8" t="s">
        <v>27</v>
      </c>
      <c r="O450" s="13"/>
      <c r="P450" s="14">
        <v>0</v>
      </c>
      <c r="Q450" s="15">
        <v>0.4</v>
      </c>
      <c r="R450" s="16" t="str">
        <f t="shared" si="53"/>
        <v>CAMBRIDGE</v>
      </c>
      <c r="S450" s="17"/>
      <c r="T450" s="10" t="str">
        <f t="shared" si="52"/>
        <v>SOPORTE PARA PARLANTES MIN 12 Y MIN 22</v>
      </c>
    </row>
    <row r="451" spans="1:28" ht="27" customHeight="1" x14ac:dyDescent="0.25">
      <c r="A451" s="8" t="s">
        <v>1102</v>
      </c>
      <c r="B451" s="9"/>
      <c r="C451" s="9"/>
      <c r="D451" s="8"/>
      <c r="E451" s="8"/>
      <c r="F451" s="8"/>
      <c r="G451" s="10"/>
      <c r="H451" s="8" t="s">
        <v>1115</v>
      </c>
      <c r="I451" s="10" t="s">
        <v>1116</v>
      </c>
      <c r="J451" s="11" t="s">
        <v>26</v>
      </c>
      <c r="K451" s="18">
        <f>155*0.75</f>
        <v>116.25</v>
      </c>
      <c r="L451" s="12">
        <f>IF(J451="P",ROUNDUP(K451/(1-Q451),-2),K451*(1+P451)/(1-Q451))</f>
        <v>155</v>
      </c>
      <c r="M451" s="8">
        <v>1</v>
      </c>
      <c r="N451" s="8" t="s">
        <v>27</v>
      </c>
      <c r="O451" s="13"/>
      <c r="P451" s="14">
        <v>0</v>
      </c>
      <c r="Q451" s="15">
        <v>0.25</v>
      </c>
      <c r="R451" s="16" t="str">
        <f t="shared" si="53"/>
        <v>CAMBRIDGE</v>
      </c>
      <c r="S451" s="17"/>
      <c r="T451" s="10"/>
    </row>
    <row r="452" spans="1:28" ht="27" customHeight="1" x14ac:dyDescent="0.25">
      <c r="A452" s="8" t="s">
        <v>1117</v>
      </c>
      <c r="B452" s="9"/>
      <c r="C452" s="9"/>
      <c r="D452" s="8"/>
      <c r="E452" s="8"/>
      <c r="F452" s="8"/>
      <c r="G452" s="10"/>
      <c r="H452" s="8" t="s">
        <v>1118</v>
      </c>
      <c r="I452" s="10" t="s">
        <v>1119</v>
      </c>
      <c r="J452" s="11" t="s">
        <v>33</v>
      </c>
      <c r="K452" s="18">
        <v>1176000</v>
      </c>
      <c r="L452" s="12">
        <f>IF(J452="P",ROUNDUP(K452/(1-Q452),-2),K452*(1+P452)/(1-Q452))</f>
        <v>1680000</v>
      </c>
      <c r="M452" s="8">
        <v>1</v>
      </c>
      <c r="N452" s="8" t="s">
        <v>27</v>
      </c>
      <c r="O452" s="13">
        <f>F452</f>
        <v>0</v>
      </c>
      <c r="P452" s="14">
        <v>0</v>
      </c>
      <c r="Q452" s="15">
        <v>0.3</v>
      </c>
      <c r="R452" s="16" t="str">
        <f t="shared" si="53"/>
        <v>CANON</v>
      </c>
      <c r="S452" s="17"/>
      <c r="T452" s="10"/>
    </row>
    <row r="453" spans="1:28" ht="27" customHeight="1" x14ac:dyDescent="0.25">
      <c r="A453" s="8" t="s">
        <v>1120</v>
      </c>
      <c r="B453" s="9"/>
      <c r="C453" s="9"/>
      <c r="D453" s="8"/>
      <c r="E453" s="8"/>
      <c r="F453" s="8"/>
      <c r="G453" s="10"/>
      <c r="H453" s="8" t="s">
        <v>1121</v>
      </c>
      <c r="I453" s="10" t="s">
        <v>1122</v>
      </c>
      <c r="J453" s="11" t="s">
        <v>33</v>
      </c>
      <c r="K453" s="18">
        <v>400000</v>
      </c>
      <c r="L453" s="12">
        <f>K453*(1+P453)/(1-Q453)</f>
        <v>800000</v>
      </c>
      <c r="M453" s="8">
        <v>1</v>
      </c>
      <c r="N453" s="8" t="s">
        <v>27</v>
      </c>
      <c r="O453" s="13"/>
      <c r="P453" s="14">
        <v>0.2</v>
      </c>
      <c r="Q453" s="15">
        <v>0.4</v>
      </c>
      <c r="R453" s="16" t="str">
        <f t="shared" si="53"/>
        <v>CARDORIA</v>
      </c>
      <c r="S453" s="17"/>
      <c r="T453" s="10"/>
    </row>
    <row r="454" spans="1:28" ht="27" customHeight="1" x14ac:dyDescent="0.25">
      <c r="A454" s="8" t="s">
        <v>1123</v>
      </c>
      <c r="B454" s="9" t="s">
        <v>1124</v>
      </c>
      <c r="C454" s="9"/>
      <c r="D454" s="8" t="s">
        <v>602</v>
      </c>
      <c r="E454" s="8">
        <v>1</v>
      </c>
      <c r="F454" s="8" t="s">
        <v>22</v>
      </c>
      <c r="G454" s="10" t="s">
        <v>1125</v>
      </c>
      <c r="H454" s="8" t="s">
        <v>1126</v>
      </c>
      <c r="I454" s="10" t="s">
        <v>1127</v>
      </c>
      <c r="J454" s="11" t="s">
        <v>26</v>
      </c>
      <c r="K454" s="18">
        <v>1.5</v>
      </c>
      <c r="L454" s="12">
        <f>IF(J454="P",ROUNDUP(K454/(1-Q454),-2),K454*(1+P454)/(1-Q454))</f>
        <v>3.5999999999999996</v>
      </c>
      <c r="M454" s="8">
        <v>1</v>
      </c>
      <c r="N454" s="8" t="s">
        <v>27</v>
      </c>
      <c r="O454" s="13" t="s">
        <v>587</v>
      </c>
      <c r="P454" s="14">
        <v>0.2</v>
      </c>
      <c r="Q454" s="15">
        <v>0.5</v>
      </c>
      <c r="R454" s="16" t="str">
        <f t="shared" si="53"/>
        <v>CARLON</v>
      </c>
      <c r="S454" s="17"/>
      <c r="T454" s="10" t="str">
        <f t="shared" ref="T454:T492" si="54">G454</f>
        <v xml:space="preserve">CAJA ELÉCTRICA PLÁSTICA PARA UN DISPOSITIVO. </v>
      </c>
    </row>
    <row r="455" spans="1:28" ht="27" customHeight="1" x14ac:dyDescent="0.25">
      <c r="A455" s="8" t="s">
        <v>1123</v>
      </c>
      <c r="B455" s="9" t="s">
        <v>1124</v>
      </c>
      <c r="C455" s="9"/>
      <c r="D455" s="8" t="s">
        <v>602</v>
      </c>
      <c r="E455" s="8">
        <v>2</v>
      </c>
      <c r="F455" s="8" t="s">
        <v>22</v>
      </c>
      <c r="G455" s="10" t="s">
        <v>1128</v>
      </c>
      <c r="H455" s="8" t="s">
        <v>1129</v>
      </c>
      <c r="I455" s="10" t="s">
        <v>1130</v>
      </c>
      <c r="J455" s="11" t="s">
        <v>26</v>
      </c>
      <c r="K455" s="18">
        <v>3.5</v>
      </c>
      <c r="L455" s="12">
        <f>IF(J455="P",ROUNDUP(K455/(1-Q455),-2),K455*(1+P455)/(1-Q455))</f>
        <v>8.4</v>
      </c>
      <c r="M455" s="8">
        <v>1</v>
      </c>
      <c r="N455" s="8" t="s">
        <v>27</v>
      </c>
      <c r="O455" s="13" t="s">
        <v>588</v>
      </c>
      <c r="P455" s="14">
        <v>0.2</v>
      </c>
      <c r="Q455" s="15">
        <v>0.5</v>
      </c>
      <c r="R455" s="16" t="str">
        <f t="shared" si="53"/>
        <v>CARLON</v>
      </c>
      <c r="S455" s="17"/>
      <c r="T455" s="10" t="str">
        <f t="shared" si="54"/>
        <v>CAJA ELÉCTRICA PLÁSTICA PARA MANEJO DE DISPOSITIVOS DOBLES.</v>
      </c>
      <c r="AA455">
        <f>8.4*4000</f>
        <v>33600</v>
      </c>
      <c r="AB455" s="112">
        <v>9</v>
      </c>
    </row>
    <row r="456" spans="1:28" ht="27" customHeight="1" x14ac:dyDescent="0.25">
      <c r="A456" s="8" t="s">
        <v>1123</v>
      </c>
      <c r="B456" s="9" t="s">
        <v>1124</v>
      </c>
      <c r="C456" s="9"/>
      <c r="D456" s="8" t="s">
        <v>602</v>
      </c>
      <c r="E456" s="8">
        <v>3</v>
      </c>
      <c r="F456" s="8" t="s">
        <v>22</v>
      </c>
      <c r="G456" s="10" t="s">
        <v>1131</v>
      </c>
      <c r="H456" s="8" t="s">
        <v>1132</v>
      </c>
      <c r="I456" s="10" t="s">
        <v>1133</v>
      </c>
      <c r="J456" s="11" t="s">
        <v>26</v>
      </c>
      <c r="K456" s="18">
        <v>7</v>
      </c>
      <c r="L456" s="12">
        <f>K456*1.2/(1-Q456)</f>
        <v>16.8</v>
      </c>
      <c r="M456" s="8">
        <v>1</v>
      </c>
      <c r="N456" s="8" t="s">
        <v>27</v>
      </c>
      <c r="O456" s="13" t="s">
        <v>588</v>
      </c>
      <c r="P456" s="14">
        <v>0.2</v>
      </c>
      <c r="Q456" s="15">
        <v>0.5</v>
      </c>
      <c r="R456" s="16" t="str">
        <f t="shared" si="53"/>
        <v>CARLON</v>
      </c>
      <c r="S456" s="17"/>
      <c r="T456" s="10" t="str">
        <f t="shared" si="54"/>
        <v>CAJA ELÉCTRICA PLÁSTICA PARA MANEJO DE DISPOSITIVOS DE TRES UNIDADES.</v>
      </c>
      <c r="AA456">
        <f>16.8*4000</f>
        <v>67200</v>
      </c>
      <c r="AB456" s="112">
        <v>8</v>
      </c>
    </row>
    <row r="457" spans="1:28" ht="27" customHeight="1" x14ac:dyDescent="0.25">
      <c r="A457" s="8" t="s">
        <v>1123</v>
      </c>
      <c r="B457" s="9" t="s">
        <v>1124</v>
      </c>
      <c r="C457" s="9"/>
      <c r="D457" s="8" t="s">
        <v>602</v>
      </c>
      <c r="E457" s="8">
        <v>4</v>
      </c>
      <c r="F457" s="8" t="s">
        <v>22</v>
      </c>
      <c r="G457" s="10" t="s">
        <v>1134</v>
      </c>
      <c r="H457" s="8" t="s">
        <v>1135</v>
      </c>
      <c r="I457" s="10" t="s">
        <v>1136</v>
      </c>
      <c r="J457" s="11" t="s">
        <v>26</v>
      </c>
      <c r="K457" s="18">
        <v>14</v>
      </c>
      <c r="L457" s="12">
        <f>K457*1.2/(1-Q457)</f>
        <v>33.6</v>
      </c>
      <c r="M457" s="8">
        <v>1</v>
      </c>
      <c r="N457" s="8" t="s">
        <v>27</v>
      </c>
      <c r="O457" s="13" t="s">
        <v>588</v>
      </c>
      <c r="P457" s="14">
        <v>0.2</v>
      </c>
      <c r="Q457" s="15">
        <v>0.5</v>
      </c>
      <c r="R457" s="16" t="str">
        <f t="shared" si="53"/>
        <v>CARLON</v>
      </c>
      <c r="S457" s="17"/>
      <c r="T457" s="10" t="str">
        <f t="shared" si="54"/>
        <v>CAJA ELÉCTRICA PLÁSTICA PARA MANEJO DE DISPOSITIVOS CUATRO UNIDADES.</v>
      </c>
      <c r="AB457" s="112">
        <v>10</v>
      </c>
    </row>
    <row r="458" spans="1:28" ht="27" customHeight="1" x14ac:dyDescent="0.25">
      <c r="A458" s="8" t="s">
        <v>1137</v>
      </c>
      <c r="B458" s="9"/>
      <c r="C458" s="9"/>
      <c r="D458" s="8"/>
      <c r="E458" s="8"/>
      <c r="F458" s="8" t="s">
        <v>22</v>
      </c>
      <c r="G458" s="10" t="s">
        <v>722</v>
      </c>
      <c r="H458" s="8" t="s">
        <v>721</v>
      </c>
      <c r="I458" s="10" t="s">
        <v>722</v>
      </c>
      <c r="J458" s="11" t="s">
        <v>33</v>
      </c>
      <c r="K458" s="18">
        <v>93100</v>
      </c>
      <c r="L458" s="12">
        <f t="shared" ref="L458:L489" si="55">IF(J458="P",ROUNDUP(K458/(1-Q458),-2),K458*(1+P458)/(1-Q458))</f>
        <v>133000</v>
      </c>
      <c r="M458" s="8">
        <v>1</v>
      </c>
      <c r="N458" s="8" t="s">
        <v>27</v>
      </c>
      <c r="O458" s="13"/>
      <c r="P458" s="14">
        <v>0.2</v>
      </c>
      <c r="Q458" s="15">
        <v>0.3</v>
      </c>
      <c r="R458" s="16" t="str">
        <f t="shared" si="53"/>
        <v>CATA</v>
      </c>
      <c r="S458" s="17"/>
      <c r="T458" s="10" t="str">
        <f t="shared" si="54"/>
        <v>EXTRACTOR ULTRA SILENCIOSO</v>
      </c>
    </row>
    <row r="459" spans="1:28" ht="27" customHeight="1" x14ac:dyDescent="0.25">
      <c r="A459" s="8" t="s">
        <v>1138</v>
      </c>
      <c r="B459" s="9"/>
      <c r="C459" s="9"/>
      <c r="D459" s="8" t="s">
        <v>45</v>
      </c>
      <c r="E459" s="8"/>
      <c r="F459" s="8" t="s">
        <v>22</v>
      </c>
      <c r="G459" s="10" t="s">
        <v>1139</v>
      </c>
      <c r="H459" s="8" t="s">
        <v>1140</v>
      </c>
      <c r="I459" s="10" t="s">
        <v>1139</v>
      </c>
      <c r="J459" s="11" t="s">
        <v>33</v>
      </c>
      <c r="K459" s="18">
        <v>31932</v>
      </c>
      <c r="L459" s="12">
        <f t="shared" si="55"/>
        <v>40000</v>
      </c>
      <c r="M459" s="8">
        <v>1</v>
      </c>
      <c r="N459" s="8" t="s">
        <v>27</v>
      </c>
      <c r="O459" s="13"/>
      <c r="P459" s="14">
        <v>0</v>
      </c>
      <c r="Q459" s="15">
        <v>0.2</v>
      </c>
      <c r="R459" s="16" t="str">
        <f t="shared" si="53"/>
        <v>CEMEX</v>
      </c>
      <c r="S459" s="17"/>
      <c r="T459" s="10" t="str">
        <f t="shared" si="54"/>
        <v>BULTO DE MORTERO SECO</v>
      </c>
    </row>
    <row r="460" spans="1:28" ht="27" customHeight="1" x14ac:dyDescent="0.25">
      <c r="A460" s="8" t="s">
        <v>1141</v>
      </c>
      <c r="B460" s="9" t="s">
        <v>1142</v>
      </c>
      <c r="C460" s="9"/>
      <c r="D460" s="8" t="s">
        <v>28</v>
      </c>
      <c r="E460" s="8">
        <v>2</v>
      </c>
      <c r="F460" s="8" t="s">
        <v>22</v>
      </c>
      <c r="G460" s="10" t="s">
        <v>1143</v>
      </c>
      <c r="H460" s="8" t="s">
        <v>1144</v>
      </c>
      <c r="I460" s="10" t="s">
        <v>1143</v>
      </c>
      <c r="J460" s="11" t="s">
        <v>33</v>
      </c>
      <c r="K460" s="18">
        <v>1800</v>
      </c>
      <c r="L460" s="12">
        <f t="shared" si="55"/>
        <v>2400</v>
      </c>
      <c r="M460" s="8">
        <v>1</v>
      </c>
      <c r="N460" s="8" t="s">
        <v>110</v>
      </c>
      <c r="O460" s="13"/>
      <c r="P460" s="14">
        <v>0.2</v>
      </c>
      <c r="Q460" s="15">
        <v>0.25</v>
      </c>
      <c r="R460" s="16" t="str">
        <f t="shared" si="53"/>
        <v>CENTELSA</v>
      </c>
      <c r="S460" s="17"/>
      <c r="T460" s="10" t="str">
        <f t="shared" si="54"/>
        <v>METRO DE CABLE ELÉCTRICO CENTELSA CALIBRE AWG14</v>
      </c>
    </row>
    <row r="461" spans="1:28" ht="27" customHeight="1" x14ac:dyDescent="0.25">
      <c r="A461" s="8" t="s">
        <v>1141</v>
      </c>
      <c r="B461" s="9" t="s">
        <v>1142</v>
      </c>
      <c r="C461" s="9"/>
      <c r="D461" s="8" t="s">
        <v>28</v>
      </c>
      <c r="E461" s="8"/>
      <c r="F461" s="8" t="s">
        <v>22</v>
      </c>
      <c r="G461" s="10" t="s">
        <v>1145</v>
      </c>
      <c r="H461" s="8" t="s">
        <v>1146</v>
      </c>
      <c r="I461" s="10" t="s">
        <v>1145</v>
      </c>
      <c r="J461" s="11" t="s">
        <v>33</v>
      </c>
      <c r="K461" s="18">
        <v>559</v>
      </c>
      <c r="L461" s="12">
        <f t="shared" si="55"/>
        <v>1000</v>
      </c>
      <c r="M461" s="8">
        <v>1</v>
      </c>
      <c r="N461" s="8" t="s">
        <v>110</v>
      </c>
      <c r="O461" s="13"/>
      <c r="P461" s="14">
        <v>0.2</v>
      </c>
      <c r="Q461" s="15">
        <v>0.4</v>
      </c>
      <c r="R461" s="16" t="str">
        <f t="shared" si="53"/>
        <v>CENTELSA</v>
      </c>
      <c r="S461" s="17"/>
      <c r="T461" s="10" t="str">
        <f t="shared" si="54"/>
        <v>METRO DE ALAMBRE CERTIFICADO CALIBRE AWG 14, CENTELSA.</v>
      </c>
    </row>
    <row r="462" spans="1:28" ht="27" customHeight="1" x14ac:dyDescent="0.25">
      <c r="A462" s="8" t="s">
        <v>1141</v>
      </c>
      <c r="B462" s="9" t="s">
        <v>1142</v>
      </c>
      <c r="C462" s="9"/>
      <c r="D462" s="8"/>
      <c r="E462" s="8"/>
      <c r="F462" s="8" t="s">
        <v>22</v>
      </c>
      <c r="G462" s="10" t="s">
        <v>1147</v>
      </c>
      <c r="H462" s="8" t="s">
        <v>1148</v>
      </c>
      <c r="I462" s="10" t="s">
        <v>1147</v>
      </c>
      <c r="J462" s="11" t="s">
        <v>33</v>
      </c>
      <c r="K462" s="18">
        <v>2100</v>
      </c>
      <c r="L462" s="12">
        <f t="shared" si="55"/>
        <v>3000</v>
      </c>
      <c r="M462" s="8">
        <v>1</v>
      </c>
      <c r="N462" s="8" t="s">
        <v>27</v>
      </c>
      <c r="O462" s="13"/>
      <c r="P462" s="14">
        <v>0.2</v>
      </c>
      <c r="Q462" s="15">
        <v>0.3</v>
      </c>
      <c r="R462" s="16" t="str">
        <f t="shared" si="53"/>
        <v>CENTELSA</v>
      </c>
      <c r="S462" s="17"/>
      <c r="T462" s="10" t="str">
        <f t="shared" si="54"/>
        <v>METRO DE ALAMBRE AWG14</v>
      </c>
    </row>
    <row r="463" spans="1:28" ht="27" customHeight="1" x14ac:dyDescent="0.25">
      <c r="A463" s="8" t="s">
        <v>1141</v>
      </c>
      <c r="B463" s="9"/>
      <c r="C463" s="9"/>
      <c r="D463" s="8"/>
      <c r="E463" s="8"/>
      <c r="F463" s="8" t="s">
        <v>22</v>
      </c>
      <c r="G463" s="10" t="s">
        <v>1149</v>
      </c>
      <c r="H463" s="8" t="s">
        <v>1150</v>
      </c>
      <c r="I463" s="10" t="s">
        <v>1149</v>
      </c>
      <c r="J463" s="11" t="s">
        <v>33</v>
      </c>
      <c r="K463" s="18">
        <v>3000</v>
      </c>
      <c r="L463" s="12">
        <f t="shared" si="55"/>
        <v>4300</v>
      </c>
      <c r="M463" s="8">
        <v>1</v>
      </c>
      <c r="N463" s="8" t="s">
        <v>110</v>
      </c>
      <c r="O463" s="13"/>
      <c r="P463" s="14">
        <v>0.2</v>
      </c>
      <c r="Q463" s="15">
        <v>0.3</v>
      </c>
      <c r="R463" s="16" t="str">
        <f t="shared" si="53"/>
        <v>CENTELSA</v>
      </c>
      <c r="S463" s="17"/>
      <c r="T463" s="10" t="str">
        <f t="shared" si="54"/>
        <v>METRO DE CABLE DESNUDO PARA PUESTA A TIERRA</v>
      </c>
    </row>
    <row r="464" spans="1:28" ht="27" customHeight="1" x14ac:dyDescent="0.25">
      <c r="A464" s="8" t="s">
        <v>1141</v>
      </c>
      <c r="B464" s="9"/>
      <c r="C464" s="9"/>
      <c r="D464" s="8"/>
      <c r="E464" s="8"/>
      <c r="F464" s="8" t="s">
        <v>22</v>
      </c>
      <c r="G464" s="10" t="s">
        <v>1151</v>
      </c>
      <c r="H464" s="8" t="s">
        <v>1152</v>
      </c>
      <c r="I464" s="10" t="s">
        <v>1151</v>
      </c>
      <c r="J464" s="11" t="s">
        <v>33</v>
      </c>
      <c r="K464" s="18">
        <v>800</v>
      </c>
      <c r="L464" s="12">
        <f t="shared" si="55"/>
        <v>1600</v>
      </c>
      <c r="M464" s="8">
        <v>1</v>
      </c>
      <c r="N464" s="8" t="s">
        <v>110</v>
      </c>
      <c r="O464" s="13"/>
      <c r="P464" s="14">
        <v>0.2</v>
      </c>
      <c r="Q464" s="15">
        <v>0.5</v>
      </c>
      <c r="R464" s="16" t="str">
        <f t="shared" si="53"/>
        <v>CENTELSA</v>
      </c>
      <c r="S464" s="17"/>
      <c r="T464" s="10" t="str">
        <f t="shared" si="54"/>
        <v xml:space="preserve">METRO DE ALAMBRE TRENZADO TIPO INTEMPERIE PARA LÍNEA TELEFÓNICA. </v>
      </c>
    </row>
    <row r="465" spans="1:20" ht="27" customHeight="1" x14ac:dyDescent="0.25">
      <c r="A465" s="8" t="s">
        <v>1141</v>
      </c>
      <c r="B465" s="9" t="s">
        <v>1070</v>
      </c>
      <c r="C465" s="9"/>
      <c r="D465" s="8" t="s">
        <v>28</v>
      </c>
      <c r="E465" s="8">
        <v>3</v>
      </c>
      <c r="F465" s="8" t="s">
        <v>22</v>
      </c>
      <c r="G465" s="10" t="s">
        <v>1153</v>
      </c>
      <c r="H465" s="8" t="s">
        <v>1154</v>
      </c>
      <c r="I465" s="10" t="s">
        <v>1153</v>
      </c>
      <c r="J465" s="11" t="s">
        <v>33</v>
      </c>
      <c r="K465" s="18">
        <v>10300.799999999999</v>
      </c>
      <c r="L465" s="12">
        <f t="shared" si="55"/>
        <v>14800</v>
      </c>
      <c r="M465" s="8">
        <v>1</v>
      </c>
      <c r="N465" s="8" t="s">
        <v>110</v>
      </c>
      <c r="O465" s="13"/>
      <c r="P465" s="14">
        <v>0.2</v>
      </c>
      <c r="Q465" s="15">
        <v>0.3</v>
      </c>
      <c r="R465" s="16" t="str">
        <f t="shared" si="53"/>
        <v>CENTELSA</v>
      </c>
      <c r="S465" s="17"/>
      <c r="T465" s="10" t="str">
        <f t="shared" si="54"/>
        <v>METRO DE CABLE ELÉCTRICO AWG 4 CERTIFICADO</v>
      </c>
    </row>
    <row r="466" spans="1:20" ht="27" customHeight="1" x14ac:dyDescent="0.25">
      <c r="A466" s="8" t="s">
        <v>1141</v>
      </c>
      <c r="B466" s="9" t="s">
        <v>1070</v>
      </c>
      <c r="C466" s="9"/>
      <c r="D466" s="8" t="s">
        <v>28</v>
      </c>
      <c r="E466" s="8">
        <v>4</v>
      </c>
      <c r="F466" s="8" t="s">
        <v>22</v>
      </c>
      <c r="G466" s="10" t="s">
        <v>1155</v>
      </c>
      <c r="H466" s="8" t="s">
        <v>1156</v>
      </c>
      <c r="I466" s="10" t="s">
        <v>1155</v>
      </c>
      <c r="J466" s="11" t="s">
        <v>33</v>
      </c>
      <c r="K466" s="18">
        <v>6420.6</v>
      </c>
      <c r="L466" s="12">
        <f t="shared" si="55"/>
        <v>9000</v>
      </c>
      <c r="M466" s="8">
        <v>1</v>
      </c>
      <c r="N466" s="8" t="s">
        <v>110</v>
      </c>
      <c r="O466" s="13"/>
      <c r="P466" s="14">
        <v>0.2</v>
      </c>
      <c r="Q466" s="15">
        <v>0.28000000000000003</v>
      </c>
      <c r="R466" s="16" t="str">
        <f t="shared" si="53"/>
        <v>CENTELSA</v>
      </c>
      <c r="S466" s="17"/>
      <c r="T466" s="10" t="str">
        <f t="shared" si="54"/>
        <v>METRO DE CABLE ELÉCTRICO AWG 6 CERTIFICADO</v>
      </c>
    </row>
    <row r="467" spans="1:20" ht="27" customHeight="1" x14ac:dyDescent="0.25">
      <c r="A467" s="8" t="s">
        <v>1141</v>
      </c>
      <c r="B467" s="9" t="s">
        <v>1070</v>
      </c>
      <c r="C467" s="9"/>
      <c r="D467" s="8" t="s">
        <v>28</v>
      </c>
      <c r="E467" s="8">
        <v>8</v>
      </c>
      <c r="F467" s="8" t="s">
        <v>22</v>
      </c>
      <c r="G467" s="10" t="s">
        <v>1157</v>
      </c>
      <c r="H467" s="8" t="s">
        <v>1158</v>
      </c>
      <c r="I467" s="10" t="s">
        <v>1157</v>
      </c>
      <c r="J467" s="11" t="s">
        <v>33</v>
      </c>
      <c r="K467" s="18">
        <v>18690</v>
      </c>
      <c r="L467" s="12">
        <f t="shared" si="55"/>
        <v>20800</v>
      </c>
      <c r="M467" s="8">
        <v>1</v>
      </c>
      <c r="N467" s="8" t="s">
        <v>110</v>
      </c>
      <c r="O467" s="13"/>
      <c r="P467" s="14">
        <v>0</v>
      </c>
      <c r="Q467" s="15">
        <v>0.1</v>
      </c>
      <c r="R467" s="16" t="str">
        <f t="shared" si="53"/>
        <v>CENTELSA</v>
      </c>
      <c r="S467" s="17"/>
      <c r="T467" s="10" t="str">
        <f t="shared" si="54"/>
        <v>METRO DE CABLE ELÉCTRICO AWG 2 CERTIFICADO</v>
      </c>
    </row>
    <row r="468" spans="1:20" ht="27" customHeight="1" x14ac:dyDescent="0.25">
      <c r="A468" s="8" t="s">
        <v>1141</v>
      </c>
      <c r="B468" s="9" t="s">
        <v>1070</v>
      </c>
      <c r="C468" s="9"/>
      <c r="D468" s="8" t="s">
        <v>28</v>
      </c>
      <c r="E468" s="8">
        <v>8</v>
      </c>
      <c r="F468" s="8" t="s">
        <v>22</v>
      </c>
      <c r="G468" s="10" t="s">
        <v>1159</v>
      </c>
      <c r="H468" s="8" t="s">
        <v>1160</v>
      </c>
      <c r="I468" s="10" t="s">
        <v>1159</v>
      </c>
      <c r="J468" s="11" t="s">
        <v>33</v>
      </c>
      <c r="K468" s="18">
        <f>199900/1.19</f>
        <v>167983.19327731093</v>
      </c>
      <c r="L468" s="12">
        <f t="shared" si="55"/>
        <v>240000</v>
      </c>
      <c r="M468" s="8">
        <v>1</v>
      </c>
      <c r="N468" s="8" t="s">
        <v>27</v>
      </c>
      <c r="O468" s="13"/>
      <c r="P468" s="14">
        <v>0</v>
      </c>
      <c r="Q468" s="15">
        <v>0.3</v>
      </c>
      <c r="R468" s="16" t="str">
        <f t="shared" si="53"/>
        <v>CENTELSA</v>
      </c>
      <c r="S468" s="17"/>
      <c r="T468" s="10" t="str">
        <f t="shared" si="54"/>
        <v>ROLLO DE 100 METROS DE ALAMBRE AWG12</v>
      </c>
    </row>
    <row r="469" spans="1:20" ht="27" customHeight="1" x14ac:dyDescent="0.25">
      <c r="A469" s="8" t="s">
        <v>1141</v>
      </c>
      <c r="B469" s="9"/>
      <c r="C469" s="9"/>
      <c r="D469" s="8"/>
      <c r="E469" s="8"/>
      <c r="F469" s="8" t="s">
        <v>22</v>
      </c>
      <c r="G469" s="10" t="s">
        <v>1161</v>
      </c>
      <c r="H469" s="8" t="s">
        <v>1162</v>
      </c>
      <c r="I469" s="10" t="s">
        <v>1161</v>
      </c>
      <c r="J469" s="11" t="s">
        <v>33</v>
      </c>
      <c r="K469" s="18">
        <v>4760</v>
      </c>
      <c r="L469" s="12">
        <f t="shared" si="55"/>
        <v>5300</v>
      </c>
      <c r="M469" s="8">
        <v>1</v>
      </c>
      <c r="N469" s="8" t="s">
        <v>110</v>
      </c>
      <c r="O469" s="13"/>
      <c r="P469" s="14">
        <v>0</v>
      </c>
      <c r="Q469" s="15">
        <v>0.1</v>
      </c>
      <c r="R469" s="16" t="str">
        <f t="shared" si="53"/>
        <v>CENTELSA</v>
      </c>
      <c r="S469" s="17"/>
      <c r="T469" s="10" t="str">
        <f t="shared" si="54"/>
        <v>METRO DE CABLE DESNUDO AWG8</v>
      </c>
    </row>
    <row r="470" spans="1:20" ht="27" customHeight="1" x14ac:dyDescent="0.25">
      <c r="A470" s="8" t="s">
        <v>1141</v>
      </c>
      <c r="B470" s="9" t="s">
        <v>208</v>
      </c>
      <c r="C470" s="9"/>
      <c r="D470" s="8" t="s">
        <v>208</v>
      </c>
      <c r="E470" s="8"/>
      <c r="F470" s="8" t="s">
        <v>22</v>
      </c>
      <c r="G470" s="10" t="s">
        <v>1163</v>
      </c>
      <c r="H470" s="8" t="s">
        <v>1164</v>
      </c>
      <c r="I470" s="10" t="s">
        <v>1163</v>
      </c>
      <c r="J470" s="11" t="s">
        <v>33</v>
      </c>
      <c r="K470" s="18">
        <v>229000</v>
      </c>
      <c r="L470" s="12">
        <f t="shared" si="55"/>
        <v>381700</v>
      </c>
      <c r="M470" s="8">
        <v>1</v>
      </c>
      <c r="N470" s="8" t="s">
        <v>27</v>
      </c>
      <c r="O470" s="13"/>
      <c r="P470" s="14">
        <v>0</v>
      </c>
      <c r="Q470" s="15">
        <v>0.4</v>
      </c>
      <c r="R470" s="16" t="str">
        <f t="shared" si="53"/>
        <v>CENTELSA</v>
      </c>
      <c r="S470" s="17"/>
      <c r="T470" s="10" t="str">
        <f t="shared" si="54"/>
        <v>ROLLO DE 100 METROS DE CABLE DÚPLEX 2X16 AWG</v>
      </c>
    </row>
    <row r="471" spans="1:20" ht="27" customHeight="1" x14ac:dyDescent="0.25">
      <c r="A471" s="8" t="s">
        <v>1141</v>
      </c>
      <c r="B471" s="9" t="s">
        <v>208</v>
      </c>
      <c r="C471" s="9"/>
      <c r="D471" s="8" t="s">
        <v>208</v>
      </c>
      <c r="E471" s="8"/>
      <c r="F471" s="8" t="s">
        <v>22</v>
      </c>
      <c r="G471" s="10" t="s">
        <v>1165</v>
      </c>
      <c r="H471" s="8" t="s">
        <v>1166</v>
      </c>
      <c r="I471" s="10" t="s">
        <v>1165</v>
      </c>
      <c r="J471" s="11" t="s">
        <v>33</v>
      </c>
      <c r="K471" s="18">
        <v>2760</v>
      </c>
      <c r="L471" s="12">
        <f t="shared" si="55"/>
        <v>4000</v>
      </c>
      <c r="M471" s="8">
        <v>1</v>
      </c>
      <c r="N471" s="8" t="s">
        <v>110</v>
      </c>
      <c r="O471" s="13"/>
      <c r="P471" s="14">
        <v>0.2</v>
      </c>
      <c r="Q471" s="15">
        <v>0.3</v>
      </c>
      <c r="R471" s="16" t="str">
        <f t="shared" si="53"/>
        <v>CENTELSA</v>
      </c>
      <c r="S471" s="17"/>
      <c r="T471" s="10" t="str">
        <f t="shared" si="54"/>
        <v>METRO DE ALAMBRE TRENZADO AWG 12 DE 3 HILOS</v>
      </c>
    </row>
    <row r="472" spans="1:20" ht="27" customHeight="1" x14ac:dyDescent="0.25">
      <c r="A472" s="8" t="s">
        <v>1141</v>
      </c>
      <c r="B472" s="9" t="s">
        <v>208</v>
      </c>
      <c r="C472" s="9"/>
      <c r="D472" s="8" t="s">
        <v>208</v>
      </c>
      <c r="E472" s="8"/>
      <c r="F472" s="8" t="s">
        <v>22</v>
      </c>
      <c r="G472" s="10" t="s">
        <v>1167</v>
      </c>
      <c r="H472" s="8" t="s">
        <v>1168</v>
      </c>
      <c r="I472" s="10" t="s">
        <v>1167</v>
      </c>
      <c r="J472" s="11" t="s">
        <v>33</v>
      </c>
      <c r="K472" s="18">
        <v>2750</v>
      </c>
      <c r="L472" s="12">
        <f t="shared" si="55"/>
        <v>3700</v>
      </c>
      <c r="M472" s="8">
        <v>1</v>
      </c>
      <c r="N472" s="8" t="s">
        <v>110</v>
      </c>
      <c r="O472" s="13"/>
      <c r="P472" s="14">
        <v>0</v>
      </c>
      <c r="Q472" s="15">
        <v>0.25</v>
      </c>
      <c r="R472" s="16" t="str">
        <f t="shared" si="53"/>
        <v>CENTELSA</v>
      </c>
      <c r="S472" s="17"/>
      <c r="T472" s="10" t="str">
        <f t="shared" si="54"/>
        <v>METRO DE CABLE AWG 8 DE 7 HILOS</v>
      </c>
    </row>
    <row r="473" spans="1:20" ht="27" customHeight="1" x14ac:dyDescent="0.25">
      <c r="A473" s="8" t="s">
        <v>1141</v>
      </c>
      <c r="B473" s="9" t="s">
        <v>208</v>
      </c>
      <c r="C473" s="9"/>
      <c r="D473" s="8" t="s">
        <v>208</v>
      </c>
      <c r="E473" s="8"/>
      <c r="F473" s="8" t="s">
        <v>22</v>
      </c>
      <c r="G473" s="10" t="s">
        <v>1169</v>
      </c>
      <c r="H473" s="8" t="s">
        <v>1170</v>
      </c>
      <c r="I473" s="10" t="s">
        <v>1169</v>
      </c>
      <c r="J473" s="11" t="s">
        <v>33</v>
      </c>
      <c r="K473" s="18">
        <v>2143</v>
      </c>
      <c r="L473" s="12">
        <f t="shared" si="55"/>
        <v>3100</v>
      </c>
      <c r="M473" s="8">
        <v>1</v>
      </c>
      <c r="N473" s="8" t="s">
        <v>110</v>
      </c>
      <c r="O473" s="13"/>
      <c r="P473" s="14">
        <v>0.2</v>
      </c>
      <c r="Q473" s="15">
        <v>0.3</v>
      </c>
      <c r="R473" s="16" t="str">
        <f t="shared" si="53"/>
        <v>CENTELSA</v>
      </c>
      <c r="S473" s="17"/>
      <c r="T473" s="10" t="str">
        <f t="shared" si="54"/>
        <v>METRO DE CABLE ENCAUCHETADO 2X18</v>
      </c>
    </row>
    <row r="474" spans="1:20" ht="27" customHeight="1" x14ac:dyDescent="0.25">
      <c r="A474" s="8" t="s">
        <v>1141</v>
      </c>
      <c r="B474" s="9" t="s">
        <v>208</v>
      </c>
      <c r="C474" s="9"/>
      <c r="D474" s="8" t="s">
        <v>208</v>
      </c>
      <c r="E474" s="8"/>
      <c r="F474" s="8" t="s">
        <v>22</v>
      </c>
      <c r="G474" s="10" t="s">
        <v>1171</v>
      </c>
      <c r="H474" s="8" t="s">
        <v>1172</v>
      </c>
      <c r="I474" s="10" t="s">
        <v>1171</v>
      </c>
      <c r="J474" s="11" t="s">
        <v>33</v>
      </c>
      <c r="K474" s="18">
        <v>1400</v>
      </c>
      <c r="L474" s="12">
        <f t="shared" si="55"/>
        <v>2400</v>
      </c>
      <c r="M474" s="8">
        <v>1</v>
      </c>
      <c r="N474" s="8" t="s">
        <v>110</v>
      </c>
      <c r="O474" s="13"/>
      <c r="P474" s="14">
        <v>0</v>
      </c>
      <c r="Q474" s="15">
        <v>0.4</v>
      </c>
      <c r="R474" s="16" t="str">
        <f t="shared" si="53"/>
        <v>CENTELSA</v>
      </c>
      <c r="S474" s="17"/>
      <c r="T474" s="10" t="str">
        <f t="shared" si="54"/>
        <v>METRO DE CABLE DÚPLEX 2X18.</v>
      </c>
    </row>
    <row r="475" spans="1:20" ht="27" customHeight="1" x14ac:dyDescent="0.25">
      <c r="A475" s="8" t="s">
        <v>1141</v>
      </c>
      <c r="B475" s="9" t="s">
        <v>208</v>
      </c>
      <c r="C475" s="9"/>
      <c r="D475" s="8" t="s">
        <v>208</v>
      </c>
      <c r="E475" s="8"/>
      <c r="F475" s="8" t="s">
        <v>22</v>
      </c>
      <c r="G475" s="10" t="s">
        <v>1173</v>
      </c>
      <c r="H475" s="8" t="s">
        <v>1174</v>
      </c>
      <c r="I475" s="10" t="s">
        <v>1173</v>
      </c>
      <c r="J475" s="11" t="s">
        <v>33</v>
      </c>
      <c r="K475" s="18">
        <v>3200</v>
      </c>
      <c r="L475" s="12">
        <f t="shared" si="55"/>
        <v>5400</v>
      </c>
      <c r="M475" s="8">
        <v>1</v>
      </c>
      <c r="N475" s="8" t="s">
        <v>110</v>
      </c>
      <c r="O475" s="13"/>
      <c r="P475" s="14">
        <v>0</v>
      </c>
      <c r="Q475" s="15">
        <v>0.4</v>
      </c>
      <c r="R475" s="16" t="str">
        <f t="shared" si="53"/>
        <v>CENTELSA</v>
      </c>
      <c r="S475" s="17"/>
      <c r="T475" s="10" t="str">
        <f t="shared" si="54"/>
        <v>METRO DE CABLE DÚPLEX 2X14.</v>
      </c>
    </row>
    <row r="476" spans="1:20" ht="27" customHeight="1" x14ac:dyDescent="0.25">
      <c r="A476" s="8" t="s">
        <v>1141</v>
      </c>
      <c r="B476" s="9" t="s">
        <v>208</v>
      </c>
      <c r="C476" s="9"/>
      <c r="D476" s="8" t="s">
        <v>208</v>
      </c>
      <c r="E476" s="8"/>
      <c r="F476" s="8" t="s">
        <v>22</v>
      </c>
      <c r="G476" s="10" t="s">
        <v>1175</v>
      </c>
      <c r="H476" s="8" t="s">
        <v>1176</v>
      </c>
      <c r="I476" s="10" t="s">
        <v>1175</v>
      </c>
      <c r="J476" s="11" t="s">
        <v>33</v>
      </c>
      <c r="K476" s="18">
        <v>194900</v>
      </c>
      <c r="L476" s="12">
        <f t="shared" si="55"/>
        <v>324900</v>
      </c>
      <c r="M476" s="8">
        <v>1</v>
      </c>
      <c r="N476" s="8" t="s">
        <v>27</v>
      </c>
      <c r="O476" s="13"/>
      <c r="P476" s="14">
        <v>0</v>
      </c>
      <c r="Q476" s="15">
        <v>0.4</v>
      </c>
      <c r="R476" s="16" t="str">
        <f t="shared" si="53"/>
        <v>CENTELSA</v>
      </c>
      <c r="S476" s="17"/>
      <c r="T476" s="10" t="str">
        <f t="shared" si="54"/>
        <v>ROLLO DE CABLE DÚPLEX 2X14.</v>
      </c>
    </row>
    <row r="477" spans="1:20" ht="27" customHeight="1" x14ac:dyDescent="0.25">
      <c r="A477" s="8" t="s">
        <v>1141</v>
      </c>
      <c r="B477" s="9" t="s">
        <v>208</v>
      </c>
      <c r="C477" s="9"/>
      <c r="D477" s="8" t="s">
        <v>208</v>
      </c>
      <c r="E477" s="8"/>
      <c r="F477" s="8" t="s">
        <v>22</v>
      </c>
      <c r="G477" s="10" t="s">
        <v>1177</v>
      </c>
      <c r="H477" s="8" t="s">
        <v>1178</v>
      </c>
      <c r="I477" s="10" t="s">
        <v>1177</v>
      </c>
      <c r="J477" s="11" t="s">
        <v>33</v>
      </c>
      <c r="K477" s="18">
        <v>2780</v>
      </c>
      <c r="L477" s="12">
        <f t="shared" si="55"/>
        <v>4700</v>
      </c>
      <c r="M477" s="8">
        <v>1</v>
      </c>
      <c r="N477" s="8" t="s">
        <v>110</v>
      </c>
      <c r="O477" s="13"/>
      <c r="P477" s="14">
        <v>0</v>
      </c>
      <c r="Q477" s="15">
        <v>0.4</v>
      </c>
      <c r="R477" s="16" t="str">
        <f t="shared" si="53"/>
        <v>CENTELSA</v>
      </c>
      <c r="S477" s="17"/>
      <c r="T477" s="10" t="str">
        <f t="shared" si="54"/>
        <v>METRO DE CABLE DÚPLEX AWG 2X16</v>
      </c>
    </row>
    <row r="478" spans="1:20" ht="27" customHeight="1" x14ac:dyDescent="0.25">
      <c r="A478" s="8" t="s">
        <v>1141</v>
      </c>
      <c r="B478" s="9"/>
      <c r="C478" s="9"/>
      <c r="D478" s="8"/>
      <c r="E478" s="8"/>
      <c r="F478" s="8" t="s">
        <v>22</v>
      </c>
      <c r="G478" s="10" t="s">
        <v>1179</v>
      </c>
      <c r="H478" s="8" t="s">
        <v>1180</v>
      </c>
      <c r="I478" s="10" t="s">
        <v>1179</v>
      </c>
      <c r="J478" s="11" t="s">
        <v>33</v>
      </c>
      <c r="K478" s="18">
        <v>1951</v>
      </c>
      <c r="L478" s="12">
        <f t="shared" si="55"/>
        <v>2800</v>
      </c>
      <c r="M478" s="8">
        <v>1</v>
      </c>
      <c r="N478" s="8" t="s">
        <v>110</v>
      </c>
      <c r="O478" s="13"/>
      <c r="P478" s="14">
        <v>0.2</v>
      </c>
      <c r="Q478" s="15">
        <v>0.3</v>
      </c>
      <c r="R478" s="16" t="str">
        <f t="shared" si="53"/>
        <v>CENTELSA</v>
      </c>
      <c r="S478" s="17"/>
      <c r="T478" s="10" t="str">
        <f t="shared" si="54"/>
        <v>METRO DE CABLE DESNUDO AWG12</v>
      </c>
    </row>
    <row r="479" spans="1:20" ht="27" customHeight="1" x14ac:dyDescent="0.25">
      <c r="A479" s="8" t="s">
        <v>1141</v>
      </c>
      <c r="B479" s="9"/>
      <c r="C479" s="9"/>
      <c r="D479" s="8"/>
      <c r="E479" s="8"/>
      <c r="F479" s="8" t="s">
        <v>22</v>
      </c>
      <c r="G479" s="10" t="s">
        <v>1181</v>
      </c>
      <c r="H479" s="8" t="s">
        <v>1182</v>
      </c>
      <c r="I479" s="10" t="s">
        <v>1181</v>
      </c>
      <c r="J479" s="11" t="s">
        <v>33</v>
      </c>
      <c r="K479" s="18">
        <v>175000</v>
      </c>
      <c r="L479" s="12">
        <f t="shared" si="55"/>
        <v>250000</v>
      </c>
      <c r="M479" s="8">
        <v>1</v>
      </c>
      <c r="N479" s="8" t="s">
        <v>27</v>
      </c>
      <c r="O479" s="13"/>
      <c r="P479" s="14">
        <v>0.2</v>
      </c>
      <c r="Q479" s="15">
        <v>0.3</v>
      </c>
      <c r="R479" s="16" t="str">
        <f t="shared" si="53"/>
        <v>CENTELSA</v>
      </c>
      <c r="S479" s="17"/>
      <c r="T479" s="10" t="str">
        <f t="shared" si="54"/>
        <v>ROLLO DE CABLE DESNUDO AWG12</v>
      </c>
    </row>
    <row r="480" spans="1:20" ht="27" customHeight="1" x14ac:dyDescent="0.25">
      <c r="A480" s="8" t="s">
        <v>1141</v>
      </c>
      <c r="B480" s="9"/>
      <c r="C480" s="9"/>
      <c r="D480" s="8"/>
      <c r="E480" s="8"/>
      <c r="F480" s="8" t="s">
        <v>22</v>
      </c>
      <c r="G480" s="10" t="s">
        <v>1183</v>
      </c>
      <c r="H480" s="8" t="s">
        <v>1184</v>
      </c>
      <c r="I480" s="10" t="s">
        <v>1183</v>
      </c>
      <c r="J480" s="11" t="s">
        <v>33</v>
      </c>
      <c r="K480" s="18">
        <v>1800</v>
      </c>
      <c r="L480" s="12">
        <f t="shared" si="55"/>
        <v>2400</v>
      </c>
      <c r="M480" s="8">
        <v>1</v>
      </c>
      <c r="N480" s="8" t="s">
        <v>110</v>
      </c>
      <c r="O480" s="13"/>
      <c r="P480" s="14">
        <v>0</v>
      </c>
      <c r="Q480" s="15">
        <v>0.25</v>
      </c>
      <c r="R480" s="16" t="str">
        <f t="shared" si="53"/>
        <v>CENTELSA</v>
      </c>
      <c r="S480" s="17"/>
      <c r="T480" s="10" t="str">
        <f t="shared" si="54"/>
        <v>METRO DE CABLE AWG10</v>
      </c>
    </row>
    <row r="481" spans="1:20" ht="27" customHeight="1" x14ac:dyDescent="0.25">
      <c r="A481" s="8" t="s">
        <v>1141</v>
      </c>
      <c r="B481" s="9"/>
      <c r="C481" s="9"/>
      <c r="D481" s="8"/>
      <c r="E481" s="8"/>
      <c r="F481" s="8" t="s">
        <v>22</v>
      </c>
      <c r="G481" s="10" t="s">
        <v>1185</v>
      </c>
      <c r="H481" s="8" t="s">
        <v>1186</v>
      </c>
      <c r="I481" s="10" t="s">
        <v>1185</v>
      </c>
      <c r="J481" s="11" t="s">
        <v>33</v>
      </c>
      <c r="K481" s="18">
        <v>1700</v>
      </c>
      <c r="L481" s="12">
        <f t="shared" si="55"/>
        <v>2900</v>
      </c>
      <c r="M481" s="8">
        <v>1</v>
      </c>
      <c r="N481" s="8" t="s">
        <v>110</v>
      </c>
      <c r="O481" s="13"/>
      <c r="P481" s="14">
        <v>0.2</v>
      </c>
      <c r="Q481" s="15">
        <v>0.4</v>
      </c>
      <c r="R481" s="16" t="str">
        <f t="shared" si="53"/>
        <v>CENTELSA</v>
      </c>
      <c r="S481" s="17"/>
      <c r="T481" s="10" t="str">
        <f t="shared" si="54"/>
        <v>METRO DE CABLE AWG 10 DE 7 HILOS.</v>
      </c>
    </row>
    <row r="482" spans="1:20" ht="27" customHeight="1" x14ac:dyDescent="0.25">
      <c r="A482" s="8" t="s">
        <v>1141</v>
      </c>
      <c r="B482" s="9"/>
      <c r="C482" s="9"/>
      <c r="D482" s="8"/>
      <c r="E482" s="8"/>
      <c r="F482" s="8" t="s">
        <v>22</v>
      </c>
      <c r="G482" s="10" t="s">
        <v>1187</v>
      </c>
      <c r="H482" s="8" t="s">
        <v>1188</v>
      </c>
      <c r="I482" s="10" t="s">
        <v>1189</v>
      </c>
      <c r="J482" s="11" t="s">
        <v>33</v>
      </c>
      <c r="K482" s="18">
        <v>7500</v>
      </c>
      <c r="L482" s="12">
        <f t="shared" si="55"/>
        <v>10800</v>
      </c>
      <c r="M482" s="8">
        <v>1</v>
      </c>
      <c r="N482" s="8" t="s">
        <v>110</v>
      </c>
      <c r="O482" s="13"/>
      <c r="P482" s="14">
        <v>0.2</v>
      </c>
      <c r="Q482" s="15">
        <v>0.3</v>
      </c>
      <c r="R482" s="16" t="str">
        <f t="shared" si="53"/>
        <v>CENTELSA</v>
      </c>
      <c r="S482" s="17"/>
      <c r="T482" s="10" t="str">
        <f t="shared" si="54"/>
        <v>METRO DE CABLE MULTIPAR POR 10 PARES PARA CONEXIÓN TELEFÓNICA.</v>
      </c>
    </row>
    <row r="483" spans="1:20" ht="27" customHeight="1" x14ac:dyDescent="0.25">
      <c r="A483" s="8" t="s">
        <v>1141</v>
      </c>
      <c r="B483" s="9"/>
      <c r="C483" s="9"/>
      <c r="D483" s="8"/>
      <c r="E483" s="8"/>
      <c r="F483" s="8" t="s">
        <v>22</v>
      </c>
      <c r="G483" s="10" t="s">
        <v>1190</v>
      </c>
      <c r="H483" s="8" t="s">
        <v>1191</v>
      </c>
      <c r="I483" s="10" t="s">
        <v>1190</v>
      </c>
      <c r="J483" s="11" t="s">
        <v>33</v>
      </c>
      <c r="K483" s="18">
        <v>1300</v>
      </c>
      <c r="L483" s="12">
        <f t="shared" si="55"/>
        <v>1900</v>
      </c>
      <c r="M483" s="8">
        <v>1</v>
      </c>
      <c r="N483" s="8" t="s">
        <v>110</v>
      </c>
      <c r="O483" s="13"/>
      <c r="P483" s="14">
        <v>0.2</v>
      </c>
      <c r="Q483" s="15">
        <v>0.3</v>
      </c>
      <c r="R483" s="16" t="str">
        <f t="shared" si="53"/>
        <v>CENTELSA</v>
      </c>
      <c r="S483" s="17"/>
      <c r="T483" s="10" t="str">
        <f t="shared" si="54"/>
        <v>METRO DE CABLE COAXIAL RG6</v>
      </c>
    </row>
    <row r="484" spans="1:20" ht="27" customHeight="1" x14ac:dyDescent="0.25">
      <c r="A484" s="8" t="s">
        <v>1141</v>
      </c>
      <c r="B484" s="9"/>
      <c r="C484" s="9"/>
      <c r="D484" s="8"/>
      <c r="E484" s="8"/>
      <c r="F484" s="8" t="s">
        <v>22</v>
      </c>
      <c r="G484" s="10" t="s">
        <v>1192</v>
      </c>
      <c r="H484" s="8" t="s">
        <v>1193</v>
      </c>
      <c r="I484" s="10" t="s">
        <v>1192</v>
      </c>
      <c r="J484" s="11" t="s">
        <v>33</v>
      </c>
      <c r="K484" s="18">
        <f>45000/6</f>
        <v>7500</v>
      </c>
      <c r="L484" s="12">
        <f t="shared" si="55"/>
        <v>9400</v>
      </c>
      <c r="M484" s="8">
        <v>1</v>
      </c>
      <c r="N484" s="8" t="s">
        <v>27</v>
      </c>
      <c r="O484" s="13" t="s">
        <v>588</v>
      </c>
      <c r="P484" s="14">
        <v>0</v>
      </c>
      <c r="Q484" s="15">
        <v>0.2</v>
      </c>
      <c r="R484" s="16" t="str">
        <f t="shared" si="53"/>
        <v>CENTELSA</v>
      </c>
      <c r="S484" s="17"/>
      <c r="T484" s="10" t="str">
        <f t="shared" si="54"/>
        <v>METRO DE CABLE ENCAUCHETADO AWG 3X12</v>
      </c>
    </row>
    <row r="485" spans="1:20" ht="27" customHeight="1" x14ac:dyDescent="0.25">
      <c r="A485" s="8" t="s">
        <v>1141</v>
      </c>
      <c r="B485" s="9"/>
      <c r="C485" s="9"/>
      <c r="D485" s="8"/>
      <c r="E485" s="8"/>
      <c r="F485" s="8" t="s">
        <v>22</v>
      </c>
      <c r="G485" s="10" t="s">
        <v>1194</v>
      </c>
      <c r="H485" s="8" t="s">
        <v>1195</v>
      </c>
      <c r="I485" s="10" t="s">
        <v>1194</v>
      </c>
      <c r="J485" s="11" t="s">
        <v>33</v>
      </c>
      <c r="K485" s="18">
        <v>31352</v>
      </c>
      <c r="L485" s="12">
        <f t="shared" si="55"/>
        <v>39200</v>
      </c>
      <c r="M485" s="8">
        <v>1</v>
      </c>
      <c r="N485" s="8" t="s">
        <v>27</v>
      </c>
      <c r="O485" s="13"/>
      <c r="P485" s="14">
        <v>0</v>
      </c>
      <c r="Q485" s="15">
        <v>0.2</v>
      </c>
      <c r="R485" s="16" t="str">
        <f t="shared" si="53"/>
        <v>CENTELSA</v>
      </c>
      <c r="S485" s="17"/>
      <c r="T485" s="10" t="str">
        <f t="shared" si="54"/>
        <v>CABLE ELÉCTRICO CON RECUBRIMIENTO EN PVC COBRE COBRE CALIBRE 4 CEROS</v>
      </c>
    </row>
    <row r="486" spans="1:20" ht="27" customHeight="1" x14ac:dyDescent="0.25">
      <c r="A486" s="8" t="s">
        <v>1141</v>
      </c>
      <c r="B486" s="9"/>
      <c r="C486" s="9"/>
      <c r="D486" s="8"/>
      <c r="E486" s="8"/>
      <c r="F486" s="8" t="s">
        <v>22</v>
      </c>
      <c r="G486" s="10" t="s">
        <v>1196</v>
      </c>
      <c r="H486" s="8" t="s">
        <v>1197</v>
      </c>
      <c r="I486" s="10" t="s">
        <v>1196</v>
      </c>
      <c r="J486" s="11" t="s">
        <v>33</v>
      </c>
      <c r="K486" s="18">
        <v>37000</v>
      </c>
      <c r="L486" s="12">
        <f t="shared" si="55"/>
        <v>52900</v>
      </c>
      <c r="M486" s="8">
        <v>1</v>
      </c>
      <c r="N486" s="8" t="s">
        <v>27</v>
      </c>
      <c r="O486" s="13"/>
      <c r="P486" s="14">
        <v>0</v>
      </c>
      <c r="Q486" s="15">
        <v>0.3</v>
      </c>
      <c r="R486" s="16" t="str">
        <f t="shared" si="53"/>
        <v>CENTELSA</v>
      </c>
      <c r="S486" s="17"/>
      <c r="T486" s="10" t="str">
        <f t="shared" si="54"/>
        <v>CABLE ELÉCTRICO CON RECUBRIMIENTO EN PVC COBRE COBRE CALIBRE UN CERO</v>
      </c>
    </row>
    <row r="487" spans="1:20" ht="27" customHeight="1" x14ac:dyDescent="0.25">
      <c r="A487" s="8" t="s">
        <v>1141</v>
      </c>
      <c r="B487" s="9"/>
      <c r="C487" s="9"/>
      <c r="D487" s="8"/>
      <c r="E487" s="8"/>
      <c r="F487" s="8" t="s">
        <v>22</v>
      </c>
      <c r="G487" s="10" t="s">
        <v>1198</v>
      </c>
      <c r="H487" s="8" t="s">
        <v>1199</v>
      </c>
      <c r="I487" s="10" t="s">
        <v>1198</v>
      </c>
      <c r="J487" s="11" t="s">
        <v>33</v>
      </c>
      <c r="K487" s="18">
        <v>9803</v>
      </c>
      <c r="L487" s="12">
        <f t="shared" si="55"/>
        <v>14100</v>
      </c>
      <c r="M487" s="8">
        <v>1</v>
      </c>
      <c r="N487" s="8" t="s">
        <v>27</v>
      </c>
      <c r="O487" s="13"/>
      <c r="P487" s="14">
        <v>0</v>
      </c>
      <c r="Q487" s="15">
        <v>0.3</v>
      </c>
      <c r="R487" s="16" t="str">
        <f t="shared" si="53"/>
        <v>CENTELSA</v>
      </c>
      <c r="S487" s="17"/>
      <c r="T487" s="10" t="str">
        <f t="shared" si="54"/>
        <v>CABLE ELÉCTRICO CON RECUBRIMIENTO EN PVC COBRE COBRE CALIBRE AWG 2</v>
      </c>
    </row>
    <row r="488" spans="1:20" ht="27" customHeight="1" x14ac:dyDescent="0.25">
      <c r="A488" s="8" t="s">
        <v>1141</v>
      </c>
      <c r="B488" s="9"/>
      <c r="C488" s="9"/>
      <c r="D488" s="8"/>
      <c r="E488" s="8"/>
      <c r="F488" s="8" t="s">
        <v>22</v>
      </c>
      <c r="G488" s="10" t="s">
        <v>1200</v>
      </c>
      <c r="H488" s="8" t="s">
        <v>1201</v>
      </c>
      <c r="I488" s="10" t="s">
        <v>1200</v>
      </c>
      <c r="J488" s="11" t="s">
        <v>33</v>
      </c>
      <c r="K488" s="18">
        <v>15000</v>
      </c>
      <c r="L488" s="12">
        <f t="shared" si="55"/>
        <v>21500</v>
      </c>
      <c r="M488" s="8">
        <v>1</v>
      </c>
      <c r="N488" s="8" t="s">
        <v>27</v>
      </c>
      <c r="O488" s="13"/>
      <c r="P488" s="14">
        <v>0</v>
      </c>
      <c r="Q488" s="15">
        <v>0.3</v>
      </c>
      <c r="R488" s="16" t="str">
        <f t="shared" si="53"/>
        <v>CENTELSA</v>
      </c>
      <c r="S488" s="17"/>
      <c r="T488" s="10" t="str">
        <f t="shared" si="54"/>
        <v>CABLE ELÉCTRICO CON RECUBRIMIENTO EN PVC COBRE COBRE CALIBRE AWG 4</v>
      </c>
    </row>
    <row r="489" spans="1:20" ht="27" customHeight="1" x14ac:dyDescent="0.25">
      <c r="A489" s="8" t="s">
        <v>1141</v>
      </c>
      <c r="B489" s="9"/>
      <c r="C489" s="9"/>
      <c r="D489" s="8"/>
      <c r="E489" s="8"/>
      <c r="F489" s="8" t="s">
        <v>22</v>
      </c>
      <c r="G489" s="10" t="s">
        <v>1202</v>
      </c>
      <c r="H489" s="8" t="s">
        <v>1203</v>
      </c>
      <c r="I489" s="10" t="s">
        <v>1202</v>
      </c>
      <c r="J489" s="11" t="s">
        <v>33</v>
      </c>
      <c r="K489" s="18">
        <v>4097</v>
      </c>
      <c r="L489" s="12">
        <f t="shared" si="55"/>
        <v>5900</v>
      </c>
      <c r="M489" s="8">
        <v>1</v>
      </c>
      <c r="N489" s="8" t="s">
        <v>27</v>
      </c>
      <c r="O489" s="13"/>
      <c r="P489" s="14">
        <v>0</v>
      </c>
      <c r="Q489" s="15">
        <v>0.3</v>
      </c>
      <c r="R489" s="16" t="str">
        <f t="shared" si="53"/>
        <v>CENTELSA</v>
      </c>
      <c r="S489" s="17"/>
      <c r="T489" s="10" t="str">
        <f t="shared" si="54"/>
        <v>CABLE ELÉCTRICO CON RECUBRIMIENTO EN PVC COBRE COBRE CALIBRE CALIBRE AWG 6</v>
      </c>
    </row>
    <row r="490" spans="1:20" ht="27" customHeight="1" x14ac:dyDescent="0.25">
      <c r="A490" s="8" t="s">
        <v>1141</v>
      </c>
      <c r="B490" s="9"/>
      <c r="C490" s="9"/>
      <c r="D490" s="8"/>
      <c r="E490" s="8"/>
      <c r="F490" s="8" t="s">
        <v>22</v>
      </c>
      <c r="G490" s="10" t="s">
        <v>1204</v>
      </c>
      <c r="H490" s="8" t="s">
        <v>1205</v>
      </c>
      <c r="I490" s="10" t="s">
        <v>1204</v>
      </c>
      <c r="J490" s="11" t="s">
        <v>33</v>
      </c>
      <c r="K490" s="18">
        <v>2650</v>
      </c>
      <c r="L490" s="12">
        <f t="shared" ref="L490:L513" si="56">IF(J490="P",ROUNDUP(K490/(1-Q490),-2),K490*(1+P490)/(1-Q490))</f>
        <v>3800</v>
      </c>
      <c r="M490" s="8">
        <v>1</v>
      </c>
      <c r="N490" s="8" t="s">
        <v>27</v>
      </c>
      <c r="O490" s="13"/>
      <c r="P490" s="14">
        <v>0</v>
      </c>
      <c r="Q490" s="15">
        <v>0.3</v>
      </c>
      <c r="R490" s="16" t="str">
        <f t="shared" si="53"/>
        <v>CENTELSA</v>
      </c>
      <c r="S490" s="17"/>
      <c r="T490" s="10" t="str">
        <f t="shared" si="54"/>
        <v>CABLE ELÉCTRICO CON RECUBRIMIENTO EN PVC COBRE COBRE CALIBRE AWG 8</v>
      </c>
    </row>
    <row r="491" spans="1:20" ht="27" customHeight="1" x14ac:dyDescent="0.25">
      <c r="A491" s="8" t="s">
        <v>1141</v>
      </c>
      <c r="B491" s="9" t="s">
        <v>1070</v>
      </c>
      <c r="C491" s="9"/>
      <c r="D491" s="8" t="s">
        <v>28</v>
      </c>
      <c r="E491" s="8">
        <v>8</v>
      </c>
      <c r="F491" s="8" t="s">
        <v>22</v>
      </c>
      <c r="G491" s="10" t="s">
        <v>1206</v>
      </c>
      <c r="H491" s="8" t="s">
        <v>1207</v>
      </c>
      <c r="I491" s="10" t="s">
        <v>1206</v>
      </c>
      <c r="J491" s="11" t="s">
        <v>33</v>
      </c>
      <c r="K491" s="18">
        <v>128000</v>
      </c>
      <c r="L491" s="12">
        <f t="shared" si="56"/>
        <v>170700</v>
      </c>
      <c r="M491" s="8">
        <v>1</v>
      </c>
      <c r="N491" s="8" t="s">
        <v>27</v>
      </c>
      <c r="O491" s="13"/>
      <c r="P491" s="14">
        <v>0</v>
      </c>
      <c r="Q491" s="15">
        <v>0.25</v>
      </c>
      <c r="R491" s="16" t="str">
        <f t="shared" si="53"/>
        <v>CENTELSA</v>
      </c>
      <c r="S491" s="17"/>
      <c r="T491" s="10" t="str">
        <f t="shared" si="54"/>
        <v>ROLLO DE 100 METROS DE ALAMBRE AWG12 LIBRE DE HALÓGENOS</v>
      </c>
    </row>
    <row r="492" spans="1:20" ht="27" customHeight="1" x14ac:dyDescent="0.25">
      <c r="A492" s="8" t="s">
        <v>1141</v>
      </c>
      <c r="B492" s="9"/>
      <c r="C492" s="9"/>
      <c r="D492" s="8"/>
      <c r="E492" s="8"/>
      <c r="F492" s="8" t="s">
        <v>22</v>
      </c>
      <c r="G492" s="10" t="s">
        <v>1161</v>
      </c>
      <c r="H492" s="8" t="s">
        <v>1208</v>
      </c>
      <c r="I492" s="10" t="s">
        <v>1209</v>
      </c>
      <c r="J492" s="11" t="s">
        <v>33</v>
      </c>
      <c r="K492" s="18">
        <v>2500</v>
      </c>
      <c r="L492" s="12">
        <f t="shared" si="56"/>
        <v>3600</v>
      </c>
      <c r="M492" s="8">
        <v>1</v>
      </c>
      <c r="N492" s="8" t="s">
        <v>110</v>
      </c>
      <c r="O492" s="13"/>
      <c r="P492" s="14">
        <v>0</v>
      </c>
      <c r="Q492" s="15">
        <v>0.3</v>
      </c>
      <c r="R492" s="16" t="str">
        <f t="shared" si="53"/>
        <v>CENTELSA</v>
      </c>
      <c r="S492" s="17"/>
      <c r="T492" s="10" t="str">
        <f t="shared" si="54"/>
        <v>METRO DE CABLE DESNUDO AWG8</v>
      </c>
    </row>
    <row r="493" spans="1:20" ht="27" customHeight="1" x14ac:dyDescent="0.25">
      <c r="A493" s="8" t="s">
        <v>1141</v>
      </c>
      <c r="B493" s="9"/>
      <c r="C493" s="9"/>
      <c r="D493" s="8"/>
      <c r="E493" s="8"/>
      <c r="F493" s="8"/>
      <c r="G493" s="10"/>
      <c r="H493" s="8" t="s">
        <v>1210</v>
      </c>
      <c r="I493" s="10" t="s">
        <v>1211</v>
      </c>
      <c r="J493" s="11" t="s">
        <v>33</v>
      </c>
      <c r="K493" s="18">
        <v>1700</v>
      </c>
      <c r="L493" s="12">
        <f t="shared" si="56"/>
        <v>2500</v>
      </c>
      <c r="M493" s="8">
        <v>1</v>
      </c>
      <c r="N493" s="8" t="s">
        <v>110</v>
      </c>
      <c r="O493" s="13"/>
      <c r="P493" s="14">
        <v>0</v>
      </c>
      <c r="Q493" s="15">
        <v>0.3</v>
      </c>
      <c r="R493" s="16" t="str">
        <f t="shared" si="53"/>
        <v>CENTELSA</v>
      </c>
      <c r="S493" s="17"/>
      <c r="T493" s="10"/>
    </row>
    <row r="494" spans="1:20" ht="27" customHeight="1" x14ac:dyDescent="0.25">
      <c r="A494" s="8" t="s">
        <v>1141</v>
      </c>
      <c r="B494" s="9"/>
      <c r="C494" s="9"/>
      <c r="D494" s="8"/>
      <c r="E494" s="8"/>
      <c r="F494" s="8"/>
      <c r="G494" s="10"/>
      <c r="H494" s="8" t="s">
        <v>1212</v>
      </c>
      <c r="I494" s="10" t="s">
        <v>1213</v>
      </c>
      <c r="J494" s="11" t="s">
        <v>33</v>
      </c>
      <c r="K494" s="18">
        <v>1300</v>
      </c>
      <c r="L494" s="12">
        <f t="shared" si="56"/>
        <v>1900</v>
      </c>
      <c r="M494" s="8">
        <v>1</v>
      </c>
      <c r="N494" s="8" t="s">
        <v>110</v>
      </c>
      <c r="O494" s="13"/>
      <c r="P494" s="14">
        <v>0</v>
      </c>
      <c r="Q494" s="15">
        <v>0.3</v>
      </c>
      <c r="R494" s="16" t="str">
        <f t="shared" si="53"/>
        <v>CENTELSA</v>
      </c>
      <c r="S494" s="17"/>
      <c r="T494" s="10"/>
    </row>
    <row r="495" spans="1:20" ht="27" customHeight="1" x14ac:dyDescent="0.25">
      <c r="A495" s="8" t="s">
        <v>1214</v>
      </c>
      <c r="B495" s="9" t="s">
        <v>1215</v>
      </c>
      <c r="C495" s="9"/>
      <c r="D495" s="8" t="s">
        <v>1216</v>
      </c>
      <c r="E495" s="8">
        <v>1</v>
      </c>
      <c r="F495" s="8" t="s">
        <v>22</v>
      </c>
      <c r="G495" s="10" t="s">
        <v>1217</v>
      </c>
      <c r="H495" s="8" t="s">
        <v>1218</v>
      </c>
      <c r="I495" s="10" t="s">
        <v>1219</v>
      </c>
      <c r="J495" s="11" t="s">
        <v>33</v>
      </c>
      <c r="K495" s="18">
        <v>395000</v>
      </c>
      <c r="L495" s="12">
        <f t="shared" si="56"/>
        <v>493800</v>
      </c>
      <c r="M495" s="8">
        <v>1</v>
      </c>
      <c r="N495" s="8" t="s">
        <v>27</v>
      </c>
      <c r="O495" s="13"/>
      <c r="P495" s="14">
        <v>0.2</v>
      </c>
      <c r="Q495" s="15">
        <v>0.2</v>
      </c>
      <c r="R495" s="16" t="str">
        <f t="shared" si="53"/>
        <v>CHALLENGER</v>
      </c>
      <c r="S495" s="17"/>
      <c r="T495" s="10" t="str">
        <f t="shared" ref="T495:T513" si="57">G495</f>
        <v>MONITOR LED DE 20".</v>
      </c>
    </row>
    <row r="496" spans="1:20" ht="27" customHeight="1" x14ac:dyDescent="0.25">
      <c r="A496" s="8" t="s">
        <v>1220</v>
      </c>
      <c r="B496" s="9" t="s">
        <v>1215</v>
      </c>
      <c r="C496" s="9"/>
      <c r="D496" s="8" t="s">
        <v>1221</v>
      </c>
      <c r="E496" s="8">
        <v>1</v>
      </c>
      <c r="F496" s="8" t="s">
        <v>22</v>
      </c>
      <c r="G496" s="10" t="s">
        <v>1222</v>
      </c>
      <c r="H496" s="8" t="s">
        <v>1223</v>
      </c>
      <c r="I496" s="10" t="s">
        <v>1224</v>
      </c>
      <c r="J496" s="11" t="s">
        <v>26</v>
      </c>
      <c r="K496" s="18">
        <v>2399</v>
      </c>
      <c r="L496" s="12">
        <f t="shared" si="56"/>
        <v>4112.5714285714284</v>
      </c>
      <c r="M496" s="8">
        <v>1</v>
      </c>
      <c r="N496" s="8" t="s">
        <v>27</v>
      </c>
      <c r="O496" s="13"/>
      <c r="P496" s="14">
        <v>0.2</v>
      </c>
      <c r="Q496" s="15">
        <v>0.3</v>
      </c>
      <c r="R496" s="16" t="str">
        <f t="shared" si="53"/>
        <v>CHARMEX</v>
      </c>
      <c r="S496" s="17"/>
      <c r="T496" s="10" t="str">
        <f t="shared" si="57"/>
        <v>PIZARRA INTERACTIVA TOUCH DE 89", PERMITE NAVEGACIÓN.</v>
      </c>
    </row>
    <row r="497" spans="1:20" ht="27" customHeight="1" x14ac:dyDescent="0.25">
      <c r="A497" s="8" t="s">
        <v>1220</v>
      </c>
      <c r="B497" s="9" t="s">
        <v>1215</v>
      </c>
      <c r="C497" s="9"/>
      <c r="D497" s="8" t="s">
        <v>1225</v>
      </c>
      <c r="E497" s="8">
        <v>2</v>
      </c>
      <c r="F497" s="8" t="s">
        <v>22</v>
      </c>
      <c r="G497" s="10" t="s">
        <v>1226</v>
      </c>
      <c r="H497" s="8" t="s">
        <v>1227</v>
      </c>
      <c r="I497" s="10" t="s">
        <v>1226</v>
      </c>
      <c r="J497" s="11" t="s">
        <v>26</v>
      </c>
      <c r="K497" s="18">
        <v>198</v>
      </c>
      <c r="L497" s="12">
        <f t="shared" si="56"/>
        <v>339.42857142857144</v>
      </c>
      <c r="M497" s="8">
        <v>1</v>
      </c>
      <c r="N497" s="8" t="s">
        <v>27</v>
      </c>
      <c r="O497" s="13"/>
      <c r="P497" s="14">
        <v>0.2</v>
      </c>
      <c r="Q497" s="15">
        <v>0.3</v>
      </c>
      <c r="R497" s="16" t="str">
        <f t="shared" si="53"/>
        <v>CHARMEX</v>
      </c>
      <c r="S497" s="17"/>
      <c r="T497" s="10" t="str">
        <f t="shared" si="57"/>
        <v>SOPORTE PARA PANTALLA</v>
      </c>
    </row>
    <row r="498" spans="1:20" ht="27" customHeight="1" x14ac:dyDescent="0.25">
      <c r="A498" s="8" t="s">
        <v>1220</v>
      </c>
      <c r="B498" s="9" t="s">
        <v>1215</v>
      </c>
      <c r="C498" s="9"/>
      <c r="D498" s="8" t="s">
        <v>1225</v>
      </c>
      <c r="E498" s="8">
        <v>2</v>
      </c>
      <c r="F498" s="8" t="s">
        <v>22</v>
      </c>
      <c r="G498" s="10" t="s">
        <v>1228</v>
      </c>
      <c r="H498" s="8" t="s">
        <v>1229</v>
      </c>
      <c r="I498" s="10" t="s">
        <v>1230</v>
      </c>
      <c r="J498" s="11" t="s">
        <v>33</v>
      </c>
      <c r="K498" s="18">
        <v>992000</v>
      </c>
      <c r="L498" s="12">
        <f t="shared" si="56"/>
        <v>1653400</v>
      </c>
      <c r="M498" s="8">
        <v>1</v>
      </c>
      <c r="N498" s="8" t="s">
        <v>27</v>
      </c>
      <c r="O498" s="13"/>
      <c r="P498" s="14">
        <v>0.2</v>
      </c>
      <c r="Q498" s="15">
        <v>0.4</v>
      </c>
      <c r="R498" s="16" t="str">
        <f t="shared" si="53"/>
        <v>CHARMEX</v>
      </c>
      <c r="S498" s="17"/>
      <c r="T498" s="10" t="str">
        <f t="shared" si="57"/>
        <v>PANTALLA DE PROYECCIÓN ELÉCTRICA EN FORMATO 4:3.</v>
      </c>
    </row>
    <row r="499" spans="1:20" ht="27" customHeight="1" x14ac:dyDescent="0.25">
      <c r="A499" s="8" t="s">
        <v>1220</v>
      </c>
      <c r="B499" s="9" t="s">
        <v>1215</v>
      </c>
      <c r="C499" s="9"/>
      <c r="D499" s="8" t="s">
        <v>1225</v>
      </c>
      <c r="E499" s="8">
        <v>2</v>
      </c>
      <c r="F499" s="8" t="s">
        <v>22</v>
      </c>
      <c r="G499" s="10" t="s">
        <v>1231</v>
      </c>
      <c r="H499" s="8" t="s">
        <v>1232</v>
      </c>
      <c r="I499" s="10" t="s">
        <v>1231</v>
      </c>
      <c r="J499" s="11" t="s">
        <v>33</v>
      </c>
      <c r="K499" s="18">
        <v>14600</v>
      </c>
      <c r="L499" s="12">
        <f t="shared" si="56"/>
        <v>20900</v>
      </c>
      <c r="M499" s="8">
        <v>1</v>
      </c>
      <c r="N499" s="8" t="s">
        <v>27</v>
      </c>
      <c r="O499" s="13"/>
      <c r="P499" s="14">
        <v>0.2</v>
      </c>
      <c r="Q499" s="15">
        <v>0.3</v>
      </c>
      <c r="R499" s="16" t="str">
        <f t="shared" si="53"/>
        <v>CHARMEX</v>
      </c>
      <c r="S499" s="17"/>
      <c r="T499" s="10" t="str">
        <f t="shared" si="57"/>
        <v>CABLE HDMI DE 1 METRO</v>
      </c>
    </row>
    <row r="500" spans="1:20" ht="27" customHeight="1" x14ac:dyDescent="0.25">
      <c r="A500" s="8" t="s">
        <v>1220</v>
      </c>
      <c r="B500" s="9" t="s">
        <v>1215</v>
      </c>
      <c r="C500" s="9"/>
      <c r="D500" s="8" t="s">
        <v>1225</v>
      </c>
      <c r="E500" s="8">
        <v>2</v>
      </c>
      <c r="F500" s="8" t="s">
        <v>22</v>
      </c>
      <c r="G500" s="10" t="s">
        <v>1233</v>
      </c>
      <c r="H500" s="8" t="s">
        <v>1234</v>
      </c>
      <c r="I500" s="10" t="s">
        <v>1233</v>
      </c>
      <c r="J500" s="11" t="s">
        <v>33</v>
      </c>
      <c r="K500" s="18">
        <v>17000</v>
      </c>
      <c r="L500" s="12">
        <f t="shared" si="56"/>
        <v>24300</v>
      </c>
      <c r="M500" s="8">
        <v>1</v>
      </c>
      <c r="N500" s="8" t="s">
        <v>27</v>
      </c>
      <c r="O500" s="13"/>
      <c r="P500" s="14">
        <v>0.2</v>
      </c>
      <c r="Q500" s="15">
        <v>0.3</v>
      </c>
      <c r="R500" s="16" t="str">
        <f t="shared" si="53"/>
        <v>CHARMEX</v>
      </c>
      <c r="S500" s="17"/>
      <c r="T500" s="10" t="str">
        <f t="shared" si="57"/>
        <v>CABLE HDMI DE 2 METROS</v>
      </c>
    </row>
    <row r="501" spans="1:20" ht="27" customHeight="1" x14ac:dyDescent="0.25">
      <c r="A501" s="8" t="s">
        <v>1220</v>
      </c>
      <c r="B501" s="9" t="s">
        <v>1215</v>
      </c>
      <c r="C501" s="9"/>
      <c r="D501" s="8" t="s">
        <v>1225</v>
      </c>
      <c r="E501" s="8">
        <v>2</v>
      </c>
      <c r="F501" s="8" t="s">
        <v>22</v>
      </c>
      <c r="G501" s="10" t="s">
        <v>1235</v>
      </c>
      <c r="H501" s="8" t="s">
        <v>1236</v>
      </c>
      <c r="I501" s="10" t="s">
        <v>1235</v>
      </c>
      <c r="J501" s="11" t="s">
        <v>33</v>
      </c>
      <c r="K501" s="18">
        <v>20600</v>
      </c>
      <c r="L501" s="12">
        <f t="shared" si="56"/>
        <v>29500</v>
      </c>
      <c r="M501" s="8">
        <v>1</v>
      </c>
      <c r="N501" s="8" t="s">
        <v>27</v>
      </c>
      <c r="O501" s="13"/>
      <c r="P501" s="14">
        <v>0.2</v>
      </c>
      <c r="Q501" s="15">
        <v>0.3</v>
      </c>
      <c r="R501" s="16" t="str">
        <f t="shared" si="53"/>
        <v>CHARMEX</v>
      </c>
      <c r="S501" s="17"/>
      <c r="T501" s="10" t="str">
        <f t="shared" si="57"/>
        <v>CABLE HDMI DE 3 METRO</v>
      </c>
    </row>
    <row r="502" spans="1:20" ht="27" customHeight="1" x14ac:dyDescent="0.25">
      <c r="A502" s="8" t="s">
        <v>1220</v>
      </c>
      <c r="B502" s="9" t="s">
        <v>1215</v>
      </c>
      <c r="C502" s="9"/>
      <c r="D502" s="8" t="s">
        <v>1225</v>
      </c>
      <c r="E502" s="8">
        <v>2</v>
      </c>
      <c r="F502" s="8" t="s">
        <v>22</v>
      </c>
      <c r="G502" s="10" t="s">
        <v>1237</v>
      </c>
      <c r="H502" s="8" t="s">
        <v>1238</v>
      </c>
      <c r="I502" s="10" t="s">
        <v>1237</v>
      </c>
      <c r="J502" s="11" t="s">
        <v>33</v>
      </c>
      <c r="K502" s="18">
        <v>27800</v>
      </c>
      <c r="L502" s="12">
        <f t="shared" si="56"/>
        <v>39800</v>
      </c>
      <c r="M502" s="8">
        <v>1</v>
      </c>
      <c r="N502" s="8" t="s">
        <v>27</v>
      </c>
      <c r="O502" s="13"/>
      <c r="P502" s="14">
        <v>0.2</v>
      </c>
      <c r="Q502" s="15">
        <v>0.3</v>
      </c>
      <c r="R502" s="16" t="str">
        <f t="shared" si="53"/>
        <v>CHARMEX</v>
      </c>
      <c r="S502" s="17"/>
      <c r="T502" s="10" t="str">
        <f t="shared" si="57"/>
        <v>CABLE HDMI DE 5 METRO</v>
      </c>
    </row>
    <row r="503" spans="1:20" ht="27" customHeight="1" x14ac:dyDescent="0.25">
      <c r="A503" s="8" t="s">
        <v>1220</v>
      </c>
      <c r="B503" s="9" t="s">
        <v>1215</v>
      </c>
      <c r="C503" s="9"/>
      <c r="D503" s="8" t="s">
        <v>1225</v>
      </c>
      <c r="E503" s="8">
        <v>2</v>
      </c>
      <c r="F503" s="8" t="s">
        <v>22</v>
      </c>
      <c r="G503" s="10" t="s">
        <v>1239</v>
      </c>
      <c r="H503" s="8" t="s">
        <v>1240</v>
      </c>
      <c r="I503" s="10" t="s">
        <v>1239</v>
      </c>
      <c r="J503" s="11" t="s">
        <v>33</v>
      </c>
      <c r="K503" s="18">
        <v>56125</v>
      </c>
      <c r="L503" s="12">
        <f t="shared" si="56"/>
        <v>80200</v>
      </c>
      <c r="M503" s="8">
        <v>1</v>
      </c>
      <c r="N503" s="8" t="s">
        <v>27</v>
      </c>
      <c r="O503" s="13"/>
      <c r="P503" s="14">
        <v>0.2</v>
      </c>
      <c r="Q503" s="15">
        <v>0.3</v>
      </c>
      <c r="R503" s="16" t="str">
        <f t="shared" si="53"/>
        <v>CHARMEX</v>
      </c>
      <c r="S503" s="17"/>
      <c r="T503" s="10" t="str">
        <f t="shared" si="57"/>
        <v>CABLE HDMI DE 10 METRO</v>
      </c>
    </row>
    <row r="504" spans="1:20" ht="27" customHeight="1" x14ac:dyDescent="0.25">
      <c r="A504" s="8" t="s">
        <v>1220</v>
      </c>
      <c r="B504" s="9" t="s">
        <v>1215</v>
      </c>
      <c r="C504" s="9"/>
      <c r="D504" s="8" t="s">
        <v>1225</v>
      </c>
      <c r="E504" s="8">
        <v>2</v>
      </c>
      <c r="F504" s="8" t="s">
        <v>22</v>
      </c>
      <c r="G504" s="10" t="s">
        <v>1241</v>
      </c>
      <c r="H504" s="8" t="s">
        <v>1242</v>
      </c>
      <c r="I504" s="10" t="s">
        <v>1241</v>
      </c>
      <c r="J504" s="11" t="s">
        <v>33</v>
      </c>
      <c r="K504" s="18">
        <v>94900</v>
      </c>
      <c r="L504" s="12">
        <f t="shared" si="56"/>
        <v>135600</v>
      </c>
      <c r="M504" s="8">
        <v>1</v>
      </c>
      <c r="N504" s="8" t="s">
        <v>27</v>
      </c>
      <c r="O504" s="13"/>
      <c r="P504" s="14">
        <v>0.2</v>
      </c>
      <c r="Q504" s="15">
        <v>0.3</v>
      </c>
      <c r="R504" s="16" t="str">
        <f t="shared" si="53"/>
        <v>CHARMEX</v>
      </c>
      <c r="S504" s="17"/>
      <c r="T504" s="10" t="str">
        <f t="shared" si="57"/>
        <v>CABLE HDMI DE 15 METRO</v>
      </c>
    </row>
    <row r="505" spans="1:20" ht="27" customHeight="1" x14ac:dyDescent="0.25">
      <c r="A505" s="8" t="s">
        <v>1220</v>
      </c>
      <c r="B505" s="9" t="s">
        <v>1215</v>
      </c>
      <c r="C505" s="9"/>
      <c r="D505" s="8" t="s">
        <v>1225</v>
      </c>
      <c r="E505" s="8">
        <v>2</v>
      </c>
      <c r="F505" s="8" t="s">
        <v>22</v>
      </c>
      <c r="G505" s="10" t="s">
        <v>1243</v>
      </c>
      <c r="H505" s="8" t="s">
        <v>1244</v>
      </c>
      <c r="I505" s="10" t="s">
        <v>1243</v>
      </c>
      <c r="J505" s="11" t="s">
        <v>33</v>
      </c>
      <c r="K505" s="18">
        <v>134900</v>
      </c>
      <c r="L505" s="12">
        <f t="shared" si="56"/>
        <v>192800</v>
      </c>
      <c r="M505" s="8">
        <v>1</v>
      </c>
      <c r="N505" s="8" t="s">
        <v>27</v>
      </c>
      <c r="O505" s="13"/>
      <c r="P505" s="14">
        <v>0.2</v>
      </c>
      <c r="Q505" s="15">
        <v>0.3</v>
      </c>
      <c r="R505" s="16" t="str">
        <f t="shared" si="53"/>
        <v>CHARMEX</v>
      </c>
      <c r="S505" s="17"/>
      <c r="T505" s="10" t="str">
        <f t="shared" si="57"/>
        <v>CABLE HDMI DE 20 METRO</v>
      </c>
    </row>
    <row r="506" spans="1:20" ht="27" customHeight="1" x14ac:dyDescent="0.25">
      <c r="A506" s="8" t="s">
        <v>1245</v>
      </c>
      <c r="B506" s="9"/>
      <c r="C506" s="9"/>
      <c r="D506" s="8"/>
      <c r="E506" s="8"/>
      <c r="F506" s="8" t="s">
        <v>22</v>
      </c>
      <c r="G506" s="10" t="s">
        <v>1246</v>
      </c>
      <c r="H506" s="8" t="s">
        <v>1247</v>
      </c>
      <c r="I506" s="10" t="s">
        <v>1246</v>
      </c>
      <c r="J506" s="11" t="s">
        <v>33</v>
      </c>
      <c r="K506" s="18">
        <v>50000</v>
      </c>
      <c r="L506" s="12">
        <f t="shared" si="56"/>
        <v>100000</v>
      </c>
      <c r="M506" s="8">
        <v>1</v>
      </c>
      <c r="N506" s="8" t="s">
        <v>27</v>
      </c>
      <c r="O506" s="13" t="s">
        <v>588</v>
      </c>
      <c r="P506" s="14">
        <v>0</v>
      </c>
      <c r="Q506" s="15">
        <v>0.5</v>
      </c>
      <c r="R506" s="16" t="str">
        <f t="shared" si="53"/>
        <v>CHEKA</v>
      </c>
      <c r="S506" s="17"/>
      <c r="T506" s="10" t="str">
        <f t="shared" si="57"/>
        <v>EXTRACTOR ULTRA SILENCIOSO DE 20CM.</v>
      </c>
    </row>
    <row r="507" spans="1:20" ht="27" customHeight="1" x14ac:dyDescent="0.25">
      <c r="A507" s="8" t="s">
        <v>1248</v>
      </c>
      <c r="B507" s="9" t="s">
        <v>1249</v>
      </c>
      <c r="C507" s="9"/>
      <c r="D507" s="8" t="s">
        <v>568</v>
      </c>
      <c r="E507" s="8">
        <v>1</v>
      </c>
      <c r="F507" s="8" t="s">
        <v>22</v>
      </c>
      <c r="G507" s="10" t="s">
        <v>1250</v>
      </c>
      <c r="H507" s="8" t="s">
        <v>1251</v>
      </c>
      <c r="I507" s="10" t="s">
        <v>1252</v>
      </c>
      <c r="J507" s="11" t="s">
        <v>26</v>
      </c>
      <c r="K507" s="18">
        <v>1375</v>
      </c>
      <c r="L507" s="12">
        <f t="shared" si="56"/>
        <v>2750</v>
      </c>
      <c r="M507" s="8">
        <v>1</v>
      </c>
      <c r="N507" s="8" t="s">
        <v>27</v>
      </c>
      <c r="O507" s="13" t="e">
        <f>#REF!</f>
        <v>#REF!</v>
      </c>
      <c r="P507" s="14">
        <v>0.2</v>
      </c>
      <c r="Q507" s="15">
        <v>0.4</v>
      </c>
      <c r="R507" s="16" t="str">
        <f t="shared" si="53"/>
        <v>CHIEF</v>
      </c>
      <c r="S507" s="17"/>
      <c r="T507" s="10" t="str">
        <f t="shared" si="57"/>
        <v>ASCENSOR MOTORIZADO PARA PROYECTOR.</v>
      </c>
    </row>
    <row r="508" spans="1:20" ht="27" customHeight="1" x14ac:dyDescent="0.25">
      <c r="A508" s="8" t="s">
        <v>1248</v>
      </c>
      <c r="B508" s="9" t="s">
        <v>1249</v>
      </c>
      <c r="C508" s="9"/>
      <c r="D508" s="8" t="s">
        <v>568</v>
      </c>
      <c r="E508" s="8">
        <v>2</v>
      </c>
      <c r="F508" s="8" t="s">
        <v>22</v>
      </c>
      <c r="G508" s="10" t="s">
        <v>1253</v>
      </c>
      <c r="H508" s="8" t="s">
        <v>1254</v>
      </c>
      <c r="I508" s="10" t="s">
        <v>1253</v>
      </c>
      <c r="J508" s="11" t="s">
        <v>26</v>
      </c>
      <c r="K508" s="18">
        <v>274</v>
      </c>
      <c r="L508" s="12">
        <f t="shared" si="56"/>
        <v>411</v>
      </c>
      <c r="M508" s="8">
        <v>1</v>
      </c>
      <c r="N508" s="8" t="s">
        <v>27</v>
      </c>
      <c r="O508" s="13" t="e">
        <f>#REF!</f>
        <v>#REF!</v>
      </c>
      <c r="P508" s="14">
        <v>0.2</v>
      </c>
      <c r="Q508" s="15">
        <v>0.2</v>
      </c>
      <c r="R508" s="16" t="str">
        <f t="shared" si="53"/>
        <v>CHIEF</v>
      </c>
      <c r="S508" s="17"/>
      <c r="T508" s="10" t="str">
        <f t="shared" si="57"/>
        <v>SOPORTE PARA VIDEO WALL DE TV ENTRE 37" Y 63".</v>
      </c>
    </row>
    <row r="509" spans="1:20" ht="27" customHeight="1" x14ac:dyDescent="0.25">
      <c r="A509" s="8" t="s">
        <v>1255</v>
      </c>
      <c r="B509" s="9" t="s">
        <v>683</v>
      </c>
      <c r="C509" s="9"/>
      <c r="D509" s="8" t="s">
        <v>602</v>
      </c>
      <c r="E509" s="8">
        <v>2</v>
      </c>
      <c r="F509" s="8" t="s">
        <v>22</v>
      </c>
      <c r="G509" s="10" t="s">
        <v>1256</v>
      </c>
      <c r="H509" s="8" t="s">
        <v>1257</v>
      </c>
      <c r="I509" s="10" t="s">
        <v>1256</v>
      </c>
      <c r="J509" s="11" t="s">
        <v>33</v>
      </c>
      <c r="K509" s="18">
        <v>20000</v>
      </c>
      <c r="L509" s="12">
        <f t="shared" si="56"/>
        <v>28600</v>
      </c>
      <c r="M509" s="8">
        <v>1</v>
      </c>
      <c r="N509" s="8" t="s">
        <v>27</v>
      </c>
      <c r="O509" s="13"/>
      <c r="P509" s="14">
        <v>0.2</v>
      </c>
      <c r="Q509" s="15">
        <v>0.3</v>
      </c>
      <c r="R509" s="16" t="str">
        <f t="shared" si="53"/>
        <v>CHINT</v>
      </c>
      <c r="S509" s="17"/>
      <c r="T509" s="10" t="str">
        <f t="shared" si="57"/>
        <v xml:space="preserve">CONTACTOR A 12 AMPERIOS Y BOBINA A 110V. </v>
      </c>
    </row>
    <row r="510" spans="1:20" ht="27" customHeight="1" x14ac:dyDescent="0.25">
      <c r="A510" s="8" t="s">
        <v>1255</v>
      </c>
      <c r="B510" s="9"/>
      <c r="C510" s="9"/>
      <c r="D510" s="8"/>
      <c r="E510" s="8"/>
      <c r="F510" s="8" t="s">
        <v>22</v>
      </c>
      <c r="G510" s="10" t="s">
        <v>1258</v>
      </c>
      <c r="H510" s="8" t="s">
        <v>1259</v>
      </c>
      <c r="I510" s="10" t="s">
        <v>1258</v>
      </c>
      <c r="J510" s="11" t="s">
        <v>33</v>
      </c>
      <c r="K510" s="18">
        <v>95000</v>
      </c>
      <c r="L510" s="12">
        <f t="shared" si="56"/>
        <v>135800</v>
      </c>
      <c r="M510" s="8">
        <v>1</v>
      </c>
      <c r="N510" s="8" t="s">
        <v>27</v>
      </c>
      <c r="O510" s="13"/>
      <c r="P510" s="14">
        <v>0.2</v>
      </c>
      <c r="Q510" s="15">
        <v>0.3</v>
      </c>
      <c r="R510" s="16" t="str">
        <f t="shared" si="53"/>
        <v>CHINT</v>
      </c>
      <c r="S510" s="17"/>
      <c r="T510" s="10" t="str">
        <f t="shared" si="57"/>
        <v>CONTACTOR DE 60 AMPERIOS</v>
      </c>
    </row>
    <row r="511" spans="1:20" ht="27" customHeight="1" x14ac:dyDescent="0.25">
      <c r="A511" s="8" t="s">
        <v>1255</v>
      </c>
      <c r="B511" s="9"/>
      <c r="C511" s="9"/>
      <c r="D511" s="8"/>
      <c r="E511" s="8"/>
      <c r="F511" s="8" t="s">
        <v>22</v>
      </c>
      <c r="G511" s="10" t="s">
        <v>1260</v>
      </c>
      <c r="H511" s="8" t="s">
        <v>1261</v>
      </c>
      <c r="I511" s="10" t="s">
        <v>1260</v>
      </c>
      <c r="J511" s="11" t="s">
        <v>33</v>
      </c>
      <c r="K511" s="18">
        <v>51000</v>
      </c>
      <c r="L511" s="12">
        <f t="shared" si="56"/>
        <v>85000</v>
      </c>
      <c r="M511" s="8">
        <v>1</v>
      </c>
      <c r="N511" s="8" t="s">
        <v>27</v>
      </c>
      <c r="O511" s="13"/>
      <c r="P511" s="14">
        <v>0</v>
      </c>
      <c r="Q511" s="15">
        <v>0.4</v>
      </c>
      <c r="R511" s="16" t="str">
        <f t="shared" si="53"/>
        <v>CHINT</v>
      </c>
      <c r="S511" s="17"/>
      <c r="T511" s="10" t="str">
        <f t="shared" si="57"/>
        <v>CONTACTOR DE 25 AMPERIOS CON BOBINA DE 110VAC.</v>
      </c>
    </row>
    <row r="512" spans="1:20" ht="27" customHeight="1" x14ac:dyDescent="0.25">
      <c r="A512" s="8" t="s">
        <v>1262</v>
      </c>
      <c r="B512" s="9"/>
      <c r="C512" s="9"/>
      <c r="D512" s="8"/>
      <c r="E512" s="8"/>
      <c r="F512" s="8" t="s">
        <v>22</v>
      </c>
      <c r="G512" s="10" t="s">
        <v>1263</v>
      </c>
      <c r="H512" s="8" t="s">
        <v>1264</v>
      </c>
      <c r="I512" s="10" t="s">
        <v>1263</v>
      </c>
      <c r="J512" s="11" t="s">
        <v>33</v>
      </c>
      <c r="K512" s="18">
        <v>610000</v>
      </c>
      <c r="L512" s="12">
        <f t="shared" si="56"/>
        <v>1016700</v>
      </c>
      <c r="M512" s="8">
        <v>1</v>
      </c>
      <c r="N512" s="8" t="s">
        <v>27</v>
      </c>
      <c r="O512" s="13"/>
      <c r="P512" s="14">
        <v>0.2</v>
      </c>
      <c r="Q512" s="15">
        <v>0.4</v>
      </c>
      <c r="R512" s="16" t="str">
        <f t="shared" si="53"/>
        <v>CISCO</v>
      </c>
      <c r="S512" s="17"/>
      <c r="T512" s="10" t="str">
        <f t="shared" si="57"/>
        <v>SWITCH 10/100/1000 DE 16 PUERTOS, 8 PoE</v>
      </c>
    </row>
    <row r="513" spans="1:20" ht="27" customHeight="1" x14ac:dyDescent="0.25">
      <c r="A513" s="8" t="s">
        <v>1262</v>
      </c>
      <c r="B513" s="9"/>
      <c r="C513" s="9"/>
      <c r="D513" s="8"/>
      <c r="E513" s="8"/>
      <c r="F513" s="8" t="s">
        <v>22</v>
      </c>
      <c r="G513" s="10" t="s">
        <v>1265</v>
      </c>
      <c r="H513" s="8" t="s">
        <v>1266</v>
      </c>
      <c r="I513" s="10" t="s">
        <v>1267</v>
      </c>
      <c r="J513" s="11" t="s">
        <v>33</v>
      </c>
      <c r="K513" s="18">
        <v>2152000</v>
      </c>
      <c r="L513" s="12">
        <f t="shared" si="56"/>
        <v>3586700</v>
      </c>
      <c r="M513" s="8">
        <v>1</v>
      </c>
      <c r="N513" s="8" t="s">
        <v>27</v>
      </c>
      <c r="O513" s="13" t="s">
        <v>588</v>
      </c>
      <c r="P513" s="14">
        <v>0</v>
      </c>
      <c r="Q513" s="15">
        <v>0.4</v>
      </c>
      <c r="R513" s="16" t="str">
        <f t="shared" ref="R513:R576" si="58">A513</f>
        <v>CISCO</v>
      </c>
      <c r="S513" s="17"/>
      <c r="T513" s="10" t="str">
        <f t="shared" si="57"/>
        <v>SWITCH POE DE 24 PUERTOS.</v>
      </c>
    </row>
    <row r="514" spans="1:20" ht="27" customHeight="1" x14ac:dyDescent="0.25">
      <c r="A514" s="8" t="s">
        <v>1262</v>
      </c>
      <c r="B514" s="9"/>
      <c r="C514" s="9"/>
      <c r="D514" s="8"/>
      <c r="E514" s="8"/>
      <c r="F514" s="8"/>
      <c r="G514" s="10"/>
      <c r="H514" s="8" t="s">
        <v>1268</v>
      </c>
      <c r="I514" s="10" t="s">
        <v>1269</v>
      </c>
      <c r="J514" s="11" t="s">
        <v>26</v>
      </c>
      <c r="K514" s="18">
        <v>650</v>
      </c>
      <c r="L514" s="12">
        <f>K514*(1+P514)/(1-Q514)</f>
        <v>886.36363637097054</v>
      </c>
      <c r="M514" s="8">
        <v>1</v>
      </c>
      <c r="N514" s="8" t="s">
        <v>27</v>
      </c>
      <c r="O514" s="13"/>
      <c r="P514" s="14">
        <v>0</v>
      </c>
      <c r="Q514" s="15">
        <v>0.26666666667273459</v>
      </c>
      <c r="R514" s="16" t="str">
        <f t="shared" si="58"/>
        <v>CISCO</v>
      </c>
      <c r="S514" s="17"/>
      <c r="T514" s="10"/>
    </row>
    <row r="515" spans="1:20" ht="27" customHeight="1" x14ac:dyDescent="0.25">
      <c r="A515" s="8" t="s">
        <v>1262</v>
      </c>
      <c r="B515" s="9"/>
      <c r="C515" s="9"/>
      <c r="D515" s="8"/>
      <c r="E515" s="8"/>
      <c r="F515" s="8"/>
      <c r="G515" s="10"/>
      <c r="H515" s="8" t="s">
        <v>1270</v>
      </c>
      <c r="I515" s="10" t="s">
        <v>1271</v>
      </c>
      <c r="J515" s="11" t="s">
        <v>26</v>
      </c>
      <c r="K515" s="18">
        <v>62</v>
      </c>
      <c r="L515" s="12">
        <f>K515*(1+P515)/(1-Q515)</f>
        <v>84.545454546154119</v>
      </c>
      <c r="M515" s="8">
        <v>1</v>
      </c>
      <c r="N515" s="8" t="s">
        <v>27</v>
      </c>
      <c r="O515" s="13"/>
      <c r="P515" s="14">
        <v>0</v>
      </c>
      <c r="Q515" s="15">
        <v>0.26666666667273459</v>
      </c>
      <c r="R515" s="16" t="str">
        <f t="shared" si="58"/>
        <v>CISCO</v>
      </c>
      <c r="S515" s="17"/>
      <c r="T515" s="10"/>
    </row>
    <row r="516" spans="1:20" ht="27" customHeight="1" x14ac:dyDescent="0.25">
      <c r="A516" s="8" t="s">
        <v>1262</v>
      </c>
      <c r="B516" s="9"/>
      <c r="C516" s="9"/>
      <c r="D516" s="8"/>
      <c r="E516" s="8"/>
      <c r="F516" s="8"/>
      <c r="G516" s="10"/>
      <c r="H516" s="8" t="s">
        <v>1272</v>
      </c>
      <c r="I516" s="10" t="s">
        <v>1273</v>
      </c>
      <c r="J516" s="11" t="s">
        <v>26</v>
      </c>
      <c r="K516" s="18">
        <v>82</v>
      </c>
      <c r="L516" s="12">
        <f>K516*(1+P516)/(1-Q516)</f>
        <v>111.81818181910705</v>
      </c>
      <c r="M516" s="8">
        <v>1</v>
      </c>
      <c r="N516" s="8" t="s">
        <v>27</v>
      </c>
      <c r="O516" s="13"/>
      <c r="P516" s="14">
        <v>0</v>
      </c>
      <c r="Q516" s="15">
        <v>0.26666666667273459</v>
      </c>
      <c r="R516" s="16" t="str">
        <f t="shared" si="58"/>
        <v>CISCO</v>
      </c>
      <c r="S516" s="17"/>
      <c r="T516" s="10"/>
    </row>
    <row r="517" spans="1:20" ht="27" customHeight="1" x14ac:dyDescent="0.25">
      <c r="A517" s="8" t="s">
        <v>1262</v>
      </c>
      <c r="B517" s="9"/>
      <c r="C517" s="9"/>
      <c r="D517" s="8"/>
      <c r="E517" s="8"/>
      <c r="F517" s="8"/>
      <c r="G517" s="10"/>
      <c r="H517" s="8" t="s">
        <v>1274</v>
      </c>
      <c r="I517" s="10" t="s">
        <v>1275</v>
      </c>
      <c r="J517" s="11" t="s">
        <v>33</v>
      </c>
      <c r="K517" s="18">
        <v>300000</v>
      </c>
      <c r="L517" s="12">
        <f>ROUNDUP(K517*(1+P517)/(1-Q517),0)</f>
        <v>333334</v>
      </c>
      <c r="M517" s="8">
        <v>1</v>
      </c>
      <c r="N517" s="8" t="s">
        <v>27</v>
      </c>
      <c r="O517" s="13"/>
      <c r="P517" s="14">
        <v>0</v>
      </c>
      <c r="Q517" s="15">
        <v>0.1</v>
      </c>
      <c r="R517" s="16" t="str">
        <f t="shared" si="58"/>
        <v>CISCO</v>
      </c>
      <c r="S517" s="17"/>
      <c r="T517" s="10">
        <f>L517*1.19</f>
        <v>396667.45999999996</v>
      </c>
    </row>
    <row r="518" spans="1:20" ht="27" customHeight="1" x14ac:dyDescent="0.25">
      <c r="A518" s="8" t="s">
        <v>1276</v>
      </c>
      <c r="B518" s="9"/>
      <c r="C518" s="9"/>
      <c r="D518" s="8"/>
      <c r="E518" s="8"/>
      <c r="F518" s="8" t="s">
        <v>22</v>
      </c>
      <c r="G518" s="10" t="s">
        <v>1277</v>
      </c>
      <c r="H518" s="8" t="s">
        <v>1278</v>
      </c>
      <c r="I518" s="10" t="s">
        <v>1277</v>
      </c>
      <c r="J518" s="11" t="s">
        <v>33</v>
      </c>
      <c r="K518" s="18">
        <v>1369500</v>
      </c>
      <c r="L518" s="12">
        <f t="shared" ref="L518:L531" si="59">IF(J518="P",ROUNDUP(K518/(1-Q518),-2),K518*(1+P518)/(1-Q518))</f>
        <v>2282500</v>
      </c>
      <c r="M518" s="8">
        <v>1</v>
      </c>
      <c r="N518" s="8" t="s">
        <v>27</v>
      </c>
      <c r="O518" s="13"/>
      <c r="P518" s="14">
        <v>0.2</v>
      </c>
      <c r="Q518" s="15">
        <v>0.4</v>
      </c>
      <c r="R518" s="16" t="str">
        <f t="shared" si="58"/>
        <v>CLED</v>
      </c>
      <c r="S518" s="17"/>
      <c r="T518" s="10" t="str">
        <f t="shared" ref="T518:T540" si="60">G518</f>
        <v>LAMPARA LED RGB CON FUNCIÓN DMX PLANA DE SOBREPONER 35W 12V AC CON ARO ABS ASTRA</v>
      </c>
    </row>
    <row r="519" spans="1:20" ht="27" customHeight="1" x14ac:dyDescent="0.25">
      <c r="A519" s="8" t="s">
        <v>1276</v>
      </c>
      <c r="B519" s="9"/>
      <c r="C519" s="9"/>
      <c r="D519" s="8"/>
      <c r="E519" s="8"/>
      <c r="F519" s="8" t="s">
        <v>22</v>
      </c>
      <c r="G519" s="10" t="s">
        <v>1279</v>
      </c>
      <c r="H519" s="8" t="s">
        <v>1280</v>
      </c>
      <c r="I519" s="10" t="s">
        <v>1279</v>
      </c>
      <c r="J519" s="11" t="s">
        <v>33</v>
      </c>
      <c r="K519" s="18">
        <v>220000</v>
      </c>
      <c r="L519" s="12">
        <f t="shared" si="59"/>
        <v>366700</v>
      </c>
      <c r="M519" s="8">
        <v>1</v>
      </c>
      <c r="N519" s="8" t="s">
        <v>27</v>
      </c>
      <c r="O519" s="13"/>
      <c r="P519" s="14">
        <v>0.2</v>
      </c>
      <c r="Q519" s="15">
        <v>0.4</v>
      </c>
      <c r="R519" s="16" t="str">
        <f t="shared" si="58"/>
        <v>CLED</v>
      </c>
      <c r="S519" s="17"/>
      <c r="T519" s="10" t="str">
        <f t="shared" si="60"/>
        <v>NICHO Y ARO CON SISTEMA DE FIJACIÓN PARA LUMINARIA PISCINA ASTRALPOOL</v>
      </c>
    </row>
    <row r="520" spans="1:20" ht="27" customHeight="1" x14ac:dyDescent="0.25">
      <c r="A520" s="8" t="s">
        <v>1276</v>
      </c>
      <c r="B520" s="9"/>
      <c r="C520" s="9"/>
      <c r="D520" s="8"/>
      <c r="E520" s="8"/>
      <c r="F520" s="8" t="s">
        <v>22</v>
      </c>
      <c r="G520" s="10" t="s">
        <v>1281</v>
      </c>
      <c r="H520" s="8" t="s">
        <v>1282</v>
      </c>
      <c r="I520" s="10" t="s">
        <v>1281</v>
      </c>
      <c r="J520" s="11" t="s">
        <v>33</v>
      </c>
      <c r="K520" s="18">
        <v>1188000</v>
      </c>
      <c r="L520" s="12">
        <f t="shared" si="59"/>
        <v>1980000</v>
      </c>
      <c r="M520" s="8">
        <v>1</v>
      </c>
      <c r="N520" s="8" t="s">
        <v>27</v>
      </c>
      <c r="O520" s="13"/>
      <c r="P520" s="14">
        <v>0.2</v>
      </c>
      <c r="Q520" s="15">
        <v>0.4</v>
      </c>
      <c r="R520" s="16" t="str">
        <f t="shared" si="58"/>
        <v>CLED</v>
      </c>
      <c r="S520" s="17"/>
      <c r="T520" s="10" t="str">
        <f t="shared" si="60"/>
        <v>MODULADOR LUMIPLUS ASTRALPOOL</v>
      </c>
    </row>
    <row r="521" spans="1:20" ht="27" customHeight="1" x14ac:dyDescent="0.25">
      <c r="A521" s="8" t="s">
        <v>1276</v>
      </c>
      <c r="B521" s="9"/>
      <c r="C521" s="9"/>
      <c r="D521" s="8"/>
      <c r="E521" s="8"/>
      <c r="F521" s="8" t="s">
        <v>22</v>
      </c>
      <c r="G521" s="10" t="s">
        <v>1283</v>
      </c>
      <c r="H521" s="8" t="s">
        <v>1284</v>
      </c>
      <c r="I521" s="10" t="s">
        <v>1283</v>
      </c>
      <c r="J521" s="11" t="s">
        <v>33</v>
      </c>
      <c r="K521" s="18">
        <v>156250</v>
      </c>
      <c r="L521" s="12">
        <f t="shared" si="59"/>
        <v>260500</v>
      </c>
      <c r="M521" s="8">
        <v>1</v>
      </c>
      <c r="N521" s="8" t="s">
        <v>27</v>
      </c>
      <c r="O521" s="13"/>
      <c r="P521" s="14">
        <v>0.2</v>
      </c>
      <c r="Q521" s="15">
        <v>0.4</v>
      </c>
      <c r="R521" s="16" t="str">
        <f t="shared" si="58"/>
        <v>CLED</v>
      </c>
      <c r="S521" s="17"/>
      <c r="T521" s="10" t="str">
        <f t="shared" si="60"/>
        <v>TRANSFORMADOR DE 300W A 12V AC</v>
      </c>
    </row>
    <row r="522" spans="1:20" ht="27" customHeight="1" x14ac:dyDescent="0.25">
      <c r="A522" s="8" t="s">
        <v>1276</v>
      </c>
      <c r="B522" s="9"/>
      <c r="C522" s="9"/>
      <c r="D522" s="8"/>
      <c r="E522" s="8"/>
      <c r="F522" s="8" t="s">
        <v>22</v>
      </c>
      <c r="G522" s="10" t="s">
        <v>1285</v>
      </c>
      <c r="H522" s="8" t="s">
        <v>1286</v>
      </c>
      <c r="I522" s="10" t="s">
        <v>1285</v>
      </c>
      <c r="J522" s="11" t="s">
        <v>26</v>
      </c>
      <c r="K522" s="18">
        <v>23</v>
      </c>
      <c r="L522" s="12">
        <f t="shared" si="59"/>
        <v>46</v>
      </c>
      <c r="M522" s="8">
        <v>1</v>
      </c>
      <c r="N522" s="8" t="s">
        <v>27</v>
      </c>
      <c r="O522" s="13"/>
      <c r="P522" s="14">
        <v>0.2</v>
      </c>
      <c r="Q522" s="15">
        <v>0.4</v>
      </c>
      <c r="R522" s="16" t="str">
        <f t="shared" si="58"/>
        <v>CLED</v>
      </c>
      <c r="S522" s="17"/>
      <c r="T522" s="10" t="str">
        <f t="shared" si="60"/>
        <v xml:space="preserve">LAMPARA DE INCRUSTAR EN PISO CON CONTROLADOR DMX. </v>
      </c>
    </row>
    <row r="523" spans="1:20" ht="27" customHeight="1" x14ac:dyDescent="0.25">
      <c r="A523" s="8" t="s">
        <v>1276</v>
      </c>
      <c r="B523" s="9"/>
      <c r="C523" s="9"/>
      <c r="D523" s="8"/>
      <c r="E523" s="8"/>
      <c r="F523" s="8" t="s">
        <v>22</v>
      </c>
      <c r="G523" s="10" t="s">
        <v>1287</v>
      </c>
      <c r="H523" s="8" t="s">
        <v>1288</v>
      </c>
      <c r="I523" s="10" t="s">
        <v>1287</v>
      </c>
      <c r="J523" s="11" t="s">
        <v>26</v>
      </c>
      <c r="K523" s="18">
        <v>20</v>
      </c>
      <c r="L523" s="12">
        <f t="shared" si="59"/>
        <v>40</v>
      </c>
      <c r="M523" s="8">
        <v>1</v>
      </c>
      <c r="N523" s="8" t="s">
        <v>27</v>
      </c>
      <c r="O523" s="13"/>
      <c r="P523" s="14">
        <v>0.2</v>
      </c>
      <c r="Q523" s="15">
        <v>0.4</v>
      </c>
      <c r="R523" s="16" t="str">
        <f t="shared" si="58"/>
        <v>CLED</v>
      </c>
      <c r="S523" s="17"/>
      <c r="T523" s="10" t="str">
        <f t="shared" si="60"/>
        <v>CABLE DE 1.5 METROS DE LARGO PARA INTERCONEXIÓN, PAQUETE POR 10 UNIDADES.</v>
      </c>
    </row>
    <row r="524" spans="1:20" ht="27" customHeight="1" x14ac:dyDescent="0.25">
      <c r="A524" s="8" t="s">
        <v>1276</v>
      </c>
      <c r="B524" s="9"/>
      <c r="C524" s="9"/>
      <c r="D524" s="8"/>
      <c r="E524" s="8"/>
      <c r="F524" s="8" t="s">
        <v>22</v>
      </c>
      <c r="G524" s="10" t="s">
        <v>1289</v>
      </c>
      <c r="H524" s="8" t="s">
        <v>1290</v>
      </c>
      <c r="I524" s="10" t="s">
        <v>1289</v>
      </c>
      <c r="J524" s="11" t="s">
        <v>26</v>
      </c>
      <c r="K524" s="18">
        <v>60</v>
      </c>
      <c r="L524" s="12">
        <f t="shared" si="59"/>
        <v>120</v>
      </c>
      <c r="M524" s="8">
        <v>1</v>
      </c>
      <c r="N524" s="8" t="s">
        <v>27</v>
      </c>
      <c r="O524" s="13"/>
      <c r="P524" s="14">
        <v>0.2</v>
      </c>
      <c r="Q524" s="15">
        <v>0.4</v>
      </c>
      <c r="R524" s="16" t="str">
        <f t="shared" si="58"/>
        <v>CLED</v>
      </c>
      <c r="S524" s="17"/>
      <c r="T524" s="10" t="str">
        <f t="shared" si="60"/>
        <v>CABLE DE 17.6 METROS DE LARGO PARA INTERCONEXIÓN, PAQUETE POR 10 UNIDADES.</v>
      </c>
    </row>
    <row r="525" spans="1:20" ht="27" customHeight="1" x14ac:dyDescent="0.25">
      <c r="A525" s="8" t="s">
        <v>1276</v>
      </c>
      <c r="B525" s="9"/>
      <c r="C525" s="9"/>
      <c r="D525" s="8"/>
      <c r="E525" s="8"/>
      <c r="F525" s="8" t="s">
        <v>22</v>
      </c>
      <c r="G525" s="10" t="s">
        <v>1291</v>
      </c>
      <c r="H525" s="8" t="s">
        <v>1292</v>
      </c>
      <c r="I525" s="10" t="s">
        <v>1291</v>
      </c>
      <c r="J525" s="11" t="s">
        <v>26</v>
      </c>
      <c r="K525" s="18">
        <v>30</v>
      </c>
      <c r="L525" s="12">
        <f t="shared" si="59"/>
        <v>60</v>
      </c>
      <c r="M525" s="8">
        <v>1</v>
      </c>
      <c r="N525" s="8" t="s">
        <v>27</v>
      </c>
      <c r="O525" s="13"/>
      <c r="P525" s="14">
        <v>0.2</v>
      </c>
      <c r="Q525" s="15">
        <v>0.4</v>
      </c>
      <c r="R525" s="16" t="str">
        <f t="shared" si="58"/>
        <v>CLED</v>
      </c>
      <c r="S525" s="17"/>
      <c r="T525" s="10" t="str">
        <f t="shared" si="60"/>
        <v>CABLE DE 3 METROS DE LARGO PARA INTERCONEXIÓN, PAQUETE POR 10 UNIDADES.</v>
      </c>
    </row>
    <row r="526" spans="1:20" ht="27" customHeight="1" x14ac:dyDescent="0.25">
      <c r="A526" s="8" t="s">
        <v>1276</v>
      </c>
      <c r="B526" s="9"/>
      <c r="C526" s="9"/>
      <c r="D526" s="8"/>
      <c r="E526" s="8"/>
      <c r="F526" s="8" t="s">
        <v>22</v>
      </c>
      <c r="G526" s="10" t="s">
        <v>1293</v>
      </c>
      <c r="H526" s="8" t="s">
        <v>1294</v>
      </c>
      <c r="I526" s="10" t="s">
        <v>1293</v>
      </c>
      <c r="J526" s="11" t="s">
        <v>26</v>
      </c>
      <c r="K526" s="18">
        <v>135</v>
      </c>
      <c r="L526" s="12">
        <f t="shared" si="59"/>
        <v>270</v>
      </c>
      <c r="M526" s="8">
        <v>1</v>
      </c>
      <c r="N526" s="8" t="s">
        <v>27</v>
      </c>
      <c r="O526" s="13"/>
      <c r="P526" s="14">
        <v>0.2</v>
      </c>
      <c r="Q526" s="15">
        <v>0.4</v>
      </c>
      <c r="R526" s="16" t="str">
        <f t="shared" si="58"/>
        <v>CLED</v>
      </c>
      <c r="S526" s="17"/>
      <c r="T526" s="10" t="str">
        <f t="shared" si="60"/>
        <v>CONTROLADOR DMX CON EVENTOS DE MEMORIA</v>
      </c>
    </row>
    <row r="527" spans="1:20" ht="27" customHeight="1" x14ac:dyDescent="0.25">
      <c r="A527" s="8" t="s">
        <v>1276</v>
      </c>
      <c r="B527" s="9"/>
      <c r="C527" s="9"/>
      <c r="D527" s="8"/>
      <c r="E527" s="8"/>
      <c r="F527" s="8" t="s">
        <v>22</v>
      </c>
      <c r="G527" s="10" t="s">
        <v>1295</v>
      </c>
      <c r="H527" s="8" t="s">
        <v>1296</v>
      </c>
      <c r="I527" s="10" t="s">
        <v>1295</v>
      </c>
      <c r="J527" s="11" t="s">
        <v>33</v>
      </c>
      <c r="K527" s="18">
        <v>14600</v>
      </c>
      <c r="L527" s="12">
        <f t="shared" si="59"/>
        <v>24400</v>
      </c>
      <c r="M527" s="8">
        <v>1</v>
      </c>
      <c r="N527" s="8" t="s">
        <v>27</v>
      </c>
      <c r="O527" s="13"/>
      <c r="P527" s="14">
        <v>0.2</v>
      </c>
      <c r="Q527" s="15">
        <v>0.4</v>
      </c>
      <c r="R527" s="16" t="str">
        <f t="shared" si="58"/>
        <v>CLED</v>
      </c>
      <c r="S527" s="17"/>
      <c r="T527" s="10" t="str">
        <f t="shared" si="60"/>
        <v>PANEL LED REDONDO DE 18W, TEMPERATURA DE COLOR 4100K.</v>
      </c>
    </row>
    <row r="528" spans="1:20" ht="27" customHeight="1" x14ac:dyDescent="0.25">
      <c r="A528" s="8" t="s">
        <v>1297</v>
      </c>
      <c r="B528" s="9" t="s">
        <v>1298</v>
      </c>
      <c r="C528" s="9"/>
      <c r="D528" s="8" t="s">
        <v>1299</v>
      </c>
      <c r="E528" s="8">
        <v>1</v>
      </c>
      <c r="F528" s="8" t="s">
        <v>22</v>
      </c>
      <c r="G528" s="10" t="s">
        <v>1300</v>
      </c>
      <c r="H528" s="8" t="s">
        <v>1301</v>
      </c>
      <c r="I528" s="10" t="s">
        <v>1302</v>
      </c>
      <c r="J528" s="11" t="s">
        <v>26</v>
      </c>
      <c r="K528" s="18">
        <v>3752</v>
      </c>
      <c r="L528" s="12">
        <f t="shared" si="59"/>
        <v>5627.9999999999991</v>
      </c>
      <c r="M528" s="8">
        <v>1</v>
      </c>
      <c r="N528" s="8" t="s">
        <v>27</v>
      </c>
      <c r="O528" s="13"/>
      <c r="P528" s="14">
        <v>0.2</v>
      </c>
      <c r="Q528" s="15">
        <v>0.2</v>
      </c>
      <c r="R528" s="16" t="str">
        <f t="shared" si="58"/>
        <v>CLEVERTOUCH</v>
      </c>
      <c r="S528" s="17"/>
      <c r="T528" s="10" t="str">
        <f t="shared" si="60"/>
        <v>Monitor CLEVERTOUCH PLUS LED ANDROID 65".</v>
      </c>
    </row>
    <row r="529" spans="1:20" ht="27" customHeight="1" x14ac:dyDescent="0.25">
      <c r="A529" s="8" t="s">
        <v>1297</v>
      </c>
      <c r="B529" s="9" t="s">
        <v>1298</v>
      </c>
      <c r="C529" s="9"/>
      <c r="D529" s="8" t="s">
        <v>1299</v>
      </c>
      <c r="E529" s="8">
        <v>2</v>
      </c>
      <c r="F529" s="8" t="s">
        <v>22</v>
      </c>
      <c r="G529" s="10" t="s">
        <v>1303</v>
      </c>
      <c r="H529" s="8" t="s">
        <v>1304</v>
      </c>
      <c r="I529" s="10" t="s">
        <v>1305</v>
      </c>
      <c r="J529" s="11" t="s">
        <v>26</v>
      </c>
      <c r="K529" s="18">
        <v>2796</v>
      </c>
      <c r="L529" s="12">
        <f t="shared" si="59"/>
        <v>4193.9999999999991</v>
      </c>
      <c r="M529" s="8">
        <v>1</v>
      </c>
      <c r="N529" s="8" t="s">
        <v>27</v>
      </c>
      <c r="O529" s="13"/>
      <c r="P529" s="14">
        <v>0.2</v>
      </c>
      <c r="Q529" s="15">
        <v>0.2</v>
      </c>
      <c r="R529" s="16" t="str">
        <f t="shared" si="58"/>
        <v>CLEVERTOUCH</v>
      </c>
      <c r="S529" s="17"/>
      <c r="T529" s="10" t="str">
        <f t="shared" si="60"/>
        <v>MONITOR CLEVERTOUCH V LED ANDROID 65".</v>
      </c>
    </row>
    <row r="530" spans="1:20" ht="27" customHeight="1" x14ac:dyDescent="0.25">
      <c r="A530" s="8" t="s">
        <v>1297</v>
      </c>
      <c r="B530" s="9" t="s">
        <v>1298</v>
      </c>
      <c r="C530" s="9"/>
      <c r="D530" s="8" t="s">
        <v>1299</v>
      </c>
      <c r="E530" s="8">
        <v>3</v>
      </c>
      <c r="F530" s="8" t="s">
        <v>22</v>
      </c>
      <c r="G530" s="10" t="s">
        <v>1306</v>
      </c>
      <c r="H530" s="8" t="s">
        <v>1307</v>
      </c>
      <c r="I530" s="10" t="s">
        <v>1308</v>
      </c>
      <c r="J530" s="11" t="s">
        <v>26</v>
      </c>
      <c r="K530" s="18">
        <v>8950</v>
      </c>
      <c r="L530" s="12">
        <f t="shared" si="59"/>
        <v>13425</v>
      </c>
      <c r="M530" s="8">
        <v>1</v>
      </c>
      <c r="N530" s="8" t="s">
        <v>27</v>
      </c>
      <c r="O530" s="13"/>
      <c r="P530" s="14">
        <v>0.2</v>
      </c>
      <c r="Q530" s="15">
        <v>0.2</v>
      </c>
      <c r="R530" s="16" t="str">
        <f t="shared" si="58"/>
        <v>CLEVERTOUCH</v>
      </c>
      <c r="S530" s="17"/>
      <c r="T530" s="10" t="str">
        <f t="shared" si="60"/>
        <v>MONITOR CLEVERTOUCH PLUS LED ANDROID 84" 4K.</v>
      </c>
    </row>
    <row r="531" spans="1:20" ht="27" customHeight="1" x14ac:dyDescent="0.25">
      <c r="A531" s="8" t="s">
        <v>1297</v>
      </c>
      <c r="B531" s="9" t="s">
        <v>1298</v>
      </c>
      <c r="C531" s="9"/>
      <c r="D531" s="8" t="s">
        <v>1299</v>
      </c>
      <c r="E531" s="8">
        <v>3</v>
      </c>
      <c r="F531" s="8" t="s">
        <v>22</v>
      </c>
      <c r="G531" s="10" t="s">
        <v>1309</v>
      </c>
      <c r="H531" s="8" t="s">
        <v>1310</v>
      </c>
      <c r="I531" s="10" t="s">
        <v>1311</v>
      </c>
      <c r="J531" s="11" t="s">
        <v>26</v>
      </c>
      <c r="K531" s="18">
        <v>5592</v>
      </c>
      <c r="L531" s="12">
        <f t="shared" si="59"/>
        <v>8387.9999999999982</v>
      </c>
      <c r="M531" s="8">
        <v>1</v>
      </c>
      <c r="N531" s="8" t="s">
        <v>27</v>
      </c>
      <c r="O531" s="13"/>
      <c r="P531" s="14">
        <v>0.2</v>
      </c>
      <c r="Q531" s="15">
        <v>0.2</v>
      </c>
      <c r="R531" s="16" t="str">
        <f t="shared" si="58"/>
        <v>CLEVERTOUCH</v>
      </c>
      <c r="S531" s="17"/>
      <c r="T531" s="10" t="str">
        <f t="shared" si="60"/>
        <v>MONITOR CLEVERTOUCH PLUS LED ANDROID 75".</v>
      </c>
    </row>
    <row r="532" spans="1:20" ht="27" customHeight="1" x14ac:dyDescent="0.25">
      <c r="A532" s="8" t="s">
        <v>1297</v>
      </c>
      <c r="B532" s="9"/>
      <c r="C532" s="9"/>
      <c r="D532" s="8" t="s">
        <v>45</v>
      </c>
      <c r="E532" s="8"/>
      <c r="F532" s="8" t="s">
        <v>22</v>
      </c>
      <c r="G532" s="10" t="str">
        <f>B532&amp;"-"&amp;D532&amp;"-"&amp;E532&amp;F532</f>
        <v>-PROG_-BLANCO</v>
      </c>
      <c r="H532" s="8" t="s">
        <v>1312</v>
      </c>
      <c r="I532" s="10" t="s">
        <v>1313</v>
      </c>
      <c r="J532" s="11" t="s">
        <v>33</v>
      </c>
      <c r="K532" s="18">
        <v>16500000</v>
      </c>
      <c r="L532" s="12">
        <f>K532*(1+P532)/(1-Q532)</f>
        <v>22000000</v>
      </c>
      <c r="M532" s="8">
        <v>1</v>
      </c>
      <c r="N532" s="8" t="s">
        <v>27</v>
      </c>
      <c r="O532" s="13"/>
      <c r="P532" s="14">
        <v>0</v>
      </c>
      <c r="Q532" s="15">
        <v>0.25</v>
      </c>
      <c r="R532" s="16" t="str">
        <f t="shared" si="58"/>
        <v>CLEVERTOUCH</v>
      </c>
      <c r="S532" s="17"/>
      <c r="T532" s="10" t="str">
        <f t="shared" si="60"/>
        <v>-PROG_-BLANCO</v>
      </c>
    </row>
    <row r="533" spans="1:20" ht="27" customHeight="1" x14ac:dyDescent="0.25">
      <c r="A533" s="8" t="s">
        <v>1314</v>
      </c>
      <c r="B533" s="9"/>
      <c r="C533" s="9"/>
      <c r="D533" s="8"/>
      <c r="E533" s="8"/>
      <c r="F533" s="8" t="s">
        <v>22</v>
      </c>
      <c r="G533" s="10" t="s">
        <v>1315</v>
      </c>
      <c r="H533" s="8" t="s">
        <v>1316</v>
      </c>
      <c r="I533" s="10" t="s">
        <v>1315</v>
      </c>
      <c r="J533" s="11" t="s">
        <v>33</v>
      </c>
      <c r="K533" s="18">
        <v>35000</v>
      </c>
      <c r="L533" s="12">
        <f t="shared" ref="L533:L541" si="61">IF(J533="P",ROUNDUP(K533/(1-Q533),-2),K533*(1+P533)/(1-Q533))</f>
        <v>58400</v>
      </c>
      <c r="M533" s="8">
        <v>1</v>
      </c>
      <c r="N533" s="8" t="s">
        <v>27</v>
      </c>
      <c r="O533" s="13"/>
      <c r="P533" s="14">
        <v>0.2</v>
      </c>
      <c r="Q533" s="15">
        <v>0.4</v>
      </c>
      <c r="R533" s="16" t="str">
        <f t="shared" si="58"/>
        <v>COBY</v>
      </c>
      <c r="S533" s="17"/>
      <c r="T533" s="10" t="str">
        <f t="shared" si="60"/>
        <v>CINTA LED DE 5 METROS, 6000K. 9.6 VATIOS POR METRO.</v>
      </c>
    </row>
    <row r="534" spans="1:20" ht="27" customHeight="1" x14ac:dyDescent="0.25">
      <c r="A534" s="8" t="s">
        <v>1314</v>
      </c>
      <c r="B534" s="9"/>
      <c r="C534" s="9"/>
      <c r="D534" s="8"/>
      <c r="E534" s="8"/>
      <c r="F534" s="8" t="s">
        <v>22</v>
      </c>
      <c r="G534" s="10" t="s">
        <v>1317</v>
      </c>
      <c r="H534" s="8" t="s">
        <v>1318</v>
      </c>
      <c r="I534" s="10" t="s">
        <v>1317</v>
      </c>
      <c r="J534" s="11" t="s">
        <v>33</v>
      </c>
      <c r="K534" s="18">
        <v>16000</v>
      </c>
      <c r="L534" s="12">
        <f t="shared" si="61"/>
        <v>26700</v>
      </c>
      <c r="M534" s="8">
        <v>1</v>
      </c>
      <c r="N534" s="8" t="s">
        <v>27</v>
      </c>
      <c r="O534" s="13"/>
      <c r="P534" s="14">
        <v>0.2</v>
      </c>
      <c r="Q534" s="15">
        <v>0.4</v>
      </c>
      <c r="R534" s="16" t="str">
        <f t="shared" si="58"/>
        <v>COBY</v>
      </c>
      <c r="S534" s="17"/>
      <c r="T534" s="10" t="str">
        <f t="shared" si="60"/>
        <v>FUENTE DE ALIMENTACIÓN A 12V, 2 AMPERIOS.</v>
      </c>
    </row>
    <row r="535" spans="1:20" ht="27" customHeight="1" x14ac:dyDescent="0.25">
      <c r="A535" s="8" t="s">
        <v>1314</v>
      </c>
      <c r="B535" s="9"/>
      <c r="C535" s="9"/>
      <c r="D535" s="8"/>
      <c r="E535" s="8"/>
      <c r="F535" s="8" t="s">
        <v>22</v>
      </c>
      <c r="G535" s="10" t="s">
        <v>1319</v>
      </c>
      <c r="H535" s="8" t="s">
        <v>1320</v>
      </c>
      <c r="I535" s="10" t="s">
        <v>1319</v>
      </c>
      <c r="J535" s="11" t="s">
        <v>33</v>
      </c>
      <c r="K535" s="18">
        <v>28000</v>
      </c>
      <c r="L535" s="12">
        <f t="shared" si="61"/>
        <v>46700</v>
      </c>
      <c r="M535" s="8">
        <v>1</v>
      </c>
      <c r="N535" s="8" t="s">
        <v>27</v>
      </c>
      <c r="O535" s="13"/>
      <c r="P535" s="14">
        <v>0.2</v>
      </c>
      <c r="Q535" s="15">
        <v>0.4</v>
      </c>
      <c r="R535" s="16" t="str">
        <f t="shared" si="58"/>
        <v>COBY</v>
      </c>
      <c r="S535" s="17"/>
      <c r="T535" s="10" t="str">
        <f t="shared" si="60"/>
        <v>FUENTE DE ALIMENTACIÓN A 12V, 5 AMPERIOS.</v>
      </c>
    </row>
    <row r="536" spans="1:20" ht="27" customHeight="1" x14ac:dyDescent="0.25">
      <c r="A536" s="8" t="s">
        <v>1321</v>
      </c>
      <c r="B536" s="9" t="s">
        <v>1322</v>
      </c>
      <c r="C536" s="9"/>
      <c r="D536" s="8" t="s">
        <v>1323</v>
      </c>
      <c r="E536" s="8"/>
      <c r="F536" s="8" t="s">
        <v>22</v>
      </c>
      <c r="G536" s="10" t="s">
        <v>1324</v>
      </c>
      <c r="H536" s="8" t="s">
        <v>1325</v>
      </c>
      <c r="I536" s="10" t="s">
        <v>1326</v>
      </c>
      <c r="J536" s="11" t="s">
        <v>33</v>
      </c>
      <c r="K536" s="18">
        <v>8000</v>
      </c>
      <c r="L536" s="12">
        <f t="shared" si="61"/>
        <v>11500</v>
      </c>
      <c r="M536" s="8">
        <v>1</v>
      </c>
      <c r="N536" s="8" t="s">
        <v>27</v>
      </c>
      <c r="O536" s="13"/>
      <c r="P536" s="14">
        <v>0.2</v>
      </c>
      <c r="Q536" s="15">
        <v>0.3</v>
      </c>
      <c r="R536" s="16" t="str">
        <f t="shared" si="58"/>
        <v>CODELCA</v>
      </c>
      <c r="S536" s="17"/>
      <c r="T536" s="10" t="str">
        <f t="shared" si="60"/>
        <v>CLAVIJA ENCAUCHETADA CON POLO A TIERRA.</v>
      </c>
    </row>
    <row r="537" spans="1:20" ht="27" customHeight="1" x14ac:dyDescent="0.25">
      <c r="A537" s="8" t="s">
        <v>1321</v>
      </c>
      <c r="B537" s="9" t="s">
        <v>1327</v>
      </c>
      <c r="C537" s="9"/>
      <c r="D537" s="8" t="s">
        <v>1328</v>
      </c>
      <c r="E537" s="8"/>
      <c r="F537" s="8" t="s">
        <v>22</v>
      </c>
      <c r="G537" s="10" t="s">
        <v>1329</v>
      </c>
      <c r="H537" s="8" t="s">
        <v>1330</v>
      </c>
      <c r="I537" s="10" t="s">
        <v>1329</v>
      </c>
      <c r="J537" s="11" t="s">
        <v>33</v>
      </c>
      <c r="K537" s="18">
        <v>6900</v>
      </c>
      <c r="L537" s="12">
        <f t="shared" si="61"/>
        <v>9900</v>
      </c>
      <c r="M537" s="8">
        <v>1</v>
      </c>
      <c r="N537" s="8" t="s">
        <v>27</v>
      </c>
      <c r="O537" s="13"/>
      <c r="P537" s="14">
        <v>0.2</v>
      </c>
      <c r="Q537" s="15">
        <v>0.3</v>
      </c>
      <c r="R537" s="16" t="str">
        <f t="shared" si="58"/>
        <v>CODELCA</v>
      </c>
      <c r="S537" s="17"/>
      <c r="T537" s="10" t="str">
        <f t="shared" si="60"/>
        <v>TOMACORRIENTE BIFÁSICO 20 AMPERIOS.</v>
      </c>
    </row>
    <row r="538" spans="1:20" ht="27" customHeight="1" x14ac:dyDescent="0.25">
      <c r="A538" s="8" t="s">
        <v>1321</v>
      </c>
      <c r="B538" s="9"/>
      <c r="C538" s="9"/>
      <c r="D538" s="8"/>
      <c r="E538" s="8"/>
      <c r="F538" s="8" t="s">
        <v>22</v>
      </c>
      <c r="G538" s="10" t="s">
        <v>1331</v>
      </c>
      <c r="H538" s="8" t="s">
        <v>1332</v>
      </c>
      <c r="I538" s="10" t="s">
        <v>1331</v>
      </c>
      <c r="J538" s="11" t="s">
        <v>33</v>
      </c>
      <c r="K538" s="18">
        <v>3500</v>
      </c>
      <c r="L538" s="12">
        <f t="shared" si="61"/>
        <v>5000</v>
      </c>
      <c r="M538" s="8">
        <v>1</v>
      </c>
      <c r="N538" s="8" t="s">
        <v>27</v>
      </c>
      <c r="O538" s="13"/>
      <c r="P538" s="14">
        <v>0.2</v>
      </c>
      <c r="Q538" s="15">
        <v>0.3</v>
      </c>
      <c r="R538" s="16" t="str">
        <f t="shared" si="58"/>
        <v>CODELCA</v>
      </c>
      <c r="S538" s="17"/>
      <c r="T538" s="10" t="str">
        <f t="shared" si="60"/>
        <v>TOMA CORRIENTE DE SOBRE PONER</v>
      </c>
    </row>
    <row r="539" spans="1:20" ht="27" customHeight="1" x14ac:dyDescent="0.25">
      <c r="A539" s="8" t="s">
        <v>1321</v>
      </c>
      <c r="B539" s="9"/>
      <c r="C539" s="9"/>
      <c r="D539" s="8"/>
      <c r="E539" s="8"/>
      <c r="F539" s="8" t="s">
        <v>22</v>
      </c>
      <c r="G539" s="10" t="s">
        <v>1333</v>
      </c>
      <c r="H539" s="8" t="s">
        <v>1334</v>
      </c>
      <c r="I539" s="10" t="s">
        <v>1333</v>
      </c>
      <c r="J539" s="11" t="s">
        <v>33</v>
      </c>
      <c r="K539" s="18">
        <v>9500</v>
      </c>
      <c r="L539" s="12">
        <f t="shared" si="61"/>
        <v>13600</v>
      </c>
      <c r="M539" s="8">
        <v>1</v>
      </c>
      <c r="N539" s="8" t="s">
        <v>27</v>
      </c>
      <c r="O539" s="13"/>
      <c r="P539" s="14">
        <v>0.2</v>
      </c>
      <c r="Q539" s="15">
        <v>0.3</v>
      </c>
      <c r="R539" s="16" t="str">
        <f t="shared" si="58"/>
        <v>CODELCA</v>
      </c>
      <c r="S539" s="17"/>
      <c r="T539" s="10" t="str">
        <f t="shared" si="60"/>
        <v>TOMA TRIFÁSICA 3X50</v>
      </c>
    </row>
    <row r="540" spans="1:20" ht="27" customHeight="1" x14ac:dyDescent="0.25">
      <c r="A540" s="8" t="s">
        <v>1321</v>
      </c>
      <c r="B540" s="9"/>
      <c r="C540" s="9"/>
      <c r="D540" s="8"/>
      <c r="E540" s="8"/>
      <c r="F540" s="8" t="s">
        <v>22</v>
      </c>
      <c r="G540" s="10" t="s">
        <v>1335</v>
      </c>
      <c r="H540" s="8" t="s">
        <v>1336</v>
      </c>
      <c r="I540" s="10" t="s">
        <v>1335</v>
      </c>
      <c r="J540" s="11" t="s">
        <v>33</v>
      </c>
      <c r="K540" s="18">
        <v>8000</v>
      </c>
      <c r="L540" s="12">
        <f t="shared" si="61"/>
        <v>11500</v>
      </c>
      <c r="M540" s="8">
        <v>1</v>
      </c>
      <c r="N540" s="8" t="s">
        <v>27</v>
      </c>
      <c r="O540" s="13"/>
      <c r="P540" s="14">
        <v>0</v>
      </c>
      <c r="Q540" s="15">
        <v>0.3</v>
      </c>
      <c r="R540" s="16" t="str">
        <f t="shared" si="58"/>
        <v>CODELCA</v>
      </c>
      <c r="S540" s="17"/>
      <c r="T540" s="10" t="str">
        <f t="shared" si="60"/>
        <v>TOMA TRIFÁSICA DE 20 AMPERIOS</v>
      </c>
    </row>
    <row r="541" spans="1:20" ht="27" customHeight="1" x14ac:dyDescent="0.25">
      <c r="A541" s="8" t="s">
        <v>1321</v>
      </c>
      <c r="B541" s="9"/>
      <c r="C541" s="9"/>
      <c r="D541" s="8"/>
      <c r="E541" s="8"/>
      <c r="F541" s="8"/>
      <c r="G541" s="10"/>
      <c r="H541" s="8" t="s">
        <v>1337</v>
      </c>
      <c r="I541" s="10" t="s">
        <v>1338</v>
      </c>
      <c r="J541" s="11" t="s">
        <v>33</v>
      </c>
      <c r="K541" s="18">
        <v>13500</v>
      </c>
      <c r="L541" s="12">
        <f t="shared" si="61"/>
        <v>22500</v>
      </c>
      <c r="M541" s="8">
        <v>1</v>
      </c>
      <c r="N541" s="8" t="s">
        <v>27</v>
      </c>
      <c r="O541" s="13"/>
      <c r="P541" s="14">
        <v>0</v>
      </c>
      <c r="Q541" s="15">
        <v>0.4</v>
      </c>
      <c r="R541" s="16" t="str">
        <f t="shared" si="58"/>
        <v>CODELCA</v>
      </c>
      <c r="S541" s="17"/>
      <c r="T541" s="10"/>
    </row>
    <row r="542" spans="1:20" ht="27" customHeight="1" x14ac:dyDescent="0.25">
      <c r="A542" s="8" t="s">
        <v>1321</v>
      </c>
      <c r="B542" s="9"/>
      <c r="C542" s="9"/>
      <c r="D542" s="8"/>
      <c r="E542" s="8"/>
      <c r="F542" s="8"/>
      <c r="G542" s="10"/>
      <c r="H542" s="8" t="s">
        <v>1339</v>
      </c>
      <c r="I542" s="10" t="s">
        <v>1340</v>
      </c>
      <c r="J542" s="11" t="s">
        <v>33</v>
      </c>
      <c r="K542" s="18">
        <v>7200</v>
      </c>
      <c r="L542" s="12">
        <f>ROUNDUP(K542*(1+P542)/(1-Q542),0)</f>
        <v>10286</v>
      </c>
      <c r="M542" s="8">
        <v>1</v>
      </c>
      <c r="N542" s="8" t="s">
        <v>27</v>
      </c>
      <c r="O542" s="13"/>
      <c r="P542" s="14">
        <v>0</v>
      </c>
      <c r="Q542" s="15">
        <v>0.3</v>
      </c>
      <c r="R542" s="16" t="str">
        <f t="shared" si="58"/>
        <v>CODELCA</v>
      </c>
      <c r="S542" s="17"/>
      <c r="T542" s="10"/>
    </row>
    <row r="543" spans="1:20" ht="27" customHeight="1" x14ac:dyDescent="0.25">
      <c r="A543" s="8" t="s">
        <v>1321</v>
      </c>
      <c r="B543" s="9"/>
      <c r="C543" s="9"/>
      <c r="D543" s="8"/>
      <c r="E543" s="8"/>
      <c r="F543" s="8"/>
      <c r="G543" s="10"/>
      <c r="H543" s="8" t="s">
        <v>1341</v>
      </c>
      <c r="I543" s="10" t="s">
        <v>1342</v>
      </c>
      <c r="J543" s="11" t="s">
        <v>33</v>
      </c>
      <c r="K543" s="18">
        <v>15000</v>
      </c>
      <c r="L543" s="12">
        <f>IF(J543="P",ROUNDUP(K543/(1-Q543),-2),K543*(1+P543)/(1-Q543))</f>
        <v>21500</v>
      </c>
      <c r="M543" s="8">
        <v>1</v>
      </c>
      <c r="N543" s="8" t="s">
        <v>27</v>
      </c>
      <c r="O543" s="13" t="s">
        <v>588</v>
      </c>
      <c r="P543" s="14">
        <v>0</v>
      </c>
      <c r="Q543" s="15">
        <v>0.3</v>
      </c>
      <c r="R543" s="16" t="str">
        <f t="shared" si="58"/>
        <v>CODELCA</v>
      </c>
      <c r="S543" s="17"/>
      <c r="T543" s="10"/>
    </row>
    <row r="544" spans="1:20" ht="27" customHeight="1" x14ac:dyDescent="0.25">
      <c r="A544" s="8" t="s">
        <v>1321</v>
      </c>
      <c r="B544" s="9"/>
      <c r="C544" s="9"/>
      <c r="D544" s="8"/>
      <c r="E544" s="8"/>
      <c r="F544" s="8"/>
      <c r="G544" s="10"/>
      <c r="H544" s="8" t="s">
        <v>1343</v>
      </c>
      <c r="I544" s="10" t="s">
        <v>1344</v>
      </c>
      <c r="J544" s="11" t="s">
        <v>33</v>
      </c>
      <c r="K544" s="18">
        <v>8200</v>
      </c>
      <c r="L544" s="12">
        <f>ROUNDUP(K544*(1+P544)/(1-Q544),0)</f>
        <v>11715</v>
      </c>
      <c r="M544" s="8">
        <v>1</v>
      </c>
      <c r="N544" s="8" t="s">
        <v>27</v>
      </c>
      <c r="O544" s="13"/>
      <c r="P544" s="14">
        <v>0</v>
      </c>
      <c r="Q544" s="15">
        <v>0.3</v>
      </c>
      <c r="R544" s="16" t="str">
        <f t="shared" si="58"/>
        <v>CODELCA</v>
      </c>
      <c r="S544" s="17"/>
      <c r="T544" s="10"/>
    </row>
    <row r="545" spans="1:20" ht="27" customHeight="1" x14ac:dyDescent="0.25">
      <c r="A545" s="8" t="s">
        <v>59</v>
      </c>
      <c r="B545" s="9" t="s">
        <v>1322</v>
      </c>
      <c r="C545" s="9"/>
      <c r="D545" s="8" t="s">
        <v>1322</v>
      </c>
      <c r="E545" s="8"/>
      <c r="F545" s="8" t="s">
        <v>22</v>
      </c>
      <c r="G545" s="10" t="s">
        <v>1345</v>
      </c>
      <c r="H545" s="8" t="s">
        <v>1346</v>
      </c>
      <c r="I545" s="10" t="s">
        <v>1345</v>
      </c>
      <c r="J545" s="11" t="s">
        <v>26</v>
      </c>
      <c r="K545" s="18">
        <v>150</v>
      </c>
      <c r="L545" s="12">
        <f t="shared" ref="L545:L576" si="62">IF(J545="P",ROUNDUP(K545/(1-Q545),-2),K545*(1+P545)/(1-Q545))</f>
        <v>276.92307692307691</v>
      </c>
      <c r="M545" s="8">
        <v>1</v>
      </c>
      <c r="N545" s="8" t="s">
        <v>110</v>
      </c>
      <c r="O545" s="13"/>
      <c r="P545" s="14">
        <v>0.2</v>
      </c>
      <c r="Q545" s="15">
        <v>0.35</v>
      </c>
      <c r="R545" s="16" t="str">
        <f t="shared" si="58"/>
        <v>COLMENA</v>
      </c>
      <c r="S545" s="17"/>
      <c r="T545" s="10" t="str">
        <f t="shared" ref="T545:T576" si="63">G545</f>
        <v>METRO DE GUAYA</v>
      </c>
    </row>
    <row r="546" spans="1:20" ht="27" customHeight="1" x14ac:dyDescent="0.25">
      <c r="A546" s="8" t="s">
        <v>59</v>
      </c>
      <c r="B546" s="9" t="s">
        <v>1322</v>
      </c>
      <c r="C546" s="9"/>
      <c r="D546" s="8" t="s">
        <v>1322</v>
      </c>
      <c r="E546" s="8"/>
      <c r="F546" s="8" t="s">
        <v>22</v>
      </c>
      <c r="G546" s="10" t="s">
        <v>1347</v>
      </c>
      <c r="H546" s="8" t="s">
        <v>1348</v>
      </c>
      <c r="I546" s="10" t="s">
        <v>1347</v>
      </c>
      <c r="J546" s="11" t="s">
        <v>26</v>
      </c>
      <c r="K546" s="18">
        <v>200</v>
      </c>
      <c r="L546" s="12">
        <f t="shared" si="62"/>
        <v>369.23076923076923</v>
      </c>
      <c r="M546" s="8">
        <v>1</v>
      </c>
      <c r="N546" s="8" t="s">
        <v>27</v>
      </c>
      <c r="O546" s="13"/>
      <c r="P546" s="14">
        <v>0.2</v>
      </c>
      <c r="Q546" s="15">
        <v>0.35</v>
      </c>
      <c r="R546" s="16" t="str">
        <f t="shared" si="58"/>
        <v>COLMENA</v>
      </c>
      <c r="S546" s="17"/>
      <c r="T546" s="10" t="str">
        <f t="shared" si="63"/>
        <v>REGLETA DE SUJECIÓN</v>
      </c>
    </row>
    <row r="547" spans="1:20" ht="27" customHeight="1" x14ac:dyDescent="0.25">
      <c r="A547" s="8" t="s">
        <v>59</v>
      </c>
      <c r="B547" s="9" t="s">
        <v>1322</v>
      </c>
      <c r="C547" s="9"/>
      <c r="D547" s="8" t="s">
        <v>1349</v>
      </c>
      <c r="E547" s="8"/>
      <c r="F547" s="8" t="s">
        <v>22</v>
      </c>
      <c r="G547" s="10" t="s">
        <v>1350</v>
      </c>
      <c r="H547" s="8" t="s">
        <v>1351</v>
      </c>
      <c r="I547" s="10" t="s">
        <v>1350</v>
      </c>
      <c r="J547" s="11" t="s">
        <v>33</v>
      </c>
      <c r="K547" s="18">
        <v>2000</v>
      </c>
      <c r="L547" s="12">
        <f t="shared" si="62"/>
        <v>2500</v>
      </c>
      <c r="M547" s="8">
        <v>1</v>
      </c>
      <c r="N547" s="8" t="s">
        <v>27</v>
      </c>
      <c r="O547" s="13"/>
      <c r="P547" s="14">
        <v>0.2</v>
      </c>
      <c r="Q547" s="15">
        <v>0.2</v>
      </c>
      <c r="R547" s="16" t="str">
        <f t="shared" si="58"/>
        <v>COLMENA</v>
      </c>
      <c r="S547" s="17"/>
      <c r="T547" s="10" t="str">
        <f t="shared" si="63"/>
        <v>PRENSA ESTOPA DE 1/2"</v>
      </c>
    </row>
    <row r="548" spans="1:20" ht="27" customHeight="1" x14ac:dyDescent="0.25">
      <c r="A548" s="8" t="s">
        <v>59</v>
      </c>
      <c r="B548" s="9"/>
      <c r="C548" s="9"/>
      <c r="D548" s="8"/>
      <c r="E548" s="8"/>
      <c r="F548" s="8" t="s">
        <v>22</v>
      </c>
      <c r="G548" s="10" t="s">
        <v>1352</v>
      </c>
      <c r="H548" s="8" t="s">
        <v>1353</v>
      </c>
      <c r="I548" s="10" t="s">
        <v>1352</v>
      </c>
      <c r="J548" s="11" t="s">
        <v>33</v>
      </c>
      <c r="K548" s="18">
        <v>1724.15</v>
      </c>
      <c r="L548" s="12">
        <f t="shared" si="62"/>
        <v>2500</v>
      </c>
      <c r="M548" s="8">
        <v>1</v>
      </c>
      <c r="N548" s="8" t="s">
        <v>27</v>
      </c>
      <c r="O548" s="13"/>
      <c r="P548" s="14">
        <v>0</v>
      </c>
      <c r="Q548" s="15">
        <v>0.3</v>
      </c>
      <c r="R548" s="16" t="str">
        <f t="shared" si="58"/>
        <v>COLMENA</v>
      </c>
      <c r="S548" s="17"/>
      <c r="T548" s="10" t="str">
        <f t="shared" si="63"/>
        <v>UNIÓN PARA TUBO EMT DE 1/2 PULGADA</v>
      </c>
    </row>
    <row r="549" spans="1:20" ht="27" customHeight="1" x14ac:dyDescent="0.25">
      <c r="A549" s="8" t="s">
        <v>59</v>
      </c>
      <c r="B549" s="9"/>
      <c r="C549" s="9"/>
      <c r="D549" s="8"/>
      <c r="E549" s="8"/>
      <c r="F549" s="8" t="s">
        <v>22</v>
      </c>
      <c r="G549" s="10" t="s">
        <v>1354</v>
      </c>
      <c r="H549" s="8" t="s">
        <v>1355</v>
      </c>
      <c r="I549" s="10" t="s">
        <v>1354</v>
      </c>
      <c r="J549" s="11" t="s">
        <v>33</v>
      </c>
      <c r="K549" s="18">
        <v>1219</v>
      </c>
      <c r="L549" s="12">
        <f t="shared" si="62"/>
        <v>2100</v>
      </c>
      <c r="M549" s="8">
        <v>1</v>
      </c>
      <c r="N549" s="8" t="s">
        <v>27</v>
      </c>
      <c r="O549" s="13"/>
      <c r="P549" s="14">
        <v>0.2</v>
      </c>
      <c r="Q549" s="15">
        <v>0.4</v>
      </c>
      <c r="R549" s="16" t="str">
        <f t="shared" si="58"/>
        <v>COLMENA</v>
      </c>
      <c r="S549" s="17"/>
      <c r="T549" s="10" t="str">
        <f t="shared" si="63"/>
        <v>TERMINAL DE 1/2 PULGADA PARA TUBO EMT</v>
      </c>
    </row>
    <row r="550" spans="1:20" ht="27" customHeight="1" x14ac:dyDescent="0.25">
      <c r="A550" s="8" t="s">
        <v>59</v>
      </c>
      <c r="B550" s="9"/>
      <c r="C550" s="9"/>
      <c r="D550" s="8"/>
      <c r="E550" s="8"/>
      <c r="F550" s="8" t="s">
        <v>22</v>
      </c>
      <c r="G550" s="10" t="s">
        <v>1356</v>
      </c>
      <c r="H550" s="8" t="s">
        <v>1357</v>
      </c>
      <c r="I550" s="10" t="s">
        <v>1356</v>
      </c>
      <c r="J550" s="11" t="s">
        <v>33</v>
      </c>
      <c r="K550" s="18">
        <v>1050</v>
      </c>
      <c r="L550" s="12">
        <f t="shared" si="62"/>
        <v>1800</v>
      </c>
      <c r="M550" s="8">
        <v>1</v>
      </c>
      <c r="N550" s="8" t="s">
        <v>27</v>
      </c>
      <c r="O550" s="13"/>
      <c r="P550" s="14">
        <v>0.2</v>
      </c>
      <c r="Q550" s="15">
        <v>0.4</v>
      </c>
      <c r="R550" s="16" t="str">
        <f t="shared" si="58"/>
        <v>COLMENA</v>
      </c>
      <c r="S550" s="17"/>
      <c r="T550" s="10" t="str">
        <f t="shared" si="63"/>
        <v>TERMINAL DE 3/4 PULGADA PARA TUBO EMT</v>
      </c>
    </row>
    <row r="551" spans="1:20" ht="27" customHeight="1" x14ac:dyDescent="0.25">
      <c r="A551" s="8" t="s">
        <v>59</v>
      </c>
      <c r="B551" s="9"/>
      <c r="C551" s="9"/>
      <c r="D551" s="8"/>
      <c r="E551" s="8"/>
      <c r="F551" s="8" t="s">
        <v>22</v>
      </c>
      <c r="G551" s="10" t="s">
        <v>1358</v>
      </c>
      <c r="H551" s="8" t="s">
        <v>1359</v>
      </c>
      <c r="I551" s="10" t="s">
        <v>1358</v>
      </c>
      <c r="J551" s="11" t="s">
        <v>33</v>
      </c>
      <c r="K551" s="18">
        <v>13447</v>
      </c>
      <c r="L551" s="12">
        <f t="shared" si="62"/>
        <v>19300</v>
      </c>
      <c r="M551" s="8">
        <v>1</v>
      </c>
      <c r="N551" s="8" t="s">
        <v>27</v>
      </c>
      <c r="O551" s="13"/>
      <c r="P551" s="14">
        <v>0</v>
      </c>
      <c r="Q551" s="15">
        <v>0.3</v>
      </c>
      <c r="R551" s="16" t="str">
        <f t="shared" si="58"/>
        <v>COLMENA</v>
      </c>
      <c r="S551" s="17"/>
      <c r="T551" s="10" t="str">
        <f t="shared" si="63"/>
        <v>CURVA PARA TUBO EMT DE 1 Y 1/4 DE PULGADA</v>
      </c>
    </row>
    <row r="552" spans="1:20" ht="27" customHeight="1" x14ac:dyDescent="0.25">
      <c r="A552" s="8" t="s">
        <v>59</v>
      </c>
      <c r="B552" s="9"/>
      <c r="C552" s="9"/>
      <c r="D552" s="8"/>
      <c r="E552" s="8"/>
      <c r="F552" s="8" t="s">
        <v>22</v>
      </c>
      <c r="G552" s="10" t="s">
        <v>1360</v>
      </c>
      <c r="H552" s="8" t="s">
        <v>1361</v>
      </c>
      <c r="I552" s="10" t="s">
        <v>1360</v>
      </c>
      <c r="J552" s="11" t="s">
        <v>33</v>
      </c>
      <c r="K552" s="18">
        <v>2900</v>
      </c>
      <c r="L552" s="12">
        <f t="shared" si="62"/>
        <v>4900</v>
      </c>
      <c r="M552" s="8">
        <v>1</v>
      </c>
      <c r="N552" s="8" t="s">
        <v>27</v>
      </c>
      <c r="O552" s="13"/>
      <c r="P552" s="14">
        <v>0.2</v>
      </c>
      <c r="Q552" s="15">
        <v>0.4</v>
      </c>
      <c r="R552" s="16" t="str">
        <f t="shared" si="58"/>
        <v>COLMENA</v>
      </c>
      <c r="S552" s="17"/>
      <c r="T552" s="10" t="str">
        <f t="shared" si="63"/>
        <v>TAPA CIEGA PARA CAJA 5800</v>
      </c>
    </row>
    <row r="553" spans="1:20" ht="27" customHeight="1" x14ac:dyDescent="0.25">
      <c r="A553" s="8" t="s">
        <v>59</v>
      </c>
      <c r="B553" s="9"/>
      <c r="C553" s="9"/>
      <c r="D553" s="8"/>
      <c r="E553" s="8"/>
      <c r="F553" s="8" t="s">
        <v>22</v>
      </c>
      <c r="G553" s="10" t="s">
        <v>1362</v>
      </c>
      <c r="H553" s="8" t="s">
        <v>1363</v>
      </c>
      <c r="I553" s="10" t="s">
        <v>1362</v>
      </c>
      <c r="J553" s="11" t="s">
        <v>33</v>
      </c>
      <c r="K553" s="18">
        <v>3500</v>
      </c>
      <c r="L553" s="12">
        <f t="shared" si="62"/>
        <v>5900</v>
      </c>
      <c r="M553" s="8">
        <v>1</v>
      </c>
      <c r="N553" s="8" t="s">
        <v>27</v>
      </c>
      <c r="O553" s="13"/>
      <c r="P553" s="14">
        <v>0.2</v>
      </c>
      <c r="Q553" s="15">
        <v>0.4</v>
      </c>
      <c r="R553" s="16" t="str">
        <f t="shared" si="58"/>
        <v>COLMENA</v>
      </c>
      <c r="S553" s="17"/>
      <c r="T553" s="10" t="str">
        <f t="shared" si="63"/>
        <v>TAPA MIXTA PARA CAJA 5800</v>
      </c>
    </row>
    <row r="554" spans="1:20" ht="27" customHeight="1" x14ac:dyDescent="0.25">
      <c r="A554" s="8" t="s">
        <v>59</v>
      </c>
      <c r="B554" s="9"/>
      <c r="C554" s="9"/>
      <c r="D554" s="8"/>
      <c r="E554" s="8"/>
      <c r="F554" s="8" t="s">
        <v>22</v>
      </c>
      <c r="G554" s="10" t="s">
        <v>1364</v>
      </c>
      <c r="H554" s="8" t="s">
        <v>1365</v>
      </c>
      <c r="I554" s="10" t="s">
        <v>1364</v>
      </c>
      <c r="J554" s="11" t="s">
        <v>33</v>
      </c>
      <c r="K554" s="18">
        <v>2888</v>
      </c>
      <c r="L554" s="12">
        <f t="shared" si="62"/>
        <v>4900</v>
      </c>
      <c r="M554" s="8">
        <v>1</v>
      </c>
      <c r="N554" s="8" t="s">
        <v>27</v>
      </c>
      <c r="O554" s="13"/>
      <c r="P554" s="14">
        <v>0.2</v>
      </c>
      <c r="Q554" s="15">
        <v>0.4</v>
      </c>
      <c r="R554" s="16" t="str">
        <f t="shared" si="58"/>
        <v>COLMENA</v>
      </c>
      <c r="S554" s="17"/>
      <c r="T554" s="10" t="str">
        <f t="shared" si="63"/>
        <v>CURVA PARA TUBO EMT DE 1 DE PULGADA</v>
      </c>
    </row>
    <row r="555" spans="1:20" ht="27" customHeight="1" x14ac:dyDescent="0.25">
      <c r="A555" s="8" t="s">
        <v>59</v>
      </c>
      <c r="B555" s="9"/>
      <c r="C555" s="9"/>
      <c r="D555" s="8"/>
      <c r="E555" s="8"/>
      <c r="F555" s="8" t="s">
        <v>22</v>
      </c>
      <c r="G555" s="10" t="s">
        <v>1366</v>
      </c>
      <c r="H555" s="8" t="s">
        <v>1367</v>
      </c>
      <c r="I555" s="10" t="s">
        <v>1366</v>
      </c>
      <c r="J555" s="11" t="s">
        <v>33</v>
      </c>
      <c r="K555" s="18">
        <v>2618</v>
      </c>
      <c r="L555" s="12">
        <f t="shared" si="62"/>
        <v>4400</v>
      </c>
      <c r="M555" s="8">
        <v>1</v>
      </c>
      <c r="N555" s="8" t="s">
        <v>27</v>
      </c>
      <c r="O555" s="13"/>
      <c r="P555" s="14">
        <v>0.2</v>
      </c>
      <c r="Q555" s="15">
        <v>0.4</v>
      </c>
      <c r="R555" s="16" t="str">
        <f t="shared" si="58"/>
        <v>COLMENA</v>
      </c>
      <c r="S555" s="17"/>
      <c r="T555" s="10" t="str">
        <f t="shared" si="63"/>
        <v>UNIÓN PARA TUBO EMT DE 1 Y 1/4.</v>
      </c>
    </row>
    <row r="556" spans="1:20" ht="27" customHeight="1" x14ac:dyDescent="0.25">
      <c r="A556" s="8" t="s">
        <v>59</v>
      </c>
      <c r="B556" s="9"/>
      <c r="C556" s="9"/>
      <c r="D556" s="8"/>
      <c r="E556" s="8"/>
      <c r="F556" s="8" t="s">
        <v>22</v>
      </c>
      <c r="G556" s="10" t="s">
        <v>1368</v>
      </c>
      <c r="H556" s="8" t="s">
        <v>1369</v>
      </c>
      <c r="I556" s="10" t="s">
        <v>1368</v>
      </c>
      <c r="J556" s="11" t="s">
        <v>33</v>
      </c>
      <c r="K556" s="18">
        <v>1163.83</v>
      </c>
      <c r="L556" s="12">
        <f t="shared" si="62"/>
        <v>2000</v>
      </c>
      <c r="M556" s="8">
        <v>1</v>
      </c>
      <c r="N556" s="8" t="s">
        <v>27</v>
      </c>
      <c r="O556" s="13"/>
      <c r="P556" s="14">
        <v>0.2</v>
      </c>
      <c r="Q556" s="15">
        <v>0.4</v>
      </c>
      <c r="R556" s="16" t="str">
        <f t="shared" si="58"/>
        <v>COLMENA</v>
      </c>
      <c r="S556" s="17"/>
      <c r="T556" s="10" t="str">
        <f t="shared" si="63"/>
        <v>UNIÓN PARA TUBO EMT DE 1</v>
      </c>
    </row>
    <row r="557" spans="1:20" ht="27" customHeight="1" x14ac:dyDescent="0.25">
      <c r="A557" s="8" t="s">
        <v>59</v>
      </c>
      <c r="B557" s="9"/>
      <c r="C557" s="9"/>
      <c r="D557" s="8"/>
      <c r="E557" s="8"/>
      <c r="F557" s="8" t="s">
        <v>22</v>
      </c>
      <c r="G557" s="10" t="s">
        <v>1370</v>
      </c>
      <c r="H557" s="8" t="s">
        <v>1371</v>
      </c>
      <c r="I557" s="10" t="s">
        <v>1372</v>
      </c>
      <c r="J557" s="11" t="s">
        <v>33</v>
      </c>
      <c r="K557" s="18">
        <v>862</v>
      </c>
      <c r="L557" s="12">
        <f t="shared" si="62"/>
        <v>1500</v>
      </c>
      <c r="M557" s="8">
        <v>1</v>
      </c>
      <c r="N557" s="8" t="s">
        <v>27</v>
      </c>
      <c r="O557" s="13"/>
      <c r="P557" s="14">
        <v>0.2</v>
      </c>
      <c r="Q557" s="15">
        <v>0.4</v>
      </c>
      <c r="R557" s="16" t="str">
        <f t="shared" si="58"/>
        <v>COLMENA</v>
      </c>
      <c r="S557" s="17"/>
      <c r="T557" s="10" t="str">
        <f t="shared" si="63"/>
        <v>TERMINAL DE 1 PULGADA PARA TUBO EMT.</v>
      </c>
    </row>
    <row r="558" spans="1:20" ht="27" customHeight="1" x14ac:dyDescent="0.25">
      <c r="A558" s="8" t="s">
        <v>59</v>
      </c>
      <c r="B558" s="9"/>
      <c r="C558" s="9"/>
      <c r="D558" s="8"/>
      <c r="E558" s="8"/>
      <c r="F558" s="8" t="s">
        <v>22</v>
      </c>
      <c r="G558" s="10" t="s">
        <v>60</v>
      </c>
      <c r="H558" s="8" t="s">
        <v>61</v>
      </c>
      <c r="I558" s="10" t="s">
        <v>62</v>
      </c>
      <c r="J558" s="11" t="s">
        <v>33</v>
      </c>
      <c r="K558" s="18">
        <v>25700</v>
      </c>
      <c r="L558" s="12">
        <f t="shared" si="62"/>
        <v>42900</v>
      </c>
      <c r="M558" s="8">
        <v>1</v>
      </c>
      <c r="N558" s="8" t="s">
        <v>27</v>
      </c>
      <c r="O558" s="13"/>
      <c r="P558" s="14">
        <v>0</v>
      </c>
      <c r="Q558" s="15">
        <v>0.4</v>
      </c>
      <c r="R558" s="16" t="str">
        <f t="shared" si="58"/>
        <v>COLMENA</v>
      </c>
      <c r="S558" s="17"/>
      <c r="T558" s="10" t="str">
        <f t="shared" si="63"/>
        <v>TUBO DE 3/4 EMT.</v>
      </c>
    </row>
    <row r="559" spans="1:20" ht="27" customHeight="1" x14ac:dyDescent="0.25">
      <c r="A559" s="8" t="s">
        <v>59</v>
      </c>
      <c r="B559" s="9"/>
      <c r="C559" s="9"/>
      <c r="D559" s="8"/>
      <c r="E559" s="8"/>
      <c r="F559" s="8" t="s">
        <v>22</v>
      </c>
      <c r="G559" s="10" t="s">
        <v>1373</v>
      </c>
      <c r="H559" s="8" t="s">
        <v>1374</v>
      </c>
      <c r="I559" s="10" t="s">
        <v>1375</v>
      </c>
      <c r="J559" s="11" t="s">
        <v>33</v>
      </c>
      <c r="K559" s="18">
        <v>41500</v>
      </c>
      <c r="L559" s="12">
        <f t="shared" si="62"/>
        <v>59300</v>
      </c>
      <c r="M559" s="8">
        <v>1</v>
      </c>
      <c r="N559" s="8" t="s">
        <v>27</v>
      </c>
      <c r="O559" s="13"/>
      <c r="P559" s="14">
        <v>0</v>
      </c>
      <c r="Q559" s="15">
        <v>0.3</v>
      </c>
      <c r="R559" s="16" t="str">
        <f t="shared" si="58"/>
        <v>COLMENA</v>
      </c>
      <c r="S559" s="17"/>
      <c r="T559" s="10" t="str">
        <f t="shared" si="63"/>
        <v>TUBO DE 1 Y 1/4 EMT.</v>
      </c>
    </row>
    <row r="560" spans="1:20" ht="27" customHeight="1" x14ac:dyDescent="0.25">
      <c r="A560" s="8" t="s">
        <v>59</v>
      </c>
      <c r="B560" s="9"/>
      <c r="C560" s="9"/>
      <c r="D560" s="8"/>
      <c r="E560" s="8"/>
      <c r="F560" s="8" t="s">
        <v>22</v>
      </c>
      <c r="G560" s="10" t="s">
        <v>1376</v>
      </c>
      <c r="H560" s="8" t="s">
        <v>1377</v>
      </c>
      <c r="I560" s="10" t="s">
        <v>1378</v>
      </c>
      <c r="J560" s="11" t="s">
        <v>33</v>
      </c>
      <c r="K560" s="18">
        <v>517.24</v>
      </c>
      <c r="L560" s="12">
        <f t="shared" si="62"/>
        <v>900</v>
      </c>
      <c r="M560" s="8">
        <v>1</v>
      </c>
      <c r="N560" s="8" t="s">
        <v>27</v>
      </c>
      <c r="O560" s="13"/>
      <c r="P560" s="14">
        <v>0.2</v>
      </c>
      <c r="Q560" s="15">
        <v>0.4</v>
      </c>
      <c r="R560" s="16" t="str">
        <f t="shared" si="58"/>
        <v>COLMENA</v>
      </c>
      <c r="S560" s="17"/>
      <c r="T560" s="10" t="str">
        <f t="shared" si="63"/>
        <v>SUPLEMENTO PARA CAJA 5800.</v>
      </c>
    </row>
    <row r="561" spans="1:20" ht="27" customHeight="1" x14ac:dyDescent="0.25">
      <c r="A561" s="8" t="s">
        <v>59</v>
      </c>
      <c r="B561" s="9"/>
      <c r="C561" s="9"/>
      <c r="D561" s="8"/>
      <c r="E561" s="8"/>
      <c r="F561" s="8" t="s">
        <v>22</v>
      </c>
      <c r="G561" s="10" t="s">
        <v>1379</v>
      </c>
      <c r="H561" s="8" t="s">
        <v>1380</v>
      </c>
      <c r="I561" s="10" t="s">
        <v>1379</v>
      </c>
      <c r="J561" s="11" t="s">
        <v>33</v>
      </c>
      <c r="K561" s="18">
        <v>700</v>
      </c>
      <c r="L561" s="12">
        <f t="shared" si="62"/>
        <v>1200</v>
      </c>
      <c r="M561" s="8">
        <v>1</v>
      </c>
      <c r="N561" s="8" t="s">
        <v>27</v>
      </c>
      <c r="O561" s="13"/>
      <c r="P561" s="14">
        <v>0.2</v>
      </c>
      <c r="Q561" s="15">
        <v>0.4</v>
      </c>
      <c r="R561" s="16" t="str">
        <f t="shared" si="58"/>
        <v>COLMENA</v>
      </c>
      <c r="S561" s="17"/>
      <c r="T561" s="10" t="str">
        <f t="shared" si="63"/>
        <v>TAPA CIEGA PARA CAJA 2400</v>
      </c>
    </row>
    <row r="562" spans="1:20" ht="27" customHeight="1" x14ac:dyDescent="0.25">
      <c r="A562" s="8" t="s">
        <v>59</v>
      </c>
      <c r="B562" s="9"/>
      <c r="C562" s="9"/>
      <c r="D562" s="8"/>
      <c r="E562" s="8"/>
      <c r="F562" s="8" t="s">
        <v>22</v>
      </c>
      <c r="G562" s="10" t="s">
        <v>1381</v>
      </c>
      <c r="H562" s="8" t="s">
        <v>1382</v>
      </c>
      <c r="I562" s="10" t="s">
        <v>1381</v>
      </c>
      <c r="J562" s="11" t="s">
        <v>33</v>
      </c>
      <c r="K562" s="18">
        <v>1000</v>
      </c>
      <c r="L562" s="12">
        <f t="shared" si="62"/>
        <v>1700</v>
      </c>
      <c r="M562" s="8">
        <v>1</v>
      </c>
      <c r="N562" s="8" t="s">
        <v>27</v>
      </c>
      <c r="O562" s="13"/>
      <c r="P562" s="14">
        <v>0.2</v>
      </c>
      <c r="Q562" s="15">
        <v>0.4</v>
      </c>
      <c r="R562" s="16" t="str">
        <f t="shared" si="58"/>
        <v>COLMENA</v>
      </c>
      <c r="S562" s="17"/>
      <c r="T562" s="10" t="str">
        <f t="shared" si="63"/>
        <v>TAPA CIEGA PARA CAJA OCTAGONAL</v>
      </c>
    </row>
    <row r="563" spans="1:20" ht="27" customHeight="1" x14ac:dyDescent="0.25">
      <c r="A563" s="8" t="s">
        <v>59</v>
      </c>
      <c r="B563" s="9"/>
      <c r="C563" s="9"/>
      <c r="D563" s="8"/>
      <c r="E563" s="8"/>
      <c r="F563" s="8" t="s">
        <v>22</v>
      </c>
      <c r="G563" s="10" t="s">
        <v>1383</v>
      </c>
      <c r="H563" s="8" t="s">
        <v>1384</v>
      </c>
      <c r="I563" s="10" t="s">
        <v>1383</v>
      </c>
      <c r="J563" s="11" t="s">
        <v>33</v>
      </c>
      <c r="K563" s="18">
        <v>2975</v>
      </c>
      <c r="L563" s="12">
        <f t="shared" si="62"/>
        <v>5000</v>
      </c>
      <c r="M563" s="8">
        <v>1</v>
      </c>
      <c r="N563" s="8" t="s">
        <v>27</v>
      </c>
      <c r="O563" s="13"/>
      <c r="P563" s="14">
        <v>0.2</v>
      </c>
      <c r="Q563" s="15">
        <v>0.4</v>
      </c>
      <c r="R563" s="16" t="str">
        <f t="shared" si="58"/>
        <v>COLMENA</v>
      </c>
      <c r="S563" s="17"/>
      <c r="T563" s="10" t="str">
        <f t="shared" si="63"/>
        <v>TERMINAL DE 1 Y 1/4 DE PULGADA PARA TUBO EMT</v>
      </c>
    </row>
    <row r="564" spans="1:20" ht="27" customHeight="1" x14ac:dyDescent="0.25">
      <c r="A564" s="8" t="s">
        <v>59</v>
      </c>
      <c r="B564" s="9"/>
      <c r="C564" s="9"/>
      <c r="D564" s="8"/>
      <c r="E564" s="8"/>
      <c r="F564" s="8" t="s">
        <v>22</v>
      </c>
      <c r="G564" s="10" t="s">
        <v>1385</v>
      </c>
      <c r="H564" s="8" t="s">
        <v>1386</v>
      </c>
      <c r="I564" s="10" t="s">
        <v>1385</v>
      </c>
      <c r="J564" s="11" t="s">
        <v>33</v>
      </c>
      <c r="K564" s="18">
        <v>1000</v>
      </c>
      <c r="L564" s="12">
        <f t="shared" si="62"/>
        <v>1700</v>
      </c>
      <c r="M564" s="8">
        <v>1</v>
      </c>
      <c r="N564" s="8" t="s">
        <v>27</v>
      </c>
      <c r="O564" s="13"/>
      <c r="P564" s="14">
        <v>0.2</v>
      </c>
      <c r="Q564" s="15">
        <v>0.4</v>
      </c>
      <c r="R564" s="16" t="str">
        <f t="shared" si="58"/>
        <v>COLMENA</v>
      </c>
      <c r="S564" s="17"/>
      <c r="T564" s="10" t="str">
        <f t="shared" si="63"/>
        <v>UNIÓN PARA TUBO EMT DE 3/4.</v>
      </c>
    </row>
    <row r="565" spans="1:20" ht="27" customHeight="1" x14ac:dyDescent="0.25">
      <c r="A565" s="8" t="s">
        <v>59</v>
      </c>
      <c r="B565" s="9"/>
      <c r="C565" s="9"/>
      <c r="D565" s="8"/>
      <c r="E565" s="8"/>
      <c r="F565" s="8" t="s">
        <v>22</v>
      </c>
      <c r="G565" s="10" t="s">
        <v>1387</v>
      </c>
      <c r="H565" s="8" t="s">
        <v>1388</v>
      </c>
      <c r="I565" s="10" t="s">
        <v>1387</v>
      </c>
      <c r="J565" s="11" t="s">
        <v>33</v>
      </c>
      <c r="K565" s="18">
        <v>500</v>
      </c>
      <c r="L565" s="12">
        <f t="shared" si="62"/>
        <v>900</v>
      </c>
      <c r="M565" s="8">
        <v>1</v>
      </c>
      <c r="N565" s="8" t="s">
        <v>27</v>
      </c>
      <c r="O565" s="13"/>
      <c r="P565" s="14">
        <v>0.2</v>
      </c>
      <c r="Q565" s="15">
        <v>0.4</v>
      </c>
      <c r="R565" s="16" t="str">
        <f t="shared" si="58"/>
        <v>COLMENA</v>
      </c>
      <c r="S565" s="17"/>
      <c r="T565" s="10" t="str">
        <f t="shared" si="63"/>
        <v>GRAPA METÁLICA PARA TUBO 1 Y 1/4</v>
      </c>
    </row>
    <row r="566" spans="1:20" ht="27" customHeight="1" x14ac:dyDescent="0.25">
      <c r="A566" s="8" t="s">
        <v>59</v>
      </c>
      <c r="B566" s="9"/>
      <c r="C566" s="9"/>
      <c r="D566" s="8"/>
      <c r="E566" s="8"/>
      <c r="F566" s="8" t="s">
        <v>22</v>
      </c>
      <c r="G566" s="10" t="s">
        <v>1389</v>
      </c>
      <c r="H566" s="8" t="s">
        <v>1390</v>
      </c>
      <c r="I566" s="10" t="s">
        <v>1389</v>
      </c>
      <c r="J566" s="11" t="s">
        <v>33</v>
      </c>
      <c r="K566" s="18">
        <v>1390</v>
      </c>
      <c r="L566" s="12">
        <f t="shared" si="62"/>
        <v>2400</v>
      </c>
      <c r="M566" s="8">
        <v>1</v>
      </c>
      <c r="N566" s="8" t="s">
        <v>27</v>
      </c>
      <c r="O566" s="13"/>
      <c r="P566" s="14">
        <v>0.2</v>
      </c>
      <c r="Q566" s="15">
        <v>0.4</v>
      </c>
      <c r="R566" s="16" t="str">
        <f t="shared" si="58"/>
        <v>COLMENA</v>
      </c>
      <c r="S566" s="17"/>
      <c r="T566" s="10" t="str">
        <f t="shared" si="63"/>
        <v>CAJA METÁLICA 2400</v>
      </c>
    </row>
    <row r="567" spans="1:20" ht="27" customHeight="1" x14ac:dyDescent="0.25">
      <c r="A567" s="8" t="s">
        <v>59</v>
      </c>
      <c r="B567" s="9"/>
      <c r="C567" s="9"/>
      <c r="D567" s="8"/>
      <c r="E567" s="8"/>
      <c r="F567" s="8" t="s">
        <v>22</v>
      </c>
      <c r="G567" s="10" t="s">
        <v>1391</v>
      </c>
      <c r="H567" s="8" t="s">
        <v>1392</v>
      </c>
      <c r="I567" s="10" t="s">
        <v>1391</v>
      </c>
      <c r="J567" s="11" t="s">
        <v>33</v>
      </c>
      <c r="K567" s="18">
        <v>2900</v>
      </c>
      <c r="L567" s="12">
        <f t="shared" si="62"/>
        <v>4900</v>
      </c>
      <c r="M567" s="8">
        <v>1</v>
      </c>
      <c r="N567" s="8" t="s">
        <v>27</v>
      </c>
      <c r="O567" s="13"/>
      <c r="P567" s="14">
        <v>0.2</v>
      </c>
      <c r="Q567" s="15">
        <v>0.4</v>
      </c>
      <c r="R567" s="16" t="str">
        <f t="shared" si="58"/>
        <v>COLMENA</v>
      </c>
      <c r="S567" s="17"/>
      <c r="T567" s="10" t="str">
        <f t="shared" si="63"/>
        <v>CAJA METÁLICA 10X10 DOBLE FONDO</v>
      </c>
    </row>
    <row r="568" spans="1:20" ht="27" customHeight="1" x14ac:dyDescent="0.25">
      <c r="A568" s="8" t="s">
        <v>59</v>
      </c>
      <c r="B568" s="9"/>
      <c r="C568" s="9"/>
      <c r="D568" s="8"/>
      <c r="E568" s="8"/>
      <c r="F568" s="8" t="s">
        <v>22</v>
      </c>
      <c r="G568" s="10" t="s">
        <v>1393</v>
      </c>
      <c r="H568" s="8" t="s">
        <v>1394</v>
      </c>
      <c r="I568" s="10" t="s">
        <v>1393</v>
      </c>
      <c r="J568" s="11" t="s">
        <v>33</v>
      </c>
      <c r="K568" s="18">
        <v>1800</v>
      </c>
      <c r="L568" s="12">
        <f t="shared" si="62"/>
        <v>3000</v>
      </c>
      <c r="M568" s="8">
        <v>1</v>
      </c>
      <c r="N568" s="8" t="s">
        <v>27</v>
      </c>
      <c r="O568" s="13"/>
      <c r="P568" s="14">
        <v>0.2</v>
      </c>
      <c r="Q568" s="15">
        <v>0.4</v>
      </c>
      <c r="R568" s="16" t="str">
        <f t="shared" si="58"/>
        <v>COLMENA</v>
      </c>
      <c r="S568" s="17"/>
      <c r="T568" s="10" t="str">
        <f t="shared" si="63"/>
        <v>CAJA METÁLICA 5800</v>
      </c>
    </row>
    <row r="569" spans="1:20" ht="27" customHeight="1" x14ac:dyDescent="0.25">
      <c r="A569" s="8" t="s">
        <v>59</v>
      </c>
      <c r="B569" s="9"/>
      <c r="C569" s="9"/>
      <c r="D569" s="8"/>
      <c r="E569" s="8"/>
      <c r="F569" s="8" t="s">
        <v>22</v>
      </c>
      <c r="G569" s="10" t="s">
        <v>1395</v>
      </c>
      <c r="H569" s="8" t="s">
        <v>1396</v>
      </c>
      <c r="I569" s="10" t="s">
        <v>1395</v>
      </c>
      <c r="J569" s="11" t="s">
        <v>33</v>
      </c>
      <c r="K569" s="18">
        <v>200</v>
      </c>
      <c r="L569" s="12">
        <f t="shared" si="62"/>
        <v>400</v>
      </c>
      <c r="M569" s="8">
        <v>1</v>
      </c>
      <c r="N569" s="8" t="s">
        <v>27</v>
      </c>
      <c r="O569" s="13"/>
      <c r="P569" s="14">
        <v>0.2</v>
      </c>
      <c r="Q569" s="15">
        <v>0.4</v>
      </c>
      <c r="R569" s="16" t="str">
        <f t="shared" si="58"/>
        <v>COLMENA</v>
      </c>
      <c r="S569" s="17"/>
      <c r="T569" s="10" t="str">
        <f t="shared" si="63"/>
        <v>GRAPA METÁLICA PARA TUBO 1/2</v>
      </c>
    </row>
    <row r="570" spans="1:20" ht="27" customHeight="1" x14ac:dyDescent="0.25">
      <c r="A570" s="8" t="s">
        <v>59</v>
      </c>
      <c r="B570" s="9" t="s">
        <v>1322</v>
      </c>
      <c r="C570" s="9"/>
      <c r="D570" s="8" t="s">
        <v>1323</v>
      </c>
      <c r="E570" s="8"/>
      <c r="F570" s="8" t="s">
        <v>22</v>
      </c>
      <c r="G570" s="10" t="s">
        <v>1397</v>
      </c>
      <c r="H570" s="8" t="s">
        <v>1398</v>
      </c>
      <c r="I570" s="10" t="s">
        <v>1397</v>
      </c>
      <c r="J570" s="11" t="s">
        <v>33</v>
      </c>
      <c r="K570" s="18">
        <v>3400</v>
      </c>
      <c r="L570" s="12">
        <f t="shared" si="62"/>
        <v>4300</v>
      </c>
      <c r="M570" s="8">
        <v>1</v>
      </c>
      <c r="N570" s="8" t="s">
        <v>27</v>
      </c>
      <c r="O570" s="13"/>
      <c r="P570" s="14">
        <v>0.2</v>
      </c>
      <c r="Q570" s="15">
        <v>0.2</v>
      </c>
      <c r="R570" s="16" t="str">
        <f t="shared" si="58"/>
        <v>COLMENA</v>
      </c>
      <c r="S570" s="17"/>
      <c r="T570" s="10" t="str">
        <f t="shared" si="63"/>
        <v>METRO DE VARILLA ROSCADA 3/8"</v>
      </c>
    </row>
    <row r="571" spans="1:20" ht="27" customHeight="1" x14ac:dyDescent="0.25">
      <c r="A571" s="8" t="s">
        <v>59</v>
      </c>
      <c r="B571" s="9" t="s">
        <v>1322</v>
      </c>
      <c r="C571" s="9"/>
      <c r="D571" s="8" t="s">
        <v>1323</v>
      </c>
      <c r="E571" s="8"/>
      <c r="F571" s="8" t="s">
        <v>22</v>
      </c>
      <c r="G571" s="10" t="s">
        <v>1399</v>
      </c>
      <c r="H571" s="8" t="s">
        <v>1400</v>
      </c>
      <c r="I571" s="10" t="s">
        <v>1399</v>
      </c>
      <c r="J571" s="11" t="s">
        <v>33</v>
      </c>
      <c r="K571" s="18">
        <v>1250</v>
      </c>
      <c r="L571" s="12">
        <f t="shared" si="62"/>
        <v>2100</v>
      </c>
      <c r="M571" s="8">
        <v>1</v>
      </c>
      <c r="N571" s="8" t="s">
        <v>27</v>
      </c>
      <c r="O571" s="13"/>
      <c r="P571" s="14">
        <v>0.2</v>
      </c>
      <c r="Q571" s="15">
        <v>0.4</v>
      </c>
      <c r="R571" s="16" t="str">
        <f t="shared" si="58"/>
        <v>COLMENA</v>
      </c>
      <c r="S571" s="17"/>
      <c r="T571" s="10" t="str">
        <f t="shared" si="63"/>
        <v>ANCLAJE PARA VARILLA 3/8"</v>
      </c>
    </row>
    <row r="572" spans="1:20" ht="27" customHeight="1" x14ac:dyDescent="0.25">
      <c r="A572" s="8" t="s">
        <v>59</v>
      </c>
      <c r="B572" s="9" t="s">
        <v>1322</v>
      </c>
      <c r="C572" s="9"/>
      <c r="D572" s="8" t="s">
        <v>1323</v>
      </c>
      <c r="E572" s="8"/>
      <c r="F572" s="8" t="s">
        <v>22</v>
      </c>
      <c r="G572" s="10" t="s">
        <v>1401</v>
      </c>
      <c r="H572" s="8" t="s">
        <v>1402</v>
      </c>
      <c r="I572" s="10" t="s">
        <v>1401</v>
      </c>
      <c r="J572" s="11" t="s">
        <v>33</v>
      </c>
      <c r="K572" s="18">
        <v>400</v>
      </c>
      <c r="L572" s="12">
        <f t="shared" si="62"/>
        <v>700</v>
      </c>
      <c r="M572" s="8">
        <v>1</v>
      </c>
      <c r="N572" s="8" t="s">
        <v>27</v>
      </c>
      <c r="O572" s="13"/>
      <c r="P572" s="14">
        <v>0.2</v>
      </c>
      <c r="Q572" s="15">
        <v>0.4</v>
      </c>
      <c r="R572" s="16" t="str">
        <f t="shared" si="58"/>
        <v>COLMENA</v>
      </c>
      <c r="S572" s="17"/>
      <c r="T572" s="10" t="str">
        <f t="shared" si="63"/>
        <v>JUEGO DE TUERCA Y ARANDELA 3/8"</v>
      </c>
    </row>
    <row r="573" spans="1:20" ht="27" customHeight="1" x14ac:dyDescent="0.25">
      <c r="A573" s="8" t="s">
        <v>59</v>
      </c>
      <c r="B573" s="9"/>
      <c r="C573" s="9"/>
      <c r="D573" s="8"/>
      <c r="E573" s="8"/>
      <c r="F573" s="8" t="s">
        <v>22</v>
      </c>
      <c r="G573" s="10" t="s">
        <v>1403</v>
      </c>
      <c r="H573" s="8" t="s">
        <v>1404</v>
      </c>
      <c r="I573" s="10" t="s">
        <v>1403</v>
      </c>
      <c r="J573" s="11" t="s">
        <v>33</v>
      </c>
      <c r="K573" s="18">
        <v>19327</v>
      </c>
      <c r="L573" s="12">
        <f t="shared" si="62"/>
        <v>32300</v>
      </c>
      <c r="M573" s="8">
        <v>1</v>
      </c>
      <c r="N573" s="8" t="s">
        <v>27</v>
      </c>
      <c r="O573" s="13"/>
      <c r="P573" s="14">
        <v>0.2</v>
      </c>
      <c r="Q573" s="15">
        <v>0.4</v>
      </c>
      <c r="R573" s="16" t="str">
        <f t="shared" si="58"/>
        <v>COLMENA</v>
      </c>
      <c r="S573" s="17"/>
      <c r="T573" s="10" t="str">
        <f t="shared" si="63"/>
        <v>TUBO DE 1/2 EMT</v>
      </c>
    </row>
    <row r="574" spans="1:20" ht="27" customHeight="1" x14ac:dyDescent="0.25">
      <c r="A574" s="8" t="s">
        <v>59</v>
      </c>
      <c r="B574" s="9"/>
      <c r="C574" s="9"/>
      <c r="D574" s="8"/>
      <c r="E574" s="8"/>
      <c r="F574" s="8" t="s">
        <v>22</v>
      </c>
      <c r="G574" s="10" t="s">
        <v>1405</v>
      </c>
      <c r="H574" s="8" t="s">
        <v>1406</v>
      </c>
      <c r="I574" s="10" t="s">
        <v>1405</v>
      </c>
      <c r="J574" s="11" t="s">
        <v>33</v>
      </c>
      <c r="K574" s="18">
        <v>915</v>
      </c>
      <c r="L574" s="12">
        <f t="shared" si="62"/>
        <v>1600</v>
      </c>
      <c r="M574" s="8">
        <v>1</v>
      </c>
      <c r="N574" s="8" t="s">
        <v>27</v>
      </c>
      <c r="O574" s="13"/>
      <c r="P574" s="14">
        <v>0.2</v>
      </c>
      <c r="Q574" s="15">
        <v>0.4</v>
      </c>
      <c r="R574" s="16" t="str">
        <f t="shared" si="58"/>
        <v>COLMENA</v>
      </c>
      <c r="S574" s="17"/>
      <c r="T574" s="10" t="str">
        <f t="shared" si="63"/>
        <v>GRAPA METÁLICA PARA TUBO 3/4</v>
      </c>
    </row>
    <row r="575" spans="1:20" ht="27" customHeight="1" x14ac:dyDescent="0.25">
      <c r="A575" s="8" t="s">
        <v>59</v>
      </c>
      <c r="B575" s="9"/>
      <c r="C575" s="9"/>
      <c r="D575" s="8"/>
      <c r="E575" s="8"/>
      <c r="F575" s="8" t="s">
        <v>22</v>
      </c>
      <c r="G575" s="10" t="s">
        <v>1407</v>
      </c>
      <c r="H575" s="8" t="s">
        <v>1408</v>
      </c>
      <c r="I575" s="10" t="s">
        <v>1407</v>
      </c>
      <c r="J575" s="11" t="s">
        <v>33</v>
      </c>
      <c r="K575" s="18">
        <v>798</v>
      </c>
      <c r="L575" s="12">
        <f t="shared" si="62"/>
        <v>1200</v>
      </c>
      <c r="M575" s="8">
        <v>1</v>
      </c>
      <c r="N575" s="8" t="s">
        <v>27</v>
      </c>
      <c r="O575" s="13"/>
      <c r="P575" s="14">
        <v>0.2</v>
      </c>
      <c r="Q575" s="15">
        <v>0.3</v>
      </c>
      <c r="R575" s="16" t="str">
        <f t="shared" si="58"/>
        <v>COLMENA</v>
      </c>
      <c r="S575" s="17"/>
      <c r="T575" s="10" t="str">
        <f t="shared" si="63"/>
        <v>ABRAZADERA DE MEDIA PULGADA</v>
      </c>
    </row>
    <row r="576" spans="1:20" ht="27" customHeight="1" x14ac:dyDescent="0.25">
      <c r="A576" s="8" t="s">
        <v>59</v>
      </c>
      <c r="B576" s="9"/>
      <c r="C576" s="9"/>
      <c r="D576" s="8"/>
      <c r="E576" s="8"/>
      <c r="F576" s="8" t="s">
        <v>22</v>
      </c>
      <c r="G576" s="10" t="s">
        <v>1409</v>
      </c>
      <c r="H576" s="8" t="s">
        <v>1410</v>
      </c>
      <c r="I576" s="10" t="s">
        <v>1409</v>
      </c>
      <c r="J576" s="11" t="s">
        <v>33</v>
      </c>
      <c r="K576" s="18">
        <v>819</v>
      </c>
      <c r="L576" s="12">
        <f t="shared" si="62"/>
        <v>1200</v>
      </c>
      <c r="M576" s="8">
        <v>1</v>
      </c>
      <c r="N576" s="8" t="s">
        <v>27</v>
      </c>
      <c r="O576" s="13"/>
      <c r="P576" s="14">
        <v>0.2</v>
      </c>
      <c r="Q576" s="15">
        <v>0.3</v>
      </c>
      <c r="R576" s="16" t="str">
        <f t="shared" si="58"/>
        <v>COLMENA</v>
      </c>
      <c r="S576" s="17"/>
      <c r="T576" s="10" t="str">
        <f t="shared" si="63"/>
        <v>ABRAZADERA DE TRES CUARTOS DE PULGADA</v>
      </c>
    </row>
    <row r="577" spans="1:20" ht="27" customHeight="1" x14ac:dyDescent="0.25">
      <c r="A577" s="8" t="s">
        <v>59</v>
      </c>
      <c r="B577" s="9"/>
      <c r="C577" s="9"/>
      <c r="D577" s="8"/>
      <c r="E577" s="8"/>
      <c r="F577" s="8" t="s">
        <v>22</v>
      </c>
      <c r="G577" s="10" t="s">
        <v>1411</v>
      </c>
      <c r="H577" s="8" t="s">
        <v>1412</v>
      </c>
      <c r="I577" s="10" t="s">
        <v>1411</v>
      </c>
      <c r="J577" s="11" t="s">
        <v>33</v>
      </c>
      <c r="K577" s="18">
        <v>15500</v>
      </c>
      <c r="L577" s="12">
        <f t="shared" ref="L577:L607" si="64">IF(J577="P",ROUNDUP(K577/(1-Q577),-2),K577*(1+P577)/(1-Q577))</f>
        <v>25900</v>
      </c>
      <c r="M577" s="8">
        <v>1</v>
      </c>
      <c r="N577" s="8" t="s">
        <v>27</v>
      </c>
      <c r="O577" s="13"/>
      <c r="P577" s="14">
        <v>0.2</v>
      </c>
      <c r="Q577" s="15">
        <v>0.4</v>
      </c>
      <c r="R577" s="16" t="str">
        <f t="shared" ref="R577:R640" si="65">A577</f>
        <v>COLMENA</v>
      </c>
      <c r="S577" s="17"/>
      <c r="T577" s="10" t="str">
        <f t="shared" ref="T577:T608" si="66">G577</f>
        <v>TUBO DE 1" EMT</v>
      </c>
    </row>
    <row r="578" spans="1:20" ht="27" customHeight="1" x14ac:dyDescent="0.25">
      <c r="A578" s="8" t="s">
        <v>59</v>
      </c>
      <c r="B578" s="9"/>
      <c r="C578" s="9"/>
      <c r="D578" s="8"/>
      <c r="E578" s="8"/>
      <c r="F578" s="8" t="s">
        <v>22</v>
      </c>
      <c r="G578" s="10" t="s">
        <v>1413</v>
      </c>
      <c r="H578" s="8" t="s">
        <v>1414</v>
      </c>
      <c r="I578" s="10" t="s">
        <v>1413</v>
      </c>
      <c r="J578" s="11" t="s">
        <v>33</v>
      </c>
      <c r="K578" s="18">
        <v>603</v>
      </c>
      <c r="L578" s="12">
        <f t="shared" si="64"/>
        <v>1100</v>
      </c>
      <c r="M578" s="8">
        <v>1</v>
      </c>
      <c r="N578" s="8" t="s">
        <v>27</v>
      </c>
      <c r="O578" s="13"/>
      <c r="P578" s="14">
        <v>0.2</v>
      </c>
      <c r="Q578" s="15">
        <v>0.4</v>
      </c>
      <c r="R578" s="16" t="str">
        <f t="shared" si="65"/>
        <v>COLMENA</v>
      </c>
      <c r="S578" s="17"/>
      <c r="T578" s="10" t="str">
        <f t="shared" si="66"/>
        <v>ANCLAJE DE TECHO PARA TUBO DE 1/2".</v>
      </c>
    </row>
    <row r="579" spans="1:20" ht="27" customHeight="1" x14ac:dyDescent="0.25">
      <c r="A579" s="8" t="s">
        <v>59</v>
      </c>
      <c r="B579" s="9"/>
      <c r="C579" s="9"/>
      <c r="D579" s="8"/>
      <c r="E579" s="8"/>
      <c r="F579" s="8" t="s">
        <v>22</v>
      </c>
      <c r="G579" s="10" t="s">
        <v>1415</v>
      </c>
      <c r="H579" s="8" t="s">
        <v>1416</v>
      </c>
      <c r="I579" s="10" t="s">
        <v>1415</v>
      </c>
      <c r="J579" s="11" t="s">
        <v>33</v>
      </c>
      <c r="K579" s="18">
        <v>640</v>
      </c>
      <c r="L579" s="12">
        <f t="shared" si="64"/>
        <v>1100</v>
      </c>
      <c r="M579" s="8">
        <v>1</v>
      </c>
      <c r="N579" s="8" t="s">
        <v>27</v>
      </c>
      <c r="O579" s="13"/>
      <c r="P579" s="14">
        <v>0.2</v>
      </c>
      <c r="Q579" s="15">
        <v>0.4</v>
      </c>
      <c r="R579" s="16" t="str">
        <f t="shared" si="65"/>
        <v>COLMENA</v>
      </c>
      <c r="S579" s="17"/>
      <c r="T579" s="10" t="str">
        <f t="shared" si="66"/>
        <v>ANCLAJE DE TECHO PARA TUBO DE 3/4".</v>
      </c>
    </row>
    <row r="580" spans="1:20" ht="27" customHeight="1" x14ac:dyDescent="0.25">
      <c r="A580" s="8" t="s">
        <v>59</v>
      </c>
      <c r="B580" s="9"/>
      <c r="C580" s="9"/>
      <c r="D580" s="8"/>
      <c r="E580" s="8"/>
      <c r="F580" s="8" t="s">
        <v>22</v>
      </c>
      <c r="G580" s="10" t="s">
        <v>1417</v>
      </c>
      <c r="H580" s="8" t="s">
        <v>1418</v>
      </c>
      <c r="I580" s="10" t="s">
        <v>1417</v>
      </c>
      <c r="J580" s="11" t="s">
        <v>33</v>
      </c>
      <c r="K580" s="18">
        <v>840</v>
      </c>
      <c r="L580" s="12">
        <f t="shared" si="64"/>
        <v>1400</v>
      </c>
      <c r="M580" s="8">
        <v>1</v>
      </c>
      <c r="N580" s="8" t="s">
        <v>27</v>
      </c>
      <c r="O580" s="13"/>
      <c r="P580" s="14">
        <v>0.2</v>
      </c>
      <c r="Q580" s="15">
        <v>0.4</v>
      </c>
      <c r="R580" s="16" t="str">
        <f t="shared" si="65"/>
        <v>COLMENA</v>
      </c>
      <c r="S580" s="17"/>
      <c r="T580" s="10" t="str">
        <f t="shared" si="66"/>
        <v>ANCLAJE DE TECHO PARA TUBO DE 1".</v>
      </c>
    </row>
    <row r="581" spans="1:20" ht="27" customHeight="1" x14ac:dyDescent="0.25">
      <c r="A581" s="8" t="s">
        <v>59</v>
      </c>
      <c r="B581" s="9"/>
      <c r="C581" s="9"/>
      <c r="D581" s="8"/>
      <c r="E581" s="8"/>
      <c r="F581" s="8" t="s">
        <v>22</v>
      </c>
      <c r="G581" s="10" t="s">
        <v>1419</v>
      </c>
      <c r="H581" s="8" t="s">
        <v>1420</v>
      </c>
      <c r="I581" s="10" t="s">
        <v>1419</v>
      </c>
      <c r="J581" s="11" t="s">
        <v>33</v>
      </c>
      <c r="K581" s="18">
        <v>1100</v>
      </c>
      <c r="L581" s="12">
        <f t="shared" si="64"/>
        <v>1600</v>
      </c>
      <c r="M581" s="8">
        <v>1</v>
      </c>
      <c r="N581" s="8" t="s">
        <v>27</v>
      </c>
      <c r="O581" s="13"/>
      <c r="P581" s="14">
        <v>0.2</v>
      </c>
      <c r="Q581" s="15">
        <v>0.3</v>
      </c>
      <c r="R581" s="16" t="str">
        <f t="shared" si="65"/>
        <v>COLMENA</v>
      </c>
      <c r="S581" s="17"/>
      <c r="T581" s="10" t="str">
        <f t="shared" si="66"/>
        <v>ABRAZADERA DE UNA PULGADA</v>
      </c>
    </row>
    <row r="582" spans="1:20" ht="27" customHeight="1" x14ac:dyDescent="0.25">
      <c r="A582" s="8" t="s">
        <v>59</v>
      </c>
      <c r="B582" s="9"/>
      <c r="C582" s="9"/>
      <c r="D582" s="8"/>
      <c r="E582" s="8"/>
      <c r="F582" s="8" t="s">
        <v>22</v>
      </c>
      <c r="G582" s="10" t="s">
        <v>1421</v>
      </c>
      <c r="H582" s="8" t="s">
        <v>1422</v>
      </c>
      <c r="I582" s="10" t="s">
        <v>1421</v>
      </c>
      <c r="J582" s="11" t="s">
        <v>33</v>
      </c>
      <c r="K582" s="18">
        <v>1261</v>
      </c>
      <c r="L582" s="12">
        <f t="shared" si="64"/>
        <v>2200</v>
      </c>
      <c r="M582" s="8">
        <v>1</v>
      </c>
      <c r="N582" s="8" t="s">
        <v>27</v>
      </c>
      <c r="O582" s="13"/>
      <c r="P582" s="14">
        <v>0.2</v>
      </c>
      <c r="Q582" s="15">
        <v>0.4</v>
      </c>
      <c r="R582" s="16" t="str">
        <f t="shared" si="65"/>
        <v>COLMENA</v>
      </c>
      <c r="S582" s="17"/>
      <c r="T582" s="10" t="str">
        <f t="shared" si="66"/>
        <v>ANCLAJE DE TECHO PARA TUBO DE 1 Y 1/4".</v>
      </c>
    </row>
    <row r="583" spans="1:20" ht="27" customHeight="1" x14ac:dyDescent="0.25">
      <c r="A583" s="8" t="s">
        <v>59</v>
      </c>
      <c r="B583" s="9"/>
      <c r="C583" s="9"/>
      <c r="D583" s="8"/>
      <c r="E583" s="8"/>
      <c r="F583" s="8" t="s">
        <v>22</v>
      </c>
      <c r="G583" s="10" t="s">
        <v>1423</v>
      </c>
      <c r="H583" s="8" t="s">
        <v>1424</v>
      </c>
      <c r="I583" s="10" t="s">
        <v>1423</v>
      </c>
      <c r="J583" s="11" t="s">
        <v>33</v>
      </c>
      <c r="K583" s="18">
        <v>42000</v>
      </c>
      <c r="L583" s="12">
        <f t="shared" si="64"/>
        <v>70000</v>
      </c>
      <c r="M583" s="8">
        <v>1</v>
      </c>
      <c r="N583" s="8" t="s">
        <v>27</v>
      </c>
      <c r="O583" s="13"/>
      <c r="P583" s="14">
        <v>0.2</v>
      </c>
      <c r="Q583" s="15">
        <v>0.4</v>
      </c>
      <c r="R583" s="16" t="str">
        <f t="shared" si="65"/>
        <v>COLMENA</v>
      </c>
      <c r="S583" s="17"/>
      <c r="T583" s="10" t="str">
        <f t="shared" si="66"/>
        <v>TUBO DE 2" EMT</v>
      </c>
    </row>
    <row r="584" spans="1:20" ht="27" customHeight="1" x14ac:dyDescent="0.25">
      <c r="A584" s="8" t="s">
        <v>59</v>
      </c>
      <c r="B584" s="9"/>
      <c r="C584" s="9"/>
      <c r="D584" s="8"/>
      <c r="E584" s="8"/>
      <c r="F584" s="8" t="s">
        <v>22</v>
      </c>
      <c r="G584" s="10" t="s">
        <v>1358</v>
      </c>
      <c r="H584" s="8" t="s">
        <v>1425</v>
      </c>
      <c r="I584" s="10" t="s">
        <v>1358</v>
      </c>
      <c r="J584" s="11" t="s">
        <v>33</v>
      </c>
      <c r="K584" s="18">
        <v>9465</v>
      </c>
      <c r="L584" s="12">
        <f t="shared" si="64"/>
        <v>15800</v>
      </c>
      <c r="M584" s="8">
        <v>1</v>
      </c>
      <c r="N584" s="8" t="s">
        <v>27</v>
      </c>
      <c r="O584" s="13"/>
      <c r="P584" s="14">
        <v>0.2</v>
      </c>
      <c r="Q584" s="15">
        <v>0.4</v>
      </c>
      <c r="R584" s="16" t="str">
        <f t="shared" si="65"/>
        <v>COLMENA</v>
      </c>
      <c r="S584" s="17"/>
      <c r="T584" s="10" t="str">
        <f t="shared" si="66"/>
        <v>CURVA PARA TUBO EMT DE 1 Y 1/4 DE PULGADA</v>
      </c>
    </row>
    <row r="585" spans="1:20" ht="27" customHeight="1" x14ac:dyDescent="0.25">
      <c r="A585" s="8" t="s">
        <v>59</v>
      </c>
      <c r="B585" s="9"/>
      <c r="C585" s="9"/>
      <c r="D585" s="8"/>
      <c r="E585" s="8"/>
      <c r="F585" s="8" t="s">
        <v>22</v>
      </c>
      <c r="G585" s="10" t="s">
        <v>1426</v>
      </c>
      <c r="H585" s="8" t="s">
        <v>1427</v>
      </c>
      <c r="I585" s="10" t="s">
        <v>1426</v>
      </c>
      <c r="J585" s="11" t="s">
        <v>33</v>
      </c>
      <c r="K585" s="18">
        <f>8774/2</f>
        <v>4387</v>
      </c>
      <c r="L585" s="12">
        <f t="shared" si="64"/>
        <v>7400</v>
      </c>
      <c r="M585" s="8">
        <v>1</v>
      </c>
      <c r="N585" s="8" t="s">
        <v>27</v>
      </c>
      <c r="O585" s="13"/>
      <c r="P585" s="14">
        <v>0.2</v>
      </c>
      <c r="Q585" s="15">
        <v>0.4</v>
      </c>
      <c r="R585" s="16" t="str">
        <f t="shared" si="65"/>
        <v>COLMENA</v>
      </c>
      <c r="S585" s="17"/>
      <c r="T585" s="10" t="str">
        <f t="shared" si="66"/>
        <v>UNIÓN PARA TUBO EMT DE 2 PULGADAS</v>
      </c>
    </row>
    <row r="586" spans="1:20" ht="27" customHeight="1" x14ac:dyDescent="0.25">
      <c r="A586" s="8" t="s">
        <v>59</v>
      </c>
      <c r="B586" s="9"/>
      <c r="C586" s="9"/>
      <c r="D586" s="8"/>
      <c r="E586" s="8"/>
      <c r="F586" s="8" t="s">
        <v>22</v>
      </c>
      <c r="G586" s="10" t="s">
        <v>1428</v>
      </c>
      <c r="H586" s="8" t="s">
        <v>1429</v>
      </c>
      <c r="I586" s="10" t="s">
        <v>1428</v>
      </c>
      <c r="J586" s="11" t="s">
        <v>33</v>
      </c>
      <c r="K586" s="18">
        <f>14784/4</f>
        <v>3696</v>
      </c>
      <c r="L586" s="12">
        <f t="shared" si="64"/>
        <v>6200</v>
      </c>
      <c r="M586" s="8">
        <v>1</v>
      </c>
      <c r="N586" s="8" t="s">
        <v>27</v>
      </c>
      <c r="O586" s="13"/>
      <c r="P586" s="14">
        <v>0.2</v>
      </c>
      <c r="Q586" s="15">
        <v>0.4</v>
      </c>
      <c r="R586" s="16" t="str">
        <f t="shared" si="65"/>
        <v>COLMENA</v>
      </c>
      <c r="S586" s="17"/>
      <c r="T586" s="10" t="str">
        <f t="shared" si="66"/>
        <v>TERMINAL DE 2 PULGADAS PARA TUBO EMT</v>
      </c>
    </row>
    <row r="587" spans="1:20" ht="27" customHeight="1" x14ac:dyDescent="0.25">
      <c r="A587" s="8" t="s">
        <v>59</v>
      </c>
      <c r="B587" s="9"/>
      <c r="C587" s="9"/>
      <c r="D587" s="8"/>
      <c r="E587" s="8"/>
      <c r="F587" s="8" t="s">
        <v>22</v>
      </c>
      <c r="G587" s="10" t="s">
        <v>1421</v>
      </c>
      <c r="H587" s="8" t="s">
        <v>1422</v>
      </c>
      <c r="I587" s="10" t="s">
        <v>1421</v>
      </c>
      <c r="J587" s="11" t="s">
        <v>33</v>
      </c>
      <c r="K587" s="18">
        <f>15920/10</f>
        <v>1592</v>
      </c>
      <c r="L587" s="12">
        <f t="shared" si="64"/>
        <v>2700</v>
      </c>
      <c r="M587" s="8">
        <v>1</v>
      </c>
      <c r="N587" s="8" t="s">
        <v>27</v>
      </c>
      <c r="O587" s="13"/>
      <c r="P587" s="14">
        <v>0.2</v>
      </c>
      <c r="Q587" s="15">
        <v>0.4</v>
      </c>
      <c r="R587" s="16" t="str">
        <f t="shared" si="65"/>
        <v>COLMENA</v>
      </c>
      <c r="S587" s="17"/>
      <c r="T587" s="10" t="str">
        <f t="shared" si="66"/>
        <v>ANCLAJE DE TECHO PARA TUBO DE 1 Y 1/4".</v>
      </c>
    </row>
    <row r="588" spans="1:20" ht="27" customHeight="1" x14ac:dyDescent="0.25">
      <c r="A588" s="8" t="s">
        <v>59</v>
      </c>
      <c r="B588" s="9"/>
      <c r="C588" s="9"/>
      <c r="D588" s="8"/>
      <c r="E588" s="8"/>
      <c r="F588" s="8" t="s">
        <v>22</v>
      </c>
      <c r="G588" s="10" t="s">
        <v>1430</v>
      </c>
      <c r="H588" s="8" t="s">
        <v>1431</v>
      </c>
      <c r="I588" s="10" t="s">
        <v>1430</v>
      </c>
      <c r="J588" s="11" t="s">
        <v>33</v>
      </c>
      <c r="K588" s="18">
        <f>5430/6</f>
        <v>905</v>
      </c>
      <c r="L588" s="12">
        <f t="shared" si="64"/>
        <v>1600</v>
      </c>
      <c r="M588" s="8">
        <v>1</v>
      </c>
      <c r="N588" s="8" t="s">
        <v>27</v>
      </c>
      <c r="O588" s="13"/>
      <c r="P588" s="14">
        <v>0.2</v>
      </c>
      <c r="Q588" s="15">
        <v>0.4</v>
      </c>
      <c r="R588" s="16" t="str">
        <f t="shared" si="65"/>
        <v>COLMENA</v>
      </c>
      <c r="S588" s="17"/>
      <c r="T588" s="10" t="str">
        <f t="shared" si="66"/>
        <v>GRAPA METÁLICA PARA TUBO 2"</v>
      </c>
    </row>
    <row r="589" spans="1:20" ht="27" customHeight="1" x14ac:dyDescent="0.25">
      <c r="A589" s="8" t="s">
        <v>59</v>
      </c>
      <c r="B589" s="9" t="s">
        <v>1322</v>
      </c>
      <c r="C589" s="9"/>
      <c r="D589" s="8" t="s">
        <v>1432</v>
      </c>
      <c r="E589" s="8">
        <v>1</v>
      </c>
      <c r="F589" s="8" t="s">
        <v>22</v>
      </c>
      <c r="G589" s="10" t="s">
        <v>1433</v>
      </c>
      <c r="H589" s="8" t="s">
        <v>1434</v>
      </c>
      <c r="I589" s="10" t="s">
        <v>1433</v>
      </c>
      <c r="J589" s="11" t="s">
        <v>33</v>
      </c>
      <c r="K589" s="18">
        <v>6500</v>
      </c>
      <c r="L589" s="12">
        <f t="shared" si="64"/>
        <v>10900</v>
      </c>
      <c r="M589" s="8">
        <v>1</v>
      </c>
      <c r="N589" s="8" t="s">
        <v>27</v>
      </c>
      <c r="O589" s="13"/>
      <c r="P589" s="14">
        <v>0.2</v>
      </c>
      <c r="Q589" s="15">
        <v>0.4</v>
      </c>
      <c r="R589" s="16" t="str">
        <f t="shared" si="65"/>
        <v>COLMENA</v>
      </c>
      <c r="S589" s="17"/>
      <c r="T589" s="10" t="str">
        <f t="shared" si="66"/>
        <v>TUBOS DE 1/2" EMT</v>
      </c>
    </row>
    <row r="590" spans="1:20" ht="27" customHeight="1" x14ac:dyDescent="0.25">
      <c r="A590" s="8" t="s">
        <v>59</v>
      </c>
      <c r="B590" s="9" t="s">
        <v>1322</v>
      </c>
      <c r="C590" s="9"/>
      <c r="D590" s="8" t="s">
        <v>1432</v>
      </c>
      <c r="E590" s="8">
        <v>2</v>
      </c>
      <c r="F590" s="8" t="s">
        <v>22</v>
      </c>
      <c r="G590" s="10" t="s">
        <v>1435</v>
      </c>
      <c r="H590" s="8" t="s">
        <v>1436</v>
      </c>
      <c r="I590" s="10" t="s">
        <v>1435</v>
      </c>
      <c r="J590" s="11" t="s">
        <v>33</v>
      </c>
      <c r="K590" s="18">
        <v>1400</v>
      </c>
      <c r="L590" s="12">
        <f t="shared" si="64"/>
        <v>2400</v>
      </c>
      <c r="M590" s="8">
        <v>1</v>
      </c>
      <c r="N590" s="8" t="s">
        <v>27</v>
      </c>
      <c r="O590" s="13"/>
      <c r="P590" s="14">
        <v>0.2</v>
      </c>
      <c r="Q590" s="15">
        <v>0.4</v>
      </c>
      <c r="R590" s="16" t="str">
        <f t="shared" si="65"/>
        <v>COLMENA</v>
      </c>
      <c r="S590" s="17"/>
      <c r="T590" s="10" t="str">
        <f t="shared" si="66"/>
        <v>CURVAS DE 1/2" EMT</v>
      </c>
    </row>
    <row r="591" spans="1:20" ht="27" customHeight="1" x14ac:dyDescent="0.25">
      <c r="A591" s="8" t="s">
        <v>59</v>
      </c>
      <c r="B591" s="9" t="s">
        <v>1322</v>
      </c>
      <c r="C591" s="9"/>
      <c r="D591" s="8" t="s">
        <v>1432</v>
      </c>
      <c r="E591" s="8">
        <v>3</v>
      </c>
      <c r="F591" s="8" t="s">
        <v>22</v>
      </c>
      <c r="G591" s="10" t="s">
        <v>1437</v>
      </c>
      <c r="H591" s="8" t="s">
        <v>1438</v>
      </c>
      <c r="I591" s="10" t="s">
        <v>1437</v>
      </c>
      <c r="J591" s="11" t="s">
        <v>33</v>
      </c>
      <c r="K591" s="18">
        <v>900</v>
      </c>
      <c r="L591" s="12">
        <f t="shared" si="64"/>
        <v>1500</v>
      </c>
      <c r="M591" s="8">
        <v>1</v>
      </c>
      <c r="N591" s="8" t="s">
        <v>27</v>
      </c>
      <c r="O591" s="13"/>
      <c r="P591" s="14">
        <v>0.2</v>
      </c>
      <c r="Q591" s="15">
        <v>0.4</v>
      </c>
      <c r="R591" s="16" t="str">
        <f t="shared" si="65"/>
        <v>COLMENA</v>
      </c>
      <c r="S591" s="17"/>
      <c r="T591" s="10" t="str">
        <f t="shared" si="66"/>
        <v>UNIONES DE 1/2" EMT</v>
      </c>
    </row>
    <row r="592" spans="1:20" ht="27" customHeight="1" x14ac:dyDescent="0.25">
      <c r="A592" s="8" t="s">
        <v>59</v>
      </c>
      <c r="B592" s="9" t="s">
        <v>1322</v>
      </c>
      <c r="C592" s="9"/>
      <c r="D592" s="8" t="s">
        <v>1432</v>
      </c>
      <c r="E592" s="8">
        <v>4</v>
      </c>
      <c r="F592" s="8" t="s">
        <v>22</v>
      </c>
      <c r="G592" s="10" t="s">
        <v>1439</v>
      </c>
      <c r="H592" s="8" t="s">
        <v>1440</v>
      </c>
      <c r="I592" s="10" t="s">
        <v>1439</v>
      </c>
      <c r="J592" s="11" t="s">
        <v>33</v>
      </c>
      <c r="K592" s="18">
        <v>750</v>
      </c>
      <c r="L592" s="12">
        <f t="shared" si="64"/>
        <v>1300</v>
      </c>
      <c r="M592" s="8">
        <v>1</v>
      </c>
      <c r="N592" s="8" t="s">
        <v>27</v>
      </c>
      <c r="O592" s="13"/>
      <c r="P592" s="14">
        <v>0.2</v>
      </c>
      <c r="Q592" s="15">
        <v>0.4</v>
      </c>
      <c r="R592" s="16" t="str">
        <f t="shared" si="65"/>
        <v>COLMENA</v>
      </c>
      <c r="S592" s="17"/>
      <c r="T592" s="10" t="str">
        <f t="shared" si="66"/>
        <v>TERMINALES DE 1/2" EMT</v>
      </c>
    </row>
    <row r="593" spans="1:20" ht="27" customHeight="1" x14ac:dyDescent="0.25">
      <c r="A593" s="8" t="s">
        <v>59</v>
      </c>
      <c r="B593" s="9" t="s">
        <v>1322</v>
      </c>
      <c r="C593" s="9"/>
      <c r="D593" s="8" t="s">
        <v>1432</v>
      </c>
      <c r="E593" s="8">
        <v>5</v>
      </c>
      <c r="F593" s="8" t="s">
        <v>22</v>
      </c>
      <c r="G593" s="10" t="s">
        <v>1441</v>
      </c>
      <c r="H593" s="8" t="s">
        <v>1442</v>
      </c>
      <c r="I593" s="10" t="s">
        <v>1441</v>
      </c>
      <c r="J593" s="11" t="s">
        <v>33</v>
      </c>
      <c r="K593" s="18">
        <v>10900</v>
      </c>
      <c r="L593" s="12">
        <f t="shared" si="64"/>
        <v>18200</v>
      </c>
      <c r="M593" s="8">
        <v>1</v>
      </c>
      <c r="N593" s="8" t="s">
        <v>27</v>
      </c>
      <c r="O593" s="13"/>
      <c r="P593" s="14">
        <v>0.2</v>
      </c>
      <c r="Q593" s="15">
        <v>0.4</v>
      </c>
      <c r="R593" s="16" t="str">
        <f t="shared" si="65"/>
        <v>COLMENA</v>
      </c>
      <c r="S593" s="17"/>
      <c r="T593" s="10" t="str">
        <f t="shared" si="66"/>
        <v>CAJA 5800 RATWELL</v>
      </c>
    </row>
    <row r="594" spans="1:20" ht="27" customHeight="1" x14ac:dyDescent="0.25">
      <c r="A594" s="8" t="s">
        <v>59</v>
      </c>
      <c r="B594" s="9" t="s">
        <v>1322</v>
      </c>
      <c r="C594" s="9"/>
      <c r="D594" s="8" t="s">
        <v>1432</v>
      </c>
      <c r="E594" s="8">
        <v>6</v>
      </c>
      <c r="F594" s="8" t="s">
        <v>22</v>
      </c>
      <c r="G594" s="10" t="s">
        <v>1443</v>
      </c>
      <c r="H594" s="8" t="s">
        <v>1444</v>
      </c>
      <c r="I594" s="10" t="s">
        <v>1443</v>
      </c>
      <c r="J594" s="11" t="s">
        <v>33</v>
      </c>
      <c r="K594" s="18">
        <v>1300</v>
      </c>
      <c r="L594" s="12">
        <f t="shared" si="64"/>
        <v>2200</v>
      </c>
      <c r="M594" s="8">
        <v>1</v>
      </c>
      <c r="N594" s="8" t="s">
        <v>110</v>
      </c>
      <c r="O594" s="13"/>
      <c r="P594" s="14">
        <v>0.2</v>
      </c>
      <c r="Q594" s="15">
        <v>0.4</v>
      </c>
      <c r="R594" s="16" t="str">
        <f t="shared" si="65"/>
        <v>COLMENA</v>
      </c>
      <c r="S594" s="17"/>
      <c r="T594" s="10" t="str">
        <f t="shared" si="66"/>
        <v xml:space="preserve">CORAZA PLÁSTICA DE 1/2" </v>
      </c>
    </row>
    <row r="595" spans="1:20" ht="27" customHeight="1" x14ac:dyDescent="0.25">
      <c r="A595" s="8" t="s">
        <v>59</v>
      </c>
      <c r="B595" s="9"/>
      <c r="C595" s="9"/>
      <c r="D595" s="8"/>
      <c r="E595" s="8"/>
      <c r="F595" s="8" t="s">
        <v>22</v>
      </c>
      <c r="G595" s="10" t="s">
        <v>1445</v>
      </c>
      <c r="H595" s="8" t="s">
        <v>1446</v>
      </c>
      <c r="I595" s="10" t="s">
        <v>1445</v>
      </c>
      <c r="J595" s="11" t="s">
        <v>33</v>
      </c>
      <c r="K595" s="18">
        <v>1500</v>
      </c>
      <c r="L595" s="12">
        <f t="shared" si="64"/>
        <v>2200</v>
      </c>
      <c r="M595" s="8">
        <v>1</v>
      </c>
      <c r="N595" s="8" t="s">
        <v>27</v>
      </c>
      <c r="O595" s="13"/>
      <c r="P595" s="14">
        <v>0.2</v>
      </c>
      <c r="Q595" s="15">
        <v>0.3</v>
      </c>
      <c r="R595" s="16" t="str">
        <f t="shared" si="65"/>
        <v>COLMENA</v>
      </c>
      <c r="S595" s="17"/>
      <c r="T595" s="10" t="str">
        <f t="shared" si="66"/>
        <v>SOPORTE 3/4" PARA TUBO EN RIEL CHANEL</v>
      </c>
    </row>
    <row r="596" spans="1:20" ht="27" customHeight="1" x14ac:dyDescent="0.25">
      <c r="A596" s="8" t="s">
        <v>59</v>
      </c>
      <c r="B596" s="9"/>
      <c r="C596" s="9"/>
      <c r="D596" s="8"/>
      <c r="E596" s="8"/>
      <c r="F596" s="8" t="s">
        <v>22</v>
      </c>
      <c r="G596" s="10" t="s">
        <v>1447</v>
      </c>
      <c r="H596" s="8" t="s">
        <v>1448</v>
      </c>
      <c r="I596" s="10" t="s">
        <v>1447</v>
      </c>
      <c r="J596" s="11" t="s">
        <v>33</v>
      </c>
      <c r="K596" s="18">
        <v>2500</v>
      </c>
      <c r="L596" s="12">
        <f t="shared" si="64"/>
        <v>3600</v>
      </c>
      <c r="M596" s="8">
        <v>1</v>
      </c>
      <c r="N596" s="8" t="s">
        <v>27</v>
      </c>
      <c r="O596" s="13"/>
      <c r="P596" s="14">
        <v>0.2</v>
      </c>
      <c r="Q596" s="15">
        <v>0.3</v>
      </c>
      <c r="R596" s="16" t="str">
        <f t="shared" si="65"/>
        <v>COLMENA</v>
      </c>
      <c r="S596" s="17"/>
      <c r="T596" s="10" t="str">
        <f t="shared" si="66"/>
        <v>CAJA ELÉCTRICA OCTAGONAL</v>
      </c>
    </row>
    <row r="597" spans="1:20" ht="27" customHeight="1" x14ac:dyDescent="0.25">
      <c r="A597" s="8" t="s">
        <v>59</v>
      </c>
      <c r="B597" s="9"/>
      <c r="C597" s="9"/>
      <c r="D597" s="8"/>
      <c r="E597" s="8"/>
      <c r="F597" s="8" t="s">
        <v>22</v>
      </c>
      <c r="G597" s="10" t="s">
        <v>1449</v>
      </c>
      <c r="H597" s="8" t="s">
        <v>1450</v>
      </c>
      <c r="I597" s="10" t="s">
        <v>1449</v>
      </c>
      <c r="J597" s="11" t="s">
        <v>33</v>
      </c>
      <c r="K597" s="18">
        <v>61000</v>
      </c>
      <c r="L597" s="12">
        <f t="shared" si="64"/>
        <v>93900</v>
      </c>
      <c r="M597" s="8">
        <v>1</v>
      </c>
      <c r="N597" s="8" t="s">
        <v>27</v>
      </c>
      <c r="O597" s="13"/>
      <c r="P597" s="14">
        <v>0.2</v>
      </c>
      <c r="Q597" s="15">
        <v>0.35</v>
      </c>
      <c r="R597" s="16" t="str">
        <f t="shared" si="65"/>
        <v>COLMENA</v>
      </c>
      <c r="S597" s="17"/>
      <c r="T597" s="10" t="str">
        <f t="shared" si="66"/>
        <v>TUBO GALVANIZADO PARA EXTERIOR DE 1.5", LARGO 6 METROS</v>
      </c>
    </row>
    <row r="598" spans="1:20" ht="27" customHeight="1" x14ac:dyDescent="0.25">
      <c r="A598" s="8" t="s">
        <v>59</v>
      </c>
      <c r="B598" s="9"/>
      <c r="C598" s="9"/>
      <c r="D598" s="8"/>
      <c r="E598" s="8"/>
      <c r="F598" s="8" t="s">
        <v>22</v>
      </c>
      <c r="G598" s="10" t="s">
        <v>1451</v>
      </c>
      <c r="H598" s="8" t="s">
        <v>1452</v>
      </c>
      <c r="I598" s="10" t="s">
        <v>1451</v>
      </c>
      <c r="J598" s="11" t="s">
        <v>33</v>
      </c>
      <c r="K598" s="18">
        <v>87000</v>
      </c>
      <c r="L598" s="12">
        <f t="shared" si="64"/>
        <v>108800</v>
      </c>
      <c r="M598" s="8">
        <v>1</v>
      </c>
      <c r="N598" s="8" t="s">
        <v>27</v>
      </c>
      <c r="O598" s="13"/>
      <c r="P598" s="14">
        <v>0</v>
      </c>
      <c r="Q598" s="15">
        <v>0.2</v>
      </c>
      <c r="R598" s="16" t="str">
        <f t="shared" si="65"/>
        <v>COLMENA</v>
      </c>
      <c r="S598" s="17"/>
      <c r="T598" s="10" t="str">
        <f t="shared" si="66"/>
        <v>TUBO DE 3" EMT, 3 METROS DE LARGO.</v>
      </c>
    </row>
    <row r="599" spans="1:20" ht="27" customHeight="1" x14ac:dyDescent="0.25">
      <c r="A599" s="8" t="s">
        <v>59</v>
      </c>
      <c r="B599" s="9"/>
      <c r="C599" s="9"/>
      <c r="D599" s="8"/>
      <c r="E599" s="8"/>
      <c r="F599" s="8" t="s">
        <v>22</v>
      </c>
      <c r="G599" s="10" t="s">
        <v>1354</v>
      </c>
      <c r="H599" s="8" t="s">
        <v>1453</v>
      </c>
      <c r="I599" s="10" t="s">
        <v>1354</v>
      </c>
      <c r="J599" s="11" t="s">
        <v>33</v>
      </c>
      <c r="K599" s="18">
        <v>10400</v>
      </c>
      <c r="L599" s="12">
        <f t="shared" si="64"/>
        <v>13000</v>
      </c>
      <c r="M599" s="8">
        <v>1</v>
      </c>
      <c r="N599" s="8" t="s">
        <v>27</v>
      </c>
      <c r="O599" s="13"/>
      <c r="P599" s="14">
        <v>0</v>
      </c>
      <c r="Q599" s="15">
        <v>0.2</v>
      </c>
      <c r="R599" s="16" t="str">
        <f t="shared" si="65"/>
        <v>COLMENA</v>
      </c>
      <c r="S599" s="17"/>
      <c r="T599" s="10" t="str">
        <f t="shared" si="66"/>
        <v>TERMINAL DE 1/2 PULGADA PARA TUBO EMT</v>
      </c>
    </row>
    <row r="600" spans="1:20" ht="27" customHeight="1" x14ac:dyDescent="0.25">
      <c r="A600" s="8" t="s">
        <v>59</v>
      </c>
      <c r="B600" s="9"/>
      <c r="C600" s="9"/>
      <c r="D600" s="8"/>
      <c r="E600" s="8"/>
      <c r="F600" s="8" t="s">
        <v>22</v>
      </c>
      <c r="G600" s="10" t="s">
        <v>1454</v>
      </c>
      <c r="H600" s="8" t="s">
        <v>1455</v>
      </c>
      <c r="I600" s="10" t="s">
        <v>1454</v>
      </c>
      <c r="J600" s="11" t="s">
        <v>33</v>
      </c>
      <c r="K600" s="18">
        <v>41300</v>
      </c>
      <c r="L600" s="12">
        <f t="shared" si="64"/>
        <v>51700</v>
      </c>
      <c r="M600" s="8">
        <v>1</v>
      </c>
      <c r="N600" s="8" t="s">
        <v>27</v>
      </c>
      <c r="O600" s="13"/>
      <c r="P600" s="14">
        <v>0</v>
      </c>
      <c r="Q600" s="15">
        <v>0.2</v>
      </c>
      <c r="R600" s="16" t="str">
        <f t="shared" si="65"/>
        <v>COLMENA</v>
      </c>
      <c r="S600" s="17"/>
      <c r="T600" s="10" t="str">
        <f t="shared" si="66"/>
        <v>TUBO DE 1.5" EMT, 3 METROS DE LARGO.</v>
      </c>
    </row>
    <row r="601" spans="1:20" ht="27" customHeight="1" x14ac:dyDescent="0.25">
      <c r="A601" s="8" t="s">
        <v>59</v>
      </c>
      <c r="B601" s="9"/>
      <c r="C601" s="9"/>
      <c r="D601" s="8"/>
      <c r="E601" s="8"/>
      <c r="F601" s="8" t="s">
        <v>22</v>
      </c>
      <c r="G601" s="10" t="s">
        <v>1456</v>
      </c>
      <c r="H601" s="8" t="s">
        <v>1457</v>
      </c>
      <c r="I601" s="10" t="s">
        <v>1456</v>
      </c>
      <c r="J601" s="11" t="s">
        <v>33</v>
      </c>
      <c r="K601" s="18">
        <v>2600</v>
      </c>
      <c r="L601" s="12">
        <f t="shared" si="64"/>
        <v>3300</v>
      </c>
      <c r="M601" s="8">
        <v>1</v>
      </c>
      <c r="N601" s="8" t="s">
        <v>27</v>
      </c>
      <c r="O601" s="13"/>
      <c r="P601" s="14">
        <v>0</v>
      </c>
      <c r="Q601" s="15">
        <v>0.2</v>
      </c>
      <c r="R601" s="16" t="str">
        <f t="shared" si="65"/>
        <v>COLMENA</v>
      </c>
      <c r="S601" s="17"/>
      <c r="T601" s="10" t="str">
        <f t="shared" si="66"/>
        <v>TERMINAL DE 1 Y1/2 PULGADA PARA TUBO EMT</v>
      </c>
    </row>
    <row r="602" spans="1:20" ht="27" customHeight="1" x14ac:dyDescent="0.25">
      <c r="A602" s="8" t="s">
        <v>59</v>
      </c>
      <c r="B602" s="9"/>
      <c r="C602" s="9"/>
      <c r="D602" s="8"/>
      <c r="E602" s="8"/>
      <c r="F602" s="8" t="s">
        <v>22</v>
      </c>
      <c r="G602" s="10" t="s">
        <v>1458</v>
      </c>
      <c r="H602" s="8" t="s">
        <v>1459</v>
      </c>
      <c r="I602" s="10" t="s">
        <v>1458</v>
      </c>
      <c r="J602" s="11" t="s">
        <v>33</v>
      </c>
      <c r="K602" s="18">
        <v>2600</v>
      </c>
      <c r="L602" s="12">
        <f t="shared" si="64"/>
        <v>3300</v>
      </c>
      <c r="M602" s="8">
        <v>1</v>
      </c>
      <c r="N602" s="8" t="s">
        <v>27</v>
      </c>
      <c r="O602" s="13"/>
      <c r="P602" s="14">
        <v>0</v>
      </c>
      <c r="Q602" s="15">
        <v>0.2</v>
      </c>
      <c r="R602" s="16" t="str">
        <f t="shared" si="65"/>
        <v>COLMENA</v>
      </c>
      <c r="S602" s="17"/>
      <c r="T602" s="10" t="str">
        <f t="shared" si="66"/>
        <v>UNIÓN DE 1 Y1/2 PULGADA PARA TUBO EMT</v>
      </c>
    </row>
    <row r="603" spans="1:20" ht="27" customHeight="1" x14ac:dyDescent="0.25">
      <c r="A603" s="8" t="s">
        <v>59</v>
      </c>
      <c r="B603" s="9"/>
      <c r="C603" s="9"/>
      <c r="D603" s="8"/>
      <c r="E603" s="8"/>
      <c r="F603" s="8" t="s">
        <v>22</v>
      </c>
      <c r="G603" s="10" t="s">
        <v>1451</v>
      </c>
      <c r="H603" s="8" t="s">
        <v>1452</v>
      </c>
      <c r="I603" s="10" t="s">
        <v>1451</v>
      </c>
      <c r="J603" s="11" t="s">
        <v>33</v>
      </c>
      <c r="K603" s="18">
        <v>87000</v>
      </c>
      <c r="L603" s="12">
        <f t="shared" si="64"/>
        <v>108800</v>
      </c>
      <c r="M603" s="8">
        <v>1</v>
      </c>
      <c r="N603" s="8" t="s">
        <v>27</v>
      </c>
      <c r="O603" s="13"/>
      <c r="P603" s="14">
        <v>0</v>
      </c>
      <c r="Q603" s="15">
        <v>0.2</v>
      </c>
      <c r="R603" s="16" t="str">
        <f t="shared" si="65"/>
        <v>COLMENA</v>
      </c>
      <c r="S603" s="17"/>
      <c r="T603" s="10" t="str">
        <f t="shared" si="66"/>
        <v>TUBO DE 3" EMT, 3 METROS DE LARGO.</v>
      </c>
    </row>
    <row r="604" spans="1:20" ht="27" customHeight="1" x14ac:dyDescent="0.25">
      <c r="A604" s="8" t="s">
        <v>59</v>
      </c>
      <c r="B604" s="9"/>
      <c r="C604" s="9"/>
      <c r="D604" s="8"/>
      <c r="E604" s="8"/>
      <c r="F604" s="8" t="s">
        <v>22</v>
      </c>
      <c r="G604" s="10" t="s">
        <v>1354</v>
      </c>
      <c r="H604" s="8" t="s">
        <v>1453</v>
      </c>
      <c r="I604" s="10" t="s">
        <v>1354</v>
      </c>
      <c r="J604" s="11" t="s">
        <v>33</v>
      </c>
      <c r="K604" s="18">
        <v>10400</v>
      </c>
      <c r="L604" s="12">
        <f t="shared" si="64"/>
        <v>13000</v>
      </c>
      <c r="M604" s="8">
        <v>1</v>
      </c>
      <c r="N604" s="8" t="s">
        <v>27</v>
      </c>
      <c r="O604" s="13"/>
      <c r="P604" s="14">
        <v>0</v>
      </c>
      <c r="Q604" s="15">
        <v>0.2</v>
      </c>
      <c r="R604" s="16" t="str">
        <f t="shared" si="65"/>
        <v>COLMENA</v>
      </c>
      <c r="S604" s="17"/>
      <c r="T604" s="10" t="str">
        <f t="shared" si="66"/>
        <v>TERMINAL DE 1/2 PULGADA PARA TUBO EMT</v>
      </c>
    </row>
    <row r="605" spans="1:20" ht="27" customHeight="1" x14ac:dyDescent="0.25">
      <c r="A605" s="8" t="s">
        <v>59</v>
      </c>
      <c r="B605" s="9"/>
      <c r="C605" s="9"/>
      <c r="D605" s="8"/>
      <c r="E605" s="8"/>
      <c r="F605" s="8" t="s">
        <v>22</v>
      </c>
      <c r="G605" s="10" t="s">
        <v>1454</v>
      </c>
      <c r="H605" s="8" t="s">
        <v>1455</v>
      </c>
      <c r="I605" s="10" t="s">
        <v>1454</v>
      </c>
      <c r="J605" s="11" t="s">
        <v>33</v>
      </c>
      <c r="K605" s="18">
        <v>41300</v>
      </c>
      <c r="L605" s="12">
        <f t="shared" si="64"/>
        <v>51700</v>
      </c>
      <c r="M605" s="8">
        <v>1</v>
      </c>
      <c r="N605" s="8" t="s">
        <v>27</v>
      </c>
      <c r="O605" s="13"/>
      <c r="P605" s="14">
        <v>0</v>
      </c>
      <c r="Q605" s="15">
        <v>0.2</v>
      </c>
      <c r="R605" s="16" t="str">
        <f t="shared" si="65"/>
        <v>COLMENA</v>
      </c>
      <c r="S605" s="17"/>
      <c r="T605" s="10" t="str">
        <f t="shared" si="66"/>
        <v>TUBO DE 1.5" EMT, 3 METROS DE LARGO.</v>
      </c>
    </row>
    <row r="606" spans="1:20" ht="27" customHeight="1" x14ac:dyDescent="0.25">
      <c r="A606" s="8" t="s">
        <v>59</v>
      </c>
      <c r="B606" s="9"/>
      <c r="C606" s="9"/>
      <c r="D606" s="8"/>
      <c r="E606" s="8"/>
      <c r="F606" s="8" t="s">
        <v>22</v>
      </c>
      <c r="G606" s="10" t="s">
        <v>1456</v>
      </c>
      <c r="H606" s="8" t="s">
        <v>1457</v>
      </c>
      <c r="I606" s="10" t="s">
        <v>1456</v>
      </c>
      <c r="J606" s="11" t="s">
        <v>33</v>
      </c>
      <c r="K606" s="18">
        <v>2600</v>
      </c>
      <c r="L606" s="12">
        <f t="shared" si="64"/>
        <v>3300</v>
      </c>
      <c r="M606" s="8">
        <v>1</v>
      </c>
      <c r="N606" s="8" t="s">
        <v>27</v>
      </c>
      <c r="O606" s="13"/>
      <c r="P606" s="14">
        <v>0</v>
      </c>
      <c r="Q606" s="15">
        <v>0.2</v>
      </c>
      <c r="R606" s="16" t="str">
        <f t="shared" si="65"/>
        <v>COLMENA</v>
      </c>
      <c r="S606" s="17"/>
      <c r="T606" s="10" t="str">
        <f t="shared" si="66"/>
        <v>TERMINAL DE 1 Y1/2 PULGADA PARA TUBO EMT</v>
      </c>
    </row>
    <row r="607" spans="1:20" ht="27" customHeight="1" x14ac:dyDescent="0.25">
      <c r="A607" s="8" t="s">
        <v>59</v>
      </c>
      <c r="B607" s="9"/>
      <c r="C607" s="9"/>
      <c r="D607" s="8"/>
      <c r="E607" s="8"/>
      <c r="F607" s="8" t="s">
        <v>22</v>
      </c>
      <c r="G607" s="10" t="s">
        <v>1458</v>
      </c>
      <c r="H607" s="8" t="s">
        <v>1459</v>
      </c>
      <c r="I607" s="10" t="s">
        <v>1458</v>
      </c>
      <c r="J607" s="11" t="s">
        <v>33</v>
      </c>
      <c r="K607" s="18">
        <v>2600</v>
      </c>
      <c r="L607" s="12">
        <f t="shared" si="64"/>
        <v>3300</v>
      </c>
      <c r="M607" s="8">
        <v>1</v>
      </c>
      <c r="N607" s="8" t="s">
        <v>27</v>
      </c>
      <c r="O607" s="13"/>
      <c r="P607" s="14">
        <v>0</v>
      </c>
      <c r="Q607" s="15">
        <v>0.2</v>
      </c>
      <c r="R607" s="16" t="str">
        <f t="shared" si="65"/>
        <v>COLMENA</v>
      </c>
      <c r="S607" s="17"/>
      <c r="T607" s="10" t="str">
        <f t="shared" si="66"/>
        <v>UNIÓN DE 1 Y1/2 PULGADA PARA TUBO EMT</v>
      </c>
    </row>
    <row r="608" spans="1:20" ht="27" customHeight="1" x14ac:dyDescent="0.25">
      <c r="A608" s="8" t="s">
        <v>59</v>
      </c>
      <c r="B608" s="9"/>
      <c r="C608" s="9"/>
      <c r="D608" s="8" t="s">
        <v>45</v>
      </c>
      <c r="E608" s="8"/>
      <c r="F608" s="8" t="s">
        <v>22</v>
      </c>
      <c r="G608" s="10" t="s">
        <v>1460</v>
      </c>
      <c r="H608" s="8" t="s">
        <v>1461</v>
      </c>
      <c r="I608" s="10" t="s">
        <v>1460</v>
      </c>
      <c r="J608" s="11" t="s">
        <v>33</v>
      </c>
      <c r="K608" s="18">
        <v>2000</v>
      </c>
      <c r="L608" s="12">
        <f>ROUNDUP(K608*(1+P608)/(1-Q608),0)</f>
        <v>2858</v>
      </c>
      <c r="M608" s="8">
        <v>1</v>
      </c>
      <c r="N608" s="8" t="s">
        <v>27</v>
      </c>
      <c r="O608" s="13"/>
      <c r="P608" s="14">
        <v>0</v>
      </c>
      <c r="Q608" s="15">
        <v>0.3</v>
      </c>
      <c r="R608" s="16" t="str">
        <f t="shared" si="65"/>
        <v>COLMENA</v>
      </c>
      <c r="S608" s="17"/>
      <c r="T608" s="10" t="str">
        <f t="shared" si="66"/>
        <v>CURVA EMT DE 3/4"</v>
      </c>
    </row>
    <row r="609" spans="1:20" ht="27" customHeight="1" x14ac:dyDescent="0.25">
      <c r="A609" s="8" t="s">
        <v>59</v>
      </c>
      <c r="B609" s="9"/>
      <c r="C609" s="9"/>
      <c r="D609" s="8" t="s">
        <v>45</v>
      </c>
      <c r="E609" s="8"/>
      <c r="F609" s="8" t="s">
        <v>22</v>
      </c>
      <c r="G609" s="10" t="s">
        <v>1462</v>
      </c>
      <c r="H609" s="8" t="s">
        <v>1463</v>
      </c>
      <c r="I609" s="10" t="s">
        <v>1462</v>
      </c>
      <c r="J609" s="11" t="s">
        <v>33</v>
      </c>
      <c r="K609" s="18">
        <v>1000</v>
      </c>
      <c r="L609" s="12">
        <f>ROUNDUP(K609*(1+P609)/(1-Q609),0)</f>
        <v>1667</v>
      </c>
      <c r="M609" s="8">
        <v>1</v>
      </c>
      <c r="N609" s="8" t="s">
        <v>27</v>
      </c>
      <c r="O609" s="13"/>
      <c r="P609" s="14">
        <v>0</v>
      </c>
      <c r="Q609" s="15">
        <v>0.4</v>
      </c>
      <c r="R609" s="16" t="str">
        <f t="shared" si="65"/>
        <v>COLMENA</v>
      </c>
      <c r="S609" s="17"/>
      <c r="T609" s="10" t="str">
        <f t="shared" ref="T609:T621" si="67">G609</f>
        <v>CURVA EMT DE 1/2"</v>
      </c>
    </row>
    <row r="610" spans="1:20" ht="27" customHeight="1" x14ac:dyDescent="0.25">
      <c r="A610" s="8" t="s">
        <v>59</v>
      </c>
      <c r="B610" s="9"/>
      <c r="C610" s="9"/>
      <c r="D610" s="8"/>
      <c r="E610" s="8"/>
      <c r="F610" s="8" t="s">
        <v>22</v>
      </c>
      <c r="G610" s="10" t="s">
        <v>1358</v>
      </c>
      <c r="H610" s="8" t="s">
        <v>1464</v>
      </c>
      <c r="I610" s="10" t="s">
        <v>1465</v>
      </c>
      <c r="J610" s="11" t="s">
        <v>33</v>
      </c>
      <c r="K610" s="18">
        <v>6302</v>
      </c>
      <c r="L610" s="12">
        <f>IF(J610="P",ROUNDUP(K610/(1-Q610),-2),K610*(1+P610)/(1-Q610))</f>
        <v>10600</v>
      </c>
      <c r="M610" s="8">
        <v>1</v>
      </c>
      <c r="N610" s="8" t="s">
        <v>27</v>
      </c>
      <c r="O610" s="13"/>
      <c r="P610" s="14">
        <v>0.2</v>
      </c>
      <c r="Q610" s="15">
        <v>0.4</v>
      </c>
      <c r="R610" s="16" t="str">
        <f t="shared" si="65"/>
        <v>COLMENA</v>
      </c>
      <c r="S610" s="17"/>
      <c r="T610" s="10" t="str">
        <f t="shared" si="67"/>
        <v>CURVA PARA TUBO EMT DE 1 Y 1/4 DE PULGADA</v>
      </c>
    </row>
    <row r="611" spans="1:20" ht="27" customHeight="1" x14ac:dyDescent="0.25">
      <c r="A611" s="8" t="s">
        <v>1466</v>
      </c>
      <c r="B611" s="9"/>
      <c r="C611" s="9"/>
      <c r="D611" s="8"/>
      <c r="E611" s="8"/>
      <c r="F611" s="8" t="s">
        <v>22</v>
      </c>
      <c r="G611" s="10" t="s">
        <v>1467</v>
      </c>
      <c r="H611" s="8" t="s">
        <v>1468</v>
      </c>
      <c r="I611" s="10" t="s">
        <v>1467</v>
      </c>
      <c r="J611" s="11" t="s">
        <v>33</v>
      </c>
      <c r="K611" s="18">
        <v>990000</v>
      </c>
      <c r="L611" s="12">
        <f>IF(J611="P",ROUNDUP(K611/(1-Q611),-2),K611*(1+P611)/(1-Q611))</f>
        <v>1414300</v>
      </c>
      <c r="M611" s="8">
        <v>1</v>
      </c>
      <c r="N611" s="8" t="s">
        <v>27</v>
      </c>
      <c r="O611" s="13"/>
      <c r="P611" s="14">
        <v>0</v>
      </c>
      <c r="Q611" s="15">
        <v>0.3</v>
      </c>
      <c r="R611" s="16" t="str">
        <f t="shared" si="65"/>
        <v>COMMAX</v>
      </c>
      <c r="S611" s="17"/>
      <c r="T611" s="10" t="str">
        <f t="shared" si="67"/>
        <v>CHAPA CON CUATRO TARJETAS RFID, CLAVE DE 4 DÍGITOS, LLAVE Y HUELLA DIGITAL.</v>
      </c>
    </row>
    <row r="612" spans="1:20" ht="27" customHeight="1" x14ac:dyDescent="0.25">
      <c r="A612" s="8" t="s">
        <v>1469</v>
      </c>
      <c r="B612" s="9"/>
      <c r="C612" s="9"/>
      <c r="D612" s="8" t="s">
        <v>45</v>
      </c>
      <c r="E612" s="8"/>
      <c r="F612" s="8" t="s">
        <v>22</v>
      </c>
      <c r="G612" s="10" t="str">
        <f>B612&amp;"-"&amp;D612&amp;"-"&amp;E612&amp;F612</f>
        <v>-PROG_-BLANCO</v>
      </c>
      <c r="H612" s="8" t="s">
        <v>1470</v>
      </c>
      <c r="I612" s="10" t="s">
        <v>1471</v>
      </c>
      <c r="J612" s="11" t="s">
        <v>26</v>
      </c>
      <c r="K612" s="18">
        <v>160</v>
      </c>
      <c r="L612" s="12">
        <f>K612*(1+P612)/(1-Q612)</f>
        <v>228.57142857142858</v>
      </c>
      <c r="M612" s="8">
        <v>1</v>
      </c>
      <c r="N612" s="8" t="s">
        <v>27</v>
      </c>
      <c r="O612" s="13"/>
      <c r="P612" s="14">
        <v>0</v>
      </c>
      <c r="Q612" s="15">
        <v>0.3</v>
      </c>
      <c r="R612" s="16" t="str">
        <f t="shared" si="65"/>
        <v>COMMUNITY</v>
      </c>
      <c r="S612" s="17"/>
      <c r="T612" s="10" t="str">
        <f t="shared" si="67"/>
        <v>-PROG_-BLANCO</v>
      </c>
    </row>
    <row r="613" spans="1:20" ht="27" customHeight="1" x14ac:dyDescent="0.25">
      <c r="A613" s="8" t="s">
        <v>1472</v>
      </c>
      <c r="B613" s="9"/>
      <c r="C613" s="9"/>
      <c r="D613" s="8" t="s">
        <v>45</v>
      </c>
      <c r="E613" s="8"/>
      <c r="F613" s="8" t="s">
        <v>22</v>
      </c>
      <c r="G613" s="10" t="s">
        <v>1473</v>
      </c>
      <c r="H613" s="8" t="s">
        <v>1474</v>
      </c>
      <c r="I613" s="10" t="s">
        <v>1473</v>
      </c>
      <c r="J613" s="11" t="s">
        <v>33</v>
      </c>
      <c r="K613" s="18">
        <v>3000</v>
      </c>
      <c r="L613" s="12">
        <f t="shared" ref="L613:L621" si="68">IF(J613="P",ROUNDUP(K613/(1-Q613),-2),K613*(1+P613)/(1-Q613))</f>
        <v>6000</v>
      </c>
      <c r="M613" s="8">
        <v>1</v>
      </c>
      <c r="N613" s="8" t="s">
        <v>27</v>
      </c>
      <c r="O613" s="13"/>
      <c r="P613" s="14">
        <v>0</v>
      </c>
      <c r="Q613" s="15">
        <v>0.5</v>
      </c>
      <c r="R613" s="16" t="str">
        <f t="shared" si="65"/>
        <v>CONDU</v>
      </c>
      <c r="S613" s="17"/>
      <c r="T613" s="10" t="str">
        <f t="shared" si="67"/>
        <v>TROQUEL SENCILLO PARA CANALETA 10X10 EN FORMATO UNIVERSAL</v>
      </c>
    </row>
    <row r="614" spans="1:20" ht="27" customHeight="1" x14ac:dyDescent="0.25">
      <c r="A614" s="8" t="s">
        <v>1472</v>
      </c>
      <c r="B614" s="9"/>
      <c r="C614" s="9"/>
      <c r="D614" s="8" t="s">
        <v>45</v>
      </c>
      <c r="E614" s="8"/>
      <c r="F614" s="8" t="s">
        <v>22</v>
      </c>
      <c r="G614" s="10" t="s">
        <v>1475</v>
      </c>
      <c r="H614" s="8" t="s">
        <v>1476</v>
      </c>
      <c r="I614" s="10" t="s">
        <v>1475</v>
      </c>
      <c r="J614" s="11" t="s">
        <v>33</v>
      </c>
      <c r="K614" s="18">
        <v>3000</v>
      </c>
      <c r="L614" s="12">
        <f t="shared" si="68"/>
        <v>4300</v>
      </c>
      <c r="M614" s="8">
        <v>1</v>
      </c>
      <c r="N614" s="8" t="s">
        <v>27</v>
      </c>
      <c r="O614" s="13"/>
      <c r="P614" s="14">
        <v>0</v>
      </c>
      <c r="Q614" s="15">
        <v>0.3</v>
      </c>
      <c r="R614" s="16" t="str">
        <f t="shared" si="65"/>
        <v>CONDU</v>
      </c>
      <c r="S614" s="17"/>
      <c r="T614" s="10" t="str">
        <f t="shared" si="67"/>
        <v>TROQUEL SENCILLO PARA CANALETA 10X10 EN FORMATO SALIDA TOMA ELÉCTRICA</v>
      </c>
    </row>
    <row r="615" spans="1:20" ht="27" customHeight="1" x14ac:dyDescent="0.25">
      <c r="A615" s="8" t="s">
        <v>1472</v>
      </c>
      <c r="B615" s="9"/>
      <c r="C615" s="9"/>
      <c r="D615" s="8" t="s">
        <v>45</v>
      </c>
      <c r="E615" s="8"/>
      <c r="F615" s="8" t="s">
        <v>22</v>
      </c>
      <c r="G615" s="10" t="s">
        <v>1477</v>
      </c>
      <c r="H615" s="8" t="s">
        <v>1478</v>
      </c>
      <c r="I615" s="10" t="s">
        <v>1477</v>
      </c>
      <c r="J615" s="11" t="s">
        <v>33</v>
      </c>
      <c r="K615" s="18">
        <v>25000</v>
      </c>
      <c r="L615" s="12">
        <f t="shared" si="68"/>
        <v>45500</v>
      </c>
      <c r="M615" s="8">
        <v>1</v>
      </c>
      <c r="N615" s="8" t="s">
        <v>27</v>
      </c>
      <c r="O615" s="13"/>
      <c r="P615" s="14">
        <v>0</v>
      </c>
      <c r="Q615" s="15">
        <v>0.45</v>
      </c>
      <c r="R615" s="16" t="str">
        <f t="shared" si="65"/>
        <v>CONDU</v>
      </c>
      <c r="S615" s="17"/>
      <c r="T615" s="10" t="str">
        <f t="shared" si="67"/>
        <v>CANALETA METÁLICA DE 2 METROS X 10CM.</v>
      </c>
    </row>
    <row r="616" spans="1:20" ht="27" customHeight="1" x14ac:dyDescent="0.25">
      <c r="A616" s="8" t="s">
        <v>1479</v>
      </c>
      <c r="B616" s="9"/>
      <c r="C616" s="9"/>
      <c r="D616" s="8"/>
      <c r="E616" s="8"/>
      <c r="F616" s="8" t="s">
        <v>22</v>
      </c>
      <c r="G616" s="10" t="s">
        <v>1480</v>
      </c>
      <c r="H616" s="8" t="s">
        <v>1481</v>
      </c>
      <c r="I616" s="10" t="s">
        <v>1480</v>
      </c>
      <c r="J616" s="11" t="s">
        <v>33</v>
      </c>
      <c r="K616" s="18">
        <v>8000</v>
      </c>
      <c r="L616" s="12">
        <f t="shared" si="68"/>
        <v>13400</v>
      </c>
      <c r="M616" s="8">
        <v>1</v>
      </c>
      <c r="N616" s="8" t="s">
        <v>110</v>
      </c>
      <c r="O616" s="13" t="e">
        <f>#REF!</f>
        <v>#REF!</v>
      </c>
      <c r="P616" s="14">
        <v>0.2</v>
      </c>
      <c r="Q616" s="15">
        <v>0.4</v>
      </c>
      <c r="R616" s="16" t="str">
        <f t="shared" si="65"/>
        <v>CONDULETA</v>
      </c>
      <c r="S616" s="17"/>
      <c r="T616" s="10" t="str">
        <f t="shared" si="67"/>
        <v>METRO DE TUBO GALVANIZADO DE 3/4 DE PULGADA</v>
      </c>
    </row>
    <row r="617" spans="1:20" ht="27" customHeight="1" x14ac:dyDescent="0.25">
      <c r="A617" s="8" t="s">
        <v>1479</v>
      </c>
      <c r="B617" s="9"/>
      <c r="C617" s="9"/>
      <c r="D617" s="8"/>
      <c r="E617" s="8"/>
      <c r="F617" s="8" t="s">
        <v>22</v>
      </c>
      <c r="G617" s="10" t="s">
        <v>1482</v>
      </c>
      <c r="H617" s="8" t="s">
        <v>1483</v>
      </c>
      <c r="I617" s="10" t="s">
        <v>1482</v>
      </c>
      <c r="J617" s="11" t="s">
        <v>33</v>
      </c>
      <c r="K617" s="18">
        <v>7000</v>
      </c>
      <c r="L617" s="12">
        <f t="shared" si="68"/>
        <v>11700</v>
      </c>
      <c r="M617" s="8">
        <v>1</v>
      </c>
      <c r="N617" s="8" t="s">
        <v>27</v>
      </c>
      <c r="O617" s="13" t="e">
        <f>#REF!</f>
        <v>#REF!</v>
      </c>
      <c r="P617" s="14">
        <v>0.2</v>
      </c>
      <c r="Q617" s="15">
        <v>0.4</v>
      </c>
      <c r="R617" s="16" t="str">
        <f t="shared" si="65"/>
        <v>CONDULETA</v>
      </c>
      <c r="S617" s="17"/>
      <c r="T617" s="10" t="str">
        <f t="shared" si="67"/>
        <v>CONDULETA DE DERIVACIÓN EN T, PARA TUBERÍA 3/4.</v>
      </c>
    </row>
    <row r="618" spans="1:20" ht="27" customHeight="1" x14ac:dyDescent="0.25">
      <c r="A618" s="8" t="s">
        <v>1479</v>
      </c>
      <c r="B618" s="9"/>
      <c r="C618" s="9"/>
      <c r="D618" s="8"/>
      <c r="E618" s="8"/>
      <c r="F618" s="8" t="s">
        <v>22</v>
      </c>
      <c r="G618" s="10" t="s">
        <v>1484</v>
      </c>
      <c r="H618" s="8" t="s">
        <v>1485</v>
      </c>
      <c r="I618" s="10" t="s">
        <v>1484</v>
      </c>
      <c r="J618" s="11" t="s">
        <v>33</v>
      </c>
      <c r="K618" s="18">
        <v>6500</v>
      </c>
      <c r="L618" s="12">
        <f t="shared" si="68"/>
        <v>10900</v>
      </c>
      <c r="M618" s="8">
        <v>1</v>
      </c>
      <c r="N618" s="8" t="s">
        <v>27</v>
      </c>
      <c r="O618" s="13" t="e">
        <f>#REF!</f>
        <v>#REF!</v>
      </c>
      <c r="P618" s="14">
        <v>0.2</v>
      </c>
      <c r="Q618" s="15">
        <v>0.4</v>
      </c>
      <c r="R618" s="16" t="str">
        <f t="shared" si="65"/>
        <v>CONDULETA</v>
      </c>
      <c r="S618" s="17"/>
      <c r="T618" s="10" t="str">
        <f t="shared" si="67"/>
        <v>CONDULETA DE UNIÓN, PARA TUBERÍA 3/4.</v>
      </c>
    </row>
    <row r="619" spans="1:20" ht="27" customHeight="1" x14ac:dyDescent="0.25">
      <c r="A619" s="8" t="s">
        <v>1479</v>
      </c>
      <c r="B619" s="9"/>
      <c r="C619" s="9"/>
      <c r="D619" s="8"/>
      <c r="E619" s="8"/>
      <c r="F619" s="8" t="s">
        <v>22</v>
      </c>
      <c r="G619" s="10" t="s">
        <v>1486</v>
      </c>
      <c r="H619" s="8" t="s">
        <v>1487</v>
      </c>
      <c r="I619" s="10" t="s">
        <v>1486</v>
      </c>
      <c r="J619" s="11" t="s">
        <v>33</v>
      </c>
      <c r="K619" s="18">
        <v>7000</v>
      </c>
      <c r="L619" s="12">
        <f t="shared" si="68"/>
        <v>11700</v>
      </c>
      <c r="M619" s="8">
        <v>1</v>
      </c>
      <c r="N619" s="8" t="s">
        <v>27</v>
      </c>
      <c r="O619" s="13" t="e">
        <f>#REF!</f>
        <v>#REF!</v>
      </c>
      <c r="P619" s="14">
        <v>0.2</v>
      </c>
      <c r="Q619" s="15">
        <v>0.4</v>
      </c>
      <c r="R619" s="16" t="str">
        <f t="shared" si="65"/>
        <v>CONDULETA</v>
      </c>
      <c r="S619" s="17"/>
      <c r="T619" s="10" t="str">
        <f t="shared" si="67"/>
        <v>CONDULETA EN GIRO DE 90 GRADOS, PARA TUBERÍA 3/4.</v>
      </c>
    </row>
    <row r="620" spans="1:20" ht="27" customHeight="1" x14ac:dyDescent="0.25">
      <c r="A620" s="8" t="s">
        <v>1479</v>
      </c>
      <c r="B620" s="9"/>
      <c r="C620" s="9"/>
      <c r="D620" s="8"/>
      <c r="E620" s="8"/>
      <c r="F620" s="8" t="s">
        <v>22</v>
      </c>
      <c r="G620" s="10" t="s">
        <v>1488</v>
      </c>
      <c r="H620" s="8" t="s">
        <v>1489</v>
      </c>
      <c r="I620" s="10" t="s">
        <v>1488</v>
      </c>
      <c r="J620" s="11" t="s">
        <v>33</v>
      </c>
      <c r="K620" s="18">
        <v>3500</v>
      </c>
      <c r="L620" s="12">
        <f t="shared" si="68"/>
        <v>5900</v>
      </c>
      <c r="M620" s="8">
        <v>1</v>
      </c>
      <c r="N620" s="8" t="s">
        <v>27</v>
      </c>
      <c r="O620" s="13" t="e">
        <f>#REF!</f>
        <v>#REF!</v>
      </c>
      <c r="P620" s="14">
        <v>0.2</v>
      </c>
      <c r="Q620" s="15">
        <v>0.4</v>
      </c>
      <c r="R620" s="16" t="str">
        <f t="shared" si="65"/>
        <v>CONDULETA</v>
      </c>
      <c r="S620" s="17"/>
      <c r="T620" s="10" t="str">
        <f t="shared" si="67"/>
        <v>CURVA GALVANIZADA</v>
      </c>
    </row>
    <row r="621" spans="1:20" ht="27" customHeight="1" x14ac:dyDescent="0.25">
      <c r="A621" s="8" t="s">
        <v>1479</v>
      </c>
      <c r="B621" s="9"/>
      <c r="C621" s="9"/>
      <c r="D621" s="8"/>
      <c r="E621" s="8"/>
      <c r="F621" s="8" t="s">
        <v>22</v>
      </c>
      <c r="G621" s="10" t="s">
        <v>1490</v>
      </c>
      <c r="H621" s="8" t="s">
        <v>1491</v>
      </c>
      <c r="I621" s="10" t="s">
        <v>1490</v>
      </c>
      <c r="J621" s="11" t="s">
        <v>33</v>
      </c>
      <c r="K621" s="18">
        <v>2300</v>
      </c>
      <c r="L621" s="12">
        <f t="shared" si="68"/>
        <v>3900</v>
      </c>
      <c r="M621" s="8">
        <v>1</v>
      </c>
      <c r="N621" s="8" t="s">
        <v>27</v>
      </c>
      <c r="O621" s="13" t="e">
        <f>#REF!</f>
        <v>#REF!</v>
      </c>
      <c r="P621" s="14">
        <v>0.2</v>
      </c>
      <c r="Q621" s="15">
        <v>0.4</v>
      </c>
      <c r="R621" s="16" t="str">
        <f t="shared" si="65"/>
        <v>CONDULETA</v>
      </c>
      <c r="S621" s="17"/>
      <c r="T621" s="10" t="str">
        <f t="shared" si="67"/>
        <v>GRAPA METÁLICA AJUSTABLE</v>
      </c>
    </row>
    <row r="622" spans="1:20" ht="27" customHeight="1" x14ac:dyDescent="0.25">
      <c r="A622" s="8" t="s">
        <v>38</v>
      </c>
      <c r="B622" s="9"/>
      <c r="C622" s="9"/>
      <c r="D622" s="8"/>
      <c r="E622" s="8"/>
      <c r="F622" s="8"/>
      <c r="G622" s="10"/>
      <c r="H622" s="8" t="s">
        <v>1492</v>
      </c>
      <c r="I622" s="10" t="s">
        <v>1493</v>
      </c>
      <c r="J622" s="11" t="s">
        <v>26</v>
      </c>
      <c r="K622" s="18">
        <v>529</v>
      </c>
      <c r="L622" s="12">
        <f>K622*(1+P622)/(1-Q622)</f>
        <v>705.33333333333337</v>
      </c>
      <c r="M622" s="8">
        <v>1</v>
      </c>
      <c r="N622" s="8" t="s">
        <v>27</v>
      </c>
      <c r="O622" s="13"/>
      <c r="P622" s="14">
        <v>0</v>
      </c>
      <c r="Q622" s="15">
        <v>0.25</v>
      </c>
      <c r="R622" s="16" t="str">
        <f t="shared" si="65"/>
        <v>CONTROL4</v>
      </c>
      <c r="S622" s="17"/>
      <c r="T622" s="10"/>
    </row>
    <row r="623" spans="1:20" ht="27" customHeight="1" x14ac:dyDescent="0.25">
      <c r="A623" s="8" t="s">
        <v>38</v>
      </c>
      <c r="B623" s="9"/>
      <c r="C623" s="9"/>
      <c r="D623" s="8"/>
      <c r="E623" s="8"/>
      <c r="F623" s="8"/>
      <c r="G623" s="10"/>
      <c r="H623" s="8" t="s">
        <v>1494</v>
      </c>
      <c r="I623" s="10" t="s">
        <v>1495</v>
      </c>
      <c r="J623" s="11" t="s">
        <v>26</v>
      </c>
      <c r="K623" s="18">
        <v>276</v>
      </c>
      <c r="L623" s="12">
        <f>K623*(1+P623)/(1-Q623)</f>
        <v>527.30525778098138</v>
      </c>
      <c r="M623" s="8">
        <v>1</v>
      </c>
      <c r="N623" s="8" t="s">
        <v>27</v>
      </c>
      <c r="O623" s="13"/>
      <c r="P623" s="14">
        <v>0.2</v>
      </c>
      <c r="Q623" s="15">
        <v>0.37190082004157571</v>
      </c>
      <c r="R623" s="16" t="str">
        <f t="shared" si="65"/>
        <v>CONTROL4</v>
      </c>
      <c r="S623" s="17"/>
      <c r="T623" s="10"/>
    </row>
    <row r="624" spans="1:20" ht="27" customHeight="1" x14ac:dyDescent="0.25">
      <c r="A624" s="8" t="s">
        <v>38</v>
      </c>
      <c r="B624" s="9"/>
      <c r="C624" s="9"/>
      <c r="D624" s="8"/>
      <c r="E624" s="8"/>
      <c r="F624" s="8"/>
      <c r="G624" s="10"/>
      <c r="H624" s="8" t="s">
        <v>1496</v>
      </c>
      <c r="I624" s="10" t="s">
        <v>1497</v>
      </c>
      <c r="J624" s="11" t="s">
        <v>26</v>
      </c>
      <c r="K624" s="18">
        <v>1134</v>
      </c>
      <c r="L624" s="12">
        <f>ROUNDUP(K624*(1+P624)/(1-Q624),0)</f>
        <v>1890</v>
      </c>
      <c r="M624" s="8">
        <v>1</v>
      </c>
      <c r="N624" s="8" t="s">
        <v>27</v>
      </c>
      <c r="O624" s="13"/>
      <c r="P624" s="14">
        <v>0</v>
      </c>
      <c r="Q624" s="15">
        <v>0.4</v>
      </c>
      <c r="R624" s="16" t="str">
        <f t="shared" si="65"/>
        <v>CONTROL4</v>
      </c>
      <c r="S624" s="17"/>
      <c r="T624" s="10"/>
    </row>
    <row r="625" spans="1:20" ht="27" customHeight="1" x14ac:dyDescent="0.25">
      <c r="A625" s="8" t="s">
        <v>38</v>
      </c>
      <c r="B625" s="9"/>
      <c r="C625" s="9"/>
      <c r="D625" s="8"/>
      <c r="E625" s="8"/>
      <c r="F625" s="8"/>
      <c r="G625" s="10"/>
      <c r="H625" s="8" t="s">
        <v>1498</v>
      </c>
      <c r="I625" s="10" t="s">
        <v>1499</v>
      </c>
      <c r="J625" s="11" t="s">
        <v>26</v>
      </c>
      <c r="K625" s="18">
        <v>1984</v>
      </c>
      <c r="L625" s="12">
        <f>IF(J625="P",ROUNDUP(K625/(1-Q625),-2),K625*(1+P625)/(1-Q625))</f>
        <v>2834.2857142857147</v>
      </c>
      <c r="M625" s="8">
        <v>1</v>
      </c>
      <c r="N625" s="8" t="s">
        <v>27</v>
      </c>
      <c r="O625" s="13">
        <f>F625</f>
        <v>0</v>
      </c>
      <c r="P625" s="14">
        <v>0</v>
      </c>
      <c r="Q625" s="15">
        <v>0.3</v>
      </c>
      <c r="R625" s="16" t="str">
        <f t="shared" si="65"/>
        <v>CONTROL4</v>
      </c>
      <c r="S625" s="17"/>
      <c r="T625" s="10"/>
    </row>
    <row r="626" spans="1:20" ht="27" customHeight="1" x14ac:dyDescent="0.25">
      <c r="A626" s="8" t="s">
        <v>1500</v>
      </c>
      <c r="B626" s="9"/>
      <c r="C626" s="9"/>
      <c r="D626" s="8"/>
      <c r="E626" s="8"/>
      <c r="F626" s="8" t="s">
        <v>22</v>
      </c>
      <c r="G626" s="10" t="s">
        <v>1501</v>
      </c>
      <c r="H626" s="8" t="s">
        <v>1502</v>
      </c>
      <c r="I626" s="10" t="s">
        <v>1501</v>
      </c>
      <c r="J626" s="11" t="s">
        <v>33</v>
      </c>
      <c r="K626" s="18">
        <v>150000</v>
      </c>
      <c r="L626" s="12">
        <f>IF(J626="P",ROUNDUP(K626/(1-Q626),-2),K626*(1+P626)/(1-Q626))</f>
        <v>200000</v>
      </c>
      <c r="M626" s="8">
        <v>1</v>
      </c>
      <c r="N626" s="8" t="s">
        <v>27</v>
      </c>
      <c r="O626" s="13"/>
      <c r="P626" s="14">
        <v>0.2</v>
      </c>
      <c r="Q626" s="15">
        <v>0.25</v>
      </c>
      <c r="R626" s="16" t="str">
        <f t="shared" si="65"/>
        <v>CORNERED</v>
      </c>
      <c r="S626" s="17"/>
      <c r="T626" s="10" t="str">
        <f>G626</f>
        <v>ALTAVOZ DE 30 VATIOS RMS, 8 OHM. RESPUESTA EN FRECUENCIA 140-20.000 Hz.</v>
      </c>
    </row>
    <row r="627" spans="1:20" ht="27" customHeight="1" x14ac:dyDescent="0.25">
      <c r="A627" s="8" t="s">
        <v>1500</v>
      </c>
      <c r="B627" s="9"/>
      <c r="C627" s="9"/>
      <c r="D627" s="8" t="s">
        <v>45</v>
      </c>
      <c r="E627" s="8"/>
      <c r="F627" s="8" t="s">
        <v>22</v>
      </c>
      <c r="G627" s="10" t="s">
        <v>1503</v>
      </c>
      <c r="H627" s="8" t="s">
        <v>1504</v>
      </c>
      <c r="I627" s="10" t="s">
        <v>1503</v>
      </c>
      <c r="J627" s="11" t="s">
        <v>33</v>
      </c>
      <c r="K627" s="18">
        <v>350000</v>
      </c>
      <c r="L627" s="12">
        <f>IF(J627="P",ROUNDUP(K627/(1-Q627),-2),K627*(1+P627)/(1-Q627))</f>
        <v>466700</v>
      </c>
      <c r="M627" s="8">
        <v>1</v>
      </c>
      <c r="N627" s="8" t="s">
        <v>27</v>
      </c>
      <c r="O627" s="13"/>
      <c r="P627" s="14">
        <v>0</v>
      </c>
      <c r="Q627" s="15">
        <v>0.25</v>
      </c>
      <c r="R627" s="16" t="str">
        <f t="shared" si="65"/>
        <v>CORNERED</v>
      </c>
      <c r="S627" s="17"/>
      <c r="T627" s="10" t="str">
        <f>G627</f>
        <v>ALTAVOZ DE SOBREPONER DE 60 VATIOS, EN COLOR NEGRO O BLANCO. TWITTER DE 4".</v>
      </c>
    </row>
    <row r="628" spans="1:20" ht="27" customHeight="1" x14ac:dyDescent="0.25">
      <c r="A628" s="8" t="s">
        <v>1505</v>
      </c>
      <c r="B628" s="9"/>
      <c r="C628" s="9"/>
      <c r="D628" s="8" t="s">
        <v>45</v>
      </c>
      <c r="E628" s="8"/>
      <c r="F628" s="8" t="s">
        <v>22</v>
      </c>
      <c r="G628" s="10" t="s">
        <v>1506</v>
      </c>
      <c r="H628" s="8" t="s">
        <v>1507</v>
      </c>
      <c r="I628" s="10" t="s">
        <v>1506</v>
      </c>
      <c r="J628" s="11" t="s">
        <v>33</v>
      </c>
      <c r="K628" s="18">
        <v>27000</v>
      </c>
      <c r="L628" s="12">
        <f>IF(J628="P",ROUNDUP(K628/(1-Q628),-2),K628*(1+P628)/(1-Q628))</f>
        <v>41600</v>
      </c>
      <c r="M628" s="8">
        <v>1</v>
      </c>
      <c r="N628" s="8" t="s">
        <v>27</v>
      </c>
      <c r="O628" s="13"/>
      <c r="P628" s="14">
        <v>0</v>
      </c>
      <c r="Q628" s="15">
        <v>0.35</v>
      </c>
      <c r="R628" s="16" t="str">
        <f t="shared" si="65"/>
        <v>CORONA</v>
      </c>
      <c r="S628" s="17"/>
      <c r="T628" s="10" t="str">
        <f>G628</f>
        <v>BULTO DE YESO</v>
      </c>
    </row>
    <row r="629" spans="1:20" ht="27" customHeight="1" x14ac:dyDescent="0.25">
      <c r="A629" s="8" t="s">
        <v>1508</v>
      </c>
      <c r="B629" s="9" t="s">
        <v>1509</v>
      </c>
      <c r="C629" s="9"/>
      <c r="D629" s="8" t="s">
        <v>94</v>
      </c>
      <c r="E629" s="8"/>
      <c r="F629" s="8" t="s">
        <v>22</v>
      </c>
      <c r="G629" s="10" t="s">
        <v>1510</v>
      </c>
      <c r="H629" s="8" t="s">
        <v>1511</v>
      </c>
      <c r="I629" s="10" t="s">
        <v>1512</v>
      </c>
      <c r="J629" s="11" t="s">
        <v>26</v>
      </c>
      <c r="K629" s="18">
        <v>18</v>
      </c>
      <c r="L629" s="12">
        <f>IF(J629="P",ROUNDUP(K629/(1-Q629),-2),K629*(1+P629)/(1-Q629))</f>
        <v>29.999999999999996</v>
      </c>
      <c r="M629" s="8">
        <v>1</v>
      </c>
      <c r="N629" s="8" t="s">
        <v>27</v>
      </c>
      <c r="O629" s="13"/>
      <c r="P629" s="14">
        <v>0.2</v>
      </c>
      <c r="Q629" s="15">
        <v>0.28000000000000003</v>
      </c>
      <c r="R629" s="16" t="str">
        <f t="shared" si="65"/>
        <v>CREE</v>
      </c>
      <c r="S629" s="17"/>
      <c r="T629" s="10" t="str">
        <f>G629</f>
        <v>TUBO LED ATENUABLE, CON CAPACIDAD DE HASTA 2800 LUMENS CON BALASTO.</v>
      </c>
    </row>
    <row r="630" spans="1:20" ht="27" customHeight="1" x14ac:dyDescent="0.25">
      <c r="A630" s="8" t="s">
        <v>1508</v>
      </c>
      <c r="B630" s="9"/>
      <c r="C630" s="9"/>
      <c r="D630" s="8" t="s">
        <v>45</v>
      </c>
      <c r="E630" s="8"/>
      <c r="F630" s="8" t="s">
        <v>22</v>
      </c>
      <c r="G630" s="10" t="s">
        <v>1513</v>
      </c>
      <c r="H630" s="8" t="s">
        <v>1514</v>
      </c>
      <c r="I630" s="10" t="s">
        <v>1513</v>
      </c>
      <c r="J630" s="11" t="s">
        <v>33</v>
      </c>
      <c r="K630" s="18">
        <v>12500</v>
      </c>
      <c r="L630" s="12">
        <f>ROUNDUP(K630*(1+P630)/(1-Q630),0)</f>
        <v>17858</v>
      </c>
      <c r="M630" s="8">
        <v>1</v>
      </c>
      <c r="N630" s="8" t="s">
        <v>27</v>
      </c>
      <c r="O630" s="13"/>
      <c r="P630" s="14">
        <v>0</v>
      </c>
      <c r="Q630" s="15">
        <v>0.3</v>
      </c>
      <c r="R630" s="16" t="str">
        <f t="shared" si="65"/>
        <v>CREE</v>
      </c>
      <c r="S630" s="17"/>
      <c r="T630" s="10" t="str">
        <f>G630</f>
        <v>REGLETA LED DE 4 VATIOS. 3000K.</v>
      </c>
    </row>
    <row r="631" spans="1:20" ht="27" customHeight="1" x14ac:dyDescent="0.25">
      <c r="A631" s="8" t="s">
        <v>1515</v>
      </c>
      <c r="B631" s="9"/>
      <c r="C631" s="9"/>
      <c r="D631" s="8"/>
      <c r="E631" s="8"/>
      <c r="F631" s="8"/>
      <c r="G631" s="10"/>
      <c r="H631" s="8" t="s">
        <v>1516</v>
      </c>
      <c r="I631" s="10" t="s">
        <v>1517</v>
      </c>
      <c r="J631" s="11" t="s">
        <v>26</v>
      </c>
      <c r="K631" s="18">
        <v>1260</v>
      </c>
      <c r="L631" s="12">
        <f t="shared" ref="L631:L636" si="69">IF(J631="P",ROUNDUP(K631/(1-Q631),-2),K631*(1+P631)/(1-Q631))</f>
        <v>2160</v>
      </c>
      <c r="M631" s="8">
        <v>1</v>
      </c>
      <c r="N631" s="8" t="s">
        <v>27</v>
      </c>
      <c r="O631" s="13"/>
      <c r="P631" s="14">
        <v>0.2</v>
      </c>
      <c r="Q631" s="15">
        <v>0.3</v>
      </c>
      <c r="R631" s="16" t="str">
        <f t="shared" si="65"/>
        <v>CRESTRON</v>
      </c>
      <c r="S631" s="17"/>
      <c r="T631" s="10">
        <f>1800*0.7</f>
        <v>1260</v>
      </c>
    </row>
    <row r="632" spans="1:20" ht="27" customHeight="1" x14ac:dyDescent="0.25">
      <c r="A632" s="8" t="s">
        <v>1515</v>
      </c>
      <c r="B632" s="9"/>
      <c r="C632" s="9"/>
      <c r="D632" s="8"/>
      <c r="E632" s="8"/>
      <c r="F632" s="8"/>
      <c r="G632" s="10"/>
      <c r="H632" s="8" t="s">
        <v>1518</v>
      </c>
      <c r="I632" s="10" t="s">
        <v>1519</v>
      </c>
      <c r="J632" s="11" t="s">
        <v>26</v>
      </c>
      <c r="K632" s="18">
        <v>81.250000000000171</v>
      </c>
      <c r="L632" s="12">
        <f t="shared" si="69"/>
        <v>139.28571428571459</v>
      </c>
      <c r="M632" s="8">
        <v>1</v>
      </c>
      <c r="N632" s="8" t="s">
        <v>27</v>
      </c>
      <c r="O632" s="13"/>
      <c r="P632" s="14">
        <v>0.2</v>
      </c>
      <c r="Q632" s="15">
        <v>0.3</v>
      </c>
      <c r="R632" s="16" t="str">
        <f t="shared" si="65"/>
        <v>CRESTRON</v>
      </c>
      <c r="S632" s="17"/>
      <c r="T632" s="10">
        <f>150*0.7</f>
        <v>105</v>
      </c>
    </row>
    <row r="633" spans="1:20" ht="27" customHeight="1" x14ac:dyDescent="0.25">
      <c r="A633" s="8" t="s">
        <v>1515</v>
      </c>
      <c r="B633" s="9"/>
      <c r="C633" s="9"/>
      <c r="D633" s="8"/>
      <c r="E633" s="8"/>
      <c r="F633" s="8"/>
      <c r="G633" s="10"/>
      <c r="H633" s="8" t="s">
        <v>1520</v>
      </c>
      <c r="I633" s="10" t="s">
        <v>1521</v>
      </c>
      <c r="J633" s="11" t="s">
        <v>26</v>
      </c>
      <c r="K633" s="18">
        <v>816.66666666666652</v>
      </c>
      <c r="L633" s="12">
        <f t="shared" si="69"/>
        <v>1399.9999999999998</v>
      </c>
      <c r="M633" s="8">
        <v>1</v>
      </c>
      <c r="N633" s="8" t="s">
        <v>27</v>
      </c>
      <c r="O633" s="13"/>
      <c r="P633" s="14">
        <v>0.2</v>
      </c>
      <c r="Q633" s="15">
        <v>0.3</v>
      </c>
      <c r="R633" s="16" t="str">
        <f t="shared" si="65"/>
        <v>CRESTRON</v>
      </c>
      <c r="S633" s="17"/>
      <c r="T633" s="10"/>
    </row>
    <row r="634" spans="1:20" ht="27" customHeight="1" x14ac:dyDescent="0.25">
      <c r="A634" s="8" t="s">
        <v>1515</v>
      </c>
      <c r="B634" s="9"/>
      <c r="C634" s="9"/>
      <c r="D634" s="8"/>
      <c r="E634" s="8"/>
      <c r="F634" s="8"/>
      <c r="G634" s="10"/>
      <c r="H634" s="8" t="s">
        <v>1522</v>
      </c>
      <c r="I634" s="10" t="s">
        <v>1523</v>
      </c>
      <c r="J634" s="11" t="s">
        <v>26</v>
      </c>
      <c r="K634" s="18">
        <v>116.6666666666667</v>
      </c>
      <c r="L634" s="12">
        <f t="shared" si="69"/>
        <v>200.00000000000006</v>
      </c>
      <c r="M634" s="8">
        <v>1</v>
      </c>
      <c r="N634" s="8" t="s">
        <v>27</v>
      </c>
      <c r="O634" s="13"/>
      <c r="P634" s="14">
        <v>0.2</v>
      </c>
      <c r="Q634" s="15">
        <v>0.3</v>
      </c>
      <c r="R634" s="16" t="str">
        <f t="shared" si="65"/>
        <v>CRESTRON</v>
      </c>
      <c r="S634" s="17"/>
      <c r="T634" s="10"/>
    </row>
    <row r="635" spans="1:20" ht="27" customHeight="1" x14ac:dyDescent="0.25">
      <c r="A635" s="8" t="s">
        <v>1524</v>
      </c>
      <c r="B635" s="9"/>
      <c r="C635" s="9"/>
      <c r="D635" s="8" t="s">
        <v>45</v>
      </c>
      <c r="E635" s="8"/>
      <c r="F635" s="8" t="s">
        <v>22</v>
      </c>
      <c r="G635" s="10" t="s">
        <v>1525</v>
      </c>
      <c r="H635" s="8" t="s">
        <v>1526</v>
      </c>
      <c r="I635" s="10" t="s">
        <v>1525</v>
      </c>
      <c r="J635" s="11" t="s">
        <v>26</v>
      </c>
      <c r="K635" s="18">
        <f>1100*0.7</f>
        <v>770</v>
      </c>
      <c r="L635" s="12">
        <f t="shared" si="69"/>
        <v>962.5</v>
      </c>
      <c r="M635" s="8">
        <v>1</v>
      </c>
      <c r="N635" s="8" t="s">
        <v>27</v>
      </c>
      <c r="O635" s="13"/>
      <c r="P635" s="14">
        <v>0</v>
      </c>
      <c r="Q635" s="15">
        <v>0.2</v>
      </c>
      <c r="R635" s="16" t="str">
        <f t="shared" si="65"/>
        <v>CROWN</v>
      </c>
      <c r="S635" s="17"/>
      <c r="T635" s="10" t="str">
        <f>G635</f>
        <v>AMPLIFICADOR DE DOS CANALES DE LÍNEA 70V CON SALIDA DE 600W</v>
      </c>
    </row>
    <row r="636" spans="1:20" ht="27" customHeight="1" x14ac:dyDescent="0.25">
      <c r="A636" s="8" t="s">
        <v>1524</v>
      </c>
      <c r="B636" s="9"/>
      <c r="C636" s="9"/>
      <c r="D636" s="8" t="s">
        <v>45</v>
      </c>
      <c r="E636" s="8"/>
      <c r="F636" s="8" t="s">
        <v>22</v>
      </c>
      <c r="G636" s="10" t="s">
        <v>1527</v>
      </c>
      <c r="H636" s="8" t="s">
        <v>1528</v>
      </c>
      <c r="I636" s="10" t="s">
        <v>1529</v>
      </c>
      <c r="J636" s="11" t="s">
        <v>26</v>
      </c>
      <c r="K636" s="18">
        <f>875*0.7</f>
        <v>612.5</v>
      </c>
      <c r="L636" s="12">
        <f t="shared" si="69"/>
        <v>875</v>
      </c>
      <c r="M636" s="8">
        <v>1</v>
      </c>
      <c r="N636" s="8" t="s">
        <v>27</v>
      </c>
      <c r="O636" s="13"/>
      <c r="P636" s="14">
        <v>0</v>
      </c>
      <c r="Q636" s="15">
        <v>0.3</v>
      </c>
      <c r="R636" s="16" t="str">
        <f t="shared" si="65"/>
        <v>CROWN</v>
      </c>
      <c r="S636" s="17"/>
      <c r="T636" s="10" t="str">
        <f>G636</f>
        <v>AMPLIFICADOR DE 5 CANALES DESBALANCEADOS A 75W.</v>
      </c>
    </row>
    <row r="637" spans="1:20" ht="27" customHeight="1" x14ac:dyDescent="0.25">
      <c r="A637" s="8" t="s">
        <v>1524</v>
      </c>
      <c r="B637" s="9"/>
      <c r="C637" s="9"/>
      <c r="D637" s="8" t="s">
        <v>45</v>
      </c>
      <c r="E637" s="8"/>
      <c r="F637" s="8" t="s">
        <v>22</v>
      </c>
      <c r="G637" s="10" t="s">
        <v>1530</v>
      </c>
      <c r="H637" s="8" t="s">
        <v>1531</v>
      </c>
      <c r="I637" s="10" t="s">
        <v>1530</v>
      </c>
      <c r="J637" s="11" t="s">
        <v>26</v>
      </c>
      <c r="K637" s="18">
        <f>1784*0.7</f>
        <v>1248.8</v>
      </c>
      <c r="L637" s="12">
        <f>ROUNDUP(K637*(1+P637)/(1-Q637),0)</f>
        <v>1784</v>
      </c>
      <c r="M637" s="8">
        <v>1</v>
      </c>
      <c r="N637" s="8" t="s">
        <v>27</v>
      </c>
      <c r="O637" s="13"/>
      <c r="P637" s="14">
        <v>0</v>
      </c>
      <c r="Q637" s="15">
        <v>0.3</v>
      </c>
      <c r="R637" s="16" t="str">
        <f t="shared" si="65"/>
        <v>CROWN</v>
      </c>
      <c r="S637" s="17"/>
      <c r="T637" s="10" t="str">
        <f>G637</f>
        <v>AMPLIFICADOR DE 8 CANALES A 150W</v>
      </c>
    </row>
    <row r="638" spans="1:20" ht="27" customHeight="1" x14ac:dyDescent="0.25">
      <c r="A638" s="8" t="s">
        <v>1524</v>
      </c>
      <c r="B638" s="9"/>
      <c r="C638" s="9"/>
      <c r="D638" s="8" t="s">
        <v>45</v>
      </c>
      <c r="E638" s="8"/>
      <c r="F638" s="8" t="s">
        <v>22</v>
      </c>
      <c r="G638" s="10" t="str">
        <f>B638&amp;"-"&amp;D638&amp;"-"&amp;E638&amp;F638</f>
        <v>-PROG_-BLANCO</v>
      </c>
      <c r="H638" s="8" t="s">
        <v>1532</v>
      </c>
      <c r="I638" s="10" t="s">
        <v>1533</v>
      </c>
      <c r="J638" s="11" t="s">
        <v>26</v>
      </c>
      <c r="K638" s="18">
        <f>2391*0.7</f>
        <v>1673.6999999999998</v>
      </c>
      <c r="L638" s="12">
        <f>K638*(1+P638)/(1-Q638)</f>
        <v>2391</v>
      </c>
      <c r="M638" s="8">
        <v>1</v>
      </c>
      <c r="N638" s="8" t="s">
        <v>27</v>
      </c>
      <c r="O638" s="13"/>
      <c r="P638" s="14">
        <v>0</v>
      </c>
      <c r="Q638" s="15">
        <v>0.3</v>
      </c>
      <c r="R638" s="16" t="str">
        <f t="shared" si="65"/>
        <v>CROWN</v>
      </c>
      <c r="S638" s="17"/>
      <c r="T638" s="10" t="str">
        <f>G638</f>
        <v>-PROG_-BLANCO</v>
      </c>
    </row>
    <row r="639" spans="1:20" ht="27" customHeight="1" x14ac:dyDescent="0.25">
      <c r="A639" s="8" t="s">
        <v>1524</v>
      </c>
      <c r="B639" s="9"/>
      <c r="C639" s="9"/>
      <c r="D639" s="8"/>
      <c r="E639" s="8"/>
      <c r="F639" s="8"/>
      <c r="G639" s="10"/>
      <c r="H639" s="8" t="s">
        <v>1534</v>
      </c>
      <c r="I639" s="10" t="s">
        <v>1535</v>
      </c>
      <c r="J639" s="11" t="s">
        <v>26</v>
      </c>
      <c r="K639" s="18">
        <v>599</v>
      </c>
      <c r="L639" s="12">
        <f>K639*(1+P639)/(1-Q639)</f>
        <v>998.33333333333337</v>
      </c>
      <c r="M639" s="8">
        <v>1</v>
      </c>
      <c r="N639" s="8" t="s">
        <v>27</v>
      </c>
      <c r="O639" s="13"/>
      <c r="P639" s="14">
        <v>0</v>
      </c>
      <c r="Q639" s="15">
        <v>0.4</v>
      </c>
      <c r="R639" s="16" t="str">
        <f t="shared" si="65"/>
        <v>CROWN</v>
      </c>
      <c r="S639" s="17"/>
      <c r="T639" s="10"/>
    </row>
    <row r="640" spans="1:20" ht="27" customHeight="1" x14ac:dyDescent="0.25">
      <c r="A640" s="8" t="s">
        <v>1536</v>
      </c>
      <c r="B640" s="9"/>
      <c r="C640" s="9"/>
      <c r="D640" s="8" t="s">
        <v>45</v>
      </c>
      <c r="E640" s="8"/>
      <c r="F640" s="8" t="s">
        <v>22</v>
      </c>
      <c r="G640" s="10" t="s">
        <v>1537</v>
      </c>
      <c r="H640" s="8" t="s">
        <v>1538</v>
      </c>
      <c r="I640" s="10" t="s">
        <v>1537</v>
      </c>
      <c r="J640" s="11" t="s">
        <v>26</v>
      </c>
      <c r="K640" s="18">
        <v>950</v>
      </c>
      <c r="L640" s="12">
        <f>ROUNDUP(K640*(1+P640)/(1-Q640),0)</f>
        <v>1358</v>
      </c>
      <c r="M640" s="8">
        <v>1</v>
      </c>
      <c r="N640" s="8" t="s">
        <v>27</v>
      </c>
      <c r="O640" s="13"/>
      <c r="P640" s="14">
        <v>0</v>
      </c>
      <c r="Q640" s="15">
        <v>0.3</v>
      </c>
      <c r="R640" s="16" t="str">
        <f t="shared" si="65"/>
        <v>CRYSTAL</v>
      </c>
      <c r="S640" s="17" t="s">
        <v>1539</v>
      </c>
      <c r="T640" s="10" t="str">
        <f t="shared" ref="T640:T646" si="70">G640</f>
        <v>ASCENSOR PARA MONTAJE EN MOBILIARIO</v>
      </c>
    </row>
    <row r="641" spans="1:20" ht="27" customHeight="1" x14ac:dyDescent="0.25">
      <c r="A641" s="8" t="s">
        <v>1540</v>
      </c>
      <c r="B641" s="9" t="s">
        <v>1541</v>
      </c>
      <c r="C641" s="9"/>
      <c r="D641" s="8" t="s">
        <v>869</v>
      </c>
      <c r="E641" s="8">
        <v>1</v>
      </c>
      <c r="F641" s="8" t="s">
        <v>22</v>
      </c>
      <c r="G641" s="10" t="s">
        <v>1542</v>
      </c>
      <c r="H641" s="8" t="s">
        <v>1543</v>
      </c>
      <c r="I641" s="10" t="s">
        <v>1542</v>
      </c>
      <c r="J641" s="11" t="s">
        <v>26</v>
      </c>
      <c r="K641" s="18"/>
      <c r="L641" s="12"/>
      <c r="M641" s="8">
        <v>1</v>
      </c>
      <c r="N641" s="8"/>
      <c r="O641" s="13"/>
      <c r="P641" s="14"/>
      <c r="Q641" s="15"/>
      <c r="R641" s="16" t="str">
        <f t="shared" ref="R641:R704" si="71">A641</f>
        <v>CURRENT</v>
      </c>
      <c r="S641" s="17"/>
      <c r="T641" s="10" t="str">
        <f t="shared" si="70"/>
        <v>ALTAVOZ CIRCULAR CON SALIDA DE 100 VATIOS.</v>
      </c>
    </row>
    <row r="642" spans="1:20" ht="27" customHeight="1" x14ac:dyDescent="0.25">
      <c r="A642" s="8" t="s">
        <v>1544</v>
      </c>
      <c r="B642" s="9" t="s">
        <v>1545</v>
      </c>
      <c r="C642" s="9"/>
      <c r="D642" s="8" t="s">
        <v>205</v>
      </c>
      <c r="E642" s="8"/>
      <c r="F642" s="8" t="s">
        <v>22</v>
      </c>
      <c r="G642" s="10" t="s">
        <v>1546</v>
      </c>
      <c r="H642" s="8" t="s">
        <v>1547</v>
      </c>
      <c r="I642" s="10" t="s">
        <v>1546</v>
      </c>
      <c r="J642" s="11" t="s">
        <v>26</v>
      </c>
      <c r="K642" s="18">
        <v>45</v>
      </c>
      <c r="L642" s="12">
        <f>IF(J642="P",ROUNDUP(K642/(1-Q642),-2),K642*(1+P642)/(1-Q642))</f>
        <v>77.142857142857153</v>
      </c>
      <c r="M642" s="8">
        <v>1</v>
      </c>
      <c r="N642" s="8" t="s">
        <v>27</v>
      </c>
      <c r="O642" s="13"/>
      <c r="P642" s="14">
        <v>0.2</v>
      </c>
      <c r="Q642" s="15">
        <v>0.3</v>
      </c>
      <c r="R642" s="16" t="str">
        <f t="shared" si="71"/>
        <v>CYBER_POWER</v>
      </c>
      <c r="S642" s="17"/>
      <c r="T642" s="10" t="str">
        <f t="shared" si="70"/>
        <v>MULTITOMA PARA CONEXIÓN A RACK. DE 6 SALIDAS</v>
      </c>
    </row>
    <row r="643" spans="1:20" ht="27" customHeight="1" x14ac:dyDescent="0.25">
      <c r="A643" s="8" t="s">
        <v>1548</v>
      </c>
      <c r="B643" s="9" t="s">
        <v>812</v>
      </c>
      <c r="C643" s="9"/>
      <c r="D643" s="8"/>
      <c r="E643" s="8"/>
      <c r="F643" s="8" t="s">
        <v>22</v>
      </c>
      <c r="G643" s="10" t="s">
        <v>1549</v>
      </c>
      <c r="H643" s="8" t="s">
        <v>1039</v>
      </c>
      <c r="I643" s="10" t="s">
        <v>1549</v>
      </c>
      <c r="J643" s="11" t="s">
        <v>26</v>
      </c>
      <c r="K643" s="18">
        <v>7.58</v>
      </c>
      <c r="L643" s="12">
        <f>IF(J643="P",ROUNDUP(K643/(1-Q643),-2),K643*(1+P643)/(1-Q643))</f>
        <v>11.37</v>
      </c>
      <c r="M643" s="8">
        <v>1</v>
      </c>
      <c r="N643" s="8" t="s">
        <v>27</v>
      </c>
      <c r="O643" s="13"/>
      <c r="P643" s="14">
        <v>0.2</v>
      </c>
      <c r="Q643" s="15">
        <v>0.2</v>
      </c>
      <c r="R643" s="16" t="str">
        <f t="shared" si="71"/>
        <v>CYE</v>
      </c>
      <c r="S643" s="17"/>
      <c r="T643" s="10" t="str">
        <f t="shared" si="70"/>
        <v>CONECTOR RCA ESTÉREO.</v>
      </c>
    </row>
    <row r="644" spans="1:20" ht="27" customHeight="1" x14ac:dyDescent="0.25">
      <c r="A644" s="8" t="s">
        <v>1548</v>
      </c>
      <c r="B644" s="9" t="s">
        <v>812</v>
      </c>
      <c r="C644" s="9"/>
      <c r="D644" s="8"/>
      <c r="E644" s="8"/>
      <c r="F644" s="8" t="s">
        <v>22</v>
      </c>
      <c r="G644" s="10" t="s">
        <v>1550</v>
      </c>
      <c r="H644" s="8" t="s">
        <v>1551</v>
      </c>
      <c r="I644" s="10" t="s">
        <v>1550</v>
      </c>
      <c r="J644" s="11" t="s">
        <v>26</v>
      </c>
      <c r="K644" s="18">
        <v>70</v>
      </c>
      <c r="L644" s="12">
        <f>IF(J644="P",ROUNDUP(K644/(1-Q644),-2),K644*(1+P644)/(1-Q644))</f>
        <v>120.00000000000001</v>
      </c>
      <c r="M644" s="8">
        <v>1</v>
      </c>
      <c r="N644" s="8" t="s">
        <v>27</v>
      </c>
      <c r="O644" s="13"/>
      <c r="P644" s="14">
        <v>0.2</v>
      </c>
      <c r="Q644" s="15">
        <v>0.3</v>
      </c>
      <c r="R644" s="16" t="str">
        <f t="shared" si="71"/>
        <v>CYE</v>
      </c>
      <c r="S644" s="17"/>
      <c r="T644" s="10" t="str">
        <f t="shared" si="70"/>
        <v>MONITOR DE 8" CON ENTRADA HDMI, VIDEO COMPUESTO Y VGA.</v>
      </c>
    </row>
    <row r="645" spans="1:20" ht="27" customHeight="1" x14ac:dyDescent="0.25">
      <c r="A645" s="8" t="s">
        <v>1552</v>
      </c>
      <c r="B645" s="9"/>
      <c r="C645" s="9"/>
      <c r="D645" s="8" t="s">
        <v>45</v>
      </c>
      <c r="E645" s="8"/>
      <c r="F645" s="8" t="s">
        <v>22</v>
      </c>
      <c r="G645" s="10" t="s">
        <v>1553</v>
      </c>
      <c r="H645" s="8" t="s">
        <v>1554</v>
      </c>
      <c r="I645" s="10" t="s">
        <v>1553</v>
      </c>
      <c r="J645" s="11" t="s">
        <v>33</v>
      </c>
      <c r="K645" s="18">
        <v>2659810</v>
      </c>
      <c r="L645" s="12">
        <f>ROUNDUP(K645*(1+P645)/(1-Q645),0)</f>
        <v>3799729</v>
      </c>
      <c r="M645" s="8">
        <v>1</v>
      </c>
      <c r="N645" s="8" t="s">
        <v>27</v>
      </c>
      <c r="O645" s="13"/>
      <c r="P645" s="14">
        <v>0</v>
      </c>
      <c r="Q645" s="15">
        <v>0.3</v>
      </c>
      <c r="R645" s="16" t="str">
        <f t="shared" si="71"/>
        <v>CYP</v>
      </c>
      <c r="S645" s="17"/>
      <c r="T645" s="10" t="str">
        <f t="shared" si="70"/>
        <v>MATRIZ HDMI 4X4, RESOLUCIÓN 4K</v>
      </c>
    </row>
    <row r="646" spans="1:20" ht="27" customHeight="1" x14ac:dyDescent="0.25">
      <c r="A646" s="8" t="s">
        <v>1555</v>
      </c>
      <c r="B646" s="9"/>
      <c r="C646" s="9"/>
      <c r="D646" s="8" t="s">
        <v>45</v>
      </c>
      <c r="E646" s="8"/>
      <c r="F646" s="8" t="s">
        <v>22</v>
      </c>
      <c r="G646" s="10" t="s">
        <v>1556</v>
      </c>
      <c r="H646" s="8" t="s">
        <v>1557</v>
      </c>
      <c r="I646" s="10" t="s">
        <v>1556</v>
      </c>
      <c r="J646" s="11" t="s">
        <v>33</v>
      </c>
      <c r="K646" s="18">
        <v>290000</v>
      </c>
      <c r="L646" s="12">
        <f>ROUNDUP(K646*(1+P646)/(1-Q646),0)</f>
        <v>483334</v>
      </c>
      <c r="M646" s="8">
        <v>1</v>
      </c>
      <c r="N646" s="8" t="s">
        <v>27</v>
      </c>
      <c r="O646" s="13"/>
      <c r="P646" s="14">
        <v>0</v>
      </c>
      <c r="Q646" s="15">
        <v>0.4</v>
      </c>
      <c r="R646" s="16" t="str">
        <f t="shared" si="71"/>
        <v>D_LINK</v>
      </c>
      <c r="S646" s="17"/>
      <c r="T646" s="10" t="str">
        <f t="shared" si="70"/>
        <v>ROUTER 3G</v>
      </c>
    </row>
    <row r="647" spans="1:20" ht="27" customHeight="1" x14ac:dyDescent="0.25">
      <c r="A647" s="8" t="s">
        <v>1558</v>
      </c>
      <c r="B647" s="9"/>
      <c r="C647" s="9"/>
      <c r="D647" s="8"/>
      <c r="E647" s="8"/>
      <c r="F647" s="8"/>
      <c r="G647" s="10"/>
      <c r="H647" s="8" t="s">
        <v>1559</v>
      </c>
      <c r="I647" s="10" t="s">
        <v>1560</v>
      </c>
      <c r="J647" s="11" t="s">
        <v>33</v>
      </c>
      <c r="K647" s="18">
        <v>186500</v>
      </c>
      <c r="L647" s="12">
        <f>ROUNDUP(K647*(1+P647)/(1-Q647),0)</f>
        <v>266429</v>
      </c>
      <c r="M647" s="8">
        <v>1</v>
      </c>
      <c r="N647" s="8" t="s">
        <v>27</v>
      </c>
      <c r="O647" s="13"/>
      <c r="P647" s="14">
        <v>0</v>
      </c>
      <c r="Q647" s="15">
        <v>0.3</v>
      </c>
      <c r="R647" s="16" t="str">
        <f t="shared" si="71"/>
        <v>DAGA</v>
      </c>
      <c r="S647" s="17"/>
      <c r="T647" s="10"/>
    </row>
    <row r="648" spans="1:20" ht="27" customHeight="1" x14ac:dyDescent="0.25">
      <c r="A648" s="8" t="s">
        <v>1561</v>
      </c>
      <c r="B648" s="9" t="s">
        <v>1562</v>
      </c>
      <c r="C648" s="9"/>
      <c r="D648" s="8" t="s">
        <v>712</v>
      </c>
      <c r="E648" s="8">
        <v>1</v>
      </c>
      <c r="F648" s="8" t="s">
        <v>22</v>
      </c>
      <c r="G648" s="10" t="s">
        <v>1563</v>
      </c>
      <c r="H648" s="8" t="s">
        <v>1564</v>
      </c>
      <c r="I648" s="10" t="s">
        <v>1563</v>
      </c>
      <c r="J648" s="11" t="s">
        <v>33</v>
      </c>
      <c r="K648" s="18">
        <v>222000</v>
      </c>
      <c r="L648" s="12">
        <f t="shared" ref="L648:L690" si="72">IF(J648="P",ROUNDUP(K648/(1-Q648),-2),K648*(1+P648)/(1-Q648))</f>
        <v>370000</v>
      </c>
      <c r="M648" s="8">
        <v>1</v>
      </c>
      <c r="N648" s="8" t="s">
        <v>27</v>
      </c>
      <c r="O648" s="13"/>
      <c r="P648" s="14">
        <v>0.2</v>
      </c>
      <c r="Q648" s="15">
        <v>0.4</v>
      </c>
      <c r="R648" s="16" t="str">
        <f t="shared" si="71"/>
        <v>DAHUA</v>
      </c>
      <c r="S648" s="17"/>
      <c r="T648" s="10" t="str">
        <f t="shared" ref="T648:T679" si="73">G648</f>
        <v>CÁMARA ANÁLOGA DE 720 LÍNEAS, CON VISIÓN NOCTURNA. CON RESISTENCIA AL AGUA IP66.</v>
      </c>
    </row>
    <row r="649" spans="1:20" ht="27" customHeight="1" x14ac:dyDescent="0.25">
      <c r="A649" s="8" t="s">
        <v>1561</v>
      </c>
      <c r="B649" s="9" t="s">
        <v>1562</v>
      </c>
      <c r="C649" s="9"/>
      <c r="D649" s="8" t="s">
        <v>712</v>
      </c>
      <c r="E649" s="8">
        <v>2</v>
      </c>
      <c r="F649" s="8" t="s">
        <v>22</v>
      </c>
      <c r="G649" s="10" t="s">
        <v>1565</v>
      </c>
      <c r="H649" s="8" t="s">
        <v>1566</v>
      </c>
      <c r="I649" s="10" t="s">
        <v>1565</v>
      </c>
      <c r="J649" s="11" t="s">
        <v>33</v>
      </c>
      <c r="K649" s="18">
        <v>130000</v>
      </c>
      <c r="L649" s="12">
        <f t="shared" si="72"/>
        <v>216700</v>
      </c>
      <c r="M649" s="8">
        <v>1</v>
      </c>
      <c r="N649" s="8" t="s">
        <v>27</v>
      </c>
      <c r="O649" s="13"/>
      <c r="P649" s="14">
        <v>0.2</v>
      </c>
      <c r="Q649" s="15">
        <v>0.4</v>
      </c>
      <c r="R649" s="16" t="str">
        <f t="shared" si="71"/>
        <v>DAHUA</v>
      </c>
      <c r="S649" s="17"/>
      <c r="T649" s="10" t="str">
        <f t="shared" si="73"/>
        <v>CÁMARA ANÁLOGA DE 720 LÍNEAS, CON VISIÓN NOCTURNA, TIPO DOMO.</v>
      </c>
    </row>
    <row r="650" spans="1:20" ht="27" customHeight="1" x14ac:dyDescent="0.25">
      <c r="A650" s="8" t="s">
        <v>1561</v>
      </c>
      <c r="B650" s="9" t="s">
        <v>1562</v>
      </c>
      <c r="C650" s="9"/>
      <c r="D650" s="8" t="s">
        <v>1567</v>
      </c>
      <c r="E650" s="8">
        <v>3</v>
      </c>
      <c r="F650" s="8" t="s">
        <v>22</v>
      </c>
      <c r="G650" s="10" t="s">
        <v>1568</v>
      </c>
      <c r="H650" s="8" t="s">
        <v>1569</v>
      </c>
      <c r="I650" s="10" t="s">
        <v>1568</v>
      </c>
      <c r="J650" s="11" t="s">
        <v>33</v>
      </c>
      <c r="K650" s="18">
        <v>205000</v>
      </c>
      <c r="L650" s="12">
        <f t="shared" si="72"/>
        <v>341700</v>
      </c>
      <c r="M650" s="8">
        <v>1</v>
      </c>
      <c r="N650" s="8" t="s">
        <v>27</v>
      </c>
      <c r="O650" s="13"/>
      <c r="P650" s="14">
        <v>0.2</v>
      </c>
      <c r="Q650" s="15">
        <v>0.4</v>
      </c>
      <c r="R650" s="16" t="str">
        <f t="shared" si="71"/>
        <v>DAHUA</v>
      </c>
      <c r="S650" s="17"/>
      <c r="T650" s="10" t="str">
        <f t="shared" si="73"/>
        <v>DVR DE 4 CANALES ANALÓGICO.</v>
      </c>
    </row>
    <row r="651" spans="1:20" ht="27" customHeight="1" x14ac:dyDescent="0.25">
      <c r="A651" s="8" t="s">
        <v>1561</v>
      </c>
      <c r="B651" s="9" t="s">
        <v>1562</v>
      </c>
      <c r="C651" s="9"/>
      <c r="D651" s="8" t="s">
        <v>1567</v>
      </c>
      <c r="E651" s="8">
        <v>4</v>
      </c>
      <c r="F651" s="8" t="s">
        <v>22</v>
      </c>
      <c r="G651" s="10" t="s">
        <v>1570</v>
      </c>
      <c r="H651" s="8" t="s">
        <v>1571</v>
      </c>
      <c r="I651" s="10" t="s">
        <v>1570</v>
      </c>
      <c r="J651" s="11" t="s">
        <v>26</v>
      </c>
      <c r="K651" s="18">
        <v>35</v>
      </c>
      <c r="L651" s="12">
        <f t="shared" si="72"/>
        <v>70</v>
      </c>
      <c r="M651" s="8">
        <v>1</v>
      </c>
      <c r="N651" s="8" t="s">
        <v>27</v>
      </c>
      <c r="O651" s="13"/>
      <c r="P651" s="14">
        <v>0.2</v>
      </c>
      <c r="Q651" s="15">
        <v>0.4</v>
      </c>
      <c r="R651" s="16" t="str">
        <f t="shared" si="71"/>
        <v>DAHUA</v>
      </c>
      <c r="S651" s="17"/>
      <c r="T651" s="10" t="str">
        <f t="shared" si="73"/>
        <v>DVR DE 8 CANALES ANALÓGICO.</v>
      </c>
    </row>
    <row r="652" spans="1:20" ht="27" customHeight="1" x14ac:dyDescent="0.25">
      <c r="A652" s="8" t="s">
        <v>1561</v>
      </c>
      <c r="B652" s="9" t="s">
        <v>1562</v>
      </c>
      <c r="C652" s="9"/>
      <c r="D652" s="8" t="s">
        <v>1567</v>
      </c>
      <c r="E652" s="8">
        <v>5</v>
      </c>
      <c r="F652" s="8" t="s">
        <v>22</v>
      </c>
      <c r="G652" s="10" t="s">
        <v>1572</v>
      </c>
      <c r="H652" s="8" t="s">
        <v>1573</v>
      </c>
      <c r="I652" s="10" t="s">
        <v>1572</v>
      </c>
      <c r="J652" s="11" t="s">
        <v>26</v>
      </c>
      <c r="K652" s="18">
        <v>50</v>
      </c>
      <c r="L652" s="12">
        <f t="shared" si="72"/>
        <v>100</v>
      </c>
      <c r="M652" s="8">
        <v>1</v>
      </c>
      <c r="N652" s="8" t="s">
        <v>27</v>
      </c>
      <c r="O652" s="13"/>
      <c r="P652" s="14">
        <v>0.2</v>
      </c>
      <c r="Q652" s="15">
        <v>0.4</v>
      </c>
      <c r="R652" s="16" t="str">
        <f t="shared" si="71"/>
        <v>DAHUA</v>
      </c>
      <c r="S652" s="17"/>
      <c r="T652" s="10" t="str">
        <f t="shared" si="73"/>
        <v>DVR DE 16 CANALES ANALÓGICO.</v>
      </c>
    </row>
    <row r="653" spans="1:20" ht="27" customHeight="1" x14ac:dyDescent="0.25">
      <c r="A653" s="8" t="s">
        <v>1561</v>
      </c>
      <c r="B653" s="9" t="s">
        <v>1562</v>
      </c>
      <c r="C653" s="9"/>
      <c r="D653" s="8" t="s">
        <v>712</v>
      </c>
      <c r="E653" s="8">
        <v>3</v>
      </c>
      <c r="F653" s="8" t="s">
        <v>22</v>
      </c>
      <c r="G653" s="10" t="s">
        <v>1574</v>
      </c>
      <c r="H653" s="8" t="s">
        <v>1575</v>
      </c>
      <c r="I653" s="10" t="s">
        <v>1574</v>
      </c>
      <c r="J653" s="11" t="s">
        <v>26</v>
      </c>
      <c r="K653" s="18">
        <v>140</v>
      </c>
      <c r="L653" s="12">
        <f t="shared" si="72"/>
        <v>210</v>
      </c>
      <c r="M653" s="8">
        <v>1</v>
      </c>
      <c r="N653" s="8" t="s">
        <v>27</v>
      </c>
      <c r="O653" s="13"/>
      <c r="P653" s="14">
        <v>0.2</v>
      </c>
      <c r="Q653" s="15">
        <v>0.2</v>
      </c>
      <c r="R653" s="16" t="str">
        <f t="shared" si="71"/>
        <v>DAHUA</v>
      </c>
      <c r="S653" s="17"/>
      <c r="T653" s="10" t="str">
        <f t="shared" si="73"/>
        <v>CÁMARA DE 2 MEGA PIXELES INALÁMBRICA PARA EXTERIORES, ALIMENTACIÓN A 12 VOLTIOS.</v>
      </c>
    </row>
    <row r="654" spans="1:20" ht="27" customHeight="1" x14ac:dyDescent="0.25">
      <c r="A654" s="8" t="s">
        <v>1561</v>
      </c>
      <c r="B654" s="9" t="s">
        <v>1562</v>
      </c>
      <c r="C654" s="9"/>
      <c r="D654" s="8" t="s">
        <v>712</v>
      </c>
      <c r="E654" s="8">
        <v>3</v>
      </c>
      <c r="F654" s="8" t="s">
        <v>22</v>
      </c>
      <c r="G654" s="10" t="s">
        <v>1576</v>
      </c>
      <c r="H654" s="8" t="s">
        <v>1577</v>
      </c>
      <c r="I654" s="10" t="s">
        <v>1576</v>
      </c>
      <c r="J654" s="11" t="s">
        <v>26</v>
      </c>
      <c r="K654" s="18">
        <v>140</v>
      </c>
      <c r="L654" s="12">
        <f t="shared" si="72"/>
        <v>280</v>
      </c>
      <c r="M654" s="8">
        <v>1</v>
      </c>
      <c r="N654" s="8" t="s">
        <v>27</v>
      </c>
      <c r="O654" s="13"/>
      <c r="P654" s="14">
        <v>0.2</v>
      </c>
      <c r="Q654" s="15">
        <v>0.4</v>
      </c>
      <c r="R654" s="16" t="str">
        <f t="shared" si="71"/>
        <v>DAHUA</v>
      </c>
      <c r="S654" s="17"/>
      <c r="T654" s="10" t="str">
        <f t="shared" si="73"/>
        <v>NVR DE 16 CANALES, SALIDAS HDMI Y VGA.</v>
      </c>
    </row>
    <row r="655" spans="1:20" ht="27" customHeight="1" x14ac:dyDescent="0.25">
      <c r="A655" s="8" t="s">
        <v>1561</v>
      </c>
      <c r="B655" s="9" t="s">
        <v>1562</v>
      </c>
      <c r="C655" s="9"/>
      <c r="D655" s="8" t="s">
        <v>1567</v>
      </c>
      <c r="E655" s="8">
        <v>6</v>
      </c>
      <c r="F655" s="8" t="s">
        <v>22</v>
      </c>
      <c r="G655" s="10" t="s">
        <v>1572</v>
      </c>
      <c r="H655" s="8" t="s">
        <v>1578</v>
      </c>
      <c r="I655" s="10" t="s">
        <v>1572</v>
      </c>
      <c r="J655" s="11" t="s">
        <v>33</v>
      </c>
      <c r="K655" s="18">
        <v>353000</v>
      </c>
      <c r="L655" s="12">
        <f t="shared" si="72"/>
        <v>588400</v>
      </c>
      <c r="M655" s="8">
        <v>1</v>
      </c>
      <c r="N655" s="8" t="s">
        <v>27</v>
      </c>
      <c r="O655" s="13"/>
      <c r="P655" s="14">
        <v>0.2</v>
      </c>
      <c r="Q655" s="15">
        <v>0.4</v>
      </c>
      <c r="R655" s="16" t="str">
        <f t="shared" si="71"/>
        <v>DAHUA</v>
      </c>
      <c r="S655" s="17"/>
      <c r="T655" s="10" t="str">
        <f t="shared" si="73"/>
        <v>DVR DE 16 CANALES ANALÓGICO.</v>
      </c>
    </row>
    <row r="656" spans="1:20" ht="27" customHeight="1" x14ac:dyDescent="0.25">
      <c r="A656" s="8" t="s">
        <v>1561</v>
      </c>
      <c r="B656" s="9" t="s">
        <v>1562</v>
      </c>
      <c r="C656" s="9"/>
      <c r="D656" s="8" t="s">
        <v>712</v>
      </c>
      <c r="E656" s="8">
        <v>6</v>
      </c>
      <c r="F656" s="8" t="s">
        <v>22</v>
      </c>
      <c r="G656" s="10" t="s">
        <v>1579</v>
      </c>
      <c r="H656" s="8" t="s">
        <v>1580</v>
      </c>
      <c r="I656" s="10" t="s">
        <v>1579</v>
      </c>
      <c r="J656" s="11" t="s">
        <v>26</v>
      </c>
      <c r="K656" s="18">
        <v>40.86</v>
      </c>
      <c r="L656" s="12">
        <f t="shared" si="72"/>
        <v>70.045714285714283</v>
      </c>
      <c r="M656" s="8">
        <v>1</v>
      </c>
      <c r="N656" s="8" t="s">
        <v>27</v>
      </c>
      <c r="O656" s="13"/>
      <c r="P656" s="14">
        <v>0.2</v>
      </c>
      <c r="Q656" s="15">
        <v>0.3</v>
      </c>
      <c r="R656" s="16" t="str">
        <f t="shared" si="71"/>
        <v>DAHUA</v>
      </c>
      <c r="S656" s="17"/>
      <c r="T656" s="10" t="str">
        <f t="shared" si="73"/>
        <v>CÁMARA ANÁLOGA IP66 DIA NOCHE CON RESOLUCIÓN DE 800TVI.</v>
      </c>
    </row>
    <row r="657" spans="1:20" ht="27" customHeight="1" x14ac:dyDescent="0.25">
      <c r="A657" s="8" t="s">
        <v>1561</v>
      </c>
      <c r="B657" s="9" t="s">
        <v>1562</v>
      </c>
      <c r="C657" s="9"/>
      <c r="D657" s="8" t="s">
        <v>712</v>
      </c>
      <c r="E657" s="8">
        <v>6</v>
      </c>
      <c r="F657" s="8" t="s">
        <v>22</v>
      </c>
      <c r="G657" s="10" t="s">
        <v>1581</v>
      </c>
      <c r="H657" s="8" t="s">
        <v>1582</v>
      </c>
      <c r="I657" s="10" t="s">
        <v>1581</v>
      </c>
      <c r="J657" s="11" t="s">
        <v>33</v>
      </c>
      <c r="K657" s="18">
        <v>360000</v>
      </c>
      <c r="L657" s="12">
        <f t="shared" si="72"/>
        <v>514300</v>
      </c>
      <c r="M657" s="8">
        <v>1</v>
      </c>
      <c r="N657" s="8" t="s">
        <v>27</v>
      </c>
      <c r="O657" s="13"/>
      <c r="P657" s="14">
        <v>0.2</v>
      </c>
      <c r="Q657" s="15">
        <v>0.3</v>
      </c>
      <c r="R657" s="16" t="str">
        <f t="shared" si="71"/>
        <v>DAHUA</v>
      </c>
      <c r="S657" s="17"/>
      <c r="T657" s="10" t="str">
        <f t="shared" si="73"/>
        <v>DVR-HD DE 4 CANALES CON DISCO DURO DE UN TERA, SALIDA HDMI.</v>
      </c>
    </row>
    <row r="658" spans="1:20" ht="27" customHeight="1" x14ac:dyDescent="0.25">
      <c r="A658" s="8" t="s">
        <v>1561</v>
      </c>
      <c r="B658" s="9" t="s">
        <v>1562</v>
      </c>
      <c r="C658" s="9"/>
      <c r="D658" s="8" t="s">
        <v>712</v>
      </c>
      <c r="E658" s="8">
        <v>6</v>
      </c>
      <c r="F658" s="8" t="s">
        <v>22</v>
      </c>
      <c r="G658" s="10" t="s">
        <v>1583</v>
      </c>
      <c r="H658" s="8" t="s">
        <v>1584</v>
      </c>
      <c r="I658" s="10" t="s">
        <v>1583</v>
      </c>
      <c r="J658" s="11" t="s">
        <v>33</v>
      </c>
      <c r="K658" s="18">
        <v>460000</v>
      </c>
      <c r="L658" s="12">
        <f t="shared" si="72"/>
        <v>657200</v>
      </c>
      <c r="M658" s="8">
        <v>1</v>
      </c>
      <c r="N658" s="8" t="s">
        <v>27</v>
      </c>
      <c r="O658" s="13"/>
      <c r="P658" s="14">
        <v>0.2</v>
      </c>
      <c r="Q658" s="15">
        <v>0.3</v>
      </c>
      <c r="R658" s="16" t="str">
        <f t="shared" si="71"/>
        <v>DAHUA</v>
      </c>
      <c r="S658" s="17"/>
      <c r="T658" s="10" t="str">
        <f t="shared" si="73"/>
        <v>DVR-HD DE 8 CANALES CON DISCO DURO DE UN TERA, SALIDA HDMI.</v>
      </c>
    </row>
    <row r="659" spans="1:20" ht="27" customHeight="1" x14ac:dyDescent="0.25">
      <c r="A659" s="8" t="s">
        <v>1561</v>
      </c>
      <c r="B659" s="9" t="s">
        <v>1562</v>
      </c>
      <c r="C659" s="9"/>
      <c r="D659" s="8" t="s">
        <v>712</v>
      </c>
      <c r="E659" s="8">
        <v>6</v>
      </c>
      <c r="F659" s="8" t="s">
        <v>22</v>
      </c>
      <c r="G659" s="10" t="s">
        <v>1585</v>
      </c>
      <c r="H659" s="8" t="s">
        <v>1586</v>
      </c>
      <c r="I659" s="10" t="s">
        <v>1587</v>
      </c>
      <c r="J659" s="11" t="s">
        <v>33</v>
      </c>
      <c r="K659" s="18">
        <v>110000</v>
      </c>
      <c r="L659" s="12">
        <f t="shared" si="72"/>
        <v>157200</v>
      </c>
      <c r="M659" s="8">
        <v>1</v>
      </c>
      <c r="N659" s="8" t="s">
        <v>27</v>
      </c>
      <c r="O659" s="13"/>
      <c r="P659" s="14">
        <v>0.2</v>
      </c>
      <c r="Q659" s="15">
        <v>0.3</v>
      </c>
      <c r="R659" s="16" t="str">
        <f t="shared" si="71"/>
        <v>DAHUA</v>
      </c>
      <c r="S659" s="17"/>
      <c r="T659" s="10" t="str">
        <f t="shared" si="73"/>
        <v>CÁMARA DE ALTA DEFINICIÓN 720P, PARA INTERIOR-EXTERIOR.</v>
      </c>
    </row>
    <row r="660" spans="1:20" ht="27" customHeight="1" x14ac:dyDescent="0.25">
      <c r="A660" s="8" t="s">
        <v>1561</v>
      </c>
      <c r="B660" s="9" t="s">
        <v>1562</v>
      </c>
      <c r="C660" s="9"/>
      <c r="D660" s="8" t="s">
        <v>712</v>
      </c>
      <c r="E660" s="8">
        <v>6</v>
      </c>
      <c r="F660" s="8" t="s">
        <v>22</v>
      </c>
      <c r="G660" s="10" t="s">
        <v>1585</v>
      </c>
      <c r="H660" s="8" t="s">
        <v>1588</v>
      </c>
      <c r="I660" s="10" t="s">
        <v>1589</v>
      </c>
      <c r="J660" s="11" t="s">
        <v>33</v>
      </c>
      <c r="K660" s="18">
        <v>180000</v>
      </c>
      <c r="L660" s="12">
        <f t="shared" si="72"/>
        <v>257200</v>
      </c>
      <c r="M660" s="8">
        <v>1</v>
      </c>
      <c r="N660" s="8" t="s">
        <v>27</v>
      </c>
      <c r="O660" s="13"/>
      <c r="P660" s="14">
        <v>0.2</v>
      </c>
      <c r="Q660" s="15">
        <v>0.3</v>
      </c>
      <c r="R660" s="16" t="str">
        <f t="shared" si="71"/>
        <v>DAHUA</v>
      </c>
      <c r="S660" s="17"/>
      <c r="T660" s="10" t="str">
        <f t="shared" si="73"/>
        <v>CÁMARA DE ALTA DEFINICIÓN 720P, PARA INTERIOR-EXTERIOR.</v>
      </c>
    </row>
    <row r="661" spans="1:20" ht="27" customHeight="1" x14ac:dyDescent="0.25">
      <c r="A661" s="8" t="s">
        <v>1561</v>
      </c>
      <c r="B661" s="9" t="s">
        <v>1562</v>
      </c>
      <c r="C661" s="9"/>
      <c r="D661" s="8" t="s">
        <v>712</v>
      </c>
      <c r="E661" s="8">
        <v>6</v>
      </c>
      <c r="F661" s="8" t="s">
        <v>22</v>
      </c>
      <c r="G661" s="10" t="s">
        <v>1590</v>
      </c>
      <c r="H661" s="8" t="s">
        <v>1591</v>
      </c>
      <c r="I661" s="10" t="s">
        <v>1592</v>
      </c>
      <c r="J661" s="11" t="s">
        <v>33</v>
      </c>
      <c r="K661" s="18">
        <v>600000</v>
      </c>
      <c r="L661" s="12">
        <f t="shared" si="72"/>
        <v>857200</v>
      </c>
      <c r="M661" s="8">
        <v>1</v>
      </c>
      <c r="N661" s="8" t="s">
        <v>27</v>
      </c>
      <c r="O661" s="13"/>
      <c r="P661" s="14">
        <v>0.2</v>
      </c>
      <c r="Q661" s="15">
        <v>0.3</v>
      </c>
      <c r="R661" s="16" t="str">
        <f t="shared" si="71"/>
        <v>DAHUA</v>
      </c>
      <c r="S661" s="17"/>
      <c r="T661" s="10" t="str">
        <f t="shared" si="73"/>
        <v>DVR HIBRIDO PARA CÁMARAS ANÁLOGAS DE ALTA DEFINICIÓN Y CÁMARAS IP.</v>
      </c>
    </row>
    <row r="662" spans="1:20" ht="27" customHeight="1" x14ac:dyDescent="0.25">
      <c r="A662" s="8" t="s">
        <v>1561</v>
      </c>
      <c r="B662" s="9" t="s">
        <v>1562</v>
      </c>
      <c r="C662" s="9"/>
      <c r="D662" s="8" t="s">
        <v>712</v>
      </c>
      <c r="E662" s="8">
        <v>6</v>
      </c>
      <c r="F662" s="8" t="s">
        <v>22</v>
      </c>
      <c r="G662" s="10" t="s">
        <v>1593</v>
      </c>
      <c r="H662" s="8" t="s">
        <v>1594</v>
      </c>
      <c r="I662" s="10" t="s">
        <v>1593</v>
      </c>
      <c r="J662" s="11" t="s">
        <v>33</v>
      </c>
      <c r="K662" s="18">
        <v>170000</v>
      </c>
      <c r="L662" s="12">
        <f t="shared" si="72"/>
        <v>242900</v>
      </c>
      <c r="M662" s="8">
        <v>1</v>
      </c>
      <c r="N662" s="8" t="s">
        <v>27</v>
      </c>
      <c r="O662" s="13"/>
      <c r="P662" s="14">
        <v>0.2</v>
      </c>
      <c r="Q662" s="15">
        <v>0.3</v>
      </c>
      <c r="R662" s="16" t="str">
        <f t="shared" si="71"/>
        <v>DAHUA</v>
      </c>
      <c r="S662" s="17"/>
      <c r="T662" s="10" t="str">
        <f t="shared" si="73"/>
        <v>CÁMARA DE ALTA DEFINICIÓN 1080P, 2 MEGA PIXELES, PARA INTERIOR-EXTERIOR.</v>
      </c>
    </row>
    <row r="663" spans="1:20" ht="27" customHeight="1" x14ac:dyDescent="0.25">
      <c r="A663" s="8" t="s">
        <v>1561</v>
      </c>
      <c r="B663" s="9" t="s">
        <v>1562</v>
      </c>
      <c r="C663" s="9"/>
      <c r="D663" s="8" t="s">
        <v>712</v>
      </c>
      <c r="E663" s="8">
        <v>6</v>
      </c>
      <c r="F663" s="8" t="s">
        <v>22</v>
      </c>
      <c r="G663" s="10" t="s">
        <v>1595</v>
      </c>
      <c r="H663" s="8" t="s">
        <v>1596</v>
      </c>
      <c r="I663" s="10" t="s">
        <v>1595</v>
      </c>
      <c r="J663" s="11" t="s">
        <v>33</v>
      </c>
      <c r="K663" s="18">
        <v>280000</v>
      </c>
      <c r="L663" s="12">
        <f t="shared" si="72"/>
        <v>400000</v>
      </c>
      <c r="M663" s="8">
        <v>1</v>
      </c>
      <c r="N663" s="8" t="s">
        <v>27</v>
      </c>
      <c r="O663" s="13"/>
      <c r="P663" s="14">
        <v>0.2</v>
      </c>
      <c r="Q663" s="15">
        <v>0.3</v>
      </c>
      <c r="R663" s="16" t="str">
        <f t="shared" si="71"/>
        <v>DAHUA</v>
      </c>
      <c r="S663" s="17"/>
      <c r="T663" s="10" t="str">
        <f t="shared" si="73"/>
        <v>DVR ANALÓGICO DE 4 CANALES Y DISCO DURO DE UN TERA.</v>
      </c>
    </row>
    <row r="664" spans="1:20" ht="27" customHeight="1" x14ac:dyDescent="0.25">
      <c r="A664" s="8" t="s">
        <v>1561</v>
      </c>
      <c r="B664" s="9" t="s">
        <v>1562</v>
      </c>
      <c r="C664" s="9"/>
      <c r="D664" s="8" t="s">
        <v>712</v>
      </c>
      <c r="E664" s="8">
        <v>6</v>
      </c>
      <c r="F664" s="8" t="s">
        <v>22</v>
      </c>
      <c r="G664" s="10" t="s">
        <v>1597</v>
      </c>
      <c r="H664" s="8" t="s">
        <v>1598</v>
      </c>
      <c r="I664" s="10" t="s">
        <v>1597</v>
      </c>
      <c r="J664" s="11" t="s">
        <v>33</v>
      </c>
      <c r="K664" s="18">
        <v>460000</v>
      </c>
      <c r="L664" s="12">
        <f t="shared" si="72"/>
        <v>657200</v>
      </c>
      <c r="M664" s="8">
        <v>1</v>
      </c>
      <c r="N664" s="8" t="s">
        <v>27</v>
      </c>
      <c r="O664" s="13"/>
      <c r="P664" s="14">
        <v>0.2</v>
      </c>
      <c r="Q664" s="15">
        <v>0.3</v>
      </c>
      <c r="R664" s="16" t="str">
        <f t="shared" si="71"/>
        <v>DAHUA</v>
      </c>
      <c r="S664" s="17"/>
      <c r="T664" s="10" t="str">
        <f t="shared" si="73"/>
        <v>DVR ANALÓGICO DE 16 CANALES Y DISCO DURO DE UN TERA.</v>
      </c>
    </row>
    <row r="665" spans="1:20" ht="27" customHeight="1" x14ac:dyDescent="0.25">
      <c r="A665" s="8" t="s">
        <v>1561</v>
      </c>
      <c r="B665" s="9" t="s">
        <v>1562</v>
      </c>
      <c r="C665" s="9"/>
      <c r="D665" s="8" t="s">
        <v>712</v>
      </c>
      <c r="E665" s="8">
        <v>6</v>
      </c>
      <c r="F665" s="8" t="s">
        <v>22</v>
      </c>
      <c r="G665" s="10" t="s">
        <v>1599</v>
      </c>
      <c r="H665" s="8" t="s">
        <v>1600</v>
      </c>
      <c r="I665" s="10" t="s">
        <v>1599</v>
      </c>
      <c r="J665" s="11" t="s">
        <v>33</v>
      </c>
      <c r="K665" s="18">
        <v>141000</v>
      </c>
      <c r="L665" s="12">
        <f t="shared" si="72"/>
        <v>201500</v>
      </c>
      <c r="M665" s="8">
        <v>1</v>
      </c>
      <c r="N665" s="8" t="s">
        <v>27</v>
      </c>
      <c r="O665" s="13"/>
      <c r="P665" s="14">
        <v>0.2</v>
      </c>
      <c r="Q665" s="15">
        <v>0.3</v>
      </c>
      <c r="R665" s="16" t="str">
        <f t="shared" si="71"/>
        <v>DAHUA</v>
      </c>
      <c r="S665" s="17"/>
      <c r="T665" s="10" t="str">
        <f t="shared" si="73"/>
        <v>CÁMARA ANÁLOGA PARA EXTERIOR DE 720TVL, PARA EXTERIOR INTERIOR.</v>
      </c>
    </row>
    <row r="666" spans="1:20" ht="27" customHeight="1" x14ac:dyDescent="0.25">
      <c r="A666" s="8" t="s">
        <v>1561</v>
      </c>
      <c r="B666" s="9" t="s">
        <v>1562</v>
      </c>
      <c r="C666" s="9"/>
      <c r="D666" s="8" t="s">
        <v>712</v>
      </c>
      <c r="E666" s="8">
        <v>6</v>
      </c>
      <c r="F666" s="8" t="s">
        <v>22</v>
      </c>
      <c r="G666" s="10" t="s">
        <v>1599</v>
      </c>
      <c r="H666" s="8" t="s">
        <v>1601</v>
      </c>
      <c r="I666" s="10" t="s">
        <v>1599</v>
      </c>
      <c r="J666" s="11" t="s">
        <v>33</v>
      </c>
      <c r="K666" s="18">
        <v>100000</v>
      </c>
      <c r="L666" s="12">
        <f t="shared" si="72"/>
        <v>142900</v>
      </c>
      <c r="M666" s="8">
        <v>1</v>
      </c>
      <c r="N666" s="8" t="s">
        <v>27</v>
      </c>
      <c r="O666" s="13"/>
      <c r="P666" s="14">
        <v>0.2</v>
      </c>
      <c r="Q666" s="15">
        <v>0.3</v>
      </c>
      <c r="R666" s="16" t="str">
        <f t="shared" si="71"/>
        <v>DAHUA</v>
      </c>
      <c r="S666" s="17"/>
      <c r="T666" s="10" t="str">
        <f t="shared" si="73"/>
        <v>CÁMARA ANÁLOGA PARA EXTERIOR DE 720TVL, PARA EXTERIOR INTERIOR.</v>
      </c>
    </row>
    <row r="667" spans="1:20" ht="27" customHeight="1" x14ac:dyDescent="0.25">
      <c r="A667" s="8" t="s">
        <v>1561</v>
      </c>
      <c r="B667" s="9" t="s">
        <v>1562</v>
      </c>
      <c r="C667" s="9"/>
      <c r="D667" s="8" t="s">
        <v>712</v>
      </c>
      <c r="E667" s="8">
        <v>6</v>
      </c>
      <c r="F667" s="8" t="s">
        <v>22</v>
      </c>
      <c r="G667" s="10" t="s">
        <v>1602</v>
      </c>
      <c r="H667" s="8" t="s">
        <v>1603</v>
      </c>
      <c r="I667" s="10" t="s">
        <v>1604</v>
      </c>
      <c r="J667" s="11" t="s">
        <v>33</v>
      </c>
      <c r="K667" s="18">
        <f>70000/1.16</f>
        <v>60344.827586206899</v>
      </c>
      <c r="L667" s="12">
        <f t="shared" si="72"/>
        <v>86300</v>
      </c>
      <c r="M667" s="8">
        <v>1</v>
      </c>
      <c r="N667" s="8" t="s">
        <v>27</v>
      </c>
      <c r="O667" s="13"/>
      <c r="P667" s="14">
        <v>0.2</v>
      </c>
      <c r="Q667" s="15">
        <v>0.3</v>
      </c>
      <c r="R667" s="16" t="str">
        <f t="shared" si="71"/>
        <v>DAHUA</v>
      </c>
      <c r="S667" s="17"/>
      <c r="T667" s="10" t="str">
        <f t="shared" si="73"/>
        <v>CÁMARA DE 720P TIPO DOMO CON ALCANCE DE 15 METROS Y VISIÓN NOCTURNA IR.</v>
      </c>
    </row>
    <row r="668" spans="1:20" ht="27" customHeight="1" x14ac:dyDescent="0.25">
      <c r="A668" s="8" t="s">
        <v>1561</v>
      </c>
      <c r="B668" s="9" t="s">
        <v>1562</v>
      </c>
      <c r="C668" s="9"/>
      <c r="D668" s="8" t="s">
        <v>712</v>
      </c>
      <c r="E668" s="8">
        <v>6</v>
      </c>
      <c r="F668" s="8" t="s">
        <v>22</v>
      </c>
      <c r="G668" s="10" t="s">
        <v>1605</v>
      </c>
      <c r="H668" s="8" t="s">
        <v>1606</v>
      </c>
      <c r="I668" s="10" t="s">
        <v>1607</v>
      </c>
      <c r="J668" s="11" t="s">
        <v>33</v>
      </c>
      <c r="K668" s="18">
        <f>95000/1.16</f>
        <v>81896.551724137942</v>
      </c>
      <c r="L668" s="12">
        <f t="shared" si="72"/>
        <v>117000</v>
      </c>
      <c r="M668" s="8">
        <v>1</v>
      </c>
      <c r="N668" s="8" t="s">
        <v>27</v>
      </c>
      <c r="O668" s="13"/>
      <c r="P668" s="14">
        <v>0.2</v>
      </c>
      <c r="Q668" s="15">
        <v>0.3</v>
      </c>
      <c r="R668" s="16" t="str">
        <f t="shared" si="71"/>
        <v>DAHUA</v>
      </c>
      <c r="S668" s="17"/>
      <c r="T668" s="10" t="str">
        <f t="shared" si="73"/>
        <v>CÁMARA DE 720P TIPO DOMO CON ALCANCE DE 20 METROS Y VISIÓN NOCTURNA IR.</v>
      </c>
    </row>
    <row r="669" spans="1:20" ht="27" customHeight="1" x14ac:dyDescent="0.25">
      <c r="A669" s="8" t="s">
        <v>1561</v>
      </c>
      <c r="B669" s="9" t="s">
        <v>1562</v>
      </c>
      <c r="C669" s="9"/>
      <c r="D669" s="8" t="s">
        <v>712</v>
      </c>
      <c r="E669" s="8">
        <v>6</v>
      </c>
      <c r="F669" s="8" t="s">
        <v>22</v>
      </c>
      <c r="G669" s="10" t="s">
        <v>1608</v>
      </c>
      <c r="H669" s="8" t="s">
        <v>1609</v>
      </c>
      <c r="I669" s="10" t="s">
        <v>1608</v>
      </c>
      <c r="J669" s="11" t="s">
        <v>26</v>
      </c>
      <c r="K669" s="18">
        <v>825</v>
      </c>
      <c r="L669" s="12">
        <f t="shared" si="72"/>
        <v>1237.5</v>
      </c>
      <c r="M669" s="8">
        <v>1</v>
      </c>
      <c r="N669" s="8" t="s">
        <v>27</v>
      </c>
      <c r="O669" s="13"/>
      <c r="P669" s="14">
        <v>0.2</v>
      </c>
      <c r="Q669" s="15">
        <v>0.2</v>
      </c>
      <c r="R669" s="16" t="str">
        <f t="shared" si="71"/>
        <v>DAHUA</v>
      </c>
      <c r="S669" s="17"/>
      <c r="T669" s="10" t="str">
        <f t="shared" si="73"/>
        <v>DVR HDVCI DE ALTA DEFINICIÓN DE 16 CANALES Y DISCO DE 2 TERAS.</v>
      </c>
    </row>
    <row r="670" spans="1:20" ht="27" customHeight="1" x14ac:dyDescent="0.25">
      <c r="A670" s="8" t="s">
        <v>1561</v>
      </c>
      <c r="B670" s="9" t="s">
        <v>1562</v>
      </c>
      <c r="C670" s="9"/>
      <c r="D670" s="8" t="s">
        <v>712</v>
      </c>
      <c r="E670" s="8">
        <v>6</v>
      </c>
      <c r="F670" s="8" t="s">
        <v>22</v>
      </c>
      <c r="G670" s="10" t="s">
        <v>1610</v>
      </c>
      <c r="H670" s="8" t="s">
        <v>1611</v>
      </c>
      <c r="I670" s="10" t="s">
        <v>1610</v>
      </c>
      <c r="J670" s="11" t="s">
        <v>26</v>
      </c>
      <c r="K670" s="18">
        <v>96</v>
      </c>
      <c r="L670" s="12">
        <f t="shared" si="72"/>
        <v>143.99999999999997</v>
      </c>
      <c r="M670" s="8">
        <v>1</v>
      </c>
      <c r="N670" s="8" t="s">
        <v>27</v>
      </c>
      <c r="O670" s="13"/>
      <c r="P670" s="14">
        <v>0.2</v>
      </c>
      <c r="Q670" s="15">
        <v>0.2</v>
      </c>
      <c r="R670" s="16" t="str">
        <f t="shared" si="71"/>
        <v>DAHUA</v>
      </c>
      <c r="S670" s="17"/>
      <c r="T670" s="10" t="str">
        <f t="shared" si="73"/>
        <v>CÁMARA DE ALTA DEFINICIÓN ANALÓGICA 1080P.</v>
      </c>
    </row>
    <row r="671" spans="1:20" ht="27" customHeight="1" x14ac:dyDescent="0.25">
      <c r="A671" s="8" t="s">
        <v>1561</v>
      </c>
      <c r="B671" s="9" t="s">
        <v>1562</v>
      </c>
      <c r="C671" s="9"/>
      <c r="D671" s="8" t="s">
        <v>712</v>
      </c>
      <c r="E671" s="8">
        <v>6</v>
      </c>
      <c r="F671" s="8" t="s">
        <v>22</v>
      </c>
      <c r="G671" s="10" t="s">
        <v>1612</v>
      </c>
      <c r="H671" s="8" t="s">
        <v>1613</v>
      </c>
      <c r="I671" s="10" t="s">
        <v>1614</v>
      </c>
      <c r="J671" s="11" t="s">
        <v>33</v>
      </c>
      <c r="K671" s="18">
        <v>384000</v>
      </c>
      <c r="L671" s="12">
        <f t="shared" si="72"/>
        <v>548600</v>
      </c>
      <c r="M671" s="8">
        <v>1</v>
      </c>
      <c r="N671" s="8" t="s">
        <v>27</v>
      </c>
      <c r="O671" s="13"/>
      <c r="P671" s="14">
        <v>0.2</v>
      </c>
      <c r="Q671" s="15">
        <v>0.3</v>
      </c>
      <c r="R671" s="16" t="str">
        <f t="shared" si="71"/>
        <v>DAHUA</v>
      </c>
      <c r="S671" s="17"/>
      <c r="T671" s="10" t="str">
        <f t="shared" si="73"/>
        <v>DVR DE 4 CANALES PARA CÁMARAS HDVCI HASTA DOS MEGA PIXELES.</v>
      </c>
    </row>
    <row r="672" spans="1:20" ht="27" customHeight="1" x14ac:dyDescent="0.25">
      <c r="A672" s="8" t="s">
        <v>1561</v>
      </c>
      <c r="B672" s="9" t="s">
        <v>1562</v>
      </c>
      <c r="C672" s="9"/>
      <c r="D672" s="8" t="s">
        <v>712</v>
      </c>
      <c r="E672" s="8">
        <v>6</v>
      </c>
      <c r="F672" s="8" t="s">
        <v>22</v>
      </c>
      <c r="G672" s="10" t="s">
        <v>1615</v>
      </c>
      <c r="H672" s="8" t="s">
        <v>1616</v>
      </c>
      <c r="I672" s="10" t="s">
        <v>1615</v>
      </c>
      <c r="J672" s="11" t="s">
        <v>33</v>
      </c>
      <c r="K672" s="18">
        <v>113000</v>
      </c>
      <c r="L672" s="12">
        <f t="shared" si="72"/>
        <v>161500</v>
      </c>
      <c r="M672" s="8">
        <v>1</v>
      </c>
      <c r="N672" s="8" t="s">
        <v>27</v>
      </c>
      <c r="O672" s="13"/>
      <c r="P672" s="14">
        <v>0.2</v>
      </c>
      <c r="Q672" s="15">
        <v>0.3</v>
      </c>
      <c r="R672" s="16" t="str">
        <f t="shared" si="71"/>
        <v>DAHUA</v>
      </c>
      <c r="S672" s="17"/>
      <c r="T672" s="10" t="str">
        <f t="shared" si="73"/>
        <v>CÁMARA TIPO DOMO DE DOS MEGA PIXELES.</v>
      </c>
    </row>
    <row r="673" spans="1:20" ht="27" customHeight="1" x14ac:dyDescent="0.25">
      <c r="A673" s="8" t="s">
        <v>1561</v>
      </c>
      <c r="B673" s="9" t="s">
        <v>1562</v>
      </c>
      <c r="C673" s="9"/>
      <c r="D673" s="8" t="s">
        <v>712</v>
      </c>
      <c r="E673" s="8">
        <v>6</v>
      </c>
      <c r="F673" s="8" t="s">
        <v>22</v>
      </c>
      <c r="G673" s="10" t="s">
        <v>1617</v>
      </c>
      <c r="H673" s="8" t="s">
        <v>1618</v>
      </c>
      <c r="I673" s="10" t="s">
        <v>1617</v>
      </c>
      <c r="J673" s="11" t="s">
        <v>33</v>
      </c>
      <c r="K673" s="18">
        <v>4400</v>
      </c>
      <c r="L673" s="12">
        <f t="shared" si="72"/>
        <v>6300</v>
      </c>
      <c r="M673" s="8">
        <v>1</v>
      </c>
      <c r="N673" s="8" t="s">
        <v>27</v>
      </c>
      <c r="O673" s="13"/>
      <c r="P673" s="14">
        <v>0.2</v>
      </c>
      <c r="Q673" s="15">
        <v>0.3</v>
      </c>
      <c r="R673" s="16" t="str">
        <f t="shared" si="71"/>
        <v>DAHUA</v>
      </c>
      <c r="S673" s="17"/>
      <c r="T673" s="10" t="str">
        <f t="shared" si="73"/>
        <v>ADAPTADOR DE 12 VOLTIOS DC PARA CÁMARA HDVCI</v>
      </c>
    </row>
    <row r="674" spans="1:20" ht="27" customHeight="1" x14ac:dyDescent="0.25">
      <c r="A674" s="8" t="s">
        <v>1561</v>
      </c>
      <c r="B674" s="9" t="s">
        <v>1562</v>
      </c>
      <c r="C674" s="9"/>
      <c r="D674" s="8" t="s">
        <v>712</v>
      </c>
      <c r="E674" s="8">
        <v>6</v>
      </c>
      <c r="F674" s="8" t="s">
        <v>22</v>
      </c>
      <c r="G674" s="10" t="s">
        <v>1619</v>
      </c>
      <c r="H674" s="8" t="s">
        <v>1620</v>
      </c>
      <c r="I674" s="10" t="s">
        <v>1619</v>
      </c>
      <c r="J674" s="11" t="s">
        <v>33</v>
      </c>
      <c r="K674" s="18">
        <v>561000</v>
      </c>
      <c r="L674" s="12">
        <f t="shared" si="72"/>
        <v>801500</v>
      </c>
      <c r="M674" s="8">
        <v>1</v>
      </c>
      <c r="N674" s="8" t="s">
        <v>27</v>
      </c>
      <c r="O674" s="13"/>
      <c r="P674" s="14">
        <v>0.2</v>
      </c>
      <c r="Q674" s="15">
        <v>0.3</v>
      </c>
      <c r="R674" s="16" t="str">
        <f t="shared" si="71"/>
        <v>DAHUA</v>
      </c>
      <c r="S674" s="17"/>
      <c r="T674" s="10" t="str">
        <f t="shared" si="73"/>
        <v>DVR DE 16 CANALES ANALÓGICO HASTA 2M PIXELES. MANEJA PROTOCOLO P2P.</v>
      </c>
    </row>
    <row r="675" spans="1:20" ht="27" customHeight="1" x14ac:dyDescent="0.25">
      <c r="A675" s="8" t="s">
        <v>1561</v>
      </c>
      <c r="B675" s="9" t="s">
        <v>1562</v>
      </c>
      <c r="C675" s="9"/>
      <c r="D675" s="8" t="s">
        <v>712</v>
      </c>
      <c r="E675" s="8">
        <v>6</v>
      </c>
      <c r="F675" s="8" t="s">
        <v>22</v>
      </c>
      <c r="G675" s="10" t="s">
        <v>1621</v>
      </c>
      <c r="H675" s="8" t="s">
        <v>1622</v>
      </c>
      <c r="I675" s="10" t="s">
        <v>1621</v>
      </c>
      <c r="J675" s="11" t="s">
        <v>33</v>
      </c>
      <c r="K675" s="18">
        <v>108000</v>
      </c>
      <c r="L675" s="12">
        <f t="shared" si="72"/>
        <v>154300</v>
      </c>
      <c r="M675" s="8">
        <v>1</v>
      </c>
      <c r="N675" s="8" t="s">
        <v>27</v>
      </c>
      <c r="O675" s="13"/>
      <c r="P675" s="14">
        <v>0.2</v>
      </c>
      <c r="Q675" s="15">
        <v>0.3</v>
      </c>
      <c r="R675" s="16" t="str">
        <f t="shared" si="71"/>
        <v>DAHUA</v>
      </c>
      <c r="S675" s="17"/>
      <c r="T675" s="10" t="str">
        <f t="shared" si="73"/>
        <v>CÁMARA TIPO DOMO DE 2 MEGA PIXELES</v>
      </c>
    </row>
    <row r="676" spans="1:20" ht="27" customHeight="1" x14ac:dyDescent="0.25">
      <c r="A676" s="8" t="s">
        <v>1561</v>
      </c>
      <c r="B676" s="9" t="s">
        <v>1562</v>
      </c>
      <c r="C676" s="9"/>
      <c r="D676" s="8" t="s">
        <v>712</v>
      </c>
      <c r="E676" s="8">
        <v>6</v>
      </c>
      <c r="F676" s="8" t="s">
        <v>22</v>
      </c>
      <c r="G676" s="10" t="s">
        <v>1623</v>
      </c>
      <c r="H676" s="8" t="s">
        <v>1624</v>
      </c>
      <c r="I676" s="10" t="s">
        <v>1623</v>
      </c>
      <c r="J676" s="11" t="s">
        <v>33</v>
      </c>
      <c r="K676" s="18">
        <v>156000</v>
      </c>
      <c r="L676" s="12">
        <f t="shared" si="72"/>
        <v>222900</v>
      </c>
      <c r="M676" s="8">
        <v>1</v>
      </c>
      <c r="N676" s="8" t="s">
        <v>27</v>
      </c>
      <c r="O676" s="13"/>
      <c r="P676" s="14">
        <v>0.2</v>
      </c>
      <c r="Q676" s="15">
        <v>0.3</v>
      </c>
      <c r="R676" s="16" t="str">
        <f t="shared" si="71"/>
        <v>DAHUA</v>
      </c>
      <c r="S676" s="17"/>
      <c r="T676" s="10" t="str">
        <f t="shared" si="73"/>
        <v>CÁMARA TIPO BALA DE 2 MEGA PIXELES</v>
      </c>
    </row>
    <row r="677" spans="1:20" ht="27" customHeight="1" x14ac:dyDescent="0.25">
      <c r="A677" s="8" t="s">
        <v>1561</v>
      </c>
      <c r="B677" s="9" t="s">
        <v>1562</v>
      </c>
      <c r="C677" s="9"/>
      <c r="D677" s="8" t="s">
        <v>712</v>
      </c>
      <c r="E677" s="8">
        <v>6</v>
      </c>
      <c r="F677" s="8" t="s">
        <v>22</v>
      </c>
      <c r="G677" s="10" t="s">
        <v>1625</v>
      </c>
      <c r="H677" s="8" t="s">
        <v>1626</v>
      </c>
      <c r="I677" s="10" t="s">
        <v>1625</v>
      </c>
      <c r="J677" s="11" t="s">
        <v>33</v>
      </c>
      <c r="K677" s="18">
        <v>310000</v>
      </c>
      <c r="L677" s="12">
        <f t="shared" si="72"/>
        <v>516700</v>
      </c>
      <c r="M677" s="8">
        <v>1</v>
      </c>
      <c r="N677" s="8" t="s">
        <v>27</v>
      </c>
      <c r="O677" s="13"/>
      <c r="P677" s="14">
        <v>0</v>
      </c>
      <c r="Q677" s="15">
        <v>0.4</v>
      </c>
      <c r="R677" s="16" t="str">
        <f t="shared" si="71"/>
        <v>DAHUA</v>
      </c>
      <c r="S677" s="17"/>
      <c r="T677" s="10" t="str">
        <f t="shared" si="73"/>
        <v>DISCO DURO DE 2 TERAS</v>
      </c>
    </row>
    <row r="678" spans="1:20" ht="27" customHeight="1" x14ac:dyDescent="0.25">
      <c r="A678" s="8" t="s">
        <v>1561</v>
      </c>
      <c r="B678" s="9" t="s">
        <v>1562</v>
      </c>
      <c r="C678" s="9"/>
      <c r="D678" s="8" t="s">
        <v>712</v>
      </c>
      <c r="E678" s="8">
        <v>6</v>
      </c>
      <c r="F678" s="8" t="s">
        <v>22</v>
      </c>
      <c r="G678" s="10" t="s">
        <v>1627</v>
      </c>
      <c r="H678" s="8" t="s">
        <v>1628</v>
      </c>
      <c r="I678" s="10" t="s">
        <v>1627</v>
      </c>
      <c r="J678" s="11" t="s">
        <v>33</v>
      </c>
      <c r="K678" s="18">
        <v>65000</v>
      </c>
      <c r="L678" s="12">
        <f t="shared" si="72"/>
        <v>92900</v>
      </c>
      <c r="M678" s="8">
        <v>1</v>
      </c>
      <c r="N678" s="8" t="s">
        <v>27</v>
      </c>
      <c r="O678" s="13"/>
      <c r="P678" s="14">
        <v>0.2</v>
      </c>
      <c r="Q678" s="15">
        <v>0.3</v>
      </c>
      <c r="R678" s="16" t="str">
        <f t="shared" si="71"/>
        <v>DAHUA</v>
      </c>
      <c r="S678" s="17"/>
      <c r="T678" s="10" t="str">
        <f t="shared" si="73"/>
        <v>CABLE PARA CÁMARAS ANÁLOGAS</v>
      </c>
    </row>
    <row r="679" spans="1:20" ht="27" customHeight="1" x14ac:dyDescent="0.25">
      <c r="A679" s="8" t="s">
        <v>1561</v>
      </c>
      <c r="B679" s="9" t="s">
        <v>1562</v>
      </c>
      <c r="C679" s="9"/>
      <c r="D679" s="8" t="s">
        <v>712</v>
      </c>
      <c r="E679" s="8">
        <v>6</v>
      </c>
      <c r="F679" s="8" t="s">
        <v>22</v>
      </c>
      <c r="G679" s="10" t="s">
        <v>1629</v>
      </c>
      <c r="H679" s="8" t="s">
        <v>1630</v>
      </c>
      <c r="I679" s="10" t="s">
        <v>1629</v>
      </c>
      <c r="J679" s="11" t="s">
        <v>33</v>
      </c>
      <c r="K679" s="18">
        <v>200000</v>
      </c>
      <c r="L679" s="12">
        <f t="shared" si="72"/>
        <v>333400</v>
      </c>
      <c r="M679" s="8">
        <v>1</v>
      </c>
      <c r="N679" s="8" t="s">
        <v>27</v>
      </c>
      <c r="O679" s="13"/>
      <c r="P679" s="14">
        <v>0.2</v>
      </c>
      <c r="Q679" s="15">
        <v>0.4</v>
      </c>
      <c r="R679" s="16" t="str">
        <f t="shared" si="71"/>
        <v>DAHUA</v>
      </c>
      <c r="S679" s="17"/>
      <c r="T679" s="10" t="str">
        <f t="shared" si="73"/>
        <v>DRV ANÁLOGO DE 4 CANALES, RESOLUCIÓN DE CÁMARAS 720P.</v>
      </c>
    </row>
    <row r="680" spans="1:20" ht="27" customHeight="1" x14ac:dyDescent="0.25">
      <c r="A680" s="8" t="s">
        <v>1561</v>
      </c>
      <c r="B680" s="9" t="s">
        <v>1562</v>
      </c>
      <c r="C680" s="9"/>
      <c r="D680" s="8" t="s">
        <v>712</v>
      </c>
      <c r="E680" s="8">
        <v>6</v>
      </c>
      <c r="F680" s="8" t="s">
        <v>22</v>
      </c>
      <c r="G680" s="10" t="s">
        <v>1631</v>
      </c>
      <c r="H680" s="8" t="s">
        <v>1632</v>
      </c>
      <c r="I680" s="10" t="s">
        <v>1631</v>
      </c>
      <c r="J680" s="11" t="s">
        <v>33</v>
      </c>
      <c r="K680" s="18">
        <v>159042</v>
      </c>
      <c r="L680" s="12">
        <f t="shared" si="72"/>
        <v>265100</v>
      </c>
      <c r="M680" s="8">
        <v>1</v>
      </c>
      <c r="N680" s="8" t="s">
        <v>27</v>
      </c>
      <c r="O680" s="13"/>
      <c r="P680" s="14">
        <v>0.2</v>
      </c>
      <c r="Q680" s="15">
        <v>0.4</v>
      </c>
      <c r="R680" s="16" t="str">
        <f t="shared" si="71"/>
        <v>DAHUA</v>
      </c>
      <c r="S680" s="17"/>
      <c r="T680" s="10" t="str">
        <f t="shared" ref="T680:T700" si="74">G680</f>
        <v>DOMO PARA EXTERIOR HDVCI DE 2 MEGA PIXEL Y VISUALIZACIÓN IR.</v>
      </c>
    </row>
    <row r="681" spans="1:20" ht="27" customHeight="1" x14ac:dyDescent="0.25">
      <c r="A681" s="8" t="s">
        <v>1561</v>
      </c>
      <c r="B681" s="9" t="s">
        <v>1562</v>
      </c>
      <c r="C681" s="9"/>
      <c r="D681" s="8" t="s">
        <v>712</v>
      </c>
      <c r="E681" s="8">
        <v>6</v>
      </c>
      <c r="F681" s="8" t="s">
        <v>22</v>
      </c>
      <c r="G681" s="10" t="s">
        <v>1633</v>
      </c>
      <c r="H681" s="8" t="s">
        <v>1634</v>
      </c>
      <c r="I681" s="10" t="s">
        <v>1633</v>
      </c>
      <c r="J681" s="11" t="s">
        <v>33</v>
      </c>
      <c r="K681" s="18">
        <v>8403</v>
      </c>
      <c r="L681" s="12">
        <f t="shared" si="72"/>
        <v>14100</v>
      </c>
      <c r="M681" s="8">
        <v>1</v>
      </c>
      <c r="N681" s="8" t="s">
        <v>27</v>
      </c>
      <c r="O681" s="13"/>
      <c r="P681" s="14">
        <v>0.2</v>
      </c>
      <c r="Q681" s="15">
        <v>0.4</v>
      </c>
      <c r="R681" s="16" t="str">
        <f t="shared" si="71"/>
        <v>DAHUA</v>
      </c>
      <c r="S681" s="17"/>
      <c r="T681" s="10" t="str">
        <f t="shared" si="74"/>
        <v>ADAPTADOR DE 12 VOLTIOS DC , UN AMPERIO PARA CÁMARA HDVCI</v>
      </c>
    </row>
    <row r="682" spans="1:20" ht="27" customHeight="1" x14ac:dyDescent="0.25">
      <c r="A682" s="8" t="s">
        <v>1561</v>
      </c>
      <c r="B682" s="9" t="s">
        <v>1562</v>
      </c>
      <c r="C682" s="9"/>
      <c r="D682" s="8" t="s">
        <v>712</v>
      </c>
      <c r="E682" s="8">
        <v>6</v>
      </c>
      <c r="F682" s="8" t="s">
        <v>22</v>
      </c>
      <c r="G682" s="10" t="s">
        <v>1635</v>
      </c>
      <c r="H682" s="8" t="s">
        <v>1636</v>
      </c>
      <c r="I682" s="10" t="s">
        <v>1635</v>
      </c>
      <c r="J682" s="11" t="s">
        <v>33</v>
      </c>
      <c r="K682" s="18">
        <v>4202</v>
      </c>
      <c r="L682" s="12">
        <f t="shared" si="72"/>
        <v>7100</v>
      </c>
      <c r="M682" s="8">
        <v>1</v>
      </c>
      <c r="N682" s="8" t="s">
        <v>27</v>
      </c>
      <c r="O682" s="13"/>
      <c r="P682" s="14">
        <v>0.2</v>
      </c>
      <c r="Q682" s="15">
        <v>0.4</v>
      </c>
      <c r="R682" s="16" t="str">
        <f t="shared" si="71"/>
        <v>DAHUA</v>
      </c>
      <c r="S682" s="17"/>
      <c r="T682" s="10" t="str">
        <f t="shared" si="74"/>
        <v>ADAPTADOR DE 12 VOLTIOS DC , DOS AMPERIOS PARA CÁMARA HDVCI</v>
      </c>
    </row>
    <row r="683" spans="1:20" ht="27" customHeight="1" x14ac:dyDescent="0.25">
      <c r="A683" s="8" t="s">
        <v>1561</v>
      </c>
      <c r="B683" s="9" t="s">
        <v>1562</v>
      </c>
      <c r="C683" s="9"/>
      <c r="D683" s="8" t="s">
        <v>712</v>
      </c>
      <c r="E683" s="8">
        <v>6</v>
      </c>
      <c r="F683" s="8" t="s">
        <v>22</v>
      </c>
      <c r="G683" s="10" t="s">
        <v>1637</v>
      </c>
      <c r="H683" s="8" t="s">
        <v>1638</v>
      </c>
      <c r="I683" s="10" t="s">
        <v>1637</v>
      </c>
      <c r="J683" s="11" t="s">
        <v>26</v>
      </c>
      <c r="K683" s="18">
        <v>707</v>
      </c>
      <c r="L683" s="12">
        <f t="shared" si="72"/>
        <v>1414</v>
      </c>
      <c r="M683" s="8">
        <v>1</v>
      </c>
      <c r="N683" s="8" t="s">
        <v>27</v>
      </c>
      <c r="O683" s="13"/>
      <c r="P683" s="14">
        <v>0.2</v>
      </c>
      <c r="Q683" s="15">
        <v>0.4</v>
      </c>
      <c r="R683" s="16" t="str">
        <f t="shared" si="71"/>
        <v>DAHUA</v>
      </c>
      <c r="S683" s="17"/>
      <c r="T683" s="10" t="str">
        <f t="shared" si="74"/>
        <v>NVR CON COMUNICACIÓN P2P, DISCO DURO DE UN TERA. AUDIO RECORDING</v>
      </c>
    </row>
    <row r="684" spans="1:20" ht="27" customHeight="1" x14ac:dyDescent="0.25">
      <c r="A684" s="8" t="s">
        <v>1561</v>
      </c>
      <c r="B684" s="9" t="s">
        <v>1562</v>
      </c>
      <c r="C684" s="9"/>
      <c r="D684" s="8" t="s">
        <v>712</v>
      </c>
      <c r="E684" s="8">
        <v>6</v>
      </c>
      <c r="F684" s="8" t="s">
        <v>22</v>
      </c>
      <c r="G684" s="10" t="s">
        <v>1639</v>
      </c>
      <c r="H684" s="8" t="s">
        <v>1640</v>
      </c>
      <c r="I684" s="10" t="s">
        <v>1639</v>
      </c>
      <c r="J684" s="11" t="s">
        <v>26</v>
      </c>
      <c r="K684" s="18">
        <v>75</v>
      </c>
      <c r="L684" s="12">
        <f t="shared" si="72"/>
        <v>150</v>
      </c>
      <c r="M684" s="8">
        <v>1</v>
      </c>
      <c r="N684" s="8" t="s">
        <v>27</v>
      </c>
      <c r="O684" s="13"/>
      <c r="P684" s="14">
        <v>0.2</v>
      </c>
      <c r="Q684" s="15">
        <v>0.4</v>
      </c>
      <c r="R684" s="16" t="str">
        <f t="shared" si="71"/>
        <v>DAHUA</v>
      </c>
      <c r="S684" s="17"/>
      <c r="T684" s="10" t="str">
        <f t="shared" si="74"/>
        <v>CÁMARA IP DE 4MP, CON MICRÓFONO INCLUIDO, PARA INTERIOR EXTERIOR.</v>
      </c>
    </row>
    <row r="685" spans="1:20" ht="27" customHeight="1" x14ac:dyDescent="0.25">
      <c r="A685" s="8" t="s">
        <v>1561</v>
      </c>
      <c r="B685" s="9"/>
      <c r="C685" s="9"/>
      <c r="D685" s="8"/>
      <c r="E685" s="8"/>
      <c r="F685" s="8" t="s">
        <v>22</v>
      </c>
      <c r="G685" s="10" t="s">
        <v>1641</v>
      </c>
      <c r="H685" s="8" t="s">
        <v>1642</v>
      </c>
      <c r="I685" s="10" t="s">
        <v>1641</v>
      </c>
      <c r="J685" s="11" t="s">
        <v>26</v>
      </c>
      <c r="K685" s="18">
        <v>20</v>
      </c>
      <c r="L685" s="12">
        <f t="shared" si="72"/>
        <v>40</v>
      </c>
      <c r="M685" s="8">
        <v>1</v>
      </c>
      <c r="N685" s="8" t="s">
        <v>27</v>
      </c>
      <c r="O685" s="13"/>
      <c r="P685" s="14">
        <v>0.2</v>
      </c>
      <c r="Q685" s="15">
        <v>0.4</v>
      </c>
      <c r="R685" s="16" t="str">
        <f t="shared" si="71"/>
        <v>DAHUA</v>
      </c>
      <c r="S685" s="17"/>
      <c r="T685" s="10" t="str">
        <f t="shared" si="74"/>
        <v>MICRÓFONO PARA CCTV</v>
      </c>
    </row>
    <row r="686" spans="1:20" ht="27" customHeight="1" x14ac:dyDescent="0.25">
      <c r="A686" s="8" t="s">
        <v>1561</v>
      </c>
      <c r="B686" s="9"/>
      <c r="C686" s="9"/>
      <c r="D686" s="8"/>
      <c r="E686" s="8"/>
      <c r="F686" s="8" t="s">
        <v>22</v>
      </c>
      <c r="G686" s="10" t="s">
        <v>1643</v>
      </c>
      <c r="H686" s="8" t="s">
        <v>1644</v>
      </c>
      <c r="I686" s="10" t="s">
        <v>1643</v>
      </c>
      <c r="J686" s="11" t="s">
        <v>33</v>
      </c>
      <c r="K686" s="18">
        <v>160000</v>
      </c>
      <c r="L686" s="12">
        <f t="shared" si="72"/>
        <v>266700</v>
      </c>
      <c r="M686" s="8">
        <v>1</v>
      </c>
      <c r="N686" s="8" t="s">
        <v>27</v>
      </c>
      <c r="O686" s="13"/>
      <c r="P686" s="14">
        <v>0.2</v>
      </c>
      <c r="Q686" s="15">
        <v>0.4</v>
      </c>
      <c r="R686" s="16" t="str">
        <f t="shared" si="71"/>
        <v>DAHUA</v>
      </c>
      <c r="S686" s="17"/>
      <c r="T686" s="10" t="str">
        <f t="shared" si="74"/>
        <v>CÁMARA IP TIPO BALA, CON RESOLUCIÓN DE DOS MEGA PIXELES</v>
      </c>
    </row>
    <row r="687" spans="1:20" ht="27" customHeight="1" x14ac:dyDescent="0.25">
      <c r="A687" s="8" t="s">
        <v>1561</v>
      </c>
      <c r="B687" s="9"/>
      <c r="C687" s="9"/>
      <c r="D687" s="8"/>
      <c r="E687" s="8"/>
      <c r="F687" s="8" t="s">
        <v>22</v>
      </c>
      <c r="G687" s="10" t="s">
        <v>1576</v>
      </c>
      <c r="H687" s="8" t="s">
        <v>1645</v>
      </c>
      <c r="I687" s="10" t="s">
        <v>1576</v>
      </c>
      <c r="J687" s="11" t="s">
        <v>33</v>
      </c>
      <c r="K687" s="18">
        <v>697000</v>
      </c>
      <c r="L687" s="12">
        <f t="shared" si="72"/>
        <v>1161700</v>
      </c>
      <c r="M687" s="8">
        <v>1</v>
      </c>
      <c r="N687" s="8" t="s">
        <v>27</v>
      </c>
      <c r="O687" s="13"/>
      <c r="P687" s="14">
        <v>0.2</v>
      </c>
      <c r="Q687" s="15">
        <v>0.4</v>
      </c>
      <c r="R687" s="16" t="str">
        <f t="shared" si="71"/>
        <v>DAHUA</v>
      </c>
      <c r="S687" s="17"/>
      <c r="T687" s="10" t="str">
        <f t="shared" si="74"/>
        <v>NVR DE 16 CANALES, SALIDAS HDMI Y VGA.</v>
      </c>
    </row>
    <row r="688" spans="1:20" ht="27" customHeight="1" x14ac:dyDescent="0.25">
      <c r="A688" s="8" t="s">
        <v>1561</v>
      </c>
      <c r="B688" s="9"/>
      <c r="C688" s="9"/>
      <c r="D688" s="8"/>
      <c r="E688" s="8"/>
      <c r="F688" s="8" t="s">
        <v>22</v>
      </c>
      <c r="G688" s="10" t="s">
        <v>1646</v>
      </c>
      <c r="H688" s="8" t="s">
        <v>1647</v>
      </c>
      <c r="I688" s="10" t="s">
        <v>1646</v>
      </c>
      <c r="J688" s="11" t="s">
        <v>26</v>
      </c>
      <c r="K688" s="18">
        <v>247</v>
      </c>
      <c r="L688" s="12">
        <f t="shared" si="72"/>
        <v>494</v>
      </c>
      <c r="M688" s="8">
        <v>1</v>
      </c>
      <c r="N688" s="8" t="s">
        <v>27</v>
      </c>
      <c r="O688" s="13"/>
      <c r="P688" s="14">
        <v>0.2</v>
      </c>
      <c r="Q688" s="15">
        <v>0.4</v>
      </c>
      <c r="R688" s="16" t="str">
        <f t="shared" si="71"/>
        <v>DAHUA</v>
      </c>
      <c r="S688" s="17"/>
      <c r="T688" s="10" t="str">
        <f t="shared" si="74"/>
        <v>CÁMARA IP DE 4 MP CON CONECTIVIDAD POE. VISIÓN NOCTURNA.</v>
      </c>
    </row>
    <row r="689" spans="1:20" ht="27" customHeight="1" x14ac:dyDescent="0.25">
      <c r="A689" s="8" t="s">
        <v>1561</v>
      </c>
      <c r="B689" s="9"/>
      <c r="C689" s="9"/>
      <c r="D689" s="8" t="s">
        <v>45</v>
      </c>
      <c r="E689" s="8"/>
      <c r="F689" s="8" t="s">
        <v>22</v>
      </c>
      <c r="G689" s="10" t="s">
        <v>1648</v>
      </c>
      <c r="H689" s="8" t="s">
        <v>1649</v>
      </c>
      <c r="I689" s="10" t="s">
        <v>1650</v>
      </c>
      <c r="J689" s="11" t="s">
        <v>33</v>
      </c>
      <c r="K689" s="18">
        <v>780000</v>
      </c>
      <c r="L689" s="12">
        <f t="shared" si="72"/>
        <v>975000</v>
      </c>
      <c r="M689" s="8">
        <v>1</v>
      </c>
      <c r="N689" s="8" t="s">
        <v>27</v>
      </c>
      <c r="O689" s="13"/>
      <c r="P689" s="14">
        <v>0</v>
      </c>
      <c r="Q689" s="15">
        <v>0.2</v>
      </c>
      <c r="R689" s="16" t="str">
        <f t="shared" si="71"/>
        <v>DAHUA</v>
      </c>
      <c r="S689" s="17"/>
      <c r="T689" s="10" t="str">
        <f t="shared" si="74"/>
        <v>DVR DE 32 CANALES CON RESOLUCIÓN HASTA 5MP, TECNOLOGÍA HDVCI/CVBS/AHD/TVI.</v>
      </c>
    </row>
    <row r="690" spans="1:20" ht="27" customHeight="1" x14ac:dyDescent="0.25">
      <c r="A690" s="8" t="s">
        <v>1561</v>
      </c>
      <c r="B690" s="9"/>
      <c r="C690" s="9"/>
      <c r="D690" s="8" t="s">
        <v>45</v>
      </c>
      <c r="E690" s="8"/>
      <c r="F690" s="8" t="s">
        <v>22</v>
      </c>
      <c r="G690" s="10" t="s">
        <v>1651</v>
      </c>
      <c r="H690" s="8" t="s">
        <v>1652</v>
      </c>
      <c r="I690" s="10" t="s">
        <v>1651</v>
      </c>
      <c r="J690" s="11" t="s">
        <v>33</v>
      </c>
      <c r="K690" s="18">
        <v>310000</v>
      </c>
      <c r="L690" s="12">
        <f t="shared" si="72"/>
        <v>442900</v>
      </c>
      <c r="M690" s="8">
        <v>1</v>
      </c>
      <c r="N690" s="8" t="s">
        <v>27</v>
      </c>
      <c r="O690" s="13"/>
      <c r="P690" s="14">
        <v>0</v>
      </c>
      <c r="Q690" s="15">
        <v>0.3</v>
      </c>
      <c r="R690" s="16" t="str">
        <f t="shared" si="71"/>
        <v>DAHUA</v>
      </c>
      <c r="S690" s="17"/>
      <c r="T690" s="10" t="str">
        <f t="shared" si="74"/>
        <v>DVR DE 16 CANALES ANALÓGICO CON TRANSMISIÓN P2P</v>
      </c>
    </row>
    <row r="691" spans="1:20" ht="27" customHeight="1" x14ac:dyDescent="0.25">
      <c r="A691" s="8" t="s">
        <v>1561</v>
      </c>
      <c r="B691" s="9"/>
      <c r="C691" s="9"/>
      <c r="D691" s="8" t="s">
        <v>45</v>
      </c>
      <c r="E691" s="8"/>
      <c r="F691" s="8" t="s">
        <v>22</v>
      </c>
      <c r="G691" s="10" t="s">
        <v>1653</v>
      </c>
      <c r="H691" s="8" t="s">
        <v>1654</v>
      </c>
      <c r="I691" s="10" t="s">
        <v>1655</v>
      </c>
      <c r="J691" s="11" t="s">
        <v>33</v>
      </c>
      <c r="K691" s="18">
        <v>390000</v>
      </c>
      <c r="L691" s="12">
        <f t="shared" ref="L691:L700" si="75">ROUNDUP(K691*(1+P691)/(1-Q691),0)</f>
        <v>557143</v>
      </c>
      <c r="M691" s="8">
        <v>1</v>
      </c>
      <c r="N691" s="8" t="s">
        <v>27</v>
      </c>
      <c r="O691" s="13"/>
      <c r="P691" s="14">
        <v>0</v>
      </c>
      <c r="Q691" s="15">
        <v>0.3</v>
      </c>
      <c r="R691" s="16" t="str">
        <f t="shared" si="71"/>
        <v>DAHUA</v>
      </c>
      <c r="S691" s="17"/>
      <c r="T691" s="10" t="str">
        <f t="shared" si="74"/>
        <v>CAMARA CON CMOS PROGRESIVO.</v>
      </c>
    </row>
    <row r="692" spans="1:20" ht="27" customHeight="1" x14ac:dyDescent="0.25">
      <c r="A692" s="8" t="s">
        <v>1561</v>
      </c>
      <c r="B692" s="9"/>
      <c r="C692" s="9"/>
      <c r="D692" s="8" t="s">
        <v>45</v>
      </c>
      <c r="E692" s="8"/>
      <c r="F692" s="8" t="s">
        <v>22</v>
      </c>
      <c r="G692" s="10" t="s">
        <v>1656</v>
      </c>
      <c r="H692" s="8" t="s">
        <v>1657</v>
      </c>
      <c r="I692" s="10" t="s">
        <v>1658</v>
      </c>
      <c r="J692" s="11" t="s">
        <v>33</v>
      </c>
      <c r="K692" s="18">
        <v>2120000</v>
      </c>
      <c r="L692" s="12">
        <f t="shared" si="75"/>
        <v>2826667</v>
      </c>
      <c r="M692" s="8">
        <v>1</v>
      </c>
      <c r="N692" s="8" t="s">
        <v>27</v>
      </c>
      <c r="O692" s="13"/>
      <c r="P692" s="14">
        <v>0</v>
      </c>
      <c r="Q692" s="15">
        <v>0.25</v>
      </c>
      <c r="R692" s="16" t="str">
        <f t="shared" si="71"/>
        <v>DAHUA</v>
      </c>
      <c r="S692" s="17" t="s">
        <v>1659</v>
      </c>
      <c r="T692" s="10" t="str">
        <f t="shared" si="74"/>
        <v>NVR DE 32 CANALES, SISTEMA LINUX, SALIDAS HDMI Y VGA.</v>
      </c>
    </row>
    <row r="693" spans="1:20" ht="27" customHeight="1" x14ac:dyDescent="0.25">
      <c r="A693" s="8" t="s">
        <v>1561</v>
      </c>
      <c r="B693" s="9"/>
      <c r="C693" s="9"/>
      <c r="D693" s="8" t="s">
        <v>45</v>
      </c>
      <c r="E693" s="8"/>
      <c r="F693" s="8" t="s">
        <v>22</v>
      </c>
      <c r="G693" s="10" t="s">
        <v>1660</v>
      </c>
      <c r="H693" s="8" t="s">
        <v>1661</v>
      </c>
      <c r="I693" s="10" t="s">
        <v>1662</v>
      </c>
      <c r="J693" s="11" t="s">
        <v>26</v>
      </c>
      <c r="K693" s="18">
        <v>9100</v>
      </c>
      <c r="L693" s="12">
        <f t="shared" si="75"/>
        <v>12134</v>
      </c>
      <c r="M693" s="8">
        <v>1</v>
      </c>
      <c r="N693" s="8" t="s">
        <v>27</v>
      </c>
      <c r="O693" s="13"/>
      <c r="P693" s="14">
        <v>0</v>
      </c>
      <c r="Q693" s="15">
        <v>0.25</v>
      </c>
      <c r="R693" s="16" t="str">
        <f t="shared" si="71"/>
        <v>DAHUA</v>
      </c>
      <c r="S693" s="17"/>
      <c r="T693" s="10" t="str">
        <f t="shared" si="74"/>
        <v>CAMARA TERMICA</v>
      </c>
    </row>
    <row r="694" spans="1:20" ht="27" customHeight="1" x14ac:dyDescent="0.25">
      <c r="A694" s="8" t="s">
        <v>1561</v>
      </c>
      <c r="B694" s="9"/>
      <c r="C694" s="9"/>
      <c r="D694" s="8" t="s">
        <v>45</v>
      </c>
      <c r="E694" s="8"/>
      <c r="F694" s="8" t="s">
        <v>22</v>
      </c>
      <c r="G694" s="10" t="s">
        <v>1663</v>
      </c>
      <c r="H694" s="8" t="s">
        <v>1664</v>
      </c>
      <c r="I694" s="10" t="s">
        <v>1665</v>
      </c>
      <c r="J694" s="11" t="s">
        <v>26</v>
      </c>
      <c r="K694" s="18">
        <v>4500</v>
      </c>
      <c r="L694" s="12">
        <f t="shared" si="75"/>
        <v>6000</v>
      </c>
      <c r="M694" s="8">
        <v>1</v>
      </c>
      <c r="N694" s="8" t="s">
        <v>27</v>
      </c>
      <c r="O694" s="13"/>
      <c r="P694" s="14">
        <v>0</v>
      </c>
      <c r="Q694" s="15">
        <v>0.25</v>
      </c>
      <c r="R694" s="16" t="str">
        <f t="shared" si="71"/>
        <v>DAHUA</v>
      </c>
      <c r="S694" s="17"/>
      <c r="T694" s="10" t="str">
        <f t="shared" si="74"/>
        <v>ACCESORIO PARA MEDICION DE TEMPERATURA.</v>
      </c>
    </row>
    <row r="695" spans="1:20" ht="27" customHeight="1" x14ac:dyDescent="0.25">
      <c r="A695" s="8" t="s">
        <v>1561</v>
      </c>
      <c r="B695" s="9"/>
      <c r="C695" s="9"/>
      <c r="D695" s="8" t="s">
        <v>45</v>
      </c>
      <c r="E695" s="8"/>
      <c r="F695" s="8" t="s">
        <v>22</v>
      </c>
      <c r="G695" s="10" t="s">
        <v>1666</v>
      </c>
      <c r="H695" s="8" t="s">
        <v>1667</v>
      </c>
      <c r="I695" s="10" t="s">
        <v>1666</v>
      </c>
      <c r="J695" s="11" t="s">
        <v>26</v>
      </c>
      <c r="K695" s="18">
        <v>5</v>
      </c>
      <c r="L695" s="12">
        <f t="shared" si="75"/>
        <v>9</v>
      </c>
      <c r="M695" s="8">
        <v>1</v>
      </c>
      <c r="N695" s="8" t="s">
        <v>27</v>
      </c>
      <c r="O695" s="13"/>
      <c r="P695" s="14">
        <v>0</v>
      </c>
      <c r="Q695" s="15">
        <v>0.4</v>
      </c>
      <c r="R695" s="16" t="str">
        <f t="shared" si="71"/>
        <v>DAHUA</v>
      </c>
      <c r="S695" s="17"/>
      <c r="T695" s="10" t="str">
        <f t="shared" si="74"/>
        <v>FUENTE DE ALIMENTACION</v>
      </c>
    </row>
    <row r="696" spans="1:20" ht="27" customHeight="1" x14ac:dyDescent="0.25">
      <c r="A696" s="8" t="s">
        <v>1561</v>
      </c>
      <c r="B696" s="9"/>
      <c r="C696" s="9"/>
      <c r="D696" s="8" t="s">
        <v>45</v>
      </c>
      <c r="E696" s="8"/>
      <c r="F696" s="8" t="s">
        <v>22</v>
      </c>
      <c r="G696" s="10" t="s">
        <v>1668</v>
      </c>
      <c r="H696" s="8" t="s">
        <v>1669</v>
      </c>
      <c r="I696" s="10" t="s">
        <v>1668</v>
      </c>
      <c r="J696" s="11" t="s">
        <v>26</v>
      </c>
      <c r="K696" s="18">
        <v>122</v>
      </c>
      <c r="L696" s="12">
        <f t="shared" si="75"/>
        <v>163</v>
      </c>
      <c r="M696" s="8">
        <v>1</v>
      </c>
      <c r="N696" s="8" t="s">
        <v>27</v>
      </c>
      <c r="O696" s="13"/>
      <c r="P696" s="14">
        <v>0</v>
      </c>
      <c r="Q696" s="15">
        <v>0.25</v>
      </c>
      <c r="R696" s="16" t="str">
        <f t="shared" si="71"/>
        <v>DAHUA</v>
      </c>
      <c r="S696" s="17"/>
      <c r="T696" s="10" t="str">
        <f t="shared" si="74"/>
        <v>TRIPODE PARA INSTALAR CAMARA TERMICA</v>
      </c>
    </row>
    <row r="697" spans="1:20" ht="27" customHeight="1" x14ac:dyDescent="0.25">
      <c r="A697" s="8" t="s">
        <v>1561</v>
      </c>
      <c r="B697" s="9"/>
      <c r="C697" s="9"/>
      <c r="D697" s="8" t="s">
        <v>45</v>
      </c>
      <c r="E697" s="8"/>
      <c r="F697" s="8" t="s">
        <v>22</v>
      </c>
      <c r="G697" s="10" t="s">
        <v>1670</v>
      </c>
      <c r="H697" s="8" t="s">
        <v>1671</v>
      </c>
      <c r="I697" s="10" t="s">
        <v>1672</v>
      </c>
      <c r="J697" s="11" t="s">
        <v>26</v>
      </c>
      <c r="K697" s="18">
        <v>78</v>
      </c>
      <c r="L697" s="12">
        <f t="shared" si="75"/>
        <v>104</v>
      </c>
      <c r="M697" s="8">
        <v>1</v>
      </c>
      <c r="N697" s="8" t="s">
        <v>27</v>
      </c>
      <c r="O697" s="13"/>
      <c r="P697" s="14">
        <v>0</v>
      </c>
      <c r="Q697" s="15">
        <v>0.25</v>
      </c>
      <c r="R697" s="16" t="str">
        <f t="shared" si="71"/>
        <v>DAHUA</v>
      </c>
      <c r="S697" s="17"/>
      <c r="T697" s="10" t="str">
        <f t="shared" si="74"/>
        <v>ACCESORIO PARA TRIPODE</v>
      </c>
    </row>
    <row r="698" spans="1:20" ht="27" customHeight="1" x14ac:dyDescent="0.25">
      <c r="A698" s="8" t="s">
        <v>1561</v>
      </c>
      <c r="B698" s="9"/>
      <c r="C698" s="9"/>
      <c r="D698" s="8" t="s">
        <v>45</v>
      </c>
      <c r="E698" s="8"/>
      <c r="F698" s="8" t="s">
        <v>22</v>
      </c>
      <c r="G698" s="10" t="s">
        <v>1673</v>
      </c>
      <c r="H698" s="8" t="s">
        <v>1674</v>
      </c>
      <c r="I698" s="10" t="s">
        <v>1675</v>
      </c>
      <c r="J698" s="11" t="s">
        <v>26</v>
      </c>
      <c r="K698" s="18">
        <v>769</v>
      </c>
      <c r="L698" s="12">
        <f t="shared" si="75"/>
        <v>1026</v>
      </c>
      <c r="M698" s="8">
        <v>1</v>
      </c>
      <c r="N698" s="8" t="s">
        <v>27</v>
      </c>
      <c r="O698" s="13"/>
      <c r="P698" s="14">
        <v>0</v>
      </c>
      <c r="Q698" s="15">
        <v>0.25</v>
      </c>
      <c r="R698" s="16" t="str">
        <f t="shared" si="71"/>
        <v>DAHUA</v>
      </c>
      <c r="S698" s="17"/>
      <c r="T698" s="10" t="str">
        <f t="shared" si="74"/>
        <v>NVR DE 16 CANALES</v>
      </c>
    </row>
    <row r="699" spans="1:20" ht="27" customHeight="1" x14ac:dyDescent="0.25">
      <c r="A699" s="8" t="s">
        <v>1561</v>
      </c>
      <c r="B699" s="9"/>
      <c r="C699" s="9"/>
      <c r="D699" s="8" t="s">
        <v>45</v>
      </c>
      <c r="E699" s="8"/>
      <c r="F699" s="8" t="s">
        <v>22</v>
      </c>
      <c r="G699" s="10" t="s">
        <v>1676</v>
      </c>
      <c r="H699" s="8" t="s">
        <v>1677</v>
      </c>
      <c r="I699" s="10" t="s">
        <v>1678</v>
      </c>
      <c r="J699" s="11" t="s">
        <v>26</v>
      </c>
      <c r="K699" s="18">
        <v>700</v>
      </c>
      <c r="L699" s="12">
        <f t="shared" si="75"/>
        <v>934</v>
      </c>
      <c r="M699" s="8">
        <v>1</v>
      </c>
      <c r="N699" s="8" t="s">
        <v>27</v>
      </c>
      <c r="O699" s="13"/>
      <c r="P699" s="14">
        <v>0</v>
      </c>
      <c r="Q699" s="15">
        <v>0.25</v>
      </c>
      <c r="R699" s="16" t="str">
        <f t="shared" si="71"/>
        <v>DAHUA</v>
      </c>
      <c r="S699" s="17"/>
      <c r="T699" s="10" t="str">
        <f t="shared" si="74"/>
        <v>LICENCIA DE SOFTWARE</v>
      </c>
    </row>
    <row r="700" spans="1:20" ht="27" customHeight="1" x14ac:dyDescent="0.25">
      <c r="A700" s="8" t="s">
        <v>1561</v>
      </c>
      <c r="B700" s="9"/>
      <c r="C700" s="9"/>
      <c r="D700" s="8" t="s">
        <v>45</v>
      </c>
      <c r="E700" s="8"/>
      <c r="F700" s="8" t="s">
        <v>22</v>
      </c>
      <c r="G700" s="10" t="s">
        <v>1679</v>
      </c>
      <c r="H700" s="8" t="s">
        <v>1680</v>
      </c>
      <c r="I700" s="10" t="s">
        <v>1681</v>
      </c>
      <c r="J700" s="11" t="s">
        <v>26</v>
      </c>
      <c r="K700" s="18">
        <v>151</v>
      </c>
      <c r="L700" s="12">
        <f t="shared" si="75"/>
        <v>202</v>
      </c>
      <c r="M700" s="8">
        <v>1</v>
      </c>
      <c r="N700" s="8" t="s">
        <v>27</v>
      </c>
      <c r="O700" s="13"/>
      <c r="P700" s="14">
        <v>0</v>
      </c>
      <c r="Q700" s="15">
        <v>0.25</v>
      </c>
      <c r="R700" s="16" t="str">
        <f t="shared" si="71"/>
        <v>DAHUA</v>
      </c>
      <c r="S700" s="17"/>
      <c r="T700" s="10" t="str">
        <f t="shared" si="74"/>
        <v>MONITOR HD DE 22" CON PARLANTE.</v>
      </c>
    </row>
    <row r="701" spans="1:20" ht="27" customHeight="1" x14ac:dyDescent="0.25">
      <c r="A701" s="8" t="s">
        <v>1561</v>
      </c>
      <c r="B701" s="9"/>
      <c r="C701" s="9"/>
      <c r="D701" s="8"/>
      <c r="E701" s="8"/>
      <c r="F701" s="8"/>
      <c r="G701" s="10"/>
      <c r="H701" s="8" t="s">
        <v>1682</v>
      </c>
      <c r="I701" s="10" t="s">
        <v>1683</v>
      </c>
      <c r="J701" s="11" t="s">
        <v>33</v>
      </c>
      <c r="K701" s="18">
        <v>165000</v>
      </c>
      <c r="L701" s="12">
        <f>IF(J701="P",ROUNDUP(K701/(1-Q701),-2),K701*(1+P701)/(1-Q701))</f>
        <v>275000</v>
      </c>
      <c r="M701" s="8">
        <v>1</v>
      </c>
      <c r="N701" s="8" t="s">
        <v>27</v>
      </c>
      <c r="O701" s="13"/>
      <c r="P701" s="14">
        <v>0</v>
      </c>
      <c r="Q701" s="15">
        <v>0.4</v>
      </c>
      <c r="R701" s="16" t="str">
        <f t="shared" si="71"/>
        <v>DAHUA</v>
      </c>
      <c r="S701" s="17"/>
      <c r="T701" s="10"/>
    </row>
    <row r="702" spans="1:20" ht="27" customHeight="1" x14ac:dyDescent="0.25">
      <c r="A702" s="8" t="s">
        <v>1561</v>
      </c>
      <c r="B702" s="9"/>
      <c r="C702" s="9"/>
      <c r="D702" s="8"/>
      <c r="E702" s="8"/>
      <c r="F702" s="8"/>
      <c r="G702" s="10"/>
      <c r="H702" s="8" t="s">
        <v>1684</v>
      </c>
      <c r="I702" s="10" t="s">
        <v>1685</v>
      </c>
      <c r="J702" s="11" t="s">
        <v>33</v>
      </c>
      <c r="K702" s="18">
        <v>160000</v>
      </c>
      <c r="L702" s="12">
        <f>IF(J702="P",ROUNDUP(K702/(1-Q702),-2),K702*(1+P702)/(1-Q702))</f>
        <v>266700</v>
      </c>
      <c r="M702" s="8">
        <v>1</v>
      </c>
      <c r="N702" s="8" t="s">
        <v>27</v>
      </c>
      <c r="O702" s="13"/>
      <c r="P702" s="14">
        <v>0</v>
      </c>
      <c r="Q702" s="15">
        <v>0.4</v>
      </c>
      <c r="R702" s="16" t="str">
        <f t="shared" si="71"/>
        <v>DAHUA</v>
      </c>
      <c r="S702" s="17"/>
      <c r="T702" s="10"/>
    </row>
    <row r="703" spans="1:20" ht="27" customHeight="1" x14ac:dyDescent="0.25">
      <c r="A703" s="8" t="s">
        <v>1561</v>
      </c>
      <c r="B703" s="9"/>
      <c r="C703" s="9"/>
      <c r="D703" s="8"/>
      <c r="E703" s="8"/>
      <c r="F703" s="8"/>
      <c r="G703" s="10"/>
      <c r="H703" s="8" t="s">
        <v>1686</v>
      </c>
      <c r="I703" s="10" t="s">
        <v>1687</v>
      </c>
      <c r="J703" s="11" t="s">
        <v>33</v>
      </c>
      <c r="K703" s="18">
        <v>123704</v>
      </c>
      <c r="L703" s="12">
        <f>IF(J703="P",ROUNDUP(K703/(1-Q703),-2),K703*(1+P703)/(1-Q703))</f>
        <v>206200</v>
      </c>
      <c r="M703" s="8">
        <v>1</v>
      </c>
      <c r="N703" s="8" t="s">
        <v>27</v>
      </c>
      <c r="O703" s="13"/>
      <c r="P703" s="14">
        <v>0</v>
      </c>
      <c r="Q703" s="15">
        <v>0.4</v>
      </c>
      <c r="R703" s="16" t="str">
        <f t="shared" si="71"/>
        <v>DAHUA</v>
      </c>
      <c r="S703" s="17"/>
      <c r="T703" s="10"/>
    </row>
    <row r="704" spans="1:20" ht="27" customHeight="1" x14ac:dyDescent="0.25">
      <c r="A704" s="8" t="s">
        <v>1561</v>
      </c>
      <c r="B704" s="9"/>
      <c r="C704" s="9"/>
      <c r="D704" s="8"/>
      <c r="E704" s="8"/>
      <c r="F704" s="8"/>
      <c r="G704" s="10"/>
      <c r="H704" s="8" t="s">
        <v>1688</v>
      </c>
      <c r="I704" s="10" t="s">
        <v>1689</v>
      </c>
      <c r="J704" s="11" t="s">
        <v>33</v>
      </c>
      <c r="K704" s="18">
        <v>136100</v>
      </c>
      <c r="L704" s="12">
        <f>IF(J704="P",ROUNDUP(K704/(1-Q704),-2),K704*(1+P704)/(1-Q704))</f>
        <v>226900</v>
      </c>
      <c r="M704" s="8">
        <v>1</v>
      </c>
      <c r="N704" s="8" t="s">
        <v>27</v>
      </c>
      <c r="O704" s="13"/>
      <c r="P704" s="14">
        <v>0</v>
      </c>
      <c r="Q704" s="15">
        <v>0.4</v>
      </c>
      <c r="R704" s="16" t="str">
        <f t="shared" si="71"/>
        <v>DAHUA</v>
      </c>
      <c r="S704" s="17"/>
      <c r="T704" s="10"/>
    </row>
    <row r="705" spans="1:22" ht="27" customHeight="1" x14ac:dyDescent="0.25">
      <c r="A705" s="8" t="s">
        <v>1561</v>
      </c>
      <c r="B705" s="9"/>
      <c r="C705" s="9"/>
      <c r="D705" s="8"/>
      <c r="E705" s="8"/>
      <c r="F705" s="8"/>
      <c r="G705" s="10"/>
      <c r="H705" s="8" t="s">
        <v>1690</v>
      </c>
      <c r="I705" s="10" t="s">
        <v>1691</v>
      </c>
      <c r="J705" s="11" t="s">
        <v>33</v>
      </c>
      <c r="K705" s="18">
        <v>169730</v>
      </c>
      <c r="L705" s="12">
        <f>IF(J705="P",ROUNDUP(K705/(1-Q705),-2),K705*(1+P705)/(1-Q705))</f>
        <v>282900</v>
      </c>
      <c r="M705" s="8">
        <v>1</v>
      </c>
      <c r="N705" s="8" t="s">
        <v>27</v>
      </c>
      <c r="O705" s="13"/>
      <c r="P705" s="14">
        <v>0</v>
      </c>
      <c r="Q705" s="15">
        <v>0.4</v>
      </c>
      <c r="R705" s="16" t="str">
        <f t="shared" ref="R705:R768" si="76">A705</f>
        <v>DAHUA</v>
      </c>
      <c r="S705" s="17"/>
      <c r="T705" s="10"/>
    </row>
    <row r="706" spans="1:22" ht="27" customHeight="1" x14ac:dyDescent="0.25">
      <c r="A706" s="8" t="s">
        <v>1561</v>
      </c>
      <c r="B706" s="9"/>
      <c r="C706" s="9"/>
      <c r="D706" s="8"/>
      <c r="E706" s="8"/>
      <c r="F706" s="8"/>
      <c r="G706" s="10"/>
      <c r="H706" s="8" t="s">
        <v>1692</v>
      </c>
      <c r="I706" s="10" t="s">
        <v>1693</v>
      </c>
      <c r="J706" s="11" t="s">
        <v>33</v>
      </c>
      <c r="K706" s="18">
        <v>50000</v>
      </c>
      <c r="L706" s="12">
        <f>K706*(1+P706)/(1-Q706)</f>
        <v>100000</v>
      </c>
      <c r="M706" s="8">
        <v>1</v>
      </c>
      <c r="N706" s="8" t="s">
        <v>27</v>
      </c>
      <c r="O706" s="13"/>
      <c r="P706" s="14">
        <v>0</v>
      </c>
      <c r="Q706" s="15">
        <v>0.5</v>
      </c>
      <c r="R706" s="16" t="str">
        <f t="shared" si="76"/>
        <v>DAHUA</v>
      </c>
      <c r="S706" s="17"/>
      <c r="T706" s="10"/>
      <c r="V706" s="137" t="s">
        <v>1694</v>
      </c>
    </row>
    <row r="707" spans="1:22" ht="27" customHeight="1" x14ac:dyDescent="0.25">
      <c r="A707" s="8" t="s">
        <v>1561</v>
      </c>
      <c r="B707" s="9"/>
      <c r="C707" s="9"/>
      <c r="D707" s="8"/>
      <c r="E707" s="8"/>
      <c r="F707" s="8"/>
      <c r="G707" s="10"/>
      <c r="H707" s="8" t="s">
        <v>1695</v>
      </c>
      <c r="I707" s="10" t="s">
        <v>1696</v>
      </c>
      <c r="J707" s="11" t="s">
        <v>33</v>
      </c>
      <c r="K707" s="18">
        <v>390000</v>
      </c>
      <c r="L707" s="12">
        <f>K707*(1+P707)/(1-Q707)</f>
        <v>780000</v>
      </c>
      <c r="M707" s="8">
        <v>1</v>
      </c>
      <c r="N707" s="8" t="s">
        <v>27</v>
      </c>
      <c r="O707" s="13"/>
      <c r="P707" s="14">
        <v>0</v>
      </c>
      <c r="Q707" s="15">
        <v>0.5</v>
      </c>
      <c r="R707" s="16" t="str">
        <f t="shared" si="76"/>
        <v>DAHUA</v>
      </c>
      <c r="S707" s="17"/>
      <c r="T707" s="10"/>
    </row>
    <row r="708" spans="1:22" ht="27" customHeight="1" x14ac:dyDescent="0.25">
      <c r="A708" s="8" t="s">
        <v>1561</v>
      </c>
      <c r="B708" s="9"/>
      <c r="C708" s="9"/>
      <c r="D708" s="8"/>
      <c r="E708" s="8"/>
      <c r="F708" s="8"/>
      <c r="G708" s="10"/>
      <c r="H708" s="8" t="s">
        <v>1697</v>
      </c>
      <c r="I708" s="10" t="s">
        <v>1698</v>
      </c>
      <c r="J708" s="11" t="s">
        <v>33</v>
      </c>
      <c r="K708" s="18">
        <v>104000</v>
      </c>
      <c r="L708" s="12">
        <f>K708*(1+P708)/(1-Q708)</f>
        <v>173333.33333333334</v>
      </c>
      <c r="M708" s="8">
        <v>1</v>
      </c>
      <c r="N708" s="8" t="s">
        <v>27</v>
      </c>
      <c r="O708" s="13"/>
      <c r="P708" s="14">
        <v>0</v>
      </c>
      <c r="Q708" s="15">
        <v>0.4</v>
      </c>
      <c r="R708" s="16" t="str">
        <f t="shared" si="76"/>
        <v>DAHUA</v>
      </c>
      <c r="S708" s="17"/>
      <c r="T708" s="10"/>
    </row>
    <row r="709" spans="1:22" ht="27" customHeight="1" x14ac:dyDescent="0.25">
      <c r="A709" s="8" t="s">
        <v>1561</v>
      </c>
      <c r="B709" s="9"/>
      <c r="C709" s="9"/>
      <c r="D709" s="8"/>
      <c r="E709" s="8"/>
      <c r="F709" s="8"/>
      <c r="G709" s="10"/>
      <c r="H709" s="8" t="s">
        <v>1699</v>
      </c>
      <c r="I709" s="10" t="s">
        <v>1700</v>
      </c>
      <c r="J709" s="11" t="s">
        <v>33</v>
      </c>
      <c r="K709" s="18">
        <v>328000</v>
      </c>
      <c r="L709" s="12">
        <f>K709*(1+P709)/(1-Q709)</f>
        <v>546666.66666666674</v>
      </c>
      <c r="M709" s="8">
        <v>1</v>
      </c>
      <c r="N709" s="8" t="s">
        <v>27</v>
      </c>
      <c r="O709" s="13"/>
      <c r="P709" s="14">
        <v>0</v>
      </c>
      <c r="Q709" s="15">
        <v>0.4</v>
      </c>
      <c r="R709" s="16" t="str">
        <f t="shared" si="76"/>
        <v>DAHUA</v>
      </c>
      <c r="S709" s="17"/>
      <c r="T709" s="10"/>
    </row>
    <row r="710" spans="1:22" ht="27" customHeight="1" x14ac:dyDescent="0.25">
      <c r="A710" s="8" t="s">
        <v>1561</v>
      </c>
      <c r="B710" s="9"/>
      <c r="C710" s="9"/>
      <c r="D710" s="8"/>
      <c r="E710" s="8"/>
      <c r="F710" s="8"/>
      <c r="G710" s="10"/>
      <c r="H710" s="8" t="s">
        <v>1701</v>
      </c>
      <c r="I710" s="10" t="s">
        <v>1702</v>
      </c>
      <c r="J710" s="11" t="s">
        <v>33</v>
      </c>
      <c r="K710" s="18">
        <v>150800</v>
      </c>
      <c r="L710" s="12">
        <f>K710*(1+P710)/(1-Q710)</f>
        <v>215428.57142857145</v>
      </c>
      <c r="M710" s="8">
        <v>1</v>
      </c>
      <c r="N710" s="8" t="s">
        <v>27</v>
      </c>
      <c r="O710" s="13"/>
      <c r="P710" s="14">
        <v>0</v>
      </c>
      <c r="Q710" s="15">
        <v>0.3</v>
      </c>
      <c r="R710" s="16" t="str">
        <f t="shared" si="76"/>
        <v>DAHUA</v>
      </c>
      <c r="S710" s="17"/>
      <c r="T710" s="10"/>
    </row>
    <row r="711" spans="1:22" ht="27" customHeight="1" x14ac:dyDescent="0.25">
      <c r="A711" s="8" t="s">
        <v>1561</v>
      </c>
      <c r="B711" s="9"/>
      <c r="C711" s="9"/>
      <c r="D711" s="8"/>
      <c r="E711" s="8"/>
      <c r="F711" s="8"/>
      <c r="G711" s="10"/>
      <c r="H711" s="8" t="s">
        <v>1703</v>
      </c>
      <c r="I711" s="10" t="s">
        <v>1574</v>
      </c>
      <c r="J711" s="11" t="s">
        <v>26</v>
      </c>
      <c r="K711" s="18">
        <v>50</v>
      </c>
      <c r="L711" s="12">
        <f>IF(J711="P",ROUNDUP(K711/(1-Q711),-2),K711*(1+P711)/(1-Q711))</f>
        <v>100</v>
      </c>
      <c r="M711" s="8">
        <v>1</v>
      </c>
      <c r="N711" s="8" t="s">
        <v>110</v>
      </c>
      <c r="O711" s="13"/>
      <c r="P711" s="14">
        <v>0.2</v>
      </c>
      <c r="Q711" s="15">
        <v>0.4</v>
      </c>
      <c r="R711" s="16" t="str">
        <f t="shared" si="76"/>
        <v>DAHUA</v>
      </c>
      <c r="S711" s="17"/>
      <c r="T711" s="10"/>
    </row>
    <row r="712" spans="1:22" ht="27" customHeight="1" x14ac:dyDescent="0.25">
      <c r="A712" s="8" t="s">
        <v>1561</v>
      </c>
      <c r="B712" s="9"/>
      <c r="C712" s="9"/>
      <c r="D712" s="8"/>
      <c r="E712" s="8"/>
      <c r="F712" s="8"/>
      <c r="G712" s="10"/>
      <c r="H712" s="8" t="s">
        <v>1704</v>
      </c>
      <c r="I712" s="10" t="s">
        <v>1705</v>
      </c>
      <c r="J712" s="11" t="s">
        <v>33</v>
      </c>
      <c r="K712" s="18">
        <v>42900</v>
      </c>
      <c r="L712" s="12">
        <f>ROUNDUP(K712*(1+P712)/(1-Q712),0)</f>
        <v>85800</v>
      </c>
      <c r="M712" s="8">
        <v>1</v>
      </c>
      <c r="N712" s="8" t="s">
        <v>27</v>
      </c>
      <c r="O712" s="13"/>
      <c r="P712" s="14">
        <v>0</v>
      </c>
      <c r="Q712" s="15">
        <v>0.5</v>
      </c>
      <c r="R712" s="16" t="str">
        <f t="shared" si="76"/>
        <v>DAHUA</v>
      </c>
      <c r="S712" s="17"/>
      <c r="T712" s="10"/>
    </row>
    <row r="713" spans="1:22" ht="27" customHeight="1" x14ac:dyDescent="0.25">
      <c r="A713" s="8" t="s">
        <v>1561</v>
      </c>
      <c r="B713" s="9"/>
      <c r="C713" s="9"/>
      <c r="D713" s="8"/>
      <c r="E713" s="8"/>
      <c r="F713" s="8"/>
      <c r="G713" s="10"/>
      <c r="H713" s="8" t="s">
        <v>1706</v>
      </c>
      <c r="I713" s="10" t="s">
        <v>1707</v>
      </c>
      <c r="J713" s="11" t="s">
        <v>33</v>
      </c>
      <c r="K713" s="18">
        <v>248100</v>
      </c>
      <c r="L713" s="12">
        <f>ROUNDUP(K713*(1+P713)/(1-Q713),0)</f>
        <v>354429</v>
      </c>
      <c r="M713" s="8">
        <v>1</v>
      </c>
      <c r="N713" s="8" t="s">
        <v>27</v>
      </c>
      <c r="O713" s="13"/>
      <c r="P713" s="14">
        <v>0</v>
      </c>
      <c r="Q713" s="15">
        <v>0.3</v>
      </c>
      <c r="R713" s="16" t="str">
        <f t="shared" si="76"/>
        <v>DAHUA</v>
      </c>
      <c r="S713" s="17"/>
      <c r="T713" s="10"/>
    </row>
    <row r="714" spans="1:22" ht="27" customHeight="1" x14ac:dyDescent="0.25">
      <c r="A714" s="8" t="s">
        <v>1561</v>
      </c>
      <c r="B714" s="9"/>
      <c r="C714" s="9"/>
      <c r="D714" s="8"/>
      <c r="E714" s="8"/>
      <c r="F714" s="8"/>
      <c r="G714" s="10"/>
      <c r="H714" s="8" t="s">
        <v>1708</v>
      </c>
      <c r="I714" s="10" t="s">
        <v>1709</v>
      </c>
      <c r="J714" s="11" t="s">
        <v>33</v>
      </c>
      <c r="K714" s="18">
        <v>305000</v>
      </c>
      <c r="L714" s="12">
        <f>K714*(1+P714)/(1-Q714)</f>
        <v>469230.76923076919</v>
      </c>
      <c r="M714" s="8">
        <v>1</v>
      </c>
      <c r="N714" s="8" t="s">
        <v>27</v>
      </c>
      <c r="O714" s="13"/>
      <c r="P714" s="14">
        <v>0</v>
      </c>
      <c r="Q714" s="15">
        <v>0.35</v>
      </c>
      <c r="R714" s="16" t="str">
        <f t="shared" si="76"/>
        <v>DAHUA</v>
      </c>
      <c r="S714" s="17"/>
      <c r="T714" s="10"/>
    </row>
    <row r="715" spans="1:22" ht="27" customHeight="1" x14ac:dyDescent="0.25">
      <c r="A715" s="8" t="s">
        <v>1561</v>
      </c>
      <c r="B715" s="9"/>
      <c r="C715" s="9"/>
      <c r="D715" s="8"/>
      <c r="E715" s="8"/>
      <c r="F715" s="8"/>
      <c r="G715" s="10"/>
      <c r="H715" s="8" t="s">
        <v>1710</v>
      </c>
      <c r="I715" s="10" t="s">
        <v>1711</v>
      </c>
      <c r="J715" s="11" t="s">
        <v>33</v>
      </c>
      <c r="K715" s="18">
        <v>149000</v>
      </c>
      <c r="L715" s="12">
        <f>K715*(1+P715)/(1-Q715)</f>
        <v>229230.76923076922</v>
      </c>
      <c r="M715" s="8">
        <v>1</v>
      </c>
      <c r="N715" s="8" t="s">
        <v>27</v>
      </c>
      <c r="O715" s="13"/>
      <c r="P715" s="14">
        <v>0</v>
      </c>
      <c r="Q715" s="15">
        <v>0.35</v>
      </c>
      <c r="R715" s="16" t="str">
        <f t="shared" si="76"/>
        <v>DAHUA</v>
      </c>
      <c r="S715" s="17"/>
      <c r="T715" s="10"/>
    </row>
    <row r="716" spans="1:22" ht="27" customHeight="1" x14ac:dyDescent="0.25">
      <c r="A716" s="8" t="s">
        <v>1561</v>
      </c>
      <c r="B716" s="9"/>
      <c r="C716" s="9"/>
      <c r="D716" s="8"/>
      <c r="E716" s="8"/>
      <c r="F716" s="8"/>
      <c r="G716" s="10"/>
      <c r="H716" s="8" t="s">
        <v>1712</v>
      </c>
      <c r="I716" s="10" t="s">
        <v>1713</v>
      </c>
      <c r="J716" s="11" t="s">
        <v>33</v>
      </c>
      <c r="K716" s="18">
        <v>15834000</v>
      </c>
      <c r="L716" s="12">
        <f t="shared" ref="L716:L735" si="77">IF(J716="P",ROUNDUP(K716/(1-Q716),-2),K716*(1+P716)/(1-Q716))</f>
        <v>22620000</v>
      </c>
      <c r="M716" s="8">
        <v>1</v>
      </c>
      <c r="N716" s="8" t="s">
        <v>27</v>
      </c>
      <c r="O716" s="13">
        <f t="shared" ref="O716:O732" si="78">F716</f>
        <v>0</v>
      </c>
      <c r="P716" s="14">
        <v>0</v>
      </c>
      <c r="Q716" s="15">
        <v>0.3</v>
      </c>
      <c r="R716" s="16" t="str">
        <f t="shared" si="76"/>
        <v>DAHUA</v>
      </c>
      <c r="S716" s="17"/>
      <c r="T716" s="10"/>
    </row>
    <row r="717" spans="1:22" ht="27" customHeight="1" x14ac:dyDescent="0.25">
      <c r="A717" s="8" t="s">
        <v>1561</v>
      </c>
      <c r="B717" s="9"/>
      <c r="C717" s="9"/>
      <c r="D717" s="8"/>
      <c r="E717" s="8"/>
      <c r="F717" s="8"/>
      <c r="G717" s="10"/>
      <c r="H717" s="8" t="s">
        <v>1714</v>
      </c>
      <c r="I717" s="10" t="s">
        <v>1715</v>
      </c>
      <c r="J717" s="11" t="s">
        <v>33</v>
      </c>
      <c r="K717" s="18">
        <v>142290</v>
      </c>
      <c r="L717" s="12">
        <f t="shared" si="77"/>
        <v>203300</v>
      </c>
      <c r="M717" s="8">
        <v>1</v>
      </c>
      <c r="N717" s="8" t="s">
        <v>27</v>
      </c>
      <c r="O717" s="13">
        <f t="shared" si="78"/>
        <v>0</v>
      </c>
      <c r="P717" s="14">
        <v>0</v>
      </c>
      <c r="Q717" s="15">
        <v>0.3</v>
      </c>
      <c r="R717" s="16" t="str">
        <f t="shared" si="76"/>
        <v>DAHUA</v>
      </c>
      <c r="S717" s="17"/>
      <c r="T717" s="10"/>
    </row>
    <row r="718" spans="1:22" ht="27" customHeight="1" x14ac:dyDescent="0.25">
      <c r="A718" s="8" t="s">
        <v>1561</v>
      </c>
      <c r="B718" s="9"/>
      <c r="C718" s="9"/>
      <c r="D718" s="8"/>
      <c r="E718" s="8"/>
      <c r="F718" s="8"/>
      <c r="G718" s="10"/>
      <c r="H718" s="8" t="s">
        <v>1716</v>
      </c>
      <c r="I718" s="10" t="s">
        <v>1717</v>
      </c>
      <c r="J718" s="11" t="s">
        <v>33</v>
      </c>
      <c r="K718" s="18">
        <v>3600000</v>
      </c>
      <c r="L718" s="12">
        <f t="shared" si="77"/>
        <v>5142900</v>
      </c>
      <c r="M718" s="8">
        <v>1</v>
      </c>
      <c r="N718" s="8" t="s">
        <v>27</v>
      </c>
      <c r="O718" s="13">
        <f t="shared" si="78"/>
        <v>0</v>
      </c>
      <c r="P718" s="14">
        <v>0</v>
      </c>
      <c r="Q718" s="15">
        <v>0.3</v>
      </c>
      <c r="R718" s="16" t="str">
        <f t="shared" si="76"/>
        <v>DAHUA</v>
      </c>
      <c r="S718" s="17"/>
      <c r="T718" s="10"/>
    </row>
    <row r="719" spans="1:22" ht="27" customHeight="1" x14ac:dyDescent="0.25">
      <c r="A719" s="8" t="s">
        <v>1561</v>
      </c>
      <c r="B719" s="9"/>
      <c r="C719" s="9"/>
      <c r="D719" s="8"/>
      <c r="E719" s="8"/>
      <c r="F719" s="8"/>
      <c r="G719" s="10"/>
      <c r="H719" s="8" t="s">
        <v>1718</v>
      </c>
      <c r="I719" s="10" t="s">
        <v>1717</v>
      </c>
      <c r="J719" s="11" t="s">
        <v>33</v>
      </c>
      <c r="K719" s="18">
        <v>6932000</v>
      </c>
      <c r="L719" s="12">
        <f t="shared" si="77"/>
        <v>9902900</v>
      </c>
      <c r="M719" s="8">
        <v>1</v>
      </c>
      <c r="N719" s="8" t="s">
        <v>27</v>
      </c>
      <c r="O719" s="13">
        <f t="shared" si="78"/>
        <v>0</v>
      </c>
      <c r="P719" s="14">
        <v>0</v>
      </c>
      <c r="Q719" s="15">
        <v>0.3</v>
      </c>
      <c r="R719" s="16" t="str">
        <f t="shared" si="76"/>
        <v>DAHUA</v>
      </c>
      <c r="S719" s="17"/>
      <c r="T719" s="10">
        <f>G719</f>
        <v>0</v>
      </c>
    </row>
    <row r="720" spans="1:22" ht="27" customHeight="1" x14ac:dyDescent="0.25">
      <c r="A720" s="8" t="s">
        <v>1561</v>
      </c>
      <c r="B720" s="9"/>
      <c r="C720" s="9"/>
      <c r="D720" s="8"/>
      <c r="E720" s="8"/>
      <c r="F720" s="8"/>
      <c r="G720" s="10"/>
      <c r="H720" s="8" t="s">
        <v>1719</v>
      </c>
      <c r="I720" s="10" t="s">
        <v>1720</v>
      </c>
      <c r="J720" s="11" t="s">
        <v>33</v>
      </c>
      <c r="K720" s="18">
        <v>3173300</v>
      </c>
      <c r="L720" s="12">
        <f t="shared" si="77"/>
        <v>5288900</v>
      </c>
      <c r="M720" s="8">
        <v>1</v>
      </c>
      <c r="N720" s="8" t="s">
        <v>27</v>
      </c>
      <c r="O720" s="13">
        <f t="shared" si="78"/>
        <v>0</v>
      </c>
      <c r="P720" s="14">
        <v>0</v>
      </c>
      <c r="Q720" s="15">
        <v>0.4</v>
      </c>
      <c r="R720" s="16" t="str">
        <f t="shared" si="76"/>
        <v>DAHUA</v>
      </c>
      <c r="S720" s="17"/>
      <c r="T720" s="10"/>
    </row>
    <row r="721" spans="1:20" ht="27" customHeight="1" x14ac:dyDescent="0.25">
      <c r="A721" s="8" t="s">
        <v>1561</v>
      </c>
      <c r="B721" s="9"/>
      <c r="C721" s="9"/>
      <c r="D721" s="8"/>
      <c r="E721" s="8"/>
      <c r="F721" s="8"/>
      <c r="G721" s="10"/>
      <c r="H721" s="8" t="s">
        <v>1721</v>
      </c>
      <c r="I721" s="10" t="s">
        <v>1722</v>
      </c>
      <c r="J721" s="11" t="s">
        <v>33</v>
      </c>
      <c r="K721" s="18">
        <v>264300</v>
      </c>
      <c r="L721" s="12">
        <f t="shared" si="77"/>
        <v>377600</v>
      </c>
      <c r="M721" s="8">
        <v>1</v>
      </c>
      <c r="N721" s="8" t="s">
        <v>27</v>
      </c>
      <c r="O721" s="13">
        <f t="shared" si="78"/>
        <v>0</v>
      </c>
      <c r="P721" s="14">
        <v>0</v>
      </c>
      <c r="Q721" s="15">
        <v>0.3</v>
      </c>
      <c r="R721" s="16" t="str">
        <f t="shared" si="76"/>
        <v>DAHUA</v>
      </c>
      <c r="S721" s="17"/>
      <c r="T721" s="10"/>
    </row>
    <row r="722" spans="1:20" ht="27" customHeight="1" x14ac:dyDescent="0.25">
      <c r="A722" s="8" t="s">
        <v>1561</v>
      </c>
      <c r="B722" s="9"/>
      <c r="C722" s="9"/>
      <c r="D722" s="8"/>
      <c r="E722" s="8"/>
      <c r="F722" s="8"/>
      <c r="G722" s="10"/>
      <c r="H722" s="8" t="s">
        <v>1723</v>
      </c>
      <c r="I722" s="10" t="s">
        <v>1724</v>
      </c>
      <c r="J722" s="11" t="s">
        <v>33</v>
      </c>
      <c r="K722" s="18">
        <v>372676</v>
      </c>
      <c r="L722" s="12">
        <f t="shared" si="77"/>
        <v>532400</v>
      </c>
      <c r="M722" s="8">
        <v>1</v>
      </c>
      <c r="N722" s="8" t="s">
        <v>27</v>
      </c>
      <c r="O722" s="13">
        <f t="shared" si="78"/>
        <v>0</v>
      </c>
      <c r="P722" s="14">
        <v>0</v>
      </c>
      <c r="Q722" s="15">
        <v>0.3</v>
      </c>
      <c r="R722" s="16" t="str">
        <f t="shared" si="76"/>
        <v>DAHUA</v>
      </c>
      <c r="S722" s="17"/>
      <c r="T722" s="10"/>
    </row>
    <row r="723" spans="1:20" ht="27" customHeight="1" x14ac:dyDescent="0.25">
      <c r="A723" s="8" t="s">
        <v>1561</v>
      </c>
      <c r="B723" s="9"/>
      <c r="C723" s="9"/>
      <c r="D723" s="8"/>
      <c r="E723" s="8"/>
      <c r="F723" s="8"/>
      <c r="G723" s="10"/>
      <c r="H723" s="8" t="s">
        <v>1725</v>
      </c>
      <c r="I723" s="10" t="s">
        <v>1726</v>
      </c>
      <c r="J723" s="11" t="s">
        <v>33</v>
      </c>
      <c r="K723" s="18">
        <v>181900</v>
      </c>
      <c r="L723" s="12">
        <f t="shared" si="77"/>
        <v>259900</v>
      </c>
      <c r="M723" s="8">
        <v>1</v>
      </c>
      <c r="N723" s="8" t="s">
        <v>27</v>
      </c>
      <c r="O723" s="13">
        <f t="shared" si="78"/>
        <v>0</v>
      </c>
      <c r="P723" s="14">
        <v>0</v>
      </c>
      <c r="Q723" s="15">
        <v>0.3</v>
      </c>
      <c r="R723" s="16" t="str">
        <f t="shared" si="76"/>
        <v>DAHUA</v>
      </c>
      <c r="S723" s="17"/>
      <c r="T723" s="10"/>
    </row>
    <row r="724" spans="1:20" ht="27" customHeight="1" x14ac:dyDescent="0.25">
      <c r="A724" s="8" t="s">
        <v>1561</v>
      </c>
      <c r="B724" s="9"/>
      <c r="C724" s="9"/>
      <c r="D724" s="8"/>
      <c r="E724" s="8"/>
      <c r="F724" s="8"/>
      <c r="G724" s="10"/>
      <c r="H724" s="8" t="s">
        <v>1727</v>
      </c>
      <c r="I724" s="10" t="s">
        <v>1728</v>
      </c>
      <c r="J724" s="11" t="s">
        <v>33</v>
      </c>
      <c r="K724" s="18">
        <v>669560</v>
      </c>
      <c r="L724" s="12">
        <f t="shared" si="77"/>
        <v>1030100</v>
      </c>
      <c r="M724" s="8">
        <v>1</v>
      </c>
      <c r="N724" s="8" t="s">
        <v>27</v>
      </c>
      <c r="O724" s="13">
        <f t="shared" si="78"/>
        <v>0</v>
      </c>
      <c r="P724" s="14">
        <v>0</v>
      </c>
      <c r="Q724" s="15">
        <v>0.35</v>
      </c>
      <c r="R724" s="16" t="str">
        <f t="shared" si="76"/>
        <v>DAHUA</v>
      </c>
      <c r="S724" s="17"/>
      <c r="T724" s="10"/>
    </row>
    <row r="725" spans="1:20" ht="27" customHeight="1" x14ac:dyDescent="0.25">
      <c r="A725" s="8" t="s">
        <v>1561</v>
      </c>
      <c r="B725" s="9"/>
      <c r="C725" s="9"/>
      <c r="D725" s="8"/>
      <c r="E725" s="8"/>
      <c r="F725" s="8"/>
      <c r="G725" s="10"/>
      <c r="H725" s="8" t="s">
        <v>1729</v>
      </c>
      <c r="I725" s="10" t="s">
        <v>1730</v>
      </c>
      <c r="J725" s="11" t="s">
        <v>33</v>
      </c>
      <c r="K725" s="18">
        <v>640000</v>
      </c>
      <c r="L725" s="12">
        <f t="shared" si="77"/>
        <v>984700</v>
      </c>
      <c r="M725" s="8">
        <v>1</v>
      </c>
      <c r="N725" s="8" t="s">
        <v>27</v>
      </c>
      <c r="O725" s="13">
        <f t="shared" si="78"/>
        <v>0</v>
      </c>
      <c r="P725" s="14">
        <v>0</v>
      </c>
      <c r="Q725" s="15">
        <v>0.35</v>
      </c>
      <c r="R725" s="16" t="str">
        <f t="shared" si="76"/>
        <v>DAHUA</v>
      </c>
      <c r="S725" s="17"/>
      <c r="T725" s="10"/>
    </row>
    <row r="726" spans="1:20" ht="27" customHeight="1" x14ac:dyDescent="0.25">
      <c r="A726" s="8" t="s">
        <v>1561</v>
      </c>
      <c r="B726" s="9"/>
      <c r="C726" s="9"/>
      <c r="D726" s="8"/>
      <c r="E726" s="8"/>
      <c r="F726" s="8"/>
      <c r="G726" s="10"/>
      <c r="H726" s="8" t="s">
        <v>1731</v>
      </c>
      <c r="I726" s="10" t="s">
        <v>1732</v>
      </c>
      <c r="J726" s="11" t="s">
        <v>33</v>
      </c>
      <c r="K726" s="18">
        <v>43000</v>
      </c>
      <c r="L726" s="12">
        <f t="shared" si="77"/>
        <v>66200</v>
      </c>
      <c r="M726" s="8">
        <v>1</v>
      </c>
      <c r="N726" s="8" t="s">
        <v>27</v>
      </c>
      <c r="O726" s="13">
        <f t="shared" si="78"/>
        <v>0</v>
      </c>
      <c r="P726" s="14">
        <v>0</v>
      </c>
      <c r="Q726" s="15">
        <v>0.35</v>
      </c>
      <c r="R726" s="16" t="str">
        <f t="shared" si="76"/>
        <v>DAHUA</v>
      </c>
      <c r="S726" s="17"/>
      <c r="T726" s="10"/>
    </row>
    <row r="727" spans="1:20" ht="27" customHeight="1" x14ac:dyDescent="0.25">
      <c r="A727" s="8" t="s">
        <v>1561</v>
      </c>
      <c r="B727" s="9"/>
      <c r="C727" s="9"/>
      <c r="D727" s="8"/>
      <c r="E727" s="8"/>
      <c r="F727" s="8"/>
      <c r="G727" s="10"/>
      <c r="H727" s="8" t="s">
        <v>1733</v>
      </c>
      <c r="I727" s="10" t="s">
        <v>1734</v>
      </c>
      <c r="J727" s="11" t="s">
        <v>33</v>
      </c>
      <c r="K727" s="18">
        <v>876000</v>
      </c>
      <c r="L727" s="12">
        <f t="shared" si="77"/>
        <v>1347700</v>
      </c>
      <c r="M727" s="8">
        <v>1</v>
      </c>
      <c r="N727" s="8" t="s">
        <v>27</v>
      </c>
      <c r="O727" s="13">
        <f t="shared" si="78"/>
        <v>0</v>
      </c>
      <c r="P727" s="14">
        <v>0</v>
      </c>
      <c r="Q727" s="15">
        <v>0.35</v>
      </c>
      <c r="R727" s="16" t="str">
        <f t="shared" si="76"/>
        <v>DAHUA</v>
      </c>
      <c r="S727" s="17"/>
      <c r="T727" s="10"/>
    </row>
    <row r="728" spans="1:20" ht="27" customHeight="1" x14ac:dyDescent="0.25">
      <c r="A728" s="8" t="s">
        <v>1561</v>
      </c>
      <c r="B728" s="9"/>
      <c r="C728" s="9"/>
      <c r="D728" s="8"/>
      <c r="E728" s="8"/>
      <c r="F728" s="8"/>
      <c r="G728" s="10"/>
      <c r="H728" s="8" t="s">
        <v>1735</v>
      </c>
      <c r="I728" s="10" t="s">
        <v>1736</v>
      </c>
      <c r="J728" s="11" t="s">
        <v>33</v>
      </c>
      <c r="K728" s="18">
        <v>311000</v>
      </c>
      <c r="L728" s="12">
        <f t="shared" si="77"/>
        <v>478500</v>
      </c>
      <c r="M728" s="8">
        <v>1</v>
      </c>
      <c r="N728" s="8" t="s">
        <v>27</v>
      </c>
      <c r="O728" s="13">
        <f t="shared" si="78"/>
        <v>0</v>
      </c>
      <c r="P728" s="14">
        <v>0</v>
      </c>
      <c r="Q728" s="15">
        <v>0.35</v>
      </c>
      <c r="R728" s="16" t="str">
        <f t="shared" si="76"/>
        <v>DAHUA</v>
      </c>
      <c r="S728" s="17"/>
      <c r="T728" s="10"/>
    </row>
    <row r="729" spans="1:20" ht="27" customHeight="1" x14ac:dyDescent="0.25">
      <c r="A729" s="8" t="s">
        <v>1561</v>
      </c>
      <c r="B729" s="9"/>
      <c r="C729" s="9"/>
      <c r="D729" s="8"/>
      <c r="E729" s="8"/>
      <c r="F729" s="8"/>
      <c r="G729" s="10"/>
      <c r="H729" s="8" t="s">
        <v>1737</v>
      </c>
      <c r="I729" s="10" t="s">
        <v>1738</v>
      </c>
      <c r="J729" s="11" t="s">
        <v>33</v>
      </c>
      <c r="K729" s="18">
        <v>220000</v>
      </c>
      <c r="L729" s="12">
        <f t="shared" si="77"/>
        <v>440000</v>
      </c>
      <c r="M729" s="8">
        <v>1</v>
      </c>
      <c r="N729" s="8" t="s">
        <v>27</v>
      </c>
      <c r="O729" s="13">
        <f t="shared" si="78"/>
        <v>0</v>
      </c>
      <c r="P729" s="14">
        <v>0</v>
      </c>
      <c r="Q729" s="15">
        <v>0.5</v>
      </c>
      <c r="R729" s="16" t="str">
        <f t="shared" si="76"/>
        <v>DAHUA</v>
      </c>
      <c r="S729" s="17"/>
      <c r="T729" s="10"/>
    </row>
    <row r="730" spans="1:20" ht="27" customHeight="1" x14ac:dyDescent="0.25">
      <c r="A730" s="8" t="s">
        <v>1561</v>
      </c>
      <c r="B730" s="9"/>
      <c r="C730" s="9"/>
      <c r="D730" s="8"/>
      <c r="E730" s="8"/>
      <c r="F730" s="8"/>
      <c r="G730" s="10"/>
      <c r="H730" s="8" t="s">
        <v>1739</v>
      </c>
      <c r="I730" s="10" t="s">
        <v>1740</v>
      </c>
      <c r="J730" s="11" t="s">
        <v>33</v>
      </c>
      <c r="K730" s="18">
        <v>767000</v>
      </c>
      <c r="L730" s="12">
        <f t="shared" si="77"/>
        <v>1534000</v>
      </c>
      <c r="M730" s="8">
        <v>1</v>
      </c>
      <c r="N730" s="8" t="s">
        <v>27</v>
      </c>
      <c r="O730" s="13">
        <f t="shared" si="78"/>
        <v>0</v>
      </c>
      <c r="P730" s="14">
        <v>0</v>
      </c>
      <c r="Q730" s="15">
        <v>0.5</v>
      </c>
      <c r="R730" s="16" t="str">
        <f t="shared" si="76"/>
        <v>DAHUA</v>
      </c>
      <c r="S730" s="17"/>
      <c r="T730" s="10"/>
    </row>
    <row r="731" spans="1:20" ht="27" customHeight="1" x14ac:dyDescent="0.25">
      <c r="A731" s="8" t="s">
        <v>1561</v>
      </c>
      <c r="B731" s="9"/>
      <c r="C731" s="9"/>
      <c r="D731" s="8"/>
      <c r="E731" s="8"/>
      <c r="F731" s="8"/>
      <c r="G731" s="10"/>
      <c r="H731" s="8" t="s">
        <v>1741</v>
      </c>
      <c r="I731" s="10" t="s">
        <v>1742</v>
      </c>
      <c r="J731" s="11" t="s">
        <v>33</v>
      </c>
      <c r="K731" s="18">
        <v>490000</v>
      </c>
      <c r="L731" s="12">
        <f t="shared" si="77"/>
        <v>612500</v>
      </c>
      <c r="M731" s="8">
        <v>1</v>
      </c>
      <c r="N731" s="8" t="s">
        <v>27</v>
      </c>
      <c r="O731" s="13">
        <f t="shared" si="78"/>
        <v>0</v>
      </c>
      <c r="P731" s="14">
        <v>0</v>
      </c>
      <c r="Q731" s="15">
        <v>0.2</v>
      </c>
      <c r="R731" s="16" t="str">
        <f t="shared" si="76"/>
        <v>DAHUA</v>
      </c>
      <c r="S731" s="17"/>
      <c r="T731" s="10"/>
    </row>
    <row r="732" spans="1:20" ht="27" customHeight="1" x14ac:dyDescent="0.25">
      <c r="A732" s="8" t="s">
        <v>1561</v>
      </c>
      <c r="B732" s="9"/>
      <c r="C732" s="9"/>
      <c r="D732" s="8"/>
      <c r="E732" s="8"/>
      <c r="F732" s="8"/>
      <c r="G732" s="10"/>
      <c r="H732" s="8" t="s">
        <v>1743</v>
      </c>
      <c r="I732" s="10" t="s">
        <v>1744</v>
      </c>
      <c r="J732" s="11" t="s">
        <v>33</v>
      </c>
      <c r="K732" s="18">
        <v>1403000</v>
      </c>
      <c r="L732" s="12">
        <f t="shared" si="77"/>
        <v>2004300</v>
      </c>
      <c r="M732" s="8">
        <v>1</v>
      </c>
      <c r="N732" s="8" t="s">
        <v>27</v>
      </c>
      <c r="O732" s="13">
        <f t="shared" si="78"/>
        <v>0</v>
      </c>
      <c r="P732" s="14">
        <v>0</v>
      </c>
      <c r="Q732" s="15">
        <v>0.3</v>
      </c>
      <c r="R732" s="16" t="str">
        <f t="shared" si="76"/>
        <v>DAHUA</v>
      </c>
      <c r="S732" s="17"/>
      <c r="T732" s="10"/>
    </row>
    <row r="733" spans="1:20" ht="27" customHeight="1" x14ac:dyDescent="0.25">
      <c r="A733" s="8" t="s">
        <v>1561</v>
      </c>
      <c r="B733" s="9"/>
      <c r="C733" s="9"/>
      <c r="D733" s="8"/>
      <c r="E733" s="8"/>
      <c r="F733" s="8"/>
      <c r="G733" s="10"/>
      <c r="H733" s="8" t="s">
        <v>1745</v>
      </c>
      <c r="I733" s="10" t="s">
        <v>1746</v>
      </c>
      <c r="J733" s="11" t="s">
        <v>33</v>
      </c>
      <c r="K733" s="18">
        <v>209000</v>
      </c>
      <c r="L733" s="12">
        <f t="shared" si="77"/>
        <v>348400</v>
      </c>
      <c r="M733" s="8">
        <v>1</v>
      </c>
      <c r="N733" s="8" t="s">
        <v>27</v>
      </c>
      <c r="O733" s="13"/>
      <c r="P733" s="14">
        <v>0</v>
      </c>
      <c r="Q733" s="15">
        <v>0.4</v>
      </c>
      <c r="R733" s="16" t="str">
        <f t="shared" si="76"/>
        <v>DAHUA</v>
      </c>
      <c r="S733" s="17"/>
      <c r="T733" s="10"/>
    </row>
    <row r="734" spans="1:20" ht="27" customHeight="1" x14ac:dyDescent="0.25">
      <c r="A734" s="8" t="s">
        <v>1561</v>
      </c>
      <c r="B734" s="9"/>
      <c r="C734" s="9"/>
      <c r="D734" s="8"/>
      <c r="E734" s="8"/>
      <c r="F734" s="8"/>
      <c r="G734" s="10"/>
      <c r="H734" s="8" t="s">
        <v>1737</v>
      </c>
      <c r="I734" s="10" t="s">
        <v>1738</v>
      </c>
      <c r="J734" s="11" t="s">
        <v>33</v>
      </c>
      <c r="K734" s="18">
        <v>320000</v>
      </c>
      <c r="L734" s="12">
        <f t="shared" si="77"/>
        <v>533400</v>
      </c>
      <c r="M734" s="8">
        <v>1</v>
      </c>
      <c r="N734" s="8" t="s">
        <v>27</v>
      </c>
      <c r="O734" s="13"/>
      <c r="P734" s="14">
        <v>0</v>
      </c>
      <c r="Q734" s="15">
        <v>0.4</v>
      </c>
      <c r="R734" s="16" t="str">
        <f t="shared" si="76"/>
        <v>DAHUA</v>
      </c>
      <c r="S734" s="17"/>
      <c r="T734" s="10"/>
    </row>
    <row r="735" spans="1:20" ht="27" customHeight="1" x14ac:dyDescent="0.25">
      <c r="A735" s="8" t="s">
        <v>1561</v>
      </c>
      <c r="B735" s="9"/>
      <c r="C735" s="9"/>
      <c r="D735" s="8"/>
      <c r="E735" s="8"/>
      <c r="F735" s="8"/>
      <c r="G735" s="10"/>
      <c r="H735" s="8" t="s">
        <v>1747</v>
      </c>
      <c r="I735" s="10" t="s">
        <v>1748</v>
      </c>
      <c r="J735" s="11" t="s">
        <v>33</v>
      </c>
      <c r="K735" s="18">
        <v>344000</v>
      </c>
      <c r="L735" s="12">
        <f t="shared" si="77"/>
        <v>491500</v>
      </c>
      <c r="M735" s="8">
        <v>1</v>
      </c>
      <c r="N735" s="8" t="s">
        <v>27</v>
      </c>
      <c r="O735" s="13" t="s">
        <v>588</v>
      </c>
      <c r="P735" s="14">
        <v>0</v>
      </c>
      <c r="Q735" s="15">
        <v>0.3</v>
      </c>
      <c r="R735" s="16" t="str">
        <f t="shared" si="76"/>
        <v>DAHUA</v>
      </c>
      <c r="S735" s="17"/>
      <c r="T735" s="10"/>
    </row>
    <row r="736" spans="1:20" ht="27" customHeight="1" x14ac:dyDescent="0.25">
      <c r="A736" s="8" t="s">
        <v>1749</v>
      </c>
      <c r="B736" s="9"/>
      <c r="C736" s="9"/>
      <c r="D736" s="8"/>
      <c r="E736" s="8"/>
      <c r="F736" s="8"/>
      <c r="G736" s="10"/>
      <c r="H736" s="8" t="s">
        <v>1750</v>
      </c>
      <c r="I736" s="10" t="s">
        <v>1751</v>
      </c>
      <c r="J736" s="11" t="s">
        <v>33</v>
      </c>
      <c r="K736" s="18">
        <v>152000</v>
      </c>
      <c r="L736" s="12">
        <f>K736*(1+P736)/(1-Q736)</f>
        <v>253333.33333333334</v>
      </c>
      <c r="M736" s="8">
        <v>1</v>
      </c>
      <c r="N736" s="8" t="s">
        <v>27</v>
      </c>
      <c r="O736" s="13"/>
      <c r="P736" s="14">
        <v>0</v>
      </c>
      <c r="Q736" s="15">
        <v>0.4</v>
      </c>
      <c r="R736" s="16" t="str">
        <f t="shared" si="76"/>
        <v>DAIKU</v>
      </c>
      <c r="S736" s="17"/>
      <c r="T736" s="10"/>
    </row>
    <row r="737" spans="1:20" ht="27" customHeight="1" x14ac:dyDescent="0.25">
      <c r="A737" s="8" t="s">
        <v>1752</v>
      </c>
      <c r="B737" s="9"/>
      <c r="C737" s="9"/>
      <c r="D737" s="8"/>
      <c r="E737" s="8"/>
      <c r="F737" s="8"/>
      <c r="G737" s="10"/>
      <c r="H737" s="8" t="s">
        <v>1753</v>
      </c>
      <c r="I737" s="10" t="s">
        <v>1754</v>
      </c>
      <c r="J737" s="11" t="s">
        <v>33</v>
      </c>
      <c r="K737" s="18">
        <f>199900/1.19</f>
        <v>167983.19327731093</v>
      </c>
      <c r="L737" s="12">
        <f>ROUNDUP(K737*(1+P737)/(1-Q737),0)</f>
        <v>279972</v>
      </c>
      <c r="M737" s="8">
        <v>1</v>
      </c>
      <c r="N737" s="8" t="s">
        <v>27</v>
      </c>
      <c r="O737" s="13"/>
      <c r="P737" s="14">
        <v>0</v>
      </c>
      <c r="Q737" s="15">
        <v>0.4</v>
      </c>
      <c r="R737" s="16" t="str">
        <f t="shared" si="76"/>
        <v>DAIRU</v>
      </c>
      <c r="S737" s="17"/>
      <c r="T737" s="10"/>
    </row>
    <row r="738" spans="1:20" ht="27" customHeight="1" x14ac:dyDescent="0.25">
      <c r="A738" s="8" t="s">
        <v>1755</v>
      </c>
      <c r="B738" s="9" t="s">
        <v>1756</v>
      </c>
      <c r="C738" s="9" t="s">
        <v>1757</v>
      </c>
      <c r="D738" s="8">
        <v>1</v>
      </c>
      <c r="E738" s="8"/>
      <c r="F738" s="8" t="s">
        <v>22</v>
      </c>
      <c r="G738" s="10" t="s">
        <v>1758</v>
      </c>
      <c r="H738" s="8" t="s">
        <v>1759</v>
      </c>
      <c r="I738" s="10" t="s">
        <v>1760</v>
      </c>
      <c r="J738" s="11" t="s">
        <v>26</v>
      </c>
      <c r="K738" s="18">
        <v>510</v>
      </c>
      <c r="L738" s="12">
        <f t="shared" ref="L738:L769" si="79">IF(J738="P",ROUNDUP(K738/(1-Q738),-2),K738*(1+P738)/(1-Q738))</f>
        <v>874.28571428571433</v>
      </c>
      <c r="M738" s="8">
        <v>1</v>
      </c>
      <c r="N738" s="8" t="s">
        <v>27</v>
      </c>
      <c r="O738" s="13"/>
      <c r="P738" s="14">
        <v>0.2</v>
      </c>
      <c r="Q738" s="15">
        <v>0.3</v>
      </c>
      <c r="R738" s="16" t="str">
        <f t="shared" si="76"/>
        <v>DA-LITE</v>
      </c>
      <c r="S738" s="17"/>
      <c r="T738" s="10" t="str">
        <f t="shared" ref="T738:T763" si="80">G738</f>
        <v>TELÓN ELÉCTRICO LÍNEA COSMOPOLITAN ELECTROL, CON CONTROL REMOTO.</v>
      </c>
    </row>
    <row r="739" spans="1:20" ht="27" customHeight="1" x14ac:dyDescent="0.25">
      <c r="A739" s="8" t="s">
        <v>1755</v>
      </c>
      <c r="B739" s="9" t="s">
        <v>1756</v>
      </c>
      <c r="C739" s="9" t="s">
        <v>1757</v>
      </c>
      <c r="D739" s="8">
        <v>2</v>
      </c>
      <c r="E739" s="8"/>
      <c r="F739" s="8" t="s">
        <v>22</v>
      </c>
      <c r="G739" s="10" t="s">
        <v>1758</v>
      </c>
      <c r="H739" s="8" t="s">
        <v>1761</v>
      </c>
      <c r="I739" s="10" t="s">
        <v>1762</v>
      </c>
      <c r="J739" s="11" t="s">
        <v>26</v>
      </c>
      <c r="K739" s="18">
        <v>535</v>
      </c>
      <c r="L739" s="12">
        <f t="shared" si="79"/>
        <v>917.14285714285722</v>
      </c>
      <c r="M739" s="8">
        <v>2</v>
      </c>
      <c r="N739" s="8" t="s">
        <v>27</v>
      </c>
      <c r="O739" s="13"/>
      <c r="P739" s="14">
        <v>0.2</v>
      </c>
      <c r="Q739" s="15">
        <v>0.3</v>
      </c>
      <c r="R739" s="16" t="str">
        <f t="shared" si="76"/>
        <v>DA-LITE</v>
      </c>
      <c r="S739" s="17"/>
      <c r="T739" s="10" t="str">
        <f t="shared" si="80"/>
        <v>TELÓN ELÉCTRICO LÍNEA COSMOPOLITAN ELECTROL, CON CONTROL REMOTO.</v>
      </c>
    </row>
    <row r="740" spans="1:20" ht="27" customHeight="1" x14ac:dyDescent="0.25">
      <c r="A740" s="8" t="s">
        <v>1755</v>
      </c>
      <c r="B740" s="9" t="s">
        <v>1756</v>
      </c>
      <c r="C740" s="9" t="s">
        <v>1757</v>
      </c>
      <c r="D740" s="8">
        <v>3</v>
      </c>
      <c r="E740" s="8"/>
      <c r="F740" s="8" t="s">
        <v>22</v>
      </c>
      <c r="G740" s="10" t="s">
        <v>1758</v>
      </c>
      <c r="H740" s="8" t="s">
        <v>1763</v>
      </c>
      <c r="I740" s="10" t="s">
        <v>1764</v>
      </c>
      <c r="J740" s="11" t="s">
        <v>26</v>
      </c>
      <c r="K740" s="18">
        <v>547</v>
      </c>
      <c r="L740" s="12">
        <f t="shared" si="79"/>
        <v>937.71428571428578</v>
      </c>
      <c r="M740" s="8">
        <v>3</v>
      </c>
      <c r="N740" s="8" t="s">
        <v>27</v>
      </c>
      <c r="O740" s="13"/>
      <c r="P740" s="14">
        <v>0.2</v>
      </c>
      <c r="Q740" s="15">
        <v>0.3</v>
      </c>
      <c r="R740" s="16" t="str">
        <f t="shared" si="76"/>
        <v>DA-LITE</v>
      </c>
      <c r="S740" s="17"/>
      <c r="T740" s="10" t="str">
        <f t="shared" si="80"/>
        <v>TELÓN ELÉCTRICO LÍNEA COSMOPOLITAN ELECTROL, CON CONTROL REMOTO.</v>
      </c>
    </row>
    <row r="741" spans="1:20" ht="27" customHeight="1" x14ac:dyDescent="0.25">
      <c r="A741" s="8" t="s">
        <v>1755</v>
      </c>
      <c r="B741" s="9" t="s">
        <v>1756</v>
      </c>
      <c r="C741" s="9" t="s">
        <v>1757</v>
      </c>
      <c r="D741" s="8">
        <v>4</v>
      </c>
      <c r="E741" s="8"/>
      <c r="F741" s="8" t="s">
        <v>22</v>
      </c>
      <c r="G741" s="10" t="s">
        <v>1758</v>
      </c>
      <c r="H741" s="8" t="s">
        <v>1765</v>
      </c>
      <c r="I741" s="10" t="s">
        <v>1766</v>
      </c>
      <c r="J741" s="11" t="s">
        <v>26</v>
      </c>
      <c r="K741" s="18">
        <v>562</v>
      </c>
      <c r="L741" s="12">
        <f t="shared" si="79"/>
        <v>963.42857142857144</v>
      </c>
      <c r="M741" s="8">
        <v>4</v>
      </c>
      <c r="N741" s="8" t="s">
        <v>27</v>
      </c>
      <c r="O741" s="13"/>
      <c r="P741" s="14">
        <v>0.2</v>
      </c>
      <c r="Q741" s="15">
        <v>0.3</v>
      </c>
      <c r="R741" s="16" t="str">
        <f t="shared" si="76"/>
        <v>DA-LITE</v>
      </c>
      <c r="S741" s="17"/>
      <c r="T741" s="10" t="str">
        <f t="shared" si="80"/>
        <v>TELÓN ELÉCTRICO LÍNEA COSMOPOLITAN ELECTROL, CON CONTROL REMOTO.</v>
      </c>
    </row>
    <row r="742" spans="1:20" ht="27" customHeight="1" x14ac:dyDescent="0.25">
      <c r="A742" s="8" t="s">
        <v>1755</v>
      </c>
      <c r="B742" s="9" t="s">
        <v>1756</v>
      </c>
      <c r="C742" s="9" t="s">
        <v>1757</v>
      </c>
      <c r="D742" s="8">
        <v>5</v>
      </c>
      <c r="E742" s="8"/>
      <c r="F742" s="8" t="s">
        <v>22</v>
      </c>
      <c r="G742" s="10" t="s">
        <v>1758</v>
      </c>
      <c r="H742" s="8" t="s">
        <v>1767</v>
      </c>
      <c r="I742" s="10" t="s">
        <v>1768</v>
      </c>
      <c r="J742" s="11" t="s">
        <v>26</v>
      </c>
      <c r="K742" s="18">
        <v>587</v>
      </c>
      <c r="L742" s="12">
        <f t="shared" si="79"/>
        <v>1006.2857142857143</v>
      </c>
      <c r="M742" s="8">
        <v>5</v>
      </c>
      <c r="N742" s="8" t="s">
        <v>27</v>
      </c>
      <c r="O742" s="13"/>
      <c r="P742" s="14">
        <v>0.2</v>
      </c>
      <c r="Q742" s="15">
        <v>0.3</v>
      </c>
      <c r="R742" s="16" t="str">
        <f t="shared" si="76"/>
        <v>DA-LITE</v>
      </c>
      <c r="S742" s="17"/>
      <c r="T742" s="10" t="str">
        <f t="shared" si="80"/>
        <v>TELÓN ELÉCTRICO LÍNEA COSMOPOLITAN ELECTROL, CON CONTROL REMOTO.</v>
      </c>
    </row>
    <row r="743" spans="1:20" ht="27" customHeight="1" x14ac:dyDescent="0.25">
      <c r="A743" s="8" t="s">
        <v>1755</v>
      </c>
      <c r="B743" s="9" t="s">
        <v>1756</v>
      </c>
      <c r="C743" s="9" t="s">
        <v>1757</v>
      </c>
      <c r="D743" s="8">
        <v>6</v>
      </c>
      <c r="E743" s="8"/>
      <c r="F743" s="8" t="s">
        <v>22</v>
      </c>
      <c r="G743" s="10" t="s">
        <v>1758</v>
      </c>
      <c r="H743" s="8" t="s">
        <v>1769</v>
      </c>
      <c r="I743" s="10" t="s">
        <v>1770</v>
      </c>
      <c r="J743" s="11" t="s">
        <v>26</v>
      </c>
      <c r="K743" s="18">
        <v>633</v>
      </c>
      <c r="L743" s="12">
        <f t="shared" si="79"/>
        <v>1085.1428571428573</v>
      </c>
      <c r="M743" s="8">
        <v>6</v>
      </c>
      <c r="N743" s="8" t="s">
        <v>27</v>
      </c>
      <c r="O743" s="13"/>
      <c r="P743" s="14">
        <v>0.2</v>
      </c>
      <c r="Q743" s="15">
        <v>0.3</v>
      </c>
      <c r="R743" s="16" t="str">
        <f t="shared" si="76"/>
        <v>DA-LITE</v>
      </c>
      <c r="S743" s="17"/>
      <c r="T743" s="10" t="str">
        <f t="shared" si="80"/>
        <v>TELÓN ELÉCTRICO LÍNEA COSMOPOLITAN ELECTROL, CON CONTROL REMOTO.</v>
      </c>
    </row>
    <row r="744" spans="1:20" ht="27" customHeight="1" x14ac:dyDescent="0.25">
      <c r="A744" s="8" t="s">
        <v>1755</v>
      </c>
      <c r="B744" s="9" t="s">
        <v>1756</v>
      </c>
      <c r="C744" s="9" t="s">
        <v>1757</v>
      </c>
      <c r="D744" s="8">
        <v>7</v>
      </c>
      <c r="E744" s="8"/>
      <c r="F744" s="8" t="s">
        <v>22</v>
      </c>
      <c r="G744" s="10" t="s">
        <v>1758</v>
      </c>
      <c r="H744" s="8" t="s">
        <v>1771</v>
      </c>
      <c r="I744" s="10" t="s">
        <v>1772</v>
      </c>
      <c r="J744" s="11" t="s">
        <v>26</v>
      </c>
      <c r="K744" s="18">
        <v>1395</v>
      </c>
      <c r="L744" s="12">
        <f t="shared" si="79"/>
        <v>2391.4285714285716</v>
      </c>
      <c r="M744" s="8">
        <v>7</v>
      </c>
      <c r="N744" s="8" t="s">
        <v>27</v>
      </c>
      <c r="O744" s="13"/>
      <c r="P744" s="14">
        <v>0.2</v>
      </c>
      <c r="Q744" s="15">
        <v>0.3</v>
      </c>
      <c r="R744" s="16" t="str">
        <f t="shared" si="76"/>
        <v>DA-LITE</v>
      </c>
      <c r="S744" s="17"/>
      <c r="T744" s="10" t="str">
        <f t="shared" si="80"/>
        <v>TELÓN ELÉCTRICO LÍNEA COSMOPOLITAN ELECTROL, CON CONTROL REMOTO.</v>
      </c>
    </row>
    <row r="745" spans="1:20" ht="27" customHeight="1" x14ac:dyDescent="0.25">
      <c r="A745" s="8" t="s">
        <v>1755</v>
      </c>
      <c r="B745" s="9" t="s">
        <v>1756</v>
      </c>
      <c r="C745" s="9" t="s">
        <v>1757</v>
      </c>
      <c r="D745" s="8">
        <v>8</v>
      </c>
      <c r="E745" s="8"/>
      <c r="F745" s="8" t="s">
        <v>22</v>
      </c>
      <c r="G745" s="10" t="s">
        <v>1758</v>
      </c>
      <c r="H745" s="8" t="s">
        <v>1773</v>
      </c>
      <c r="I745" s="10" t="s">
        <v>1774</v>
      </c>
      <c r="J745" s="11" t="s">
        <v>26</v>
      </c>
      <c r="K745" s="18">
        <v>1674</v>
      </c>
      <c r="L745" s="12">
        <f t="shared" si="79"/>
        <v>2869.7142857142858</v>
      </c>
      <c r="M745" s="8">
        <v>8</v>
      </c>
      <c r="N745" s="8" t="s">
        <v>27</v>
      </c>
      <c r="O745" s="13"/>
      <c r="P745" s="14">
        <v>0.2</v>
      </c>
      <c r="Q745" s="15">
        <v>0.3</v>
      </c>
      <c r="R745" s="16" t="str">
        <f t="shared" si="76"/>
        <v>DA-LITE</v>
      </c>
      <c r="S745" s="17"/>
      <c r="T745" s="10" t="str">
        <f t="shared" si="80"/>
        <v>TELÓN ELÉCTRICO LÍNEA COSMOPOLITAN ELECTROL, CON CONTROL REMOTO.</v>
      </c>
    </row>
    <row r="746" spans="1:20" ht="27" customHeight="1" x14ac:dyDescent="0.25">
      <c r="A746" s="8" t="s">
        <v>1755</v>
      </c>
      <c r="B746" s="9" t="s">
        <v>1756</v>
      </c>
      <c r="C746" s="9" t="s">
        <v>1757</v>
      </c>
      <c r="D746" s="8">
        <v>9</v>
      </c>
      <c r="E746" s="8"/>
      <c r="F746" s="8" t="s">
        <v>22</v>
      </c>
      <c r="G746" s="10" t="s">
        <v>1775</v>
      </c>
      <c r="H746" s="8" t="s">
        <v>1776</v>
      </c>
      <c r="I746" s="10" t="s">
        <v>1777</v>
      </c>
      <c r="J746" s="11" t="s">
        <v>26</v>
      </c>
      <c r="K746" s="18">
        <v>510</v>
      </c>
      <c r="L746" s="12">
        <f t="shared" si="79"/>
        <v>874.28571428571433</v>
      </c>
      <c r="M746" s="8">
        <v>9</v>
      </c>
      <c r="N746" s="8" t="s">
        <v>27</v>
      </c>
      <c r="O746" s="13"/>
      <c r="P746" s="14">
        <v>0.2</v>
      </c>
      <c r="Q746" s="15">
        <v>0.3</v>
      </c>
      <c r="R746" s="16" t="str">
        <f t="shared" si="76"/>
        <v>DA-LITE</v>
      </c>
      <c r="S746" s="17"/>
      <c r="T746" s="10" t="str">
        <f t="shared" si="80"/>
        <v>TELÓN ELÉCTRICO LÍNEA COSMOPOLITAN ELECTROL DE 92".</v>
      </c>
    </row>
    <row r="747" spans="1:20" ht="27" customHeight="1" x14ac:dyDescent="0.25">
      <c r="A747" s="8" t="s">
        <v>1755</v>
      </c>
      <c r="B747" s="9" t="s">
        <v>1756</v>
      </c>
      <c r="C747" s="9" t="s">
        <v>1757</v>
      </c>
      <c r="D747" s="8">
        <v>10</v>
      </c>
      <c r="E747" s="8"/>
      <c r="F747" s="8" t="s">
        <v>22</v>
      </c>
      <c r="G747" s="10" t="s">
        <v>1778</v>
      </c>
      <c r="H747" s="8" t="s">
        <v>1779</v>
      </c>
      <c r="I747" s="10" t="s">
        <v>1780</v>
      </c>
      <c r="J747" s="11" t="s">
        <v>26</v>
      </c>
      <c r="K747" s="18">
        <v>535</v>
      </c>
      <c r="L747" s="12">
        <f t="shared" si="79"/>
        <v>917.14285714285722</v>
      </c>
      <c r="M747" s="8">
        <v>10</v>
      </c>
      <c r="N747" s="8" t="s">
        <v>27</v>
      </c>
      <c r="O747" s="13"/>
      <c r="P747" s="14">
        <v>0.2</v>
      </c>
      <c r="Q747" s="15">
        <v>0.3</v>
      </c>
      <c r="R747" s="16" t="str">
        <f t="shared" si="76"/>
        <v>DA-LITE</v>
      </c>
      <c r="S747" s="17"/>
      <c r="T747" s="10" t="str">
        <f t="shared" si="80"/>
        <v>TELÓN ELÉCTRICO LÍNEA COSMOPOLITAN ELECTROL, 16:9, 106".</v>
      </c>
    </row>
    <row r="748" spans="1:20" ht="27" customHeight="1" x14ac:dyDescent="0.25">
      <c r="A748" s="8" t="s">
        <v>1755</v>
      </c>
      <c r="B748" s="9" t="s">
        <v>1756</v>
      </c>
      <c r="C748" s="9" t="s">
        <v>1757</v>
      </c>
      <c r="D748" s="8">
        <v>11</v>
      </c>
      <c r="E748" s="8"/>
      <c r="F748" s="8" t="s">
        <v>22</v>
      </c>
      <c r="G748" s="10" t="s">
        <v>1781</v>
      </c>
      <c r="H748" s="8" t="s">
        <v>1782</v>
      </c>
      <c r="I748" s="10" t="s">
        <v>1783</v>
      </c>
      <c r="J748" s="11" t="s">
        <v>26</v>
      </c>
      <c r="K748" s="18">
        <v>547</v>
      </c>
      <c r="L748" s="12">
        <f t="shared" si="79"/>
        <v>937.71428571428578</v>
      </c>
      <c r="M748" s="8">
        <v>11</v>
      </c>
      <c r="N748" s="8" t="s">
        <v>27</v>
      </c>
      <c r="O748" s="13"/>
      <c r="P748" s="14">
        <v>0.2</v>
      </c>
      <c r="Q748" s="15">
        <v>0.3</v>
      </c>
      <c r="R748" s="16" t="str">
        <f t="shared" si="76"/>
        <v>DA-LITE</v>
      </c>
      <c r="S748" s="17"/>
      <c r="T748" s="10" t="str">
        <f t="shared" si="80"/>
        <v>TELÓN ELÉCTRICO LÍNEA COSMOPOLITAN ELECTROL16:9, 110".</v>
      </c>
    </row>
    <row r="749" spans="1:20" ht="27" customHeight="1" x14ac:dyDescent="0.25">
      <c r="A749" s="8" t="s">
        <v>1755</v>
      </c>
      <c r="B749" s="9" t="s">
        <v>1756</v>
      </c>
      <c r="C749" s="9" t="s">
        <v>1757</v>
      </c>
      <c r="D749" s="8">
        <v>12</v>
      </c>
      <c r="E749" s="8"/>
      <c r="F749" s="8" t="s">
        <v>22</v>
      </c>
      <c r="G749" s="10" t="s">
        <v>1784</v>
      </c>
      <c r="H749" s="8" t="s">
        <v>1785</v>
      </c>
      <c r="I749" s="10" t="s">
        <v>1786</v>
      </c>
      <c r="J749" s="11" t="s">
        <v>26</v>
      </c>
      <c r="K749" s="18">
        <v>562</v>
      </c>
      <c r="L749" s="12">
        <f t="shared" si="79"/>
        <v>963.42857142857144</v>
      </c>
      <c r="M749" s="8">
        <v>12</v>
      </c>
      <c r="N749" s="8" t="s">
        <v>27</v>
      </c>
      <c r="O749" s="13"/>
      <c r="P749" s="14">
        <v>0.2</v>
      </c>
      <c r="Q749" s="15">
        <v>0.3</v>
      </c>
      <c r="R749" s="16" t="str">
        <f t="shared" si="76"/>
        <v>DA-LITE</v>
      </c>
      <c r="S749" s="17"/>
      <c r="T749" s="10" t="str">
        <f t="shared" si="80"/>
        <v>TELÓN ELÉCTRICO LÍNEA COSMOPOLITAN ELECTROL.</v>
      </c>
    </row>
    <row r="750" spans="1:20" ht="27" customHeight="1" x14ac:dyDescent="0.25">
      <c r="A750" s="8" t="s">
        <v>1755</v>
      </c>
      <c r="B750" s="9" t="s">
        <v>1756</v>
      </c>
      <c r="C750" s="9" t="s">
        <v>1757</v>
      </c>
      <c r="D750" s="8">
        <v>13</v>
      </c>
      <c r="E750" s="8"/>
      <c r="F750" s="8" t="s">
        <v>22</v>
      </c>
      <c r="G750" s="10" t="s">
        <v>1787</v>
      </c>
      <c r="H750" s="8" t="s">
        <v>1788</v>
      </c>
      <c r="I750" s="10" t="s">
        <v>1789</v>
      </c>
      <c r="J750" s="11" t="s">
        <v>26</v>
      </c>
      <c r="K750" s="18">
        <v>587</v>
      </c>
      <c r="L750" s="12">
        <f t="shared" si="79"/>
        <v>1006.2857142857143</v>
      </c>
      <c r="M750" s="8">
        <v>13</v>
      </c>
      <c r="N750" s="8" t="s">
        <v>27</v>
      </c>
      <c r="O750" s="13"/>
      <c r="P750" s="14">
        <v>0.2</v>
      </c>
      <c r="Q750" s="15">
        <v>0.3</v>
      </c>
      <c r="R750" s="16" t="str">
        <f t="shared" si="76"/>
        <v>DA-LITE</v>
      </c>
      <c r="S750" s="17"/>
      <c r="T750" s="10" t="str">
        <f t="shared" si="80"/>
        <v>TELÓN ELÉCTRICO LÍNEA COSMOPOLITAN ELECTROL, 16:9, 133".</v>
      </c>
    </row>
    <row r="751" spans="1:20" ht="27" customHeight="1" x14ac:dyDescent="0.25">
      <c r="A751" s="8" t="s">
        <v>1755</v>
      </c>
      <c r="B751" s="9" t="s">
        <v>1756</v>
      </c>
      <c r="C751" s="9" t="s">
        <v>1757</v>
      </c>
      <c r="D751" s="8">
        <v>14</v>
      </c>
      <c r="E751" s="8"/>
      <c r="F751" s="8" t="s">
        <v>22</v>
      </c>
      <c r="G751" s="10" t="s">
        <v>1790</v>
      </c>
      <c r="H751" s="8" t="s">
        <v>1791</v>
      </c>
      <c r="I751" s="10" t="s">
        <v>1792</v>
      </c>
      <c r="J751" s="11" t="s">
        <v>26</v>
      </c>
      <c r="K751" s="18">
        <v>633</v>
      </c>
      <c r="L751" s="12">
        <f t="shared" si="79"/>
        <v>1085.1428571428573</v>
      </c>
      <c r="M751" s="8">
        <v>14</v>
      </c>
      <c r="N751" s="8" t="s">
        <v>27</v>
      </c>
      <c r="O751" s="13"/>
      <c r="P751" s="14">
        <v>0.2</v>
      </c>
      <c r="Q751" s="15">
        <v>0.3</v>
      </c>
      <c r="R751" s="16" t="str">
        <f t="shared" si="76"/>
        <v>DA-LITE</v>
      </c>
      <c r="S751" s="17"/>
      <c r="T751" s="10" t="str">
        <f t="shared" si="80"/>
        <v>TELÓN ELÉCTRICO LÍNEA COSMOPOLITAN ELECTROL, 16:9, 159".</v>
      </c>
    </row>
    <row r="752" spans="1:20" ht="27" customHeight="1" x14ac:dyDescent="0.25">
      <c r="A752" s="8" t="s">
        <v>1755</v>
      </c>
      <c r="B752" s="9" t="s">
        <v>1756</v>
      </c>
      <c r="C752" s="9" t="s">
        <v>1757</v>
      </c>
      <c r="D752" s="8">
        <v>15</v>
      </c>
      <c r="E752" s="8"/>
      <c r="F752" s="8" t="s">
        <v>22</v>
      </c>
      <c r="G752" s="10" t="s">
        <v>1793</v>
      </c>
      <c r="H752" s="8" t="s">
        <v>1794</v>
      </c>
      <c r="I752" s="10" t="s">
        <v>1795</v>
      </c>
      <c r="J752" s="11" t="s">
        <v>26</v>
      </c>
      <c r="K752" s="18">
        <v>1395</v>
      </c>
      <c r="L752" s="12">
        <f t="shared" si="79"/>
        <v>2391.4285714285716</v>
      </c>
      <c r="M752" s="8">
        <v>15</v>
      </c>
      <c r="N752" s="8" t="s">
        <v>27</v>
      </c>
      <c r="O752" s="13"/>
      <c r="P752" s="14">
        <v>0.2</v>
      </c>
      <c r="Q752" s="15">
        <v>0.3</v>
      </c>
      <c r="R752" s="16" t="str">
        <f t="shared" si="76"/>
        <v>DA-LITE</v>
      </c>
      <c r="S752" s="17"/>
      <c r="T752" s="10" t="str">
        <f t="shared" si="80"/>
        <v>TELÓN ELÉCTRICO LÍNEA COSMOPOLITAN ELECTROL, 16:9, 188".</v>
      </c>
    </row>
    <row r="753" spans="1:20" ht="27" customHeight="1" x14ac:dyDescent="0.25">
      <c r="A753" s="8" t="s">
        <v>1755</v>
      </c>
      <c r="B753" s="9" t="s">
        <v>1756</v>
      </c>
      <c r="C753" s="9" t="s">
        <v>1757</v>
      </c>
      <c r="D753" s="8">
        <v>16</v>
      </c>
      <c r="E753" s="8"/>
      <c r="F753" s="8" t="s">
        <v>22</v>
      </c>
      <c r="G753" s="10" t="s">
        <v>1796</v>
      </c>
      <c r="H753" s="8" t="s">
        <v>1797</v>
      </c>
      <c r="I753" s="10" t="s">
        <v>1798</v>
      </c>
      <c r="J753" s="11" t="s">
        <v>26</v>
      </c>
      <c r="K753" s="18">
        <v>1674</v>
      </c>
      <c r="L753" s="12">
        <f t="shared" si="79"/>
        <v>2869.7142857142858</v>
      </c>
      <c r="M753" s="8">
        <v>16</v>
      </c>
      <c r="N753" s="8" t="s">
        <v>27</v>
      </c>
      <c r="O753" s="13"/>
      <c r="P753" s="14">
        <v>0.2</v>
      </c>
      <c r="Q753" s="15">
        <v>0.3</v>
      </c>
      <c r="R753" s="16" t="str">
        <f t="shared" si="76"/>
        <v>DA-LITE</v>
      </c>
      <c r="S753" s="17"/>
      <c r="T753" s="10" t="str">
        <f t="shared" si="80"/>
        <v>TELÓN ELÉCTRICO LÍNEA COSMOPOLITAN ELECTROL, 16:9, 216".</v>
      </c>
    </row>
    <row r="754" spans="1:20" ht="27" customHeight="1" x14ac:dyDescent="0.25">
      <c r="A754" s="8" t="s">
        <v>1755</v>
      </c>
      <c r="B754" s="9" t="s">
        <v>1756</v>
      </c>
      <c r="C754" s="9" t="s">
        <v>1757</v>
      </c>
      <c r="D754" s="8">
        <v>17</v>
      </c>
      <c r="E754" s="8"/>
      <c r="F754" s="8" t="s">
        <v>22</v>
      </c>
      <c r="G754" s="10" t="s">
        <v>1799</v>
      </c>
      <c r="H754" s="8" t="s">
        <v>1800</v>
      </c>
      <c r="I754" s="10" t="s">
        <v>1801</v>
      </c>
      <c r="J754" s="11" t="s">
        <v>26</v>
      </c>
      <c r="K754" s="18">
        <f>(2125+145)</f>
        <v>2270</v>
      </c>
      <c r="L754" s="12">
        <f t="shared" si="79"/>
        <v>3891.4285714285716</v>
      </c>
      <c r="M754" s="8">
        <v>17</v>
      </c>
      <c r="N754" s="8" t="s">
        <v>27</v>
      </c>
      <c r="O754" s="13"/>
      <c r="P754" s="14">
        <v>0.2</v>
      </c>
      <c r="Q754" s="15">
        <v>0.3</v>
      </c>
      <c r="R754" s="16" t="str">
        <f t="shared" si="76"/>
        <v>DA-LITE</v>
      </c>
      <c r="S754" s="17"/>
      <c r="T754" s="10" t="str">
        <f t="shared" si="80"/>
        <v>TELÓN ELÉCTRICO TENSIONADO DE LA LÍNEA COSMOPOLITAN ELECTROL,  16:9, 220".</v>
      </c>
    </row>
    <row r="755" spans="1:20" ht="27" customHeight="1" x14ac:dyDescent="0.25">
      <c r="A755" s="8" t="s">
        <v>1755</v>
      </c>
      <c r="B755" s="9" t="s">
        <v>1756</v>
      </c>
      <c r="C755" s="9" t="s">
        <v>1757</v>
      </c>
      <c r="D755" s="8">
        <v>18</v>
      </c>
      <c r="E755" s="8"/>
      <c r="F755" s="8" t="s">
        <v>22</v>
      </c>
      <c r="G755" s="10" t="s">
        <v>1802</v>
      </c>
      <c r="H755" s="8" t="s">
        <v>1803</v>
      </c>
      <c r="I755" s="10" t="s">
        <v>1802</v>
      </c>
      <c r="J755" s="11" t="s">
        <v>26</v>
      </c>
      <c r="K755" s="18">
        <v>277</v>
      </c>
      <c r="L755" s="12">
        <f t="shared" si="79"/>
        <v>511.38461538461536</v>
      </c>
      <c r="M755" s="8">
        <v>18</v>
      </c>
      <c r="N755" s="8" t="s">
        <v>27</v>
      </c>
      <c r="O755" s="13"/>
      <c r="P755" s="14">
        <v>0.2</v>
      </c>
      <c r="Q755" s="15">
        <v>0.35</v>
      </c>
      <c r="R755" s="16" t="str">
        <f t="shared" si="76"/>
        <v>DA-LITE</v>
      </c>
      <c r="S755" s="17"/>
      <c r="T755" s="10" t="str">
        <f t="shared" si="80"/>
        <v>TELÓN MANUAL DE 92" DIAGONAL. ALTO: 114CM, ANCHO: 203CM. COLOR BLANCO MATE.</v>
      </c>
    </row>
    <row r="756" spans="1:20" ht="27" customHeight="1" x14ac:dyDescent="0.25">
      <c r="A756" s="8" t="s">
        <v>1755</v>
      </c>
      <c r="B756" s="9" t="s">
        <v>1756</v>
      </c>
      <c r="C756" s="9" t="s">
        <v>1757</v>
      </c>
      <c r="D756" s="8">
        <v>19</v>
      </c>
      <c r="E756" s="8"/>
      <c r="F756" s="8" t="s">
        <v>22</v>
      </c>
      <c r="G756" s="10" t="s">
        <v>1804</v>
      </c>
      <c r="H756" s="8" t="s">
        <v>1805</v>
      </c>
      <c r="I756" s="10" t="s">
        <v>1806</v>
      </c>
      <c r="J756" s="11" t="s">
        <v>26</v>
      </c>
      <c r="K756" s="18">
        <v>459</v>
      </c>
      <c r="L756" s="12">
        <f t="shared" si="79"/>
        <v>918</v>
      </c>
      <c r="M756" s="8">
        <v>19</v>
      </c>
      <c r="N756" s="8" t="s">
        <v>27</v>
      </c>
      <c r="O756" s="13"/>
      <c r="P756" s="14">
        <v>0.2</v>
      </c>
      <c r="Q756" s="15">
        <v>0.4</v>
      </c>
      <c r="R756" s="16" t="str">
        <f t="shared" si="76"/>
        <v>DA-LITE</v>
      </c>
      <c r="S756" s="17"/>
      <c r="T756" s="10" t="str">
        <f t="shared" si="80"/>
        <v>TELÓN ELÉCTRICO LÍNEA CINEMA ELECTROL, 16:9, 106".</v>
      </c>
    </row>
    <row r="757" spans="1:20" ht="27" customHeight="1" x14ac:dyDescent="0.25">
      <c r="A757" s="8" t="s">
        <v>1755</v>
      </c>
      <c r="B757" s="9" t="s">
        <v>1756</v>
      </c>
      <c r="C757" s="9" t="s">
        <v>1757</v>
      </c>
      <c r="D757" s="8">
        <v>19</v>
      </c>
      <c r="E757" s="8"/>
      <c r="F757" s="8" t="s">
        <v>22</v>
      </c>
      <c r="G757" s="10" t="s">
        <v>1807</v>
      </c>
      <c r="H757" s="8" t="s">
        <v>1808</v>
      </c>
      <c r="I757" s="10" t="s">
        <v>1807</v>
      </c>
      <c r="J757" s="11" t="s">
        <v>26</v>
      </c>
      <c r="K757" s="18">
        <v>248</v>
      </c>
      <c r="L757" s="12">
        <f t="shared" si="79"/>
        <v>495.99999999999994</v>
      </c>
      <c r="M757" s="8">
        <v>20</v>
      </c>
      <c r="N757" s="8" t="s">
        <v>27</v>
      </c>
      <c r="O757" s="13"/>
      <c r="P757" s="14">
        <v>0.2</v>
      </c>
      <c r="Q757" s="15">
        <v>0.4</v>
      </c>
      <c r="R757" s="16" t="str">
        <f t="shared" si="76"/>
        <v>DA-LITE</v>
      </c>
      <c r="S757" s="17"/>
      <c r="T757" s="10" t="str">
        <f t="shared" si="80"/>
        <v>TELÓN MANUAL DE 119" DIAGONAL. ALTO: 147CM, ANCHO: 254CM. COLOR BLANCO MATE.</v>
      </c>
    </row>
    <row r="758" spans="1:20" ht="27" customHeight="1" x14ac:dyDescent="0.25">
      <c r="A758" s="8" t="s">
        <v>1755</v>
      </c>
      <c r="B758" s="9" t="s">
        <v>1756</v>
      </c>
      <c r="C758" s="9" t="s">
        <v>1757</v>
      </c>
      <c r="D758" s="8">
        <v>19</v>
      </c>
      <c r="E758" s="8"/>
      <c r="F758" s="8" t="s">
        <v>22</v>
      </c>
      <c r="G758" s="10" t="s">
        <v>1809</v>
      </c>
      <c r="H758" s="8" t="s">
        <v>1810</v>
      </c>
      <c r="I758" s="10" t="s">
        <v>1811</v>
      </c>
      <c r="J758" s="11" t="s">
        <v>26</v>
      </c>
      <c r="K758" s="18">
        <v>682</v>
      </c>
      <c r="L758" s="12">
        <f t="shared" si="79"/>
        <v>1364</v>
      </c>
      <c r="M758" s="8">
        <v>21</v>
      </c>
      <c r="N758" s="8" t="s">
        <v>27</v>
      </c>
      <c r="O758" s="13"/>
      <c r="P758" s="14">
        <v>0.2</v>
      </c>
      <c r="Q758" s="15">
        <v>0.4</v>
      </c>
      <c r="R758" s="16" t="str">
        <f t="shared" si="76"/>
        <v>DA-LITE</v>
      </c>
      <c r="S758" s="17"/>
      <c r="T758" s="10" t="str">
        <f t="shared" si="80"/>
        <v>TELÓN MOTORIZADO CON CONTROL DE PARED, FORMATO 16:10. 164".</v>
      </c>
    </row>
    <row r="759" spans="1:20" ht="27" customHeight="1" x14ac:dyDescent="0.25">
      <c r="A759" s="8" t="s">
        <v>1755</v>
      </c>
      <c r="B759" s="9" t="s">
        <v>1756</v>
      </c>
      <c r="C759" s="9" t="s">
        <v>1757</v>
      </c>
      <c r="D759" s="8">
        <v>19</v>
      </c>
      <c r="E759" s="8"/>
      <c r="F759" s="8" t="s">
        <v>22</v>
      </c>
      <c r="G759" s="10" t="s">
        <v>1812</v>
      </c>
      <c r="H759" s="8" t="s">
        <v>1813</v>
      </c>
      <c r="I759" s="10" t="s">
        <v>1812</v>
      </c>
      <c r="J759" s="11" t="s">
        <v>26</v>
      </c>
      <c r="K759" s="18">
        <v>1869</v>
      </c>
      <c r="L759" s="12">
        <f t="shared" si="79"/>
        <v>3737.9999999999995</v>
      </c>
      <c r="M759" s="8">
        <v>22</v>
      </c>
      <c r="N759" s="8" t="s">
        <v>27</v>
      </c>
      <c r="O759" s="13"/>
      <c r="P759" s="14">
        <v>0.2</v>
      </c>
      <c r="Q759" s="15">
        <v>0.4</v>
      </c>
      <c r="R759" s="16" t="str">
        <f t="shared" si="76"/>
        <v>DA-LITE</v>
      </c>
      <c r="S759" s="17"/>
      <c r="T759" s="10" t="str">
        <f t="shared" si="80"/>
        <v>TELÓN MOTORIZADO TENSIONADO CON CONTROL DE PARED, FORMATO 16:9. 133"DIAGONAL.</v>
      </c>
    </row>
    <row r="760" spans="1:20" ht="27" customHeight="1" x14ac:dyDescent="0.25">
      <c r="A760" s="8" t="s">
        <v>1755</v>
      </c>
      <c r="B760" s="9"/>
      <c r="C760" s="9"/>
      <c r="D760" s="8"/>
      <c r="E760" s="8"/>
      <c r="F760" s="8" t="s">
        <v>22</v>
      </c>
      <c r="G760" s="10" t="s">
        <v>1814</v>
      </c>
      <c r="H760" s="8" t="s">
        <v>1810</v>
      </c>
      <c r="I760" s="10" t="s">
        <v>1814</v>
      </c>
      <c r="J760" s="11" t="s">
        <v>26</v>
      </c>
      <c r="K760" s="18">
        <v>682</v>
      </c>
      <c r="L760" s="12">
        <f t="shared" si="79"/>
        <v>1364</v>
      </c>
      <c r="M760" s="8">
        <v>23</v>
      </c>
      <c r="N760" s="8" t="s">
        <v>27</v>
      </c>
      <c r="O760" s="13"/>
      <c r="P760" s="14">
        <v>0.2</v>
      </c>
      <c r="Q760" s="15">
        <v>0.4</v>
      </c>
      <c r="R760" s="16" t="str">
        <f t="shared" si="76"/>
        <v>DA-LITE</v>
      </c>
      <c r="S760" s="17"/>
      <c r="T760" s="10" t="str">
        <f t="shared" si="80"/>
        <v>TELÓN MOTORIZADO DE 164" EN FORMATO 16:9</v>
      </c>
    </row>
    <row r="761" spans="1:20" ht="27" customHeight="1" x14ac:dyDescent="0.25">
      <c r="A761" s="8" t="s">
        <v>1815</v>
      </c>
      <c r="B761" s="9"/>
      <c r="C761" s="9"/>
      <c r="D761" s="8"/>
      <c r="E761" s="8"/>
      <c r="F761" s="8" t="s">
        <v>22</v>
      </c>
      <c r="G761" s="10" t="s">
        <v>1816</v>
      </c>
      <c r="H761" s="8" t="s">
        <v>1815</v>
      </c>
      <c r="I761" s="10" t="s">
        <v>1816</v>
      </c>
      <c r="J761" s="11" t="s">
        <v>33</v>
      </c>
      <c r="K761" s="18">
        <v>175000</v>
      </c>
      <c r="L761" s="12">
        <f t="shared" si="79"/>
        <v>250000</v>
      </c>
      <c r="M761" s="8">
        <v>1</v>
      </c>
      <c r="N761" s="8" t="s">
        <v>27</v>
      </c>
      <c r="O761" s="13"/>
      <c r="P761" s="14">
        <v>0.2</v>
      </c>
      <c r="Q761" s="15">
        <v>0.3</v>
      </c>
      <c r="R761" s="16" t="str">
        <f t="shared" si="76"/>
        <v>DATALINK</v>
      </c>
      <c r="S761" s="17"/>
      <c r="T761" s="10" t="str">
        <f t="shared" si="80"/>
        <v>MODEM ROUTER 3G</v>
      </c>
    </row>
    <row r="762" spans="1:20" ht="27" customHeight="1" x14ac:dyDescent="0.25">
      <c r="A762" s="8" t="s">
        <v>1817</v>
      </c>
      <c r="B762" s="9" t="s">
        <v>1818</v>
      </c>
      <c r="C762" s="9"/>
      <c r="D762" s="8"/>
      <c r="E762" s="8"/>
      <c r="F762" s="8" t="s">
        <v>22</v>
      </c>
      <c r="G762" s="10" t="s">
        <v>1819</v>
      </c>
      <c r="H762" s="8" t="s">
        <v>1820</v>
      </c>
      <c r="I762" s="10" t="s">
        <v>1819</v>
      </c>
      <c r="J762" s="11" t="s">
        <v>33</v>
      </c>
      <c r="K762" s="18">
        <v>42000</v>
      </c>
      <c r="L762" s="12">
        <f t="shared" si="79"/>
        <v>60000</v>
      </c>
      <c r="M762" s="8">
        <v>1</v>
      </c>
      <c r="N762" s="8" t="s">
        <v>27</v>
      </c>
      <c r="O762" s="13"/>
      <c r="P762" s="14">
        <v>0.2</v>
      </c>
      <c r="Q762" s="15">
        <v>0.3</v>
      </c>
      <c r="R762" s="16" t="str">
        <f t="shared" si="76"/>
        <v>DAYKO</v>
      </c>
      <c r="S762" s="17"/>
      <c r="T762" s="10" t="str">
        <f t="shared" si="80"/>
        <v>TIMBRE INALÁMBRICO DE SOBRE PONER</v>
      </c>
    </row>
    <row r="763" spans="1:20" ht="27" customHeight="1" x14ac:dyDescent="0.25">
      <c r="A763" s="8" t="s">
        <v>1821</v>
      </c>
      <c r="B763" s="9" t="s">
        <v>1818</v>
      </c>
      <c r="C763" s="9"/>
      <c r="D763" s="8" t="s">
        <v>602</v>
      </c>
      <c r="E763" s="8"/>
      <c r="F763" s="8" t="s">
        <v>22</v>
      </c>
      <c r="G763" s="10" t="s">
        <v>1822</v>
      </c>
      <c r="H763" s="8" t="s">
        <v>1823</v>
      </c>
      <c r="I763" s="10" t="s">
        <v>1822</v>
      </c>
      <c r="J763" s="11" t="s">
        <v>26</v>
      </c>
      <c r="K763" s="18">
        <v>44.13</v>
      </c>
      <c r="L763" s="12">
        <f t="shared" si="79"/>
        <v>75.651428571428582</v>
      </c>
      <c r="M763" s="8">
        <v>1</v>
      </c>
      <c r="N763" s="8" t="s">
        <v>27</v>
      </c>
      <c r="O763" s="13"/>
      <c r="P763" s="14">
        <v>0.2</v>
      </c>
      <c r="Q763" s="15">
        <v>0.3</v>
      </c>
      <c r="R763" s="16" t="str">
        <f t="shared" si="76"/>
        <v>DAYTON</v>
      </c>
      <c r="S763" s="17"/>
      <c r="T763" s="10" t="str">
        <f t="shared" si="80"/>
        <v>CAJA CON CONECTOR XLR PARA PISO.</v>
      </c>
    </row>
    <row r="764" spans="1:20" ht="27" customHeight="1" x14ac:dyDescent="0.25">
      <c r="A764" s="8" t="s">
        <v>1824</v>
      </c>
      <c r="B764" s="9"/>
      <c r="C764" s="9"/>
      <c r="D764" s="8"/>
      <c r="E764" s="8"/>
      <c r="F764" s="8"/>
      <c r="G764" s="10"/>
      <c r="H764" s="8" t="s">
        <v>1825</v>
      </c>
      <c r="I764" s="10" t="s">
        <v>1826</v>
      </c>
      <c r="J764" s="11" t="s">
        <v>26</v>
      </c>
      <c r="K764" s="18">
        <v>390</v>
      </c>
      <c r="L764" s="12">
        <f t="shared" si="79"/>
        <v>780</v>
      </c>
      <c r="M764" s="8">
        <v>1</v>
      </c>
      <c r="N764" s="8" t="s">
        <v>27</v>
      </c>
      <c r="O764" s="13">
        <f>F764</f>
        <v>0</v>
      </c>
      <c r="P764" s="14">
        <v>0.2</v>
      </c>
      <c r="Q764" s="15">
        <v>0.4</v>
      </c>
      <c r="R764" s="16" t="str">
        <f t="shared" si="76"/>
        <v>DBX</v>
      </c>
      <c r="S764" s="17"/>
      <c r="T764" s="10"/>
    </row>
    <row r="765" spans="1:20" ht="27" customHeight="1" x14ac:dyDescent="0.25">
      <c r="A765" s="8" t="s">
        <v>1824</v>
      </c>
      <c r="B765" s="9"/>
      <c r="C765" s="9"/>
      <c r="D765" s="8"/>
      <c r="E765" s="8"/>
      <c r="F765" s="8"/>
      <c r="G765" s="10"/>
      <c r="H765" s="8" t="s">
        <v>1827</v>
      </c>
      <c r="I765" s="10" t="s">
        <v>1828</v>
      </c>
      <c r="J765" s="11" t="s">
        <v>26</v>
      </c>
      <c r="K765" s="18">
        <v>40</v>
      </c>
      <c r="L765" s="12">
        <f t="shared" si="79"/>
        <v>80</v>
      </c>
      <c r="M765" s="8">
        <v>1</v>
      </c>
      <c r="N765" s="8" t="s">
        <v>27</v>
      </c>
      <c r="O765" s="13">
        <f>F765</f>
        <v>0</v>
      </c>
      <c r="P765" s="14">
        <v>0.2</v>
      </c>
      <c r="Q765" s="15">
        <v>0.4</v>
      </c>
      <c r="R765" s="16" t="str">
        <f t="shared" si="76"/>
        <v>DBX</v>
      </c>
      <c r="S765" s="17"/>
      <c r="T765" s="10"/>
    </row>
    <row r="766" spans="1:20" ht="27" customHeight="1" x14ac:dyDescent="0.25">
      <c r="A766" s="8" t="s">
        <v>1829</v>
      </c>
      <c r="B766" s="9"/>
      <c r="C766" s="9"/>
      <c r="D766" s="8"/>
      <c r="E766" s="8"/>
      <c r="F766" s="8" t="s">
        <v>22</v>
      </c>
      <c r="G766" s="10" t="s">
        <v>1830</v>
      </c>
      <c r="H766" s="8" t="s">
        <v>1831</v>
      </c>
      <c r="I766" s="10" t="s">
        <v>1830</v>
      </c>
      <c r="J766" s="11" t="s">
        <v>26</v>
      </c>
      <c r="K766" s="18">
        <v>20</v>
      </c>
      <c r="L766" s="12">
        <f t="shared" si="79"/>
        <v>40</v>
      </c>
      <c r="M766" s="8">
        <v>1</v>
      </c>
      <c r="N766" s="8" t="s">
        <v>27</v>
      </c>
      <c r="O766" s="13"/>
      <c r="P766" s="14">
        <v>0.2</v>
      </c>
      <c r="Q766" s="15">
        <v>0.4</v>
      </c>
      <c r="R766" s="16" t="str">
        <f t="shared" si="76"/>
        <v>DEALMUX</v>
      </c>
      <c r="S766" s="17" t="s">
        <v>1832</v>
      </c>
      <c r="T766" s="10" t="str">
        <f t="shared" ref="T766:T809" si="81">G766</f>
        <v>SENSOR DE LÍQUIDOS VERTICAL CON INTERRUPTOR</v>
      </c>
    </row>
    <row r="767" spans="1:20" ht="27" customHeight="1" x14ac:dyDescent="0.25">
      <c r="A767" s="8" t="s">
        <v>1833</v>
      </c>
      <c r="B767" s="9"/>
      <c r="C767" s="9"/>
      <c r="D767" s="8"/>
      <c r="E767" s="8"/>
      <c r="F767" s="8" t="s">
        <v>22</v>
      </c>
      <c r="G767" s="10" t="s">
        <v>1834</v>
      </c>
      <c r="H767" s="8" t="s">
        <v>1835</v>
      </c>
      <c r="I767" s="10" t="s">
        <v>1834</v>
      </c>
      <c r="J767" s="11" t="s">
        <v>33</v>
      </c>
      <c r="K767" s="18">
        <v>2850000</v>
      </c>
      <c r="L767" s="12">
        <f t="shared" si="79"/>
        <v>4071500</v>
      </c>
      <c r="M767" s="8">
        <v>1</v>
      </c>
      <c r="N767" s="8" t="s">
        <v>27</v>
      </c>
      <c r="O767" s="13"/>
      <c r="P767" s="14">
        <v>0</v>
      </c>
      <c r="Q767" s="15">
        <v>0.3</v>
      </c>
      <c r="R767" s="16" t="str">
        <f t="shared" si="76"/>
        <v>DELL</v>
      </c>
      <c r="S767" s="17"/>
      <c r="T767" s="10" t="str">
        <f t="shared" si="81"/>
        <v>SERVIDOR EN TORRE CON PROCESADOR XEON DE 3.3GHz, 1 TERA DE DISCO DURO.</v>
      </c>
    </row>
    <row r="768" spans="1:20" ht="27" customHeight="1" x14ac:dyDescent="0.25">
      <c r="A768" s="8" t="s">
        <v>1836</v>
      </c>
      <c r="B768" s="9" t="s">
        <v>1837</v>
      </c>
      <c r="C768" s="9"/>
      <c r="D768" s="8"/>
      <c r="E768" s="8"/>
      <c r="F768" s="8" t="s">
        <v>22</v>
      </c>
      <c r="G768" s="10" t="s">
        <v>1838</v>
      </c>
      <c r="H768" s="8" t="s">
        <v>1839</v>
      </c>
      <c r="I768" s="10" t="s">
        <v>1838</v>
      </c>
      <c r="J768" s="11" t="s">
        <v>26</v>
      </c>
      <c r="K768" s="18">
        <v>73</v>
      </c>
      <c r="L768" s="12">
        <f t="shared" si="79"/>
        <v>146</v>
      </c>
      <c r="M768" s="8">
        <v>2</v>
      </c>
      <c r="N768" s="8" t="s">
        <v>27</v>
      </c>
      <c r="O768" s="13"/>
      <c r="P768" s="14">
        <v>0.2</v>
      </c>
      <c r="Q768" s="15">
        <v>0.4</v>
      </c>
      <c r="R768" s="16" t="str">
        <f t="shared" si="76"/>
        <v>DELTA</v>
      </c>
      <c r="S768" s="17"/>
      <c r="T768" s="10" t="str">
        <f t="shared" si="81"/>
        <v>LUMINARIA RECESADA DE SOPORTE CUADRADO</v>
      </c>
    </row>
    <row r="769" spans="1:20" ht="27" customHeight="1" x14ac:dyDescent="0.25">
      <c r="A769" s="8" t="s">
        <v>1836</v>
      </c>
      <c r="B769" s="9" t="s">
        <v>1837</v>
      </c>
      <c r="C769" s="9"/>
      <c r="D769" s="8"/>
      <c r="E769" s="8"/>
      <c r="F769" s="8" t="s">
        <v>22</v>
      </c>
      <c r="G769" s="10" t="s">
        <v>1840</v>
      </c>
      <c r="H769" s="8" t="s">
        <v>1841</v>
      </c>
      <c r="I769" s="10" t="s">
        <v>1840</v>
      </c>
      <c r="J769" s="11" t="s">
        <v>26</v>
      </c>
      <c r="K769" s="18">
        <v>23</v>
      </c>
      <c r="L769" s="12">
        <f t="shared" si="79"/>
        <v>46</v>
      </c>
      <c r="M769" s="8">
        <v>2</v>
      </c>
      <c r="N769" s="8" t="s">
        <v>27</v>
      </c>
      <c r="O769" s="13"/>
      <c r="P769" s="14">
        <v>0.2</v>
      </c>
      <c r="Q769" s="15">
        <v>0.4</v>
      </c>
      <c r="R769" s="16" t="str">
        <f t="shared" ref="R769:R832" si="82">A769</f>
        <v>DELTA</v>
      </c>
      <c r="S769" s="17"/>
      <c r="T769" s="10" t="str">
        <f t="shared" si="81"/>
        <v>FUENTE DE PODER PARA LUMINARIA REO</v>
      </c>
    </row>
    <row r="770" spans="1:20" ht="27" customHeight="1" x14ac:dyDescent="0.25">
      <c r="A770" s="8" t="s">
        <v>1836</v>
      </c>
      <c r="B770" s="9" t="s">
        <v>1837</v>
      </c>
      <c r="C770" s="9"/>
      <c r="D770" s="8"/>
      <c r="E770" s="8"/>
      <c r="F770" s="8" t="s">
        <v>22</v>
      </c>
      <c r="G770" s="10" t="s">
        <v>1842</v>
      </c>
      <c r="H770" s="8" t="s">
        <v>1843</v>
      </c>
      <c r="I770" s="10" t="s">
        <v>1842</v>
      </c>
      <c r="J770" s="11" t="s">
        <v>26</v>
      </c>
      <c r="K770" s="18">
        <v>35</v>
      </c>
      <c r="L770" s="12">
        <f t="shared" ref="L770:L801" si="83">IF(J770="P",ROUNDUP(K770/(1-Q770),-2),K770*(1+P770)/(1-Q770))</f>
        <v>70</v>
      </c>
      <c r="M770" s="8">
        <v>2</v>
      </c>
      <c r="N770" s="8" t="s">
        <v>27</v>
      </c>
      <c r="O770" s="13"/>
      <c r="P770" s="14">
        <v>0.2</v>
      </c>
      <c r="Q770" s="15">
        <v>0.4</v>
      </c>
      <c r="R770" s="16" t="str">
        <f t="shared" si="82"/>
        <v>DELTA</v>
      </c>
      <c r="S770" s="17"/>
      <c r="T770" s="10" t="str">
        <f t="shared" si="81"/>
        <v>LUMINARIA RECESADA OVALADA DESPLAZADA EN COLOR BLANCO</v>
      </c>
    </row>
    <row r="771" spans="1:20" ht="27" customHeight="1" x14ac:dyDescent="0.25">
      <c r="A771" s="8" t="s">
        <v>1836</v>
      </c>
      <c r="B771" s="9" t="s">
        <v>1837</v>
      </c>
      <c r="C771" s="9"/>
      <c r="D771" s="8"/>
      <c r="E771" s="8"/>
      <c r="F771" s="8" t="s">
        <v>22</v>
      </c>
      <c r="G771" s="10" t="s">
        <v>1844</v>
      </c>
      <c r="H771" s="8" t="s">
        <v>1845</v>
      </c>
      <c r="I771" s="10" t="s">
        <v>1844</v>
      </c>
      <c r="J771" s="11" t="s">
        <v>26</v>
      </c>
      <c r="K771" s="18">
        <v>2.2999999999999998</v>
      </c>
      <c r="L771" s="12">
        <f t="shared" si="83"/>
        <v>4.5999999999999996</v>
      </c>
      <c r="M771" s="8">
        <v>2</v>
      </c>
      <c r="N771" s="8" t="s">
        <v>27</v>
      </c>
      <c r="O771" s="13"/>
      <c r="P771" s="14">
        <v>0.2</v>
      </c>
      <c r="Q771" s="15">
        <v>0.4</v>
      </c>
      <c r="R771" s="16" t="str">
        <f t="shared" si="82"/>
        <v>DELTA</v>
      </c>
      <c r="S771" s="17"/>
      <c r="T771" s="10" t="str">
        <f t="shared" si="81"/>
        <v>TRANSFORMADOR MAGNÉTICO OSRAM A 12V.</v>
      </c>
    </row>
    <row r="772" spans="1:20" ht="27" customHeight="1" x14ac:dyDescent="0.25">
      <c r="A772" s="8" t="s">
        <v>1836</v>
      </c>
      <c r="B772" s="9" t="s">
        <v>1837</v>
      </c>
      <c r="C772" s="9"/>
      <c r="D772" s="8"/>
      <c r="E772" s="8"/>
      <c r="F772" s="8" t="s">
        <v>22</v>
      </c>
      <c r="G772" s="10" t="s">
        <v>1846</v>
      </c>
      <c r="H772" s="8" t="s">
        <v>1847</v>
      </c>
      <c r="I772" s="10" t="s">
        <v>1846</v>
      </c>
      <c r="J772" s="11" t="s">
        <v>26</v>
      </c>
      <c r="K772" s="18">
        <v>55</v>
      </c>
      <c r="L772" s="12">
        <f t="shared" si="83"/>
        <v>110</v>
      </c>
      <c r="M772" s="8">
        <v>2</v>
      </c>
      <c r="N772" s="8" t="s">
        <v>27</v>
      </c>
      <c r="O772" s="13"/>
      <c r="P772" s="14">
        <v>0.2</v>
      </c>
      <c r="Q772" s="15">
        <v>0.4</v>
      </c>
      <c r="R772" s="16" t="str">
        <f t="shared" si="82"/>
        <v>DELTA</v>
      </c>
      <c r="S772" s="17"/>
      <c r="T772" s="10" t="str">
        <f t="shared" si="81"/>
        <v>LUMINARIA DE INCRUSTAR EN FORMATO AR111</v>
      </c>
    </row>
    <row r="773" spans="1:20" ht="27" customHeight="1" x14ac:dyDescent="0.25">
      <c r="A773" s="8" t="s">
        <v>1836</v>
      </c>
      <c r="B773" s="9" t="s">
        <v>1837</v>
      </c>
      <c r="C773" s="9"/>
      <c r="D773" s="8"/>
      <c r="E773" s="8"/>
      <c r="F773" s="8" t="s">
        <v>22</v>
      </c>
      <c r="G773" s="10" t="s">
        <v>1848</v>
      </c>
      <c r="H773" s="8" t="s">
        <v>1849</v>
      </c>
      <c r="I773" s="10" t="s">
        <v>1848</v>
      </c>
      <c r="J773" s="11" t="s">
        <v>26</v>
      </c>
      <c r="K773" s="18">
        <v>65</v>
      </c>
      <c r="L773" s="12">
        <f t="shared" si="83"/>
        <v>130</v>
      </c>
      <c r="M773" s="8">
        <v>2</v>
      </c>
      <c r="N773" s="8" t="s">
        <v>27</v>
      </c>
      <c r="O773" s="13"/>
      <c r="P773" s="14">
        <v>0.2</v>
      </c>
      <c r="Q773" s="15">
        <v>0.4</v>
      </c>
      <c r="R773" s="16" t="str">
        <f t="shared" si="82"/>
        <v>DELTA</v>
      </c>
      <c r="S773" s="17"/>
      <c r="T773" s="10" t="str">
        <f t="shared" si="81"/>
        <v>LUMINARIA DE GIRO PARA LUMINARIA GU10</v>
      </c>
    </row>
    <row r="774" spans="1:20" ht="27" customHeight="1" x14ac:dyDescent="0.25">
      <c r="A774" s="8" t="s">
        <v>1836</v>
      </c>
      <c r="B774" s="9" t="s">
        <v>1837</v>
      </c>
      <c r="C774" s="9"/>
      <c r="D774" s="8"/>
      <c r="E774" s="8"/>
      <c r="F774" s="8" t="s">
        <v>22</v>
      </c>
      <c r="G774" s="10" t="s">
        <v>1850</v>
      </c>
      <c r="H774" s="8" t="s">
        <v>1851</v>
      </c>
      <c r="I774" s="10" t="s">
        <v>1850</v>
      </c>
      <c r="J774" s="11" t="s">
        <v>26</v>
      </c>
      <c r="K774" s="18">
        <v>212</v>
      </c>
      <c r="L774" s="12">
        <f t="shared" si="83"/>
        <v>424</v>
      </c>
      <c r="M774" s="8">
        <v>2</v>
      </c>
      <c r="N774" s="8" t="s">
        <v>27</v>
      </c>
      <c r="O774" s="13"/>
      <c r="P774" s="14">
        <v>0.2</v>
      </c>
      <c r="Q774" s="15">
        <v>0.4</v>
      </c>
      <c r="R774" s="16" t="str">
        <f t="shared" si="82"/>
        <v>DELTA</v>
      </c>
      <c r="S774" s="17"/>
      <c r="T774" s="10" t="str">
        <f t="shared" si="81"/>
        <v>LUMINARIA DE SOBREPONER CON CUERPO EN ALUMINIO.</v>
      </c>
    </row>
    <row r="775" spans="1:20" ht="27" customHeight="1" x14ac:dyDescent="0.25">
      <c r="A775" s="8" t="s">
        <v>1836</v>
      </c>
      <c r="B775" s="9" t="s">
        <v>1837</v>
      </c>
      <c r="C775" s="9"/>
      <c r="D775" s="8"/>
      <c r="E775" s="8"/>
      <c r="F775" s="8" t="s">
        <v>22</v>
      </c>
      <c r="G775" s="10" t="s">
        <v>1852</v>
      </c>
      <c r="H775" s="8" t="s">
        <v>1853</v>
      </c>
      <c r="I775" s="10" t="s">
        <v>1852</v>
      </c>
      <c r="J775" s="11" t="s">
        <v>26</v>
      </c>
      <c r="K775" s="18">
        <v>78</v>
      </c>
      <c r="L775" s="12">
        <f t="shared" si="83"/>
        <v>156</v>
      </c>
      <c r="M775" s="8">
        <v>2</v>
      </c>
      <c r="N775" s="8" t="s">
        <v>27</v>
      </c>
      <c r="O775" s="13"/>
      <c r="P775" s="14">
        <v>0.2</v>
      </c>
      <c r="Q775" s="15">
        <v>0.4</v>
      </c>
      <c r="R775" s="16" t="str">
        <f t="shared" si="82"/>
        <v>DELTA</v>
      </c>
      <c r="S775" s="17"/>
      <c r="T775" s="10" t="str">
        <f t="shared" si="81"/>
        <v>LUMINARIA PARA EXTERIOR CON CUERPO EN ALUMINIO</v>
      </c>
    </row>
    <row r="776" spans="1:20" ht="27" customHeight="1" x14ac:dyDescent="0.25">
      <c r="A776" s="8" t="s">
        <v>1836</v>
      </c>
      <c r="B776" s="9" t="s">
        <v>1837</v>
      </c>
      <c r="C776" s="9"/>
      <c r="D776" s="8"/>
      <c r="E776" s="8"/>
      <c r="F776" s="8" t="s">
        <v>22</v>
      </c>
      <c r="G776" s="10" t="s">
        <v>1854</v>
      </c>
      <c r="H776" s="8" t="s">
        <v>1855</v>
      </c>
      <c r="I776" s="10" t="s">
        <v>1854</v>
      </c>
      <c r="J776" s="11" t="s">
        <v>26</v>
      </c>
      <c r="K776" s="18">
        <v>19</v>
      </c>
      <c r="L776" s="12">
        <f t="shared" si="83"/>
        <v>38</v>
      </c>
      <c r="M776" s="8">
        <v>2</v>
      </c>
      <c r="N776" s="8" t="s">
        <v>27</v>
      </c>
      <c r="O776" s="13"/>
      <c r="P776" s="14">
        <v>0.2</v>
      </c>
      <c r="Q776" s="15">
        <v>0.4</v>
      </c>
      <c r="R776" s="16" t="str">
        <f t="shared" si="82"/>
        <v>DELTA</v>
      </c>
      <c r="S776" s="17"/>
      <c r="T776" s="10" t="str">
        <f t="shared" si="81"/>
        <v>FUENTE DE PODER PARA LUMINARIA LOOK</v>
      </c>
    </row>
    <row r="777" spans="1:20" ht="27" customHeight="1" x14ac:dyDescent="0.25">
      <c r="A777" s="8" t="s">
        <v>1836</v>
      </c>
      <c r="B777" s="9" t="s">
        <v>1837</v>
      </c>
      <c r="C777" s="9"/>
      <c r="D777" s="8"/>
      <c r="E777" s="8"/>
      <c r="F777" s="8" t="s">
        <v>22</v>
      </c>
      <c r="G777" s="10" t="s">
        <v>1856</v>
      </c>
      <c r="H777" s="8" t="s">
        <v>1857</v>
      </c>
      <c r="I777" s="10" t="s">
        <v>1856</v>
      </c>
      <c r="J777" s="11" t="s">
        <v>26</v>
      </c>
      <c r="K777" s="18">
        <v>155</v>
      </c>
      <c r="L777" s="12">
        <f t="shared" si="83"/>
        <v>310</v>
      </c>
      <c r="M777" s="8">
        <v>2</v>
      </c>
      <c r="N777" s="8" t="s">
        <v>27</v>
      </c>
      <c r="O777" s="13"/>
      <c r="P777" s="14">
        <v>0.2</v>
      </c>
      <c r="Q777" s="15">
        <v>0.4</v>
      </c>
      <c r="R777" s="16" t="str">
        <f t="shared" si="82"/>
        <v>DELTA</v>
      </c>
      <c r="S777" s="17"/>
      <c r="T777" s="10" t="str">
        <f t="shared" si="81"/>
        <v>LUMINARIA CON CUERPO EN ALUMINIO</v>
      </c>
    </row>
    <row r="778" spans="1:20" ht="27" customHeight="1" x14ac:dyDescent="0.25">
      <c r="A778" s="8" t="s">
        <v>1836</v>
      </c>
      <c r="B778" s="9" t="s">
        <v>1837</v>
      </c>
      <c r="C778" s="9"/>
      <c r="D778" s="8"/>
      <c r="E778" s="8"/>
      <c r="F778" s="8" t="s">
        <v>22</v>
      </c>
      <c r="G778" s="10" t="s">
        <v>1858</v>
      </c>
      <c r="H778" s="8" t="s">
        <v>1859</v>
      </c>
      <c r="I778" s="10" t="s">
        <v>1858</v>
      </c>
      <c r="J778" s="11" t="s">
        <v>26</v>
      </c>
      <c r="K778" s="18">
        <v>18.5</v>
      </c>
      <c r="L778" s="12">
        <f t="shared" si="83"/>
        <v>37</v>
      </c>
      <c r="M778" s="8">
        <v>2</v>
      </c>
      <c r="N778" s="8" t="s">
        <v>27</v>
      </c>
      <c r="O778" s="13"/>
      <c r="P778" s="14">
        <v>0.2</v>
      </c>
      <c r="Q778" s="15">
        <v>0.4</v>
      </c>
      <c r="R778" s="16" t="str">
        <f t="shared" si="82"/>
        <v>DELTA</v>
      </c>
      <c r="S778" s="17"/>
      <c r="T778" s="10" t="str">
        <f t="shared" si="81"/>
        <v>FUENTE DE PODER PARA LUMINARIA YUPI</v>
      </c>
    </row>
    <row r="779" spans="1:20" ht="27" customHeight="1" x14ac:dyDescent="0.25">
      <c r="A779" s="8" t="s">
        <v>1836</v>
      </c>
      <c r="B779" s="9" t="s">
        <v>1837</v>
      </c>
      <c r="C779" s="9"/>
      <c r="D779" s="8"/>
      <c r="E779" s="8"/>
      <c r="F779" s="8" t="s">
        <v>22</v>
      </c>
      <c r="G779" s="10" t="s">
        <v>1860</v>
      </c>
      <c r="H779" s="8" t="s">
        <v>1861</v>
      </c>
      <c r="I779" s="10" t="s">
        <v>1860</v>
      </c>
      <c r="J779" s="11" t="s">
        <v>26</v>
      </c>
      <c r="K779" s="18">
        <v>308</v>
      </c>
      <c r="L779" s="12">
        <f t="shared" si="83"/>
        <v>616</v>
      </c>
      <c r="M779" s="8">
        <v>2</v>
      </c>
      <c r="N779" s="8" t="s">
        <v>27</v>
      </c>
      <c r="O779" s="13"/>
      <c r="P779" s="14">
        <v>0.2</v>
      </c>
      <c r="Q779" s="15">
        <v>0.4</v>
      </c>
      <c r="R779" s="16" t="str">
        <f t="shared" si="82"/>
        <v>DELTA</v>
      </c>
      <c r="S779" s="17"/>
      <c r="T779" s="10" t="str">
        <f t="shared" si="81"/>
        <v>LUMINARIA DE EXTERIOR CON CUERPO EN ALUMINIO</v>
      </c>
    </row>
    <row r="780" spans="1:20" ht="27" customHeight="1" x14ac:dyDescent="0.25">
      <c r="A780" s="8" t="s">
        <v>1836</v>
      </c>
      <c r="B780" s="9" t="s">
        <v>1837</v>
      </c>
      <c r="C780" s="9"/>
      <c r="D780" s="8"/>
      <c r="E780" s="8"/>
      <c r="F780" s="8" t="s">
        <v>22</v>
      </c>
      <c r="G780" s="10" t="s">
        <v>1860</v>
      </c>
      <c r="H780" s="8" t="s">
        <v>1862</v>
      </c>
      <c r="I780" s="10" t="s">
        <v>1860</v>
      </c>
      <c r="J780" s="11" t="s">
        <v>26</v>
      </c>
      <c r="K780" s="18">
        <v>223</v>
      </c>
      <c r="L780" s="12">
        <f t="shared" si="83"/>
        <v>445.99999999999994</v>
      </c>
      <c r="M780" s="8">
        <v>2</v>
      </c>
      <c r="N780" s="8" t="s">
        <v>27</v>
      </c>
      <c r="O780" s="13"/>
      <c r="P780" s="14">
        <v>0.2</v>
      </c>
      <c r="Q780" s="15">
        <v>0.4</v>
      </c>
      <c r="R780" s="16" t="str">
        <f t="shared" si="82"/>
        <v>DELTA</v>
      </c>
      <c r="S780" s="17"/>
      <c r="T780" s="10" t="str">
        <f t="shared" si="81"/>
        <v>LUMINARIA DE EXTERIOR CON CUERPO EN ALUMINIO</v>
      </c>
    </row>
    <row r="781" spans="1:20" ht="27" customHeight="1" x14ac:dyDescent="0.25">
      <c r="A781" s="8" t="s">
        <v>1836</v>
      </c>
      <c r="B781" s="9" t="s">
        <v>1837</v>
      </c>
      <c r="C781" s="9"/>
      <c r="D781" s="8"/>
      <c r="E781" s="8"/>
      <c r="F781" s="8" t="s">
        <v>22</v>
      </c>
      <c r="G781" s="10" t="s">
        <v>1863</v>
      </c>
      <c r="H781" s="8" t="s">
        <v>1864</v>
      </c>
      <c r="I781" s="10" t="s">
        <v>1863</v>
      </c>
      <c r="J781" s="11" t="s">
        <v>26</v>
      </c>
      <c r="K781" s="18">
        <v>54</v>
      </c>
      <c r="L781" s="12">
        <f t="shared" si="83"/>
        <v>108</v>
      </c>
      <c r="M781" s="8">
        <v>2</v>
      </c>
      <c r="N781" s="8" t="s">
        <v>27</v>
      </c>
      <c r="O781" s="13"/>
      <c r="P781" s="14">
        <v>0.2</v>
      </c>
      <c r="Q781" s="15">
        <v>0.4</v>
      </c>
      <c r="R781" s="16" t="str">
        <f t="shared" si="82"/>
        <v>DELTA</v>
      </c>
      <c r="S781" s="17"/>
      <c r="T781" s="10" t="str">
        <f t="shared" si="81"/>
        <v>LUMINARIA DE INCRUSTAR SIN BORDE EN FORMATO GU10</v>
      </c>
    </row>
    <row r="782" spans="1:20" ht="27" customHeight="1" x14ac:dyDescent="0.25">
      <c r="A782" s="8" t="s">
        <v>1836</v>
      </c>
      <c r="B782" s="9"/>
      <c r="C782" s="9"/>
      <c r="D782" s="8"/>
      <c r="E782" s="8"/>
      <c r="F782" s="8" t="s">
        <v>22</v>
      </c>
      <c r="G782" s="10" t="s">
        <v>1865</v>
      </c>
      <c r="H782" s="8" t="s">
        <v>1866</v>
      </c>
      <c r="I782" s="10" t="s">
        <v>1865</v>
      </c>
      <c r="J782" s="11" t="s">
        <v>26</v>
      </c>
      <c r="K782" s="18">
        <f>676</f>
        <v>676</v>
      </c>
      <c r="L782" s="12">
        <f t="shared" si="83"/>
        <v>1352</v>
      </c>
      <c r="M782" s="8">
        <v>1</v>
      </c>
      <c r="N782" s="8" t="s">
        <v>27</v>
      </c>
      <c r="O782" s="13"/>
      <c r="P782" s="14">
        <v>0.2</v>
      </c>
      <c r="Q782" s="15">
        <v>0.4</v>
      </c>
      <c r="R782" s="16" t="str">
        <f t="shared" si="82"/>
        <v>DELTA</v>
      </c>
      <c r="S782" s="17"/>
      <c r="T782" s="10" t="str">
        <f t="shared" si="81"/>
        <v>LUMINARIA DECORATIVA DESCOLGADA</v>
      </c>
    </row>
    <row r="783" spans="1:20" ht="27" customHeight="1" x14ac:dyDescent="0.25">
      <c r="A783" s="8" t="s">
        <v>1867</v>
      </c>
      <c r="B783" s="9"/>
      <c r="C783" s="9"/>
      <c r="D783" s="8"/>
      <c r="E783" s="8"/>
      <c r="F783" s="8" t="s">
        <v>22</v>
      </c>
      <c r="G783" s="10" t="s">
        <v>1868</v>
      </c>
      <c r="H783" s="8" t="s">
        <v>1869</v>
      </c>
      <c r="I783" s="10" t="s">
        <v>1870</v>
      </c>
      <c r="J783" s="11" t="s">
        <v>26</v>
      </c>
      <c r="K783" s="18">
        <v>212</v>
      </c>
      <c r="L783" s="12">
        <f t="shared" si="83"/>
        <v>317.99999999999994</v>
      </c>
      <c r="M783" s="8">
        <v>1</v>
      </c>
      <c r="N783" s="8" t="s">
        <v>27</v>
      </c>
      <c r="O783" s="13"/>
      <c r="P783" s="14">
        <v>0.2</v>
      </c>
      <c r="Q783" s="15">
        <v>0.2</v>
      </c>
      <c r="R783" s="16" t="str">
        <f t="shared" si="82"/>
        <v>DENON</v>
      </c>
      <c r="S783" s="17"/>
      <c r="T783" s="10" t="str">
        <f t="shared" si="81"/>
        <v>PROCESADOR DE AUDIO Y VIDEO DE 70W CON CONECTIVIDAD BLUETOOTH.</v>
      </c>
    </row>
    <row r="784" spans="1:20" ht="27" customHeight="1" x14ac:dyDescent="0.25">
      <c r="A784" s="8" t="s">
        <v>1867</v>
      </c>
      <c r="B784" s="9" t="s">
        <v>1871</v>
      </c>
      <c r="C784" s="9"/>
      <c r="D784" s="8" t="s">
        <v>1872</v>
      </c>
      <c r="E784" s="8">
        <v>1</v>
      </c>
      <c r="F784" s="8" t="s">
        <v>22</v>
      </c>
      <c r="G784" s="10" t="s">
        <v>1873</v>
      </c>
      <c r="H784" s="8" t="s">
        <v>1874</v>
      </c>
      <c r="I784" s="10" t="s">
        <v>1875</v>
      </c>
      <c r="J784" s="11" t="s">
        <v>26</v>
      </c>
      <c r="K784" s="18">
        <v>519</v>
      </c>
      <c r="L784" s="12">
        <f t="shared" si="83"/>
        <v>732.7058823529411</v>
      </c>
      <c r="M784" s="8">
        <v>1</v>
      </c>
      <c r="N784" s="8" t="s">
        <v>27</v>
      </c>
      <c r="O784" s="13"/>
      <c r="P784" s="14">
        <v>0.2</v>
      </c>
      <c r="Q784" s="15">
        <v>0.15</v>
      </c>
      <c r="R784" s="16" t="str">
        <f t="shared" si="82"/>
        <v>DENON</v>
      </c>
      <c r="S784" s="17"/>
      <c r="T784" s="10" t="str">
        <f t="shared" si="81"/>
        <v>BARRA DE SONIDO CON SUBWOOFER INALÁMBRICO, POTENCIA DE 10 VATIO.</v>
      </c>
    </row>
    <row r="785" spans="1:20" ht="27" customHeight="1" x14ac:dyDescent="0.25">
      <c r="A785" s="8" t="s">
        <v>1867</v>
      </c>
      <c r="B785" s="9" t="s">
        <v>1871</v>
      </c>
      <c r="C785" s="9"/>
      <c r="D785" s="8" t="s">
        <v>1872</v>
      </c>
      <c r="E785" s="8">
        <v>2</v>
      </c>
      <c r="F785" s="8" t="s">
        <v>22</v>
      </c>
      <c r="G785" s="10" t="s">
        <v>1876</v>
      </c>
      <c r="H785" s="8" t="s">
        <v>1877</v>
      </c>
      <c r="I785" s="10" t="s">
        <v>1876</v>
      </c>
      <c r="J785" s="11" t="s">
        <v>26</v>
      </c>
      <c r="K785" s="18">
        <v>595</v>
      </c>
      <c r="L785" s="12">
        <f t="shared" si="83"/>
        <v>840</v>
      </c>
      <c r="M785" s="8">
        <v>1</v>
      </c>
      <c r="N785" s="8" t="s">
        <v>27</v>
      </c>
      <c r="O785" s="13"/>
      <c r="P785" s="14">
        <v>0.2</v>
      </c>
      <c r="Q785" s="15">
        <v>0.15</v>
      </c>
      <c r="R785" s="16" t="str">
        <f t="shared" si="82"/>
        <v>DENON</v>
      </c>
      <c r="S785" s="17"/>
      <c r="T785" s="10" t="str">
        <f t="shared" si="81"/>
        <v>BARRA DE SONIDO CON SUBWOOFER INALÁMBRICO, COMPATIBLE CON SISTEMA HEOS</v>
      </c>
    </row>
    <row r="786" spans="1:20" ht="27" customHeight="1" x14ac:dyDescent="0.25">
      <c r="A786" s="8" t="s">
        <v>1867</v>
      </c>
      <c r="B786" s="9" t="s">
        <v>1871</v>
      </c>
      <c r="C786" s="9"/>
      <c r="D786" s="8" t="s">
        <v>1878</v>
      </c>
      <c r="E786" s="8">
        <v>1</v>
      </c>
      <c r="F786" s="8" t="s">
        <v>22</v>
      </c>
      <c r="G786" s="10" t="s">
        <v>1879</v>
      </c>
      <c r="H786" s="8" t="s">
        <v>1880</v>
      </c>
      <c r="I786" s="10" t="s">
        <v>1881</v>
      </c>
      <c r="J786" s="11" t="s">
        <v>26</v>
      </c>
      <c r="K786" s="18">
        <v>415</v>
      </c>
      <c r="L786" s="12">
        <f t="shared" si="83"/>
        <v>600</v>
      </c>
      <c r="M786" s="8">
        <v>1</v>
      </c>
      <c r="N786" s="8" t="s">
        <v>27</v>
      </c>
      <c r="O786" s="13"/>
      <c r="P786" s="14">
        <v>0.2</v>
      </c>
      <c r="Q786" s="15">
        <v>0.17</v>
      </c>
      <c r="R786" s="16" t="str">
        <f t="shared" si="82"/>
        <v>DENON</v>
      </c>
      <c r="S786" s="17"/>
      <c r="T786" s="10" t="str">
        <f t="shared" si="81"/>
        <v>AMPLIFICADOR INALÁMBRICO, EN GRAN FORMATO, CON ENTRADA USB.</v>
      </c>
    </row>
    <row r="787" spans="1:20" ht="27" customHeight="1" x14ac:dyDescent="0.25">
      <c r="A787" s="8" t="s">
        <v>1867</v>
      </c>
      <c r="B787" s="9" t="s">
        <v>1871</v>
      </c>
      <c r="C787" s="9"/>
      <c r="D787" s="8" t="s">
        <v>1878</v>
      </c>
      <c r="E787" s="8">
        <v>2</v>
      </c>
      <c r="F787" s="8" t="s">
        <v>22</v>
      </c>
      <c r="G787" s="10" t="s">
        <v>1879</v>
      </c>
      <c r="H787" s="8" t="s">
        <v>1882</v>
      </c>
      <c r="I787" s="10" t="s">
        <v>1883</v>
      </c>
      <c r="J787" s="11" t="s">
        <v>26</v>
      </c>
      <c r="K787" s="18">
        <v>415</v>
      </c>
      <c r="L787" s="12">
        <f t="shared" si="83"/>
        <v>600</v>
      </c>
      <c r="M787" s="8">
        <v>1</v>
      </c>
      <c r="N787" s="8" t="s">
        <v>27</v>
      </c>
      <c r="O787" s="13"/>
      <c r="P787" s="14">
        <v>0.2</v>
      </c>
      <c r="Q787" s="15">
        <v>0.17</v>
      </c>
      <c r="R787" s="16" t="str">
        <f t="shared" si="82"/>
        <v>DENON</v>
      </c>
      <c r="S787" s="17"/>
      <c r="T787" s="10" t="str">
        <f t="shared" si="81"/>
        <v>AMPLIFICADOR INALÁMBRICO, EN GRAN FORMATO, CON ENTRADA USB.</v>
      </c>
    </row>
    <row r="788" spans="1:20" ht="27" customHeight="1" x14ac:dyDescent="0.25">
      <c r="A788" s="8" t="s">
        <v>1867</v>
      </c>
      <c r="B788" s="9" t="s">
        <v>1871</v>
      </c>
      <c r="C788" s="9"/>
      <c r="D788" s="8" t="s">
        <v>1878</v>
      </c>
      <c r="E788" s="8">
        <v>3</v>
      </c>
      <c r="F788" s="8" t="s">
        <v>22</v>
      </c>
      <c r="G788" s="10" t="s">
        <v>1884</v>
      </c>
      <c r="H788" s="8" t="s">
        <v>1885</v>
      </c>
      <c r="I788" s="10" t="s">
        <v>1886</v>
      </c>
      <c r="J788" s="11" t="s">
        <v>26</v>
      </c>
      <c r="K788" s="18">
        <v>277</v>
      </c>
      <c r="L788" s="12">
        <f t="shared" si="83"/>
        <v>400.48192771084337</v>
      </c>
      <c r="M788" s="8">
        <v>1</v>
      </c>
      <c r="N788" s="8" t="s">
        <v>27</v>
      </c>
      <c r="O788" s="13"/>
      <c r="P788" s="14">
        <v>0.2</v>
      </c>
      <c r="Q788" s="15">
        <v>0.17</v>
      </c>
      <c r="R788" s="16" t="str">
        <f t="shared" si="82"/>
        <v>DENON</v>
      </c>
      <c r="S788" s="17"/>
      <c r="T788" s="10" t="str">
        <f t="shared" si="81"/>
        <v>AMPLIFICADOR INALÁMBRICO, EN GRAN FORMATO MEDIANO, CON ENTRADA USB.</v>
      </c>
    </row>
    <row r="789" spans="1:20" ht="27" customHeight="1" x14ac:dyDescent="0.25">
      <c r="A789" s="8" t="s">
        <v>1867</v>
      </c>
      <c r="B789" s="9" t="s">
        <v>1871</v>
      </c>
      <c r="C789" s="9"/>
      <c r="D789" s="8" t="s">
        <v>1878</v>
      </c>
      <c r="E789" s="8">
        <v>4</v>
      </c>
      <c r="F789" s="8" t="s">
        <v>22</v>
      </c>
      <c r="G789" s="10" t="s">
        <v>1884</v>
      </c>
      <c r="H789" s="8" t="s">
        <v>1887</v>
      </c>
      <c r="I789" s="10" t="s">
        <v>1888</v>
      </c>
      <c r="J789" s="11" t="s">
        <v>26</v>
      </c>
      <c r="K789" s="18">
        <v>277</v>
      </c>
      <c r="L789" s="12">
        <f t="shared" si="83"/>
        <v>400.48192771084337</v>
      </c>
      <c r="M789" s="8">
        <v>1</v>
      </c>
      <c r="N789" s="8" t="s">
        <v>27</v>
      </c>
      <c r="O789" s="13"/>
      <c r="P789" s="14">
        <v>0.2</v>
      </c>
      <c r="Q789" s="15">
        <v>0.17</v>
      </c>
      <c r="R789" s="16" t="str">
        <f t="shared" si="82"/>
        <v>DENON</v>
      </c>
      <c r="S789" s="17"/>
      <c r="T789" s="10" t="str">
        <f t="shared" si="81"/>
        <v>AMPLIFICADOR INALÁMBRICO, EN GRAN FORMATO MEDIANO, CON ENTRADA USB.</v>
      </c>
    </row>
    <row r="790" spans="1:20" ht="27" customHeight="1" x14ac:dyDescent="0.25">
      <c r="A790" s="8" t="s">
        <v>1867</v>
      </c>
      <c r="B790" s="9" t="s">
        <v>1871</v>
      </c>
      <c r="C790" s="9"/>
      <c r="D790" s="8" t="s">
        <v>1878</v>
      </c>
      <c r="E790" s="8">
        <v>5</v>
      </c>
      <c r="F790" s="8" t="s">
        <v>22</v>
      </c>
      <c r="G790" s="10" t="s">
        <v>1889</v>
      </c>
      <c r="H790" s="8" t="s">
        <v>1890</v>
      </c>
      <c r="I790" s="10" t="s">
        <v>1891</v>
      </c>
      <c r="J790" s="11" t="s">
        <v>26</v>
      </c>
      <c r="K790" s="18">
        <v>208</v>
      </c>
      <c r="L790" s="12">
        <f t="shared" si="83"/>
        <v>300.72289156626505</v>
      </c>
      <c r="M790" s="8">
        <v>1</v>
      </c>
      <c r="N790" s="8" t="s">
        <v>27</v>
      </c>
      <c r="O790" s="13"/>
      <c r="P790" s="14">
        <v>0.2</v>
      </c>
      <c r="Q790" s="15">
        <v>0.17</v>
      </c>
      <c r="R790" s="16" t="str">
        <f t="shared" si="82"/>
        <v>DENON</v>
      </c>
      <c r="S790" s="17"/>
      <c r="T790" s="10" t="str">
        <f t="shared" si="81"/>
        <v>AMPLIFICADOR INALÁMBRICO, EN FORMATO PEQUEÑO, CON ENTRADA USB.</v>
      </c>
    </row>
    <row r="791" spans="1:20" ht="27" customHeight="1" x14ac:dyDescent="0.25">
      <c r="A791" s="8" t="s">
        <v>1867</v>
      </c>
      <c r="B791" s="9" t="s">
        <v>1871</v>
      </c>
      <c r="C791" s="9"/>
      <c r="D791" s="8" t="s">
        <v>1878</v>
      </c>
      <c r="E791" s="8">
        <v>6</v>
      </c>
      <c r="F791" s="8" t="s">
        <v>22</v>
      </c>
      <c r="G791" s="10" t="s">
        <v>1889</v>
      </c>
      <c r="H791" s="8" t="s">
        <v>1892</v>
      </c>
      <c r="I791" s="10" t="s">
        <v>1893</v>
      </c>
      <c r="J791" s="11" t="s">
        <v>26</v>
      </c>
      <c r="K791" s="18">
        <v>208</v>
      </c>
      <c r="L791" s="12">
        <f t="shared" si="83"/>
        <v>300.72289156626505</v>
      </c>
      <c r="M791" s="8">
        <v>1</v>
      </c>
      <c r="N791" s="8" t="s">
        <v>27</v>
      </c>
      <c r="O791" s="13"/>
      <c r="P791" s="14">
        <v>0.2</v>
      </c>
      <c r="Q791" s="15">
        <v>0.17</v>
      </c>
      <c r="R791" s="16" t="str">
        <f t="shared" si="82"/>
        <v>DENON</v>
      </c>
      <c r="S791" s="17"/>
      <c r="T791" s="10" t="str">
        <f t="shared" si="81"/>
        <v>AMPLIFICADOR INALÁMBRICO, EN FORMATO PEQUEÑO, CON ENTRADA USB.</v>
      </c>
    </row>
    <row r="792" spans="1:20" ht="27" customHeight="1" x14ac:dyDescent="0.25">
      <c r="A792" s="8" t="s">
        <v>1867</v>
      </c>
      <c r="B792" s="9" t="s">
        <v>1871</v>
      </c>
      <c r="C792" s="9"/>
      <c r="D792" s="8" t="s">
        <v>1878</v>
      </c>
      <c r="E792" s="8">
        <v>7</v>
      </c>
      <c r="F792" s="8" t="s">
        <v>22</v>
      </c>
      <c r="G792" s="10" t="s">
        <v>1894</v>
      </c>
      <c r="H792" s="8" t="s">
        <v>1895</v>
      </c>
      <c r="I792" s="10" t="s">
        <v>1896</v>
      </c>
      <c r="J792" s="11" t="s">
        <v>26</v>
      </c>
      <c r="K792" s="18">
        <v>154</v>
      </c>
      <c r="L792" s="12">
        <f t="shared" si="83"/>
        <v>217.41176470588235</v>
      </c>
      <c r="M792" s="8">
        <v>1</v>
      </c>
      <c r="N792" s="8" t="s">
        <v>27</v>
      </c>
      <c r="O792" s="13"/>
      <c r="P792" s="14">
        <v>0.2</v>
      </c>
      <c r="Q792" s="15">
        <v>0.15</v>
      </c>
      <c r="R792" s="16" t="str">
        <f t="shared" si="82"/>
        <v>DENON</v>
      </c>
      <c r="S792" s="17"/>
      <c r="T792" s="10" t="str">
        <f t="shared" si="81"/>
        <v>AMPLIFICADOR INALÁMBRICO, EN FORMATO COMPACTO, CON ENTRADA USB.</v>
      </c>
    </row>
    <row r="793" spans="1:20" ht="27" customHeight="1" x14ac:dyDescent="0.25">
      <c r="A793" s="8" t="s">
        <v>1867</v>
      </c>
      <c r="B793" s="9" t="s">
        <v>1871</v>
      </c>
      <c r="C793" s="9"/>
      <c r="D793" s="8" t="s">
        <v>1878</v>
      </c>
      <c r="E793" s="8">
        <v>8</v>
      </c>
      <c r="F793" s="8" t="s">
        <v>22</v>
      </c>
      <c r="G793" s="10" t="s">
        <v>1894</v>
      </c>
      <c r="H793" s="8" t="s">
        <v>1897</v>
      </c>
      <c r="I793" s="10" t="s">
        <v>1898</v>
      </c>
      <c r="J793" s="11" t="s">
        <v>26</v>
      </c>
      <c r="K793" s="18">
        <v>154</v>
      </c>
      <c r="L793" s="12">
        <f t="shared" si="83"/>
        <v>217.41176470588235</v>
      </c>
      <c r="M793" s="8">
        <v>1</v>
      </c>
      <c r="N793" s="8" t="s">
        <v>27</v>
      </c>
      <c r="O793" s="13"/>
      <c r="P793" s="14">
        <v>0.2</v>
      </c>
      <c r="Q793" s="15">
        <v>0.15</v>
      </c>
      <c r="R793" s="16" t="str">
        <f t="shared" si="82"/>
        <v>DENON</v>
      </c>
      <c r="S793" s="17"/>
      <c r="T793" s="10" t="str">
        <f t="shared" si="81"/>
        <v>AMPLIFICADOR INALÁMBRICO, EN FORMATO COMPACTO, CON ENTRADA USB.</v>
      </c>
    </row>
    <row r="794" spans="1:20" ht="27" customHeight="1" x14ac:dyDescent="0.25">
      <c r="A794" s="8" t="s">
        <v>1867</v>
      </c>
      <c r="B794" s="9" t="s">
        <v>1871</v>
      </c>
      <c r="C794" s="9"/>
      <c r="D794" s="8" t="s">
        <v>1878</v>
      </c>
      <c r="E794" s="8">
        <v>9</v>
      </c>
      <c r="F794" s="8" t="s">
        <v>22</v>
      </c>
      <c r="G794" s="10" t="s">
        <v>1899</v>
      </c>
      <c r="H794" s="8" t="s">
        <v>1900</v>
      </c>
      <c r="I794" s="10" t="s">
        <v>1901</v>
      </c>
      <c r="J794" s="11" t="s">
        <v>26</v>
      </c>
      <c r="K794" s="18">
        <v>77</v>
      </c>
      <c r="L794" s="12">
        <f t="shared" si="83"/>
        <v>108.70588235294117</v>
      </c>
      <c r="M794" s="8">
        <v>1</v>
      </c>
      <c r="N794" s="8" t="s">
        <v>27</v>
      </c>
      <c r="O794" s="13"/>
      <c r="P794" s="14">
        <v>0.2</v>
      </c>
      <c r="Q794" s="15">
        <v>0.15</v>
      </c>
      <c r="R794" s="16" t="str">
        <f t="shared" si="82"/>
        <v>DENON</v>
      </c>
      <c r="S794" s="17"/>
      <c r="T794" s="10" t="str">
        <f t="shared" si="81"/>
        <v>BATERÍA PARA RESPALDO DE SISTEMA HEOS 1, DURACIÓN ESTIMADA DE 6 HORAS.</v>
      </c>
    </row>
    <row r="795" spans="1:20" ht="27" customHeight="1" x14ac:dyDescent="0.25">
      <c r="A795" s="8" t="s">
        <v>1867</v>
      </c>
      <c r="B795" s="9" t="s">
        <v>1871</v>
      </c>
      <c r="C795" s="9"/>
      <c r="D795" s="8" t="s">
        <v>1878</v>
      </c>
      <c r="E795" s="8">
        <v>10</v>
      </c>
      <c r="F795" s="8" t="s">
        <v>22</v>
      </c>
      <c r="G795" s="10" t="s">
        <v>1899</v>
      </c>
      <c r="H795" s="8" t="s">
        <v>1902</v>
      </c>
      <c r="I795" s="10" t="s">
        <v>1903</v>
      </c>
      <c r="J795" s="11" t="s">
        <v>26</v>
      </c>
      <c r="K795" s="18">
        <v>77</v>
      </c>
      <c r="L795" s="12">
        <f t="shared" si="83"/>
        <v>108.70588235294117</v>
      </c>
      <c r="M795" s="8">
        <v>1</v>
      </c>
      <c r="N795" s="8" t="s">
        <v>27</v>
      </c>
      <c r="O795" s="13"/>
      <c r="P795" s="14">
        <v>0.2</v>
      </c>
      <c r="Q795" s="15">
        <v>0.15</v>
      </c>
      <c r="R795" s="16" t="str">
        <f t="shared" si="82"/>
        <v>DENON</v>
      </c>
      <c r="S795" s="17"/>
      <c r="T795" s="10" t="str">
        <f t="shared" si="81"/>
        <v>BATERÍA PARA RESPALDO DE SISTEMA HEOS 1, DURACIÓN ESTIMADA DE 6 HORAS.</v>
      </c>
    </row>
    <row r="796" spans="1:20" ht="27" customHeight="1" x14ac:dyDescent="0.25">
      <c r="A796" s="8" t="s">
        <v>1867</v>
      </c>
      <c r="B796" s="9" t="s">
        <v>1871</v>
      </c>
      <c r="C796" s="9"/>
      <c r="D796" s="8" t="s">
        <v>1878</v>
      </c>
      <c r="E796" s="8">
        <v>11</v>
      </c>
      <c r="F796" s="8" t="s">
        <v>22</v>
      </c>
      <c r="G796" s="10" t="s">
        <v>1904</v>
      </c>
      <c r="H796" s="8" t="s">
        <v>1905</v>
      </c>
      <c r="I796" s="10" t="s">
        <v>1904</v>
      </c>
      <c r="J796" s="11" t="s">
        <v>26</v>
      </c>
      <c r="K796" s="18">
        <v>1593</v>
      </c>
      <c r="L796" s="12">
        <f t="shared" si="83"/>
        <v>2548.7999999999997</v>
      </c>
      <c r="M796" s="8">
        <v>1</v>
      </c>
      <c r="N796" s="8" t="s">
        <v>27</v>
      </c>
      <c r="O796" s="13"/>
      <c r="P796" s="14">
        <v>0.2</v>
      </c>
      <c r="Q796" s="15">
        <v>0.25</v>
      </c>
      <c r="R796" s="16" t="str">
        <f t="shared" si="82"/>
        <v>DENON</v>
      </c>
      <c r="S796" s="17"/>
      <c r="T796" s="10" t="str">
        <f t="shared" si="81"/>
        <v>AMPLIFICADOR DE 4 ZONAS CON 60 VATIOS POR CANAL, COMPATIBLE CON SISTEMAS HEOS.</v>
      </c>
    </row>
    <row r="797" spans="1:20" ht="27" customHeight="1" x14ac:dyDescent="0.25">
      <c r="A797" s="8" t="s">
        <v>1867</v>
      </c>
      <c r="B797" s="9" t="s">
        <v>1871</v>
      </c>
      <c r="C797" s="9"/>
      <c r="D797" s="8" t="s">
        <v>1878</v>
      </c>
      <c r="E797" s="8">
        <v>12</v>
      </c>
      <c r="F797" s="8" t="s">
        <v>22</v>
      </c>
      <c r="G797" s="10" t="s">
        <v>1906</v>
      </c>
      <c r="H797" s="8" t="s">
        <v>1907</v>
      </c>
      <c r="I797" s="10" t="s">
        <v>1906</v>
      </c>
      <c r="J797" s="11" t="s">
        <v>26</v>
      </c>
      <c r="K797" s="18">
        <v>346</v>
      </c>
      <c r="L797" s="12">
        <f t="shared" si="83"/>
        <v>500.24096385542168</v>
      </c>
      <c r="M797" s="8">
        <v>1</v>
      </c>
      <c r="N797" s="8" t="s">
        <v>27</v>
      </c>
      <c r="O797" s="13"/>
      <c r="P797" s="14">
        <v>0.2</v>
      </c>
      <c r="Q797" s="15">
        <v>0.17</v>
      </c>
      <c r="R797" s="16" t="str">
        <f t="shared" si="82"/>
        <v>DENON</v>
      </c>
      <c r="S797" s="17"/>
      <c r="T797" s="10" t="str">
        <f t="shared" si="81"/>
        <v>AMPLIFICADOR DE ZONA, CON SALIDA DE 100 VATIOS, COMPATIBLE CON SISTEMA HEOS.</v>
      </c>
    </row>
    <row r="798" spans="1:20" ht="27" customHeight="1" x14ac:dyDescent="0.25">
      <c r="A798" s="8" t="s">
        <v>1867</v>
      </c>
      <c r="B798" s="9" t="s">
        <v>1871</v>
      </c>
      <c r="C798" s="9"/>
      <c r="D798" s="8" t="s">
        <v>1878</v>
      </c>
      <c r="E798" s="8">
        <v>13</v>
      </c>
      <c r="F798" s="8" t="s">
        <v>22</v>
      </c>
      <c r="G798" s="10" t="s">
        <v>1908</v>
      </c>
      <c r="H798" s="8" t="s">
        <v>1909</v>
      </c>
      <c r="I798" s="10" t="s">
        <v>1908</v>
      </c>
      <c r="J798" s="11" t="s">
        <v>26</v>
      </c>
      <c r="K798" s="18">
        <v>243</v>
      </c>
      <c r="L798" s="12">
        <f t="shared" si="83"/>
        <v>351.32530120481925</v>
      </c>
      <c r="M798" s="8">
        <v>1</v>
      </c>
      <c r="N798" s="8" t="s">
        <v>27</v>
      </c>
      <c r="O798" s="13"/>
      <c r="P798" s="14">
        <v>0.2</v>
      </c>
      <c r="Q798" s="15">
        <v>0.17</v>
      </c>
      <c r="R798" s="16" t="str">
        <f t="shared" si="82"/>
        <v>DENON</v>
      </c>
      <c r="S798" s="17"/>
      <c r="T798" s="10" t="str">
        <f t="shared" si="81"/>
        <v>LINK DE CONEXIÓN PARA INTERCONEXIÓN DE EQUIPOS DEL SISTEMA HEOS DE DENON.</v>
      </c>
    </row>
    <row r="799" spans="1:20" ht="27" customHeight="1" x14ac:dyDescent="0.25">
      <c r="A799" s="8" t="s">
        <v>1867</v>
      </c>
      <c r="B799" s="9" t="s">
        <v>1871</v>
      </c>
      <c r="C799" s="9"/>
      <c r="D799" s="8" t="s">
        <v>1878</v>
      </c>
      <c r="E799" s="8">
        <v>14</v>
      </c>
      <c r="F799" s="8" t="s">
        <v>22</v>
      </c>
      <c r="G799" s="10" t="s">
        <v>1910</v>
      </c>
      <c r="H799" s="8" t="s">
        <v>1911</v>
      </c>
      <c r="I799" s="10" t="s">
        <v>1912</v>
      </c>
      <c r="J799" s="11" t="s">
        <v>26</v>
      </c>
      <c r="K799" s="18">
        <v>77</v>
      </c>
      <c r="L799" s="12">
        <f t="shared" si="83"/>
        <v>108.70588235294117</v>
      </c>
      <c r="M799" s="8">
        <v>1</v>
      </c>
      <c r="N799" s="8" t="s">
        <v>27</v>
      </c>
      <c r="O799" s="13"/>
      <c r="P799" s="14">
        <v>0.2</v>
      </c>
      <c r="Q799" s="15">
        <v>0.15</v>
      </c>
      <c r="R799" s="16" t="str">
        <f t="shared" si="82"/>
        <v>DENON</v>
      </c>
      <c r="S799" s="17"/>
      <c r="T799" s="10" t="str">
        <f t="shared" si="81"/>
        <v>LINK DE CONEXIÓN PARA EXTENSIÓN E INTERCONEXIÓN DE EQUIPOS HEOS DE DENON.</v>
      </c>
    </row>
    <row r="800" spans="1:20" ht="27" customHeight="1" x14ac:dyDescent="0.25">
      <c r="A800" s="8" t="s">
        <v>1867</v>
      </c>
      <c r="B800" s="9" t="s">
        <v>1871</v>
      </c>
      <c r="C800" s="9"/>
      <c r="D800" s="8" t="s">
        <v>1878</v>
      </c>
      <c r="E800" s="8">
        <v>14</v>
      </c>
      <c r="F800" s="8" t="s">
        <v>22</v>
      </c>
      <c r="G800" s="10" t="s">
        <v>1913</v>
      </c>
      <c r="H800" s="8" t="s">
        <v>1914</v>
      </c>
      <c r="I800" s="10" t="s">
        <v>1913</v>
      </c>
      <c r="J800" s="11" t="s">
        <v>26</v>
      </c>
      <c r="K800" s="18">
        <v>210</v>
      </c>
      <c r="L800" s="12">
        <f t="shared" si="83"/>
        <v>303.6144578313253</v>
      </c>
      <c r="M800" s="8">
        <v>1</v>
      </c>
      <c r="N800" s="8" t="s">
        <v>27</v>
      </c>
      <c r="O800" s="13"/>
      <c r="P800" s="14">
        <v>0.2</v>
      </c>
      <c r="Q800" s="15">
        <v>0.17</v>
      </c>
      <c r="R800" s="16" t="str">
        <f t="shared" si="82"/>
        <v>DENON</v>
      </c>
      <c r="S800" s="17"/>
      <c r="T800" s="10" t="str">
        <f t="shared" si="81"/>
        <v>PROCESADOR DE AUDIO Y VIDEO CON BLUETOOTH.</v>
      </c>
    </row>
    <row r="801" spans="1:20" ht="27" customHeight="1" x14ac:dyDescent="0.25">
      <c r="A801" s="8" t="s">
        <v>1867</v>
      </c>
      <c r="B801" s="9" t="s">
        <v>1871</v>
      </c>
      <c r="C801" s="9"/>
      <c r="D801" s="8" t="s">
        <v>1878</v>
      </c>
      <c r="E801" s="8">
        <v>15</v>
      </c>
      <c r="F801" s="8" t="s">
        <v>22</v>
      </c>
      <c r="G801" s="10" t="s">
        <v>1915</v>
      </c>
      <c r="H801" s="8" t="s">
        <v>1916</v>
      </c>
      <c r="I801" s="10" t="s">
        <v>1917</v>
      </c>
      <c r="J801" s="11" t="s">
        <v>26</v>
      </c>
      <c r="K801" s="18">
        <v>335</v>
      </c>
      <c r="L801" s="12">
        <f t="shared" si="83"/>
        <v>472.94117647058823</v>
      </c>
      <c r="M801" s="8">
        <v>1</v>
      </c>
      <c r="N801" s="8" t="s">
        <v>27</v>
      </c>
      <c r="O801" s="13"/>
      <c r="P801" s="14">
        <v>0.2</v>
      </c>
      <c r="Q801" s="15">
        <v>0.15</v>
      </c>
      <c r="R801" s="16" t="str">
        <f t="shared" si="82"/>
        <v>DENON</v>
      </c>
      <c r="S801" s="17"/>
      <c r="T801" s="10" t="str">
        <f t="shared" si="81"/>
        <v>PROCESADOR DE AUDIO Y VIDEO DE 2 ZONAS, O 7.2 CHANNEL, MANEJO 4K.</v>
      </c>
    </row>
    <row r="802" spans="1:20" ht="27" customHeight="1" x14ac:dyDescent="0.25">
      <c r="A802" s="8" t="s">
        <v>1867</v>
      </c>
      <c r="B802" s="9" t="s">
        <v>1871</v>
      </c>
      <c r="C802" s="9"/>
      <c r="D802" s="8" t="s">
        <v>1878</v>
      </c>
      <c r="E802" s="8">
        <v>16</v>
      </c>
      <c r="F802" s="8" t="s">
        <v>22</v>
      </c>
      <c r="G802" s="10" t="s">
        <v>1918</v>
      </c>
      <c r="H802" s="8" t="s">
        <v>1914</v>
      </c>
      <c r="I802" s="10" t="s">
        <v>1919</v>
      </c>
      <c r="J802" s="11" t="s">
        <v>26</v>
      </c>
      <c r="K802" s="18">
        <v>210</v>
      </c>
      <c r="L802" s="12">
        <f t="shared" ref="L802:L807" si="84">IF(J802="P",ROUNDUP(K802/(1-Q802),-2),K802*(1+P802)/(1-Q802))</f>
        <v>303.6144578313253</v>
      </c>
      <c r="M802" s="8">
        <v>1</v>
      </c>
      <c r="N802" s="8" t="s">
        <v>27</v>
      </c>
      <c r="O802" s="13"/>
      <c r="P802" s="14">
        <v>0.2</v>
      </c>
      <c r="Q802" s="15">
        <v>0.17</v>
      </c>
      <c r="R802" s="16" t="str">
        <f t="shared" si="82"/>
        <v>DENON</v>
      </c>
      <c r="S802" s="17"/>
      <c r="T802" s="10" t="str">
        <f t="shared" si="81"/>
        <v>PROCESADOR DE AUDIO Y VIDEO, SALIDA DE 70W, BLUETOOTH, 4K.</v>
      </c>
    </row>
    <row r="803" spans="1:20" ht="27" customHeight="1" x14ac:dyDescent="0.25">
      <c r="A803" s="8" t="s">
        <v>1867</v>
      </c>
      <c r="B803" s="9" t="s">
        <v>1871</v>
      </c>
      <c r="C803" s="9"/>
      <c r="D803" s="8" t="s">
        <v>1878</v>
      </c>
      <c r="E803" s="8">
        <v>16</v>
      </c>
      <c r="F803" s="8" t="s">
        <v>22</v>
      </c>
      <c r="G803" s="10" t="s">
        <v>1920</v>
      </c>
      <c r="H803" s="8" t="s">
        <v>1916</v>
      </c>
      <c r="I803" s="10" t="s">
        <v>1921</v>
      </c>
      <c r="J803" s="11" t="s">
        <v>26</v>
      </c>
      <c r="K803" s="18">
        <v>335</v>
      </c>
      <c r="L803" s="12">
        <f t="shared" si="84"/>
        <v>484.3373493975904</v>
      </c>
      <c r="M803" s="8">
        <v>1</v>
      </c>
      <c r="N803" s="8" t="s">
        <v>27</v>
      </c>
      <c r="O803" s="13"/>
      <c r="P803" s="14">
        <v>0.2</v>
      </c>
      <c r="Q803" s="15">
        <v>0.17</v>
      </c>
      <c r="R803" s="16" t="str">
        <f t="shared" si="82"/>
        <v>DENON</v>
      </c>
      <c r="S803" s="17"/>
      <c r="T803" s="10" t="str">
        <f t="shared" si="81"/>
        <v>PROCESADOR DE AUDIO Y VIDEO DE DOS ZONAS, DOLBY ATMOS Y CONECTIVIDAD WIFI.</v>
      </c>
    </row>
    <row r="804" spans="1:20" ht="27" customHeight="1" x14ac:dyDescent="0.25">
      <c r="A804" s="8" t="s">
        <v>1867</v>
      </c>
      <c r="B804" s="9" t="s">
        <v>1871</v>
      </c>
      <c r="C804" s="9"/>
      <c r="D804" s="8" t="s">
        <v>1878</v>
      </c>
      <c r="E804" s="8">
        <v>17</v>
      </c>
      <c r="F804" s="8" t="s">
        <v>22</v>
      </c>
      <c r="G804" s="10" t="s">
        <v>1922</v>
      </c>
      <c r="H804" s="8" t="s">
        <v>1923</v>
      </c>
      <c r="I804" s="10" t="s">
        <v>1924</v>
      </c>
      <c r="J804" s="11" t="s">
        <v>26</v>
      </c>
      <c r="K804" s="18">
        <v>480</v>
      </c>
      <c r="L804" s="12">
        <f t="shared" si="84"/>
        <v>914.28571428571433</v>
      </c>
      <c r="M804" s="8">
        <v>1</v>
      </c>
      <c r="N804" s="8" t="s">
        <v>27</v>
      </c>
      <c r="O804" s="13"/>
      <c r="P804" s="14">
        <v>0.2</v>
      </c>
      <c r="Q804" s="15">
        <v>0.37</v>
      </c>
      <c r="R804" s="16" t="str">
        <f t="shared" si="82"/>
        <v>DENON</v>
      </c>
      <c r="S804" s="17"/>
      <c r="T804" s="10" t="str">
        <f t="shared" si="81"/>
        <v>PROCESADOR DE AUDIO Y VIDEO, CONECTIVIDAD RS-232.</v>
      </c>
    </row>
    <row r="805" spans="1:20" ht="27" customHeight="1" x14ac:dyDescent="0.25">
      <c r="A805" s="8" t="s">
        <v>1867</v>
      </c>
      <c r="B805" s="9" t="s">
        <v>1871</v>
      </c>
      <c r="C805" s="9"/>
      <c r="D805" s="8" t="s">
        <v>1878</v>
      </c>
      <c r="E805" s="8">
        <v>17</v>
      </c>
      <c r="F805" s="8" t="s">
        <v>22</v>
      </c>
      <c r="G805" s="10" t="s">
        <v>1925</v>
      </c>
      <c r="H805" s="8" t="s">
        <v>1926</v>
      </c>
      <c r="I805" s="10" t="s">
        <v>1925</v>
      </c>
      <c r="J805" s="11" t="s">
        <v>26</v>
      </c>
      <c r="K805" s="18">
        <v>105</v>
      </c>
      <c r="L805" s="12">
        <f t="shared" si="84"/>
        <v>157.5</v>
      </c>
      <c r="M805" s="8">
        <v>1</v>
      </c>
      <c r="N805" s="8" t="s">
        <v>27</v>
      </c>
      <c r="O805" s="13"/>
      <c r="P805" s="14">
        <v>0.2</v>
      </c>
      <c r="Q805" s="15">
        <v>0.2</v>
      </c>
      <c r="R805" s="16" t="str">
        <f t="shared" si="82"/>
        <v>DENON</v>
      </c>
      <c r="S805" s="17"/>
      <c r="T805" s="10" t="str">
        <f t="shared" si="81"/>
        <v>AMPLIFICADOR PORTÁTIL CON TRANSMISOR BLUETOOTH DE ALTA FIDELIDAD</v>
      </c>
    </row>
    <row r="806" spans="1:20" ht="27" customHeight="1" x14ac:dyDescent="0.25">
      <c r="A806" s="8" t="s">
        <v>1867</v>
      </c>
      <c r="B806" s="9"/>
      <c r="C806" s="9"/>
      <c r="D806" s="8"/>
      <c r="E806" s="8"/>
      <c r="F806" s="8" t="s">
        <v>22</v>
      </c>
      <c r="G806" s="10" t="s">
        <v>1927</v>
      </c>
      <c r="H806" s="8" t="s">
        <v>1928</v>
      </c>
      <c r="I806" s="10" t="s">
        <v>1927</v>
      </c>
      <c r="J806" s="11" t="s">
        <v>26</v>
      </c>
      <c r="K806" s="18">
        <v>212</v>
      </c>
      <c r="L806" s="12">
        <f t="shared" si="84"/>
        <v>317.99999999999994</v>
      </c>
      <c r="M806" s="8">
        <v>1</v>
      </c>
      <c r="N806" s="8" t="s">
        <v>27</v>
      </c>
      <c r="O806" s="13"/>
      <c r="P806" s="14">
        <v>0.2</v>
      </c>
      <c r="Q806" s="15">
        <v>0.2</v>
      </c>
      <c r="R806" s="16" t="str">
        <f t="shared" si="82"/>
        <v>DENON</v>
      </c>
      <c r="S806" s="17"/>
      <c r="T806" s="10" t="str">
        <f t="shared" si="81"/>
        <v>PROCESADOR DE AUDIO Y VIDEO DE 70W PARA 5 ALTAVOCES HDMI 2.0, SEÑALES 4K.</v>
      </c>
    </row>
    <row r="807" spans="1:20" ht="27" customHeight="1" x14ac:dyDescent="0.25">
      <c r="A807" s="8" t="s">
        <v>1867</v>
      </c>
      <c r="B807" s="9"/>
      <c r="C807" s="9"/>
      <c r="D807" s="8"/>
      <c r="E807" s="8"/>
      <c r="F807" s="8" t="s">
        <v>22</v>
      </c>
      <c r="G807" s="10" t="s">
        <v>1929</v>
      </c>
      <c r="H807" s="8" t="s">
        <v>1930</v>
      </c>
      <c r="I807" s="10" t="s">
        <v>1929</v>
      </c>
      <c r="J807" s="11" t="s">
        <v>26</v>
      </c>
      <c r="K807" s="18">
        <f>280</f>
        <v>280</v>
      </c>
      <c r="L807" s="12">
        <f t="shared" si="84"/>
        <v>490</v>
      </c>
      <c r="M807" s="8">
        <v>1</v>
      </c>
      <c r="N807" s="8" t="s">
        <v>27</v>
      </c>
      <c r="O807" s="13"/>
      <c r="P807" s="14">
        <v>0.4</v>
      </c>
      <c r="Q807" s="15">
        <v>0.2</v>
      </c>
      <c r="R807" s="16" t="str">
        <f t="shared" si="82"/>
        <v>DENON</v>
      </c>
      <c r="S807" s="17"/>
      <c r="T807" s="10" t="str">
        <f t="shared" si="81"/>
        <v>PROCESADOR DE AUDIO Y VIDEO DE 70W, 5 CANALES, BLUETOOTH. VIDEO 4K.</v>
      </c>
    </row>
    <row r="808" spans="1:20" ht="27" customHeight="1" x14ac:dyDescent="0.25">
      <c r="A808" s="8" t="s">
        <v>1867</v>
      </c>
      <c r="B808" s="9"/>
      <c r="C808" s="9"/>
      <c r="D808" s="8" t="s">
        <v>45</v>
      </c>
      <c r="E808" s="8"/>
      <c r="F808" s="8" t="s">
        <v>22</v>
      </c>
      <c r="G808" s="10" t="s">
        <v>1931</v>
      </c>
      <c r="H808" s="8" t="s">
        <v>1932</v>
      </c>
      <c r="I808" s="10" t="s">
        <v>1931</v>
      </c>
      <c r="J808" s="11" t="s">
        <v>26</v>
      </c>
      <c r="K808" s="18">
        <v>1500</v>
      </c>
      <c r="L808" s="12">
        <f>ROUNDUP(K808*(1+P808)/(1-Q808),0)</f>
        <v>2572</v>
      </c>
      <c r="M808" s="8">
        <v>1</v>
      </c>
      <c r="N808" s="8" t="s">
        <v>27</v>
      </c>
      <c r="O808" s="13"/>
      <c r="P808" s="14">
        <v>0.2</v>
      </c>
      <c r="Q808" s="15">
        <v>0.3</v>
      </c>
      <c r="R808" s="16" t="str">
        <f t="shared" si="82"/>
        <v>DENON</v>
      </c>
      <c r="S808" s="17"/>
      <c r="T808" s="10" t="str">
        <f t="shared" si="81"/>
        <v xml:space="preserve">AMPLIFICADOR HEOS DE 4 CANALES CON STREAMING </v>
      </c>
    </row>
    <row r="809" spans="1:20" ht="27" customHeight="1" x14ac:dyDescent="0.25">
      <c r="A809" s="8" t="s">
        <v>1867</v>
      </c>
      <c r="B809" s="9"/>
      <c r="C809" s="9"/>
      <c r="D809" s="8" t="s">
        <v>45</v>
      </c>
      <c r="E809" s="8"/>
      <c r="F809" s="8" t="s">
        <v>22</v>
      </c>
      <c r="G809" s="10" t="s">
        <v>1933</v>
      </c>
      <c r="H809" s="8" t="s">
        <v>1934</v>
      </c>
      <c r="I809" s="10" t="s">
        <v>1933</v>
      </c>
      <c r="J809" s="11" t="s">
        <v>26</v>
      </c>
      <c r="K809" s="18">
        <v>369</v>
      </c>
      <c r="L809" s="12">
        <f>IF(J809="P",ROUNDUP(K809/(1-Q809),-2),K809*(1+P809)/(1-Q809))</f>
        <v>632.57142857142867</v>
      </c>
      <c r="M809" s="8">
        <v>1</v>
      </c>
      <c r="N809" s="8" t="s">
        <v>27</v>
      </c>
      <c r="O809" s="13" t="s">
        <v>588</v>
      </c>
      <c r="P809" s="14">
        <v>0.2</v>
      </c>
      <c r="Q809" s="15">
        <v>0.3</v>
      </c>
      <c r="R809" s="16" t="str">
        <f t="shared" si="82"/>
        <v>DENON</v>
      </c>
      <c r="S809" s="17"/>
      <c r="T809" s="10" t="str">
        <f t="shared" si="81"/>
        <v>SUBWOOFER INALÁMBRICO COMPATIBLE CON AMPLIFICADORES HEOS</v>
      </c>
    </row>
    <row r="810" spans="1:20" ht="27" customHeight="1" x14ac:dyDescent="0.25">
      <c r="A810" s="8" t="s">
        <v>1867</v>
      </c>
      <c r="B810" s="9"/>
      <c r="C810" s="9"/>
      <c r="D810" s="8"/>
      <c r="E810" s="8"/>
      <c r="F810" s="8"/>
      <c r="G810" s="10"/>
      <c r="H810" s="8" t="s">
        <v>1935</v>
      </c>
      <c r="I810" s="10" t="s">
        <v>1936</v>
      </c>
      <c r="J810" s="11" t="s">
        <v>26</v>
      </c>
      <c r="K810" s="18">
        <v>290</v>
      </c>
      <c r="L810" s="12">
        <f>IF(J810="P",ROUNDUP(K810/(1-Q810),-2),K810*(1+P810)/(1-Q810))</f>
        <v>497.14285714285717</v>
      </c>
      <c r="M810" s="8">
        <v>1</v>
      </c>
      <c r="N810" s="8" t="s">
        <v>27</v>
      </c>
      <c r="O810" s="13"/>
      <c r="P810" s="14">
        <v>0.2</v>
      </c>
      <c r="Q810" s="15">
        <v>0.3</v>
      </c>
      <c r="R810" s="16" t="str">
        <f t="shared" si="82"/>
        <v>DENON</v>
      </c>
      <c r="S810" s="17"/>
      <c r="T810" s="10"/>
    </row>
    <row r="811" spans="1:20" ht="27" customHeight="1" x14ac:dyDescent="0.25">
      <c r="A811" s="8" t="s">
        <v>1867</v>
      </c>
      <c r="B811" s="9"/>
      <c r="C811" s="9"/>
      <c r="D811" s="8"/>
      <c r="E811" s="8"/>
      <c r="F811" s="8"/>
      <c r="G811" s="10"/>
      <c r="H811" s="8" t="s">
        <v>1937</v>
      </c>
      <c r="I811" s="10" t="s">
        <v>1938</v>
      </c>
      <c r="J811" s="11" t="s">
        <v>26</v>
      </c>
      <c r="K811" s="18">
        <v>300</v>
      </c>
      <c r="L811" s="12">
        <f>IF(J811="P",ROUNDUP(K811/(1-Q811),-2),K811*(1+P811)/(1-Q811))</f>
        <v>500</v>
      </c>
      <c r="M811" s="8">
        <v>1</v>
      </c>
      <c r="N811" s="8" t="s">
        <v>27</v>
      </c>
      <c r="O811" s="13"/>
      <c r="P811" s="14">
        <v>0.2</v>
      </c>
      <c r="Q811" s="15">
        <v>0.28000000000000003</v>
      </c>
      <c r="R811" s="16" t="str">
        <f t="shared" si="82"/>
        <v>DENON</v>
      </c>
      <c r="S811" s="17"/>
      <c r="T811" s="10"/>
    </row>
    <row r="812" spans="1:20" ht="27" customHeight="1" x14ac:dyDescent="0.25">
      <c r="A812" s="8" t="s">
        <v>1867</v>
      </c>
      <c r="B812" s="9"/>
      <c r="C812" s="9"/>
      <c r="D812" s="8"/>
      <c r="E812" s="8"/>
      <c r="F812" s="8"/>
      <c r="G812" s="10"/>
      <c r="H812" s="8" t="s">
        <v>1939</v>
      </c>
      <c r="I812" s="10" t="s">
        <v>1940</v>
      </c>
      <c r="J812" s="11" t="s">
        <v>26</v>
      </c>
      <c r="K812" s="18">
        <v>599</v>
      </c>
      <c r="L812" s="12">
        <f>K812*(1+P812)/(1-Q812)</f>
        <v>898.49999999999989</v>
      </c>
      <c r="M812" s="8">
        <v>1</v>
      </c>
      <c r="N812" s="8" t="s">
        <v>27</v>
      </c>
      <c r="O812" s="13"/>
      <c r="P812" s="14">
        <v>0.2</v>
      </c>
      <c r="Q812" s="15">
        <v>0.2</v>
      </c>
      <c r="R812" s="16" t="str">
        <f t="shared" si="82"/>
        <v>DENON</v>
      </c>
      <c r="S812" s="17"/>
      <c r="T812" s="10"/>
    </row>
    <row r="813" spans="1:20" ht="27" customHeight="1" x14ac:dyDescent="0.25">
      <c r="A813" s="8" t="s">
        <v>1867</v>
      </c>
      <c r="B813" s="9"/>
      <c r="C813" s="9"/>
      <c r="D813" s="8"/>
      <c r="E813" s="8"/>
      <c r="F813" s="8"/>
      <c r="G813" s="10"/>
      <c r="H813" s="8" t="s">
        <v>1941</v>
      </c>
      <c r="I813" s="10" t="s">
        <v>1942</v>
      </c>
      <c r="J813" s="11" t="s">
        <v>26</v>
      </c>
      <c r="K813" s="18">
        <v>360</v>
      </c>
      <c r="L813" s="12">
        <f>K813*(1+P813)/(1-Q813)</f>
        <v>664.61538461538464</v>
      </c>
      <c r="M813" s="8">
        <v>1</v>
      </c>
      <c r="N813" s="8" t="s">
        <v>27</v>
      </c>
      <c r="O813" s="13"/>
      <c r="P813" s="14">
        <v>0.2</v>
      </c>
      <c r="Q813" s="15">
        <v>0.35</v>
      </c>
      <c r="R813" s="16" t="str">
        <f t="shared" si="82"/>
        <v>DENON</v>
      </c>
      <c r="S813" s="17"/>
      <c r="T813" s="10"/>
    </row>
    <row r="814" spans="1:20" ht="27" customHeight="1" x14ac:dyDescent="0.25">
      <c r="A814" s="8" t="s">
        <v>1867</v>
      </c>
      <c r="B814" s="9"/>
      <c r="C814" s="9"/>
      <c r="D814" s="8"/>
      <c r="E814" s="8"/>
      <c r="F814" s="8"/>
      <c r="G814" s="10"/>
      <c r="H814" s="8" t="s">
        <v>1943</v>
      </c>
      <c r="I814" s="10" t="s">
        <v>1944</v>
      </c>
      <c r="J814" s="11" t="s">
        <v>26</v>
      </c>
      <c r="K814" s="18">
        <v>245</v>
      </c>
      <c r="L814" s="12">
        <f>K814*(1+P814)/(1-Q814)</f>
        <v>420</v>
      </c>
      <c r="M814" s="8">
        <v>1</v>
      </c>
      <c r="N814" s="8" t="s">
        <v>27</v>
      </c>
      <c r="O814" s="13"/>
      <c r="P814" s="14">
        <v>0.2</v>
      </c>
      <c r="Q814" s="15">
        <v>0.3</v>
      </c>
      <c r="R814" s="16" t="str">
        <f t="shared" si="82"/>
        <v>DENON</v>
      </c>
      <c r="S814" s="17"/>
      <c r="T814" s="10"/>
    </row>
    <row r="815" spans="1:20" ht="27" customHeight="1" x14ac:dyDescent="0.25">
      <c r="A815" s="8" t="s">
        <v>1867</v>
      </c>
      <c r="B815" s="9"/>
      <c r="C815" s="9"/>
      <c r="D815" s="8"/>
      <c r="E815" s="8"/>
      <c r="F815" s="8"/>
      <c r="G815" s="10"/>
      <c r="H815" s="8" t="s">
        <v>1945</v>
      </c>
      <c r="I815" s="10" t="s">
        <v>1946</v>
      </c>
      <c r="J815" s="11" t="s">
        <v>26</v>
      </c>
      <c r="K815" s="18">
        <v>794</v>
      </c>
      <c r="L815" s="12">
        <f>IF(J815="P",ROUNDUP(K815/(1-Q815),-2),K815*(1+P815)/(1-Q815))</f>
        <v>1134.2857142857144</v>
      </c>
      <c r="M815" s="8">
        <v>1</v>
      </c>
      <c r="N815" s="8" t="s">
        <v>27</v>
      </c>
      <c r="O815" s="13">
        <f>F815</f>
        <v>0</v>
      </c>
      <c r="P815" s="14">
        <v>0</v>
      </c>
      <c r="Q815" s="15">
        <v>0.3</v>
      </c>
      <c r="R815" s="16" t="str">
        <f t="shared" si="82"/>
        <v>DENON</v>
      </c>
      <c r="S815" s="17"/>
      <c r="T815" s="10"/>
    </row>
    <row r="816" spans="1:20" ht="27" customHeight="1" x14ac:dyDescent="0.25">
      <c r="A816" s="8" t="s">
        <v>1867</v>
      </c>
      <c r="B816" s="9"/>
      <c r="C816" s="9"/>
      <c r="D816" s="8"/>
      <c r="E816" s="8"/>
      <c r="F816" s="8"/>
      <c r="G816" s="10"/>
      <c r="H816" s="8" t="s">
        <v>1947</v>
      </c>
      <c r="I816" s="10" t="s">
        <v>1948</v>
      </c>
      <c r="J816" s="11" t="s">
        <v>26</v>
      </c>
      <c r="K816" s="18">
        <v>894</v>
      </c>
      <c r="L816" s="12">
        <f>ROUNDUP(K816*(1+P816)/(1-Q816),0)</f>
        <v>1490</v>
      </c>
      <c r="M816" s="8">
        <v>1</v>
      </c>
      <c r="N816" s="8" t="s">
        <v>27</v>
      </c>
      <c r="O816" s="13"/>
      <c r="P816" s="14">
        <v>0</v>
      </c>
      <c r="Q816" s="15">
        <v>0.4</v>
      </c>
      <c r="R816" s="16" t="str">
        <f t="shared" si="82"/>
        <v>DENON</v>
      </c>
      <c r="S816" s="17"/>
      <c r="T816" s="10"/>
    </row>
    <row r="817" spans="1:20" ht="27" customHeight="1" x14ac:dyDescent="0.25">
      <c r="A817" s="8" t="s">
        <v>1867</v>
      </c>
      <c r="B817" s="9"/>
      <c r="C817" s="9"/>
      <c r="D817" s="8"/>
      <c r="E817" s="8"/>
      <c r="F817" s="8"/>
      <c r="G817" s="10"/>
      <c r="H817" s="8" t="s">
        <v>1949</v>
      </c>
      <c r="I817" s="10" t="s">
        <v>1950</v>
      </c>
      <c r="J817" s="11" t="s">
        <v>26</v>
      </c>
      <c r="K817" s="18">
        <v>779</v>
      </c>
      <c r="L817" s="12">
        <f t="shared" ref="L817:L831" si="85">IF(J817="P",ROUNDUP(K817/(1-Q817),-2),K817*(1+P817)/(1-Q817))</f>
        <v>1112.8571428571429</v>
      </c>
      <c r="M817" s="8">
        <v>1</v>
      </c>
      <c r="N817" s="8" t="s">
        <v>27</v>
      </c>
      <c r="O817" s="13">
        <f>F817</f>
        <v>0</v>
      </c>
      <c r="P817" s="14">
        <v>0</v>
      </c>
      <c r="Q817" s="15">
        <v>0.3</v>
      </c>
      <c r="R817" s="16" t="str">
        <f t="shared" si="82"/>
        <v>DENON</v>
      </c>
      <c r="S817" s="17"/>
      <c r="T817" s="10"/>
    </row>
    <row r="818" spans="1:20" ht="27" customHeight="1" x14ac:dyDescent="0.25">
      <c r="A818" s="8" t="s">
        <v>1951</v>
      </c>
      <c r="B818" s="9"/>
      <c r="C818" s="9"/>
      <c r="D818" s="8"/>
      <c r="E818" s="8"/>
      <c r="F818" s="8"/>
      <c r="G818" s="10"/>
      <c r="H818" s="8" t="s">
        <v>1952</v>
      </c>
      <c r="I818" s="10" t="s">
        <v>1953</v>
      </c>
      <c r="J818" s="11" t="s">
        <v>26</v>
      </c>
      <c r="K818" s="18">
        <v>559</v>
      </c>
      <c r="L818" s="12">
        <f t="shared" si="85"/>
        <v>931.66666666666674</v>
      </c>
      <c r="M818" s="8">
        <v>1</v>
      </c>
      <c r="N818" s="8" t="s">
        <v>27</v>
      </c>
      <c r="O818" s="13"/>
      <c r="P818" s="14">
        <v>0</v>
      </c>
      <c r="Q818" s="15">
        <v>0.4</v>
      </c>
      <c r="R818" s="16" t="str">
        <f t="shared" si="82"/>
        <v>DEVIO</v>
      </c>
      <c r="S818" s="17"/>
      <c r="T818" s="10"/>
    </row>
    <row r="819" spans="1:20" ht="27" customHeight="1" x14ac:dyDescent="0.25">
      <c r="A819" s="8" t="s">
        <v>1954</v>
      </c>
      <c r="B819" s="9"/>
      <c r="C819" s="9"/>
      <c r="D819" s="8"/>
      <c r="E819" s="8"/>
      <c r="F819" s="8" t="s">
        <v>22</v>
      </c>
      <c r="G819" s="10" t="s">
        <v>1955</v>
      </c>
      <c r="H819" s="8" t="s">
        <v>1956</v>
      </c>
      <c r="I819" s="10" t="s">
        <v>1955</v>
      </c>
      <c r="J819" s="11" t="s">
        <v>33</v>
      </c>
      <c r="K819" s="18">
        <v>25210.080000000002</v>
      </c>
      <c r="L819" s="12">
        <f t="shared" si="85"/>
        <v>36100</v>
      </c>
      <c r="M819" s="8">
        <v>1</v>
      </c>
      <c r="N819" s="8" t="s">
        <v>27</v>
      </c>
      <c r="O819" s="13"/>
      <c r="P819" s="14">
        <v>0.2</v>
      </c>
      <c r="Q819" s="15">
        <v>0.3</v>
      </c>
      <c r="R819" s="16" t="str">
        <f t="shared" si="82"/>
        <v>DEXON</v>
      </c>
      <c r="S819" s="17"/>
      <c r="T819" s="10" t="str">
        <f t="shared" ref="T819:T831" si="86">G819</f>
        <v>CANALETA 60X40MM BLANCA DEXON  X 2 MTS CON DIVISIÓN</v>
      </c>
    </row>
    <row r="820" spans="1:20" ht="27" customHeight="1" x14ac:dyDescent="0.25">
      <c r="A820" s="8" t="s">
        <v>1954</v>
      </c>
      <c r="B820" s="9"/>
      <c r="C820" s="9"/>
      <c r="D820" s="8"/>
      <c r="E820" s="8"/>
      <c r="F820" s="8" t="s">
        <v>22</v>
      </c>
      <c r="G820" s="10" t="s">
        <v>1957</v>
      </c>
      <c r="H820" s="8" t="s">
        <v>1958</v>
      </c>
      <c r="I820" s="10" t="s">
        <v>1957</v>
      </c>
      <c r="J820" s="11" t="s">
        <v>33</v>
      </c>
      <c r="K820" s="18">
        <v>3386</v>
      </c>
      <c r="L820" s="12">
        <f t="shared" si="85"/>
        <v>4900</v>
      </c>
      <c r="M820" s="8">
        <v>1</v>
      </c>
      <c r="N820" s="8" t="s">
        <v>27</v>
      </c>
      <c r="O820" s="13"/>
      <c r="P820" s="14">
        <v>0.2</v>
      </c>
      <c r="Q820" s="15">
        <v>0.3</v>
      </c>
      <c r="R820" s="16" t="str">
        <f t="shared" si="82"/>
        <v>DEXON</v>
      </c>
      <c r="S820" s="17"/>
      <c r="T820" s="10" t="str">
        <f t="shared" si="86"/>
        <v>ANGULO EXTERNO P/CANALETA  60X40 DEXON BLANCO</v>
      </c>
    </row>
    <row r="821" spans="1:20" ht="27" customHeight="1" x14ac:dyDescent="0.25">
      <c r="A821" s="8" t="s">
        <v>1954</v>
      </c>
      <c r="B821" s="9"/>
      <c r="C821" s="9"/>
      <c r="D821" s="8"/>
      <c r="E821" s="8"/>
      <c r="F821" s="8" t="s">
        <v>22</v>
      </c>
      <c r="G821" s="10" t="s">
        <v>1959</v>
      </c>
      <c r="H821" s="8" t="s">
        <v>1960</v>
      </c>
      <c r="I821" s="10" t="s">
        <v>1959</v>
      </c>
      <c r="J821" s="11" t="s">
        <v>33</v>
      </c>
      <c r="K821" s="18">
        <v>3373</v>
      </c>
      <c r="L821" s="12">
        <f t="shared" si="85"/>
        <v>4900</v>
      </c>
      <c r="M821" s="8">
        <v>1</v>
      </c>
      <c r="N821" s="8" t="s">
        <v>27</v>
      </c>
      <c r="O821" s="13"/>
      <c r="P821" s="14">
        <v>0.2</v>
      </c>
      <c r="Q821" s="15">
        <v>0.3</v>
      </c>
      <c r="R821" s="16" t="str">
        <f t="shared" si="82"/>
        <v>DEXON</v>
      </c>
      <c r="S821" s="17"/>
      <c r="T821" s="10" t="str">
        <f t="shared" si="86"/>
        <v>ANGULO INTERNO P/CANALETA  60X40 DEXON BLANCO</v>
      </c>
    </row>
    <row r="822" spans="1:20" ht="27" customHeight="1" x14ac:dyDescent="0.25">
      <c r="A822" s="8" t="s">
        <v>1954</v>
      </c>
      <c r="B822" s="9"/>
      <c r="C822" s="9"/>
      <c r="D822" s="8"/>
      <c r="E822" s="8"/>
      <c r="F822" s="8" t="s">
        <v>22</v>
      </c>
      <c r="G822" s="10" t="s">
        <v>1961</v>
      </c>
      <c r="H822" s="8" t="s">
        <v>1962</v>
      </c>
      <c r="I822" s="10" t="s">
        <v>1961</v>
      </c>
      <c r="J822" s="11" t="s">
        <v>33</v>
      </c>
      <c r="K822" s="18">
        <v>3386</v>
      </c>
      <c r="L822" s="12">
        <f t="shared" si="85"/>
        <v>4900</v>
      </c>
      <c r="M822" s="8">
        <v>1</v>
      </c>
      <c r="N822" s="8" t="s">
        <v>27</v>
      </c>
      <c r="O822" s="13"/>
      <c r="P822" s="14">
        <v>0.2</v>
      </c>
      <c r="Q822" s="15">
        <v>0.3</v>
      </c>
      <c r="R822" s="16" t="str">
        <f t="shared" si="82"/>
        <v>DEXON</v>
      </c>
      <c r="S822" s="17"/>
      <c r="T822" s="10" t="str">
        <f t="shared" si="86"/>
        <v>ANGULO PLANO P/CANALETA  60X40 DEXON BLANCO</v>
      </c>
    </row>
    <row r="823" spans="1:20" ht="27" customHeight="1" x14ac:dyDescent="0.25">
      <c r="A823" s="8" t="s">
        <v>1954</v>
      </c>
      <c r="B823" s="9"/>
      <c r="C823" s="9"/>
      <c r="D823" s="8"/>
      <c r="E823" s="8"/>
      <c r="F823" s="8" t="s">
        <v>22</v>
      </c>
      <c r="G823" s="10" t="s">
        <v>1963</v>
      </c>
      <c r="H823" s="8" t="s">
        <v>1964</v>
      </c>
      <c r="I823" s="10" t="s">
        <v>1963</v>
      </c>
      <c r="J823" s="11" t="s">
        <v>33</v>
      </c>
      <c r="K823" s="18">
        <v>966.5</v>
      </c>
      <c r="L823" s="12">
        <f t="shared" si="85"/>
        <v>1500</v>
      </c>
      <c r="M823" s="8">
        <v>1</v>
      </c>
      <c r="N823" s="8" t="s">
        <v>27</v>
      </c>
      <c r="O823" s="13"/>
      <c r="P823" s="14">
        <v>0.2</v>
      </c>
      <c r="Q823" s="15">
        <v>0.35</v>
      </c>
      <c r="R823" s="16" t="str">
        <f t="shared" si="82"/>
        <v>DEXON</v>
      </c>
      <c r="S823" s="17"/>
      <c r="T823" s="10" t="str">
        <f t="shared" si="86"/>
        <v>TAPA FINAL PARA CANALETA 60X40 DEXON BLANCA</v>
      </c>
    </row>
    <row r="824" spans="1:20" ht="27" customHeight="1" x14ac:dyDescent="0.25">
      <c r="A824" s="8" t="s">
        <v>1954</v>
      </c>
      <c r="B824" s="9"/>
      <c r="C824" s="9"/>
      <c r="D824" s="8"/>
      <c r="E824" s="8"/>
      <c r="F824" s="8" t="s">
        <v>22</v>
      </c>
      <c r="G824" s="10" t="s">
        <v>1965</v>
      </c>
      <c r="H824" s="8" t="s">
        <v>1966</v>
      </c>
      <c r="I824" s="10" t="s">
        <v>1965</v>
      </c>
      <c r="J824" s="11" t="s">
        <v>33</v>
      </c>
      <c r="K824" s="18">
        <v>42000</v>
      </c>
      <c r="L824" s="12">
        <f t="shared" si="85"/>
        <v>60000</v>
      </c>
      <c r="M824" s="8">
        <v>1</v>
      </c>
      <c r="N824" s="8" t="s">
        <v>27</v>
      </c>
      <c r="O824" s="13"/>
      <c r="P824" s="14">
        <v>0.2</v>
      </c>
      <c r="Q824" s="15">
        <v>0.3</v>
      </c>
      <c r="R824" s="16" t="str">
        <f t="shared" si="82"/>
        <v>DEXON</v>
      </c>
      <c r="S824" s="17"/>
      <c r="T824" s="10" t="str">
        <f t="shared" si="86"/>
        <v>ORGANIZADOR 80X80</v>
      </c>
    </row>
    <row r="825" spans="1:20" ht="27" customHeight="1" x14ac:dyDescent="0.25">
      <c r="A825" s="8" t="s">
        <v>1954</v>
      </c>
      <c r="B825" s="9"/>
      <c r="C825" s="9"/>
      <c r="D825" s="8"/>
      <c r="E825" s="8"/>
      <c r="F825" s="8" t="s">
        <v>22</v>
      </c>
      <c r="G825" s="10" t="s">
        <v>1967</v>
      </c>
      <c r="H825" s="8" t="s">
        <v>1968</v>
      </c>
      <c r="I825" s="10" t="s">
        <v>1967</v>
      </c>
      <c r="J825" s="11" t="s">
        <v>33</v>
      </c>
      <c r="K825" s="18">
        <v>25200</v>
      </c>
      <c r="L825" s="12">
        <f t="shared" si="85"/>
        <v>36000</v>
      </c>
      <c r="M825" s="8">
        <v>1</v>
      </c>
      <c r="N825" s="8" t="s">
        <v>27</v>
      </c>
      <c r="O825" s="13"/>
      <c r="P825" s="14">
        <v>0.2</v>
      </c>
      <c r="Q825" s="15">
        <v>0.3</v>
      </c>
      <c r="R825" s="16" t="str">
        <f t="shared" si="82"/>
        <v>DEXON</v>
      </c>
      <c r="S825" s="17"/>
      <c r="T825" s="10" t="str">
        <f t="shared" si="86"/>
        <v>CANALETA GRIS DE PISO DE 60X13, CON ADHESIVO. TRAMO DE 2 METROS.</v>
      </c>
    </row>
    <row r="826" spans="1:20" ht="27" customHeight="1" x14ac:dyDescent="0.25">
      <c r="A826" s="8" t="s">
        <v>1954</v>
      </c>
      <c r="B826" s="9"/>
      <c r="C826" s="9"/>
      <c r="D826" s="8"/>
      <c r="E826" s="8"/>
      <c r="F826" s="8" t="s">
        <v>22</v>
      </c>
      <c r="G826" s="10" t="s">
        <v>1969</v>
      </c>
      <c r="H826" s="8" t="s">
        <v>1970</v>
      </c>
      <c r="I826" s="10" t="s">
        <v>1969</v>
      </c>
      <c r="J826" s="11" t="s">
        <v>33</v>
      </c>
      <c r="K826" s="18">
        <v>16000</v>
      </c>
      <c r="L826" s="12">
        <f t="shared" si="85"/>
        <v>22900</v>
      </c>
      <c r="M826" s="8">
        <v>1</v>
      </c>
      <c r="N826" s="8" t="s">
        <v>27</v>
      </c>
      <c r="O826" s="13"/>
      <c r="P826" s="14">
        <v>0.2</v>
      </c>
      <c r="Q826" s="15">
        <v>0.3</v>
      </c>
      <c r="R826" s="16" t="str">
        <f t="shared" si="82"/>
        <v>DEXON</v>
      </c>
      <c r="S826" s="17"/>
      <c r="T826" s="10" t="str">
        <f t="shared" si="86"/>
        <v>ESQUINERO CURVA EXTERNA 100X45 BLANCO</v>
      </c>
    </row>
    <row r="827" spans="1:20" ht="27" customHeight="1" x14ac:dyDescent="0.25">
      <c r="A827" s="8" t="s">
        <v>1954</v>
      </c>
      <c r="B827" s="9"/>
      <c r="C827" s="9"/>
      <c r="D827" s="8"/>
      <c r="E827" s="8"/>
      <c r="F827" s="8" t="s">
        <v>22</v>
      </c>
      <c r="G827" s="10" t="s">
        <v>1971</v>
      </c>
      <c r="H827" s="8" t="s">
        <v>1972</v>
      </c>
      <c r="I827" s="10" t="s">
        <v>1971</v>
      </c>
      <c r="J827" s="11" t="s">
        <v>33</v>
      </c>
      <c r="K827" s="18">
        <v>16000</v>
      </c>
      <c r="L827" s="12">
        <f t="shared" si="85"/>
        <v>22900</v>
      </c>
      <c r="M827" s="8">
        <v>1</v>
      </c>
      <c r="N827" s="8" t="s">
        <v>27</v>
      </c>
      <c r="O827" s="13"/>
      <c r="P827" s="14">
        <v>0.2</v>
      </c>
      <c r="Q827" s="15">
        <v>0.3</v>
      </c>
      <c r="R827" s="16" t="str">
        <f t="shared" si="82"/>
        <v>DEXON</v>
      </c>
      <c r="S827" s="17"/>
      <c r="T827" s="10" t="str">
        <f t="shared" si="86"/>
        <v>ESQUINERO CURVA INTERNA 100X45 BLANCO</v>
      </c>
    </row>
    <row r="828" spans="1:20" ht="27" customHeight="1" x14ac:dyDescent="0.25">
      <c r="A828" s="8" t="s">
        <v>1954</v>
      </c>
      <c r="B828" s="9"/>
      <c r="C828" s="9"/>
      <c r="D828" s="8"/>
      <c r="E828" s="8"/>
      <c r="F828" s="8" t="s">
        <v>22</v>
      </c>
      <c r="G828" s="10" t="s">
        <v>1973</v>
      </c>
      <c r="H828" s="8" t="s">
        <v>1974</v>
      </c>
      <c r="I828" s="10" t="s">
        <v>1973</v>
      </c>
      <c r="J828" s="11" t="s">
        <v>33</v>
      </c>
      <c r="K828" s="18">
        <v>16000</v>
      </c>
      <c r="L828" s="12">
        <f t="shared" si="85"/>
        <v>22900</v>
      </c>
      <c r="M828" s="8">
        <v>1</v>
      </c>
      <c r="N828" s="8" t="s">
        <v>27</v>
      </c>
      <c r="O828" s="13"/>
      <c r="P828" s="14">
        <v>0.2</v>
      </c>
      <c r="Q828" s="15">
        <v>0.3</v>
      </c>
      <c r="R828" s="16" t="str">
        <f t="shared" si="82"/>
        <v>DEXON</v>
      </c>
      <c r="S828" s="17"/>
      <c r="T828" s="10" t="str">
        <f t="shared" si="86"/>
        <v>ESQUINERO CURVA PLANO 100X45 BLANCO</v>
      </c>
    </row>
    <row r="829" spans="1:20" ht="27" customHeight="1" x14ac:dyDescent="0.25">
      <c r="A829" s="8" t="s">
        <v>1954</v>
      </c>
      <c r="B829" s="9"/>
      <c r="C829" s="9"/>
      <c r="D829" s="8"/>
      <c r="E829" s="8"/>
      <c r="F829" s="8" t="s">
        <v>22</v>
      </c>
      <c r="G829" s="10" t="s">
        <v>1975</v>
      </c>
      <c r="H829" s="8" t="s">
        <v>1976</v>
      </c>
      <c r="I829" s="10" t="s">
        <v>1975</v>
      </c>
      <c r="J829" s="11" t="s">
        <v>33</v>
      </c>
      <c r="K829" s="18">
        <v>3600</v>
      </c>
      <c r="L829" s="12">
        <f t="shared" si="85"/>
        <v>5200</v>
      </c>
      <c r="M829" s="8">
        <v>1</v>
      </c>
      <c r="N829" s="8" t="s">
        <v>27</v>
      </c>
      <c r="O829" s="13"/>
      <c r="P829" s="14">
        <v>0.2</v>
      </c>
      <c r="Q829" s="15">
        <v>0.3</v>
      </c>
      <c r="R829" s="16" t="str">
        <f t="shared" si="82"/>
        <v>DEXON</v>
      </c>
      <c r="S829" s="17"/>
      <c r="T829" s="10" t="str">
        <f t="shared" si="86"/>
        <v xml:space="preserve">TAPA FINAL PARA CANALETA </v>
      </c>
    </row>
    <row r="830" spans="1:20" ht="27" customHeight="1" x14ac:dyDescent="0.25">
      <c r="A830" s="8" t="s">
        <v>1954</v>
      </c>
      <c r="B830" s="9"/>
      <c r="C830" s="9"/>
      <c r="D830" s="8"/>
      <c r="E830" s="8"/>
      <c r="F830" s="8" t="s">
        <v>22</v>
      </c>
      <c r="G830" s="10" t="s">
        <v>1977</v>
      </c>
      <c r="H830" s="8" t="s">
        <v>1978</v>
      </c>
      <c r="I830" s="10" t="s">
        <v>1977</v>
      </c>
      <c r="J830" s="11" t="s">
        <v>33</v>
      </c>
      <c r="K830" s="18">
        <v>10600</v>
      </c>
      <c r="L830" s="12">
        <f t="shared" si="85"/>
        <v>17700</v>
      </c>
      <c r="M830" s="8">
        <v>1</v>
      </c>
      <c r="N830" s="8" t="s">
        <v>110</v>
      </c>
      <c r="O830" s="13"/>
      <c r="P830" s="14">
        <v>0.2</v>
      </c>
      <c r="Q830" s="15">
        <v>0.4</v>
      </c>
      <c r="R830" s="16" t="str">
        <f t="shared" si="82"/>
        <v>DEXON</v>
      </c>
      <c r="S830" s="17"/>
      <c r="T830" s="10" t="str">
        <f t="shared" si="86"/>
        <v>METRO DE CINTA DOBLE FAZ DE MEDIA PULGADA</v>
      </c>
    </row>
    <row r="831" spans="1:20" ht="27" customHeight="1" x14ac:dyDescent="0.25">
      <c r="A831" s="8" t="s">
        <v>1954</v>
      </c>
      <c r="B831" s="9"/>
      <c r="C831" s="9"/>
      <c r="D831" s="8"/>
      <c r="E831" s="8"/>
      <c r="F831" s="8" t="s">
        <v>22</v>
      </c>
      <c r="G831" s="10" t="s">
        <v>1979</v>
      </c>
      <c r="H831" s="8" t="s">
        <v>1980</v>
      </c>
      <c r="I831" s="10" t="s">
        <v>1979</v>
      </c>
      <c r="J831" s="11" t="s">
        <v>33</v>
      </c>
      <c r="K831" s="18">
        <v>2900</v>
      </c>
      <c r="L831" s="12">
        <f t="shared" si="85"/>
        <v>5800</v>
      </c>
      <c r="M831" s="8">
        <v>1</v>
      </c>
      <c r="N831" s="8" t="s">
        <v>27</v>
      </c>
      <c r="O831" s="13" t="s">
        <v>588</v>
      </c>
      <c r="P831" s="14">
        <v>0</v>
      </c>
      <c r="Q831" s="15">
        <v>0.5</v>
      </c>
      <c r="R831" s="16" t="str">
        <f t="shared" si="82"/>
        <v>DEXON</v>
      </c>
      <c r="S831" s="17"/>
      <c r="T831" s="10" t="str">
        <f t="shared" si="86"/>
        <v>TERMINAL PARA CORAZA DE 3/4</v>
      </c>
    </row>
    <row r="832" spans="1:20" ht="27" customHeight="1" x14ac:dyDescent="0.25">
      <c r="A832" s="8" t="s">
        <v>1954</v>
      </c>
      <c r="B832" s="9"/>
      <c r="C832" s="9"/>
      <c r="D832" s="8"/>
      <c r="E832" s="8"/>
      <c r="F832" s="8"/>
      <c r="G832" s="10"/>
      <c r="H832" s="8" t="s">
        <v>1981</v>
      </c>
      <c r="I832" s="10" t="s">
        <v>1982</v>
      </c>
      <c r="J832" s="11" t="s">
        <v>33</v>
      </c>
      <c r="K832" s="18">
        <v>20000</v>
      </c>
      <c r="L832" s="12">
        <f>K832*(1+P832)/(1-Q832)</f>
        <v>33333.333333333336</v>
      </c>
      <c r="M832" s="8">
        <v>1</v>
      </c>
      <c r="N832" s="8" t="s">
        <v>27</v>
      </c>
      <c r="O832" s="13"/>
      <c r="P832" s="14">
        <v>0</v>
      </c>
      <c r="Q832" s="15">
        <v>0.4</v>
      </c>
      <c r="R832" s="16" t="str">
        <f t="shared" si="82"/>
        <v>DEXON</v>
      </c>
      <c r="S832" s="17"/>
      <c r="T832" s="10"/>
    </row>
    <row r="833" spans="1:20" ht="27" customHeight="1" x14ac:dyDescent="0.25">
      <c r="A833" s="8" t="s">
        <v>1983</v>
      </c>
      <c r="B833" s="9"/>
      <c r="C833" s="9"/>
      <c r="D833" s="8"/>
      <c r="E833" s="8"/>
      <c r="F833" s="8" t="s">
        <v>22</v>
      </c>
      <c r="G833" s="10" t="s">
        <v>1984</v>
      </c>
      <c r="H833" s="8" t="s">
        <v>1985</v>
      </c>
      <c r="I833" s="10" t="s">
        <v>1984</v>
      </c>
      <c r="J833" s="11" t="s">
        <v>33</v>
      </c>
      <c r="K833" s="18">
        <v>28000</v>
      </c>
      <c r="L833" s="12">
        <f t="shared" ref="L833:L852" si="87">IF(J833="P",ROUNDUP(K833/(1-Q833),-2),K833*(1+P833)/(1-Q833))</f>
        <v>46700</v>
      </c>
      <c r="M833" s="8">
        <v>1</v>
      </c>
      <c r="N833" s="8" t="s">
        <v>27</v>
      </c>
      <c r="O833" s="13"/>
      <c r="P833" s="14">
        <v>0.2</v>
      </c>
      <c r="Q833" s="15">
        <v>0.4</v>
      </c>
      <c r="R833" s="16" t="str">
        <f t="shared" ref="R833:R896" si="88">A833</f>
        <v>DEXSON</v>
      </c>
      <c r="S833" s="17"/>
      <c r="T833" s="10" t="str">
        <f t="shared" ref="T833:T852" si="89">G833</f>
        <v>BASE ADHESIVA, CAJA POR 100 UNIDADES PARA SUJECIÓN DE AMARRES.</v>
      </c>
    </row>
    <row r="834" spans="1:20" ht="27" customHeight="1" x14ac:dyDescent="0.25">
      <c r="A834" s="8" t="s">
        <v>1983</v>
      </c>
      <c r="B834" s="9"/>
      <c r="C834" s="9"/>
      <c r="D834" s="8"/>
      <c r="E834" s="8"/>
      <c r="F834" s="8" t="s">
        <v>22</v>
      </c>
      <c r="G834" s="10" t="s">
        <v>1986</v>
      </c>
      <c r="H834" s="8" t="s">
        <v>1987</v>
      </c>
      <c r="I834" s="10" t="s">
        <v>1986</v>
      </c>
      <c r="J834" s="11" t="s">
        <v>33</v>
      </c>
      <c r="K834" s="18">
        <v>1050</v>
      </c>
      <c r="L834" s="12">
        <f t="shared" si="87"/>
        <v>1800</v>
      </c>
      <c r="M834" s="8">
        <v>1</v>
      </c>
      <c r="N834" s="8" t="s">
        <v>27</v>
      </c>
      <c r="O834" s="13"/>
      <c r="P834" s="14">
        <v>0.2</v>
      </c>
      <c r="Q834" s="15">
        <v>0.4</v>
      </c>
      <c r="R834" s="16" t="str">
        <f t="shared" si="88"/>
        <v>DEXSON</v>
      </c>
      <c r="S834" s="17"/>
      <c r="T834" s="10" t="str">
        <f t="shared" si="89"/>
        <v>BOLSA DE AMARRES POR 100 UNIDADES DE 10 CM, COLOR BLANCO.</v>
      </c>
    </row>
    <row r="835" spans="1:20" ht="27" customHeight="1" x14ac:dyDescent="0.25">
      <c r="A835" s="8" t="s">
        <v>1983</v>
      </c>
      <c r="B835" s="9"/>
      <c r="C835" s="9"/>
      <c r="D835" s="8"/>
      <c r="E835" s="8"/>
      <c r="F835" s="8" t="s">
        <v>22</v>
      </c>
      <c r="G835" s="10" t="s">
        <v>1988</v>
      </c>
      <c r="H835" s="8" t="s">
        <v>1989</v>
      </c>
      <c r="I835" s="10" t="s">
        <v>1988</v>
      </c>
      <c r="J835" s="11" t="s">
        <v>33</v>
      </c>
      <c r="K835" s="18">
        <v>137500</v>
      </c>
      <c r="L835" s="12">
        <f t="shared" si="87"/>
        <v>196500</v>
      </c>
      <c r="M835" s="8">
        <v>1</v>
      </c>
      <c r="N835" s="8" t="s">
        <v>27</v>
      </c>
      <c r="O835" s="13"/>
      <c r="P835" s="14">
        <v>0.2</v>
      </c>
      <c r="Q835" s="15">
        <v>0.3</v>
      </c>
      <c r="R835" s="16" t="str">
        <f t="shared" si="88"/>
        <v>DEXSON</v>
      </c>
      <c r="S835" s="17"/>
      <c r="T835" s="10" t="str">
        <f t="shared" si="89"/>
        <v>ORGANIZADOR VERTICAL 100X100 DE 2.04M</v>
      </c>
    </row>
    <row r="836" spans="1:20" ht="27" customHeight="1" x14ac:dyDescent="0.25">
      <c r="A836" s="8" t="s">
        <v>1983</v>
      </c>
      <c r="B836" s="9" t="s">
        <v>1070</v>
      </c>
      <c r="C836" s="9"/>
      <c r="D836" s="8" t="s">
        <v>28</v>
      </c>
      <c r="E836" s="8">
        <v>5</v>
      </c>
      <c r="F836" s="8" t="s">
        <v>22</v>
      </c>
      <c r="G836" s="10" t="s">
        <v>1990</v>
      </c>
      <c r="H836" s="8" t="s">
        <v>1956</v>
      </c>
      <c r="I836" s="10" t="s">
        <v>1990</v>
      </c>
      <c r="J836" s="11" t="s">
        <v>33</v>
      </c>
      <c r="K836" s="18">
        <v>18856</v>
      </c>
      <c r="L836" s="12">
        <f t="shared" si="87"/>
        <v>27000</v>
      </c>
      <c r="M836" s="8">
        <v>1</v>
      </c>
      <c r="N836" s="8" t="s">
        <v>27</v>
      </c>
      <c r="O836" s="13"/>
      <c r="P836" s="14">
        <v>0.2</v>
      </c>
      <c r="Q836" s="15">
        <v>0.3</v>
      </c>
      <c r="R836" s="16" t="str">
        <f t="shared" si="88"/>
        <v>DEXSON</v>
      </c>
      <c r="S836" s="17"/>
      <c r="T836" s="10" t="str">
        <f t="shared" si="89"/>
        <v>CANALETA DE 60X40, 2 METROS LINEALES CON DIVISIÓN.</v>
      </c>
    </row>
    <row r="837" spans="1:20" ht="27" customHeight="1" x14ac:dyDescent="0.25">
      <c r="A837" s="8" t="s">
        <v>1983</v>
      </c>
      <c r="B837" s="9" t="s">
        <v>1070</v>
      </c>
      <c r="C837" s="9"/>
      <c r="D837" s="8" t="s">
        <v>28</v>
      </c>
      <c r="E837" s="8">
        <v>6</v>
      </c>
      <c r="F837" s="8" t="s">
        <v>22</v>
      </c>
      <c r="G837" s="10" t="s">
        <v>1991</v>
      </c>
      <c r="H837" s="8" t="s">
        <v>1958</v>
      </c>
      <c r="I837" s="10" t="s">
        <v>1991</v>
      </c>
      <c r="J837" s="11" t="s">
        <v>33</v>
      </c>
      <c r="K837" s="18">
        <v>3386</v>
      </c>
      <c r="L837" s="12">
        <f t="shared" si="87"/>
        <v>4900</v>
      </c>
      <c r="M837" s="8">
        <v>1</v>
      </c>
      <c r="N837" s="8" t="s">
        <v>27</v>
      </c>
      <c r="O837" s="13"/>
      <c r="P837" s="14">
        <v>0.2</v>
      </c>
      <c r="Q837" s="15">
        <v>0.3</v>
      </c>
      <c r="R837" s="16" t="str">
        <f t="shared" si="88"/>
        <v>DEXSON</v>
      </c>
      <c r="S837" s="17"/>
      <c r="T837" s="10" t="str">
        <f t="shared" si="89"/>
        <v>ANGULO EXTERNO PARA CANALETA 60X40.</v>
      </c>
    </row>
    <row r="838" spans="1:20" ht="27" customHeight="1" x14ac:dyDescent="0.25">
      <c r="A838" s="8" t="s">
        <v>1983</v>
      </c>
      <c r="B838" s="9" t="s">
        <v>1070</v>
      </c>
      <c r="C838" s="9"/>
      <c r="D838" s="8" t="s">
        <v>28</v>
      </c>
      <c r="E838" s="8">
        <v>7</v>
      </c>
      <c r="F838" s="8" t="s">
        <v>22</v>
      </c>
      <c r="G838" s="10" t="s">
        <v>1992</v>
      </c>
      <c r="H838" s="8" t="s">
        <v>1962</v>
      </c>
      <c r="I838" s="10" t="s">
        <v>1992</v>
      </c>
      <c r="J838" s="11" t="s">
        <v>33</v>
      </c>
      <c r="K838" s="18">
        <v>3386</v>
      </c>
      <c r="L838" s="12">
        <f t="shared" si="87"/>
        <v>4900</v>
      </c>
      <c r="M838" s="8">
        <v>1</v>
      </c>
      <c r="N838" s="8" t="s">
        <v>27</v>
      </c>
      <c r="O838" s="13"/>
      <c r="P838" s="14">
        <v>0.2</v>
      </c>
      <c r="Q838" s="15">
        <v>0.3</v>
      </c>
      <c r="R838" s="16" t="str">
        <f t="shared" si="88"/>
        <v>DEXSON</v>
      </c>
      <c r="S838" s="17"/>
      <c r="T838" s="10" t="str">
        <f t="shared" si="89"/>
        <v>ANGULO PLANO PARA CANALETA 60X40.</v>
      </c>
    </row>
    <row r="839" spans="1:20" ht="27" customHeight="1" x14ac:dyDescent="0.25">
      <c r="A839" s="8" t="s">
        <v>1983</v>
      </c>
      <c r="B839" s="9"/>
      <c r="C839" s="9"/>
      <c r="D839" s="8"/>
      <c r="E839" s="8"/>
      <c r="F839" s="8" t="s">
        <v>22</v>
      </c>
      <c r="G839" s="10" t="s">
        <v>1993</v>
      </c>
      <c r="H839" s="8" t="s">
        <v>1964</v>
      </c>
      <c r="I839" s="10" t="s">
        <v>1993</v>
      </c>
      <c r="J839" s="11" t="s">
        <v>33</v>
      </c>
      <c r="K839" s="18">
        <v>966.5</v>
      </c>
      <c r="L839" s="12">
        <f t="shared" si="87"/>
        <v>1400</v>
      </c>
      <c r="M839" s="8">
        <v>1</v>
      </c>
      <c r="N839" s="8" t="s">
        <v>27</v>
      </c>
      <c r="O839" s="13"/>
      <c r="P839" s="14">
        <v>0.2</v>
      </c>
      <c r="Q839" s="15">
        <v>0.3</v>
      </c>
      <c r="R839" s="16" t="str">
        <f t="shared" si="88"/>
        <v>DEXSON</v>
      </c>
      <c r="S839" s="17"/>
      <c r="T839" s="10" t="str">
        <f t="shared" si="89"/>
        <v>TAPA FINAL PARA CANALETA 60X40.</v>
      </c>
    </row>
    <row r="840" spans="1:20" ht="27" customHeight="1" x14ac:dyDescent="0.25">
      <c r="A840" s="8" t="s">
        <v>1983</v>
      </c>
      <c r="B840" s="9"/>
      <c r="C840" s="9"/>
      <c r="D840" s="8"/>
      <c r="E840" s="8"/>
      <c r="F840" s="8" t="s">
        <v>22</v>
      </c>
      <c r="G840" s="10" t="s">
        <v>1994</v>
      </c>
      <c r="H840" s="8" t="s">
        <v>1960</v>
      </c>
      <c r="I840" s="10" t="s">
        <v>1994</v>
      </c>
      <c r="J840" s="11" t="s">
        <v>33</v>
      </c>
      <c r="K840" s="18">
        <v>3373</v>
      </c>
      <c r="L840" s="12">
        <f t="shared" si="87"/>
        <v>5700</v>
      </c>
      <c r="M840" s="8">
        <v>1</v>
      </c>
      <c r="N840" s="8" t="s">
        <v>27</v>
      </c>
      <c r="O840" s="13"/>
      <c r="P840" s="14">
        <v>0.2</v>
      </c>
      <c r="Q840" s="15">
        <v>0.4</v>
      </c>
      <c r="R840" s="16" t="str">
        <f t="shared" si="88"/>
        <v>DEXSON</v>
      </c>
      <c r="S840" s="17"/>
      <c r="T840" s="10" t="str">
        <f t="shared" si="89"/>
        <v>ANGULO INTERNO DE CANALETA 60X40</v>
      </c>
    </row>
    <row r="841" spans="1:20" ht="27" customHeight="1" x14ac:dyDescent="0.25">
      <c r="A841" s="8" t="s">
        <v>1983</v>
      </c>
      <c r="B841" s="9"/>
      <c r="C841" s="9"/>
      <c r="D841" s="8"/>
      <c r="E841" s="8"/>
      <c r="F841" s="8" t="s">
        <v>22</v>
      </c>
      <c r="G841" s="10" t="s">
        <v>1995</v>
      </c>
      <c r="H841" s="8" t="s">
        <v>1996</v>
      </c>
      <c r="I841" s="10" t="s">
        <v>1995</v>
      </c>
      <c r="J841" s="11" t="s">
        <v>33</v>
      </c>
      <c r="K841" s="18">
        <v>4500</v>
      </c>
      <c r="L841" s="12">
        <f t="shared" si="87"/>
        <v>7500</v>
      </c>
      <c r="M841" s="8">
        <v>1</v>
      </c>
      <c r="N841" s="8" t="s">
        <v>27</v>
      </c>
      <c r="O841" s="13"/>
      <c r="P841" s="14">
        <v>0.2</v>
      </c>
      <c r="Q841" s="15">
        <v>0.4</v>
      </c>
      <c r="R841" s="16" t="str">
        <f t="shared" si="88"/>
        <v>DEXSON</v>
      </c>
      <c r="S841" s="17"/>
      <c r="T841" s="10" t="str">
        <f t="shared" si="89"/>
        <v>CAJA PLÁSTICA PARA INSTALACIÓN EN CANALETA</v>
      </c>
    </row>
    <row r="842" spans="1:20" ht="27" customHeight="1" x14ac:dyDescent="0.25">
      <c r="A842" s="8" t="s">
        <v>1997</v>
      </c>
      <c r="B842" s="9"/>
      <c r="C842" s="9"/>
      <c r="D842" s="8"/>
      <c r="E842" s="8"/>
      <c r="F842" s="8" t="s">
        <v>22</v>
      </c>
      <c r="G842" s="10" t="s">
        <v>1998</v>
      </c>
      <c r="H842" s="8" t="s">
        <v>1999</v>
      </c>
      <c r="I842" s="10" t="s">
        <v>1998</v>
      </c>
      <c r="J842" s="11" t="s">
        <v>33</v>
      </c>
      <c r="K842" s="18">
        <v>26050</v>
      </c>
      <c r="L842" s="12">
        <f t="shared" si="87"/>
        <v>37300</v>
      </c>
      <c r="M842" s="8">
        <v>1</v>
      </c>
      <c r="N842" s="8" t="s">
        <v>27</v>
      </c>
      <c r="O842" s="13"/>
      <c r="P842" s="14">
        <v>0.2</v>
      </c>
      <c r="Q842" s="15">
        <v>0.3</v>
      </c>
      <c r="R842" s="16" t="str">
        <f t="shared" si="88"/>
        <v>DIGITAL</v>
      </c>
      <c r="S842" s="17"/>
      <c r="T842" s="10" t="str">
        <f t="shared" si="89"/>
        <v>CABLE DIGITAL RCA DE 5.5 METROS</v>
      </c>
    </row>
    <row r="843" spans="1:20" ht="27" customHeight="1" x14ac:dyDescent="0.25">
      <c r="A843" s="8" t="s">
        <v>1997</v>
      </c>
      <c r="B843" s="9"/>
      <c r="C843" s="9"/>
      <c r="D843" s="8"/>
      <c r="E843" s="8"/>
      <c r="F843" s="8" t="s">
        <v>22</v>
      </c>
      <c r="G843" s="10" t="s">
        <v>2000</v>
      </c>
      <c r="H843" s="8" t="s">
        <v>2001</v>
      </c>
      <c r="I843" s="10" t="s">
        <v>2000</v>
      </c>
      <c r="J843" s="11" t="s">
        <v>33</v>
      </c>
      <c r="K843" s="18">
        <v>20560</v>
      </c>
      <c r="L843" s="12">
        <f t="shared" si="87"/>
        <v>29400</v>
      </c>
      <c r="M843" s="8">
        <v>1</v>
      </c>
      <c r="N843" s="8" t="s">
        <v>27</v>
      </c>
      <c r="O843" s="13"/>
      <c r="P843" s="14">
        <v>0.2</v>
      </c>
      <c r="Q843" s="15">
        <v>0.3</v>
      </c>
      <c r="R843" s="16" t="str">
        <f t="shared" si="88"/>
        <v>DIGITAL</v>
      </c>
      <c r="S843" s="17"/>
      <c r="T843" s="10" t="str">
        <f t="shared" si="89"/>
        <v>CABLE RCA DE 10 METROS</v>
      </c>
    </row>
    <row r="844" spans="1:20" ht="27" customHeight="1" x14ac:dyDescent="0.25">
      <c r="A844" s="8" t="s">
        <v>1997</v>
      </c>
      <c r="B844" s="9"/>
      <c r="C844" s="9"/>
      <c r="D844" s="8"/>
      <c r="E844" s="8"/>
      <c r="F844" s="8" t="s">
        <v>22</v>
      </c>
      <c r="G844" s="10" t="s">
        <v>2002</v>
      </c>
      <c r="H844" s="8" t="s">
        <v>2003</v>
      </c>
      <c r="I844" s="10" t="s">
        <v>2002</v>
      </c>
      <c r="J844" s="11" t="s">
        <v>33</v>
      </c>
      <c r="K844" s="18">
        <v>12802</v>
      </c>
      <c r="L844" s="12">
        <f t="shared" si="87"/>
        <v>18300</v>
      </c>
      <c r="M844" s="8">
        <v>1</v>
      </c>
      <c r="N844" s="8" t="s">
        <v>27</v>
      </c>
      <c r="O844" s="13"/>
      <c r="P844" s="14">
        <v>0.2</v>
      </c>
      <c r="Q844" s="15">
        <v>0.3</v>
      </c>
      <c r="R844" s="16" t="str">
        <f t="shared" si="88"/>
        <v>DIGITAL</v>
      </c>
      <c r="S844" s="17"/>
      <c r="T844" s="10" t="str">
        <f t="shared" si="89"/>
        <v>CABLE ESTÉREO DE 10 METROS BLINDADO</v>
      </c>
    </row>
    <row r="845" spans="1:20" ht="27" customHeight="1" x14ac:dyDescent="0.25">
      <c r="A845" s="8" t="s">
        <v>1997</v>
      </c>
      <c r="B845" s="9"/>
      <c r="C845" s="9"/>
      <c r="D845" s="8"/>
      <c r="E845" s="8"/>
      <c r="F845" s="8" t="s">
        <v>22</v>
      </c>
      <c r="G845" s="10" t="s">
        <v>2004</v>
      </c>
      <c r="H845" s="8" t="s">
        <v>2005</v>
      </c>
      <c r="I845" s="10" t="s">
        <v>2004</v>
      </c>
      <c r="J845" s="11" t="s">
        <v>33</v>
      </c>
      <c r="K845" s="18">
        <v>15000</v>
      </c>
      <c r="L845" s="12">
        <f t="shared" si="87"/>
        <v>21500</v>
      </c>
      <c r="M845" s="8">
        <v>1</v>
      </c>
      <c r="N845" s="8" t="s">
        <v>27</v>
      </c>
      <c r="O845" s="13"/>
      <c r="P845" s="14">
        <v>0.2</v>
      </c>
      <c r="Q845" s="15">
        <v>0.3</v>
      </c>
      <c r="R845" s="16" t="str">
        <f t="shared" si="88"/>
        <v>DIGITAL</v>
      </c>
      <c r="S845" s="17"/>
      <c r="T845" s="10" t="str">
        <f t="shared" si="89"/>
        <v>CABLE ESTÉREO DIGITAL 3.5 MM X 10 METROS.</v>
      </c>
    </row>
    <row r="846" spans="1:20" ht="27" customHeight="1" x14ac:dyDescent="0.25">
      <c r="A846" s="8" t="s">
        <v>1997</v>
      </c>
      <c r="B846" s="9"/>
      <c r="C846" s="9"/>
      <c r="D846" s="8"/>
      <c r="E846" s="8"/>
      <c r="F846" s="8" t="s">
        <v>22</v>
      </c>
      <c r="G846" s="10" t="s">
        <v>2006</v>
      </c>
      <c r="H846" s="8" t="s">
        <v>2007</v>
      </c>
      <c r="I846" s="10" t="s">
        <v>2006</v>
      </c>
      <c r="J846" s="11" t="s">
        <v>33</v>
      </c>
      <c r="K846" s="18">
        <v>12500</v>
      </c>
      <c r="L846" s="12">
        <f t="shared" si="87"/>
        <v>17900</v>
      </c>
      <c r="M846" s="8">
        <v>1</v>
      </c>
      <c r="N846" s="8" t="s">
        <v>27</v>
      </c>
      <c r="O846" s="13"/>
      <c r="P846" s="14">
        <v>0.2</v>
      </c>
      <c r="Q846" s="15">
        <v>0.3</v>
      </c>
      <c r="R846" s="16" t="str">
        <f t="shared" si="88"/>
        <v>DIGITAL</v>
      </c>
      <c r="S846" s="17"/>
      <c r="T846" s="10" t="str">
        <f t="shared" si="89"/>
        <v>CABLE ESTÉREO DIGITAL DE ALTA PUREZA RCA, LARGO 1.8 METROS.</v>
      </c>
    </row>
    <row r="847" spans="1:20" ht="27" customHeight="1" x14ac:dyDescent="0.25">
      <c r="A847" s="8" t="s">
        <v>1997</v>
      </c>
      <c r="B847" s="9"/>
      <c r="C847" s="9"/>
      <c r="D847" s="8"/>
      <c r="E847" s="8"/>
      <c r="F847" s="8" t="s">
        <v>22</v>
      </c>
      <c r="G847" s="10" t="s">
        <v>2008</v>
      </c>
      <c r="H847" s="8" t="s">
        <v>2009</v>
      </c>
      <c r="I847" s="10" t="s">
        <v>2008</v>
      </c>
      <c r="J847" s="11" t="s">
        <v>33</v>
      </c>
      <c r="K847" s="18">
        <v>8500</v>
      </c>
      <c r="L847" s="12">
        <f t="shared" si="87"/>
        <v>12200</v>
      </c>
      <c r="M847" s="8">
        <v>1</v>
      </c>
      <c r="N847" s="8" t="s">
        <v>27</v>
      </c>
      <c r="O847" s="13"/>
      <c r="P847" s="14">
        <v>0.2</v>
      </c>
      <c r="Q847" s="15">
        <v>0.3</v>
      </c>
      <c r="R847" s="16" t="str">
        <f t="shared" si="88"/>
        <v>DIGITAL</v>
      </c>
      <c r="S847" s="17"/>
      <c r="T847" s="10" t="str">
        <f t="shared" si="89"/>
        <v>CABLE ESTÉREO DIGITAL DE 10 METROS</v>
      </c>
    </row>
    <row r="848" spans="1:20" ht="27" customHeight="1" x14ac:dyDescent="0.25">
      <c r="A848" s="8" t="s">
        <v>1997</v>
      </c>
      <c r="B848" s="9"/>
      <c r="C848" s="9"/>
      <c r="D848" s="8"/>
      <c r="E848" s="8"/>
      <c r="F848" s="8" t="s">
        <v>22</v>
      </c>
      <c r="G848" s="10" t="s">
        <v>2010</v>
      </c>
      <c r="H848" s="8" t="s">
        <v>2011</v>
      </c>
      <c r="I848" s="10" t="s">
        <v>2010</v>
      </c>
      <c r="J848" s="11" t="s">
        <v>33</v>
      </c>
      <c r="K848" s="18">
        <v>7564</v>
      </c>
      <c r="L848" s="12">
        <f t="shared" si="87"/>
        <v>12700</v>
      </c>
      <c r="M848" s="8">
        <v>1</v>
      </c>
      <c r="N848" s="8" t="s">
        <v>27</v>
      </c>
      <c r="O848" s="13"/>
      <c r="P848" s="14">
        <v>0.2</v>
      </c>
      <c r="Q848" s="15">
        <v>0.4</v>
      </c>
      <c r="R848" s="16" t="str">
        <f t="shared" si="88"/>
        <v>DIGITAL</v>
      </c>
      <c r="S848" s="17"/>
      <c r="T848" s="10" t="str">
        <f t="shared" si="89"/>
        <v>CABLE ESTÉREO DIGITAL DE ALTA PUREZA 3.5mm, LARGO 3.6 METROS.</v>
      </c>
    </row>
    <row r="849" spans="1:20" ht="27" customHeight="1" x14ac:dyDescent="0.25">
      <c r="A849" s="8" t="s">
        <v>1997</v>
      </c>
      <c r="B849" s="9"/>
      <c r="C849" s="9"/>
      <c r="D849" s="8"/>
      <c r="E849" s="8"/>
      <c r="F849" s="8" t="s">
        <v>22</v>
      </c>
      <c r="G849" s="10" t="s">
        <v>2012</v>
      </c>
      <c r="H849" s="8" t="s">
        <v>2013</v>
      </c>
      <c r="I849" s="10" t="s">
        <v>2012</v>
      </c>
      <c r="J849" s="11" t="s">
        <v>33</v>
      </c>
      <c r="K849" s="18">
        <v>4200</v>
      </c>
      <c r="L849" s="12">
        <f t="shared" si="87"/>
        <v>7000</v>
      </c>
      <c r="M849" s="8">
        <v>1</v>
      </c>
      <c r="N849" s="8" t="s">
        <v>27</v>
      </c>
      <c r="O849" s="13"/>
      <c r="P849" s="14">
        <v>0.2</v>
      </c>
      <c r="Q849" s="15">
        <v>0.4</v>
      </c>
      <c r="R849" s="16" t="str">
        <f t="shared" si="88"/>
        <v>DIGITAL</v>
      </c>
      <c r="S849" s="17"/>
      <c r="T849" s="10" t="str">
        <f t="shared" si="89"/>
        <v>CABLE ESTÉREO DIGITAL DE ALTA PUREZA 3.5mm, LARGO 0.6 METROS.</v>
      </c>
    </row>
    <row r="850" spans="1:20" ht="27" customHeight="1" x14ac:dyDescent="0.25">
      <c r="A850" s="8" t="s">
        <v>1997</v>
      </c>
      <c r="B850" s="9"/>
      <c r="C850" s="9"/>
      <c r="D850" s="8"/>
      <c r="E850" s="8"/>
      <c r="F850" s="8" t="s">
        <v>22</v>
      </c>
      <c r="G850" s="10" t="s">
        <v>2014</v>
      </c>
      <c r="H850" s="8" t="s">
        <v>2015</v>
      </c>
      <c r="I850" s="10" t="s">
        <v>2014</v>
      </c>
      <c r="J850" s="11" t="s">
        <v>33</v>
      </c>
      <c r="K850" s="18">
        <v>5000</v>
      </c>
      <c r="L850" s="12">
        <f t="shared" si="87"/>
        <v>8400</v>
      </c>
      <c r="M850" s="8">
        <v>1</v>
      </c>
      <c r="N850" s="8" t="s">
        <v>27</v>
      </c>
      <c r="O850" s="13"/>
      <c r="P850" s="14">
        <v>0.2</v>
      </c>
      <c r="Q850" s="15">
        <v>0.4</v>
      </c>
      <c r="R850" s="16" t="str">
        <f t="shared" si="88"/>
        <v>DIGITAL</v>
      </c>
      <c r="S850" s="17"/>
      <c r="T850" s="10" t="str">
        <f t="shared" si="89"/>
        <v>CODO ANGULAR HDMI</v>
      </c>
    </row>
    <row r="851" spans="1:20" ht="27" customHeight="1" x14ac:dyDescent="0.25">
      <c r="A851" s="8" t="s">
        <v>1997</v>
      </c>
      <c r="B851" s="9"/>
      <c r="C851" s="9"/>
      <c r="D851" s="8"/>
      <c r="E851" s="8"/>
      <c r="F851" s="8" t="s">
        <v>22</v>
      </c>
      <c r="G851" s="10" t="s">
        <v>2016</v>
      </c>
      <c r="H851" s="8" t="s">
        <v>2017</v>
      </c>
      <c r="I851" s="10" t="s">
        <v>2016</v>
      </c>
      <c r="J851" s="11" t="s">
        <v>33</v>
      </c>
      <c r="K851" s="18">
        <v>11000</v>
      </c>
      <c r="L851" s="12">
        <f t="shared" si="87"/>
        <v>18400</v>
      </c>
      <c r="M851" s="8">
        <v>1</v>
      </c>
      <c r="N851" s="8" t="s">
        <v>27</v>
      </c>
      <c r="O851" s="13"/>
      <c r="P851" s="14">
        <v>0.2</v>
      </c>
      <c r="Q851" s="15">
        <v>0.4</v>
      </c>
      <c r="R851" s="16" t="str">
        <f t="shared" si="88"/>
        <v>DIGITAL</v>
      </c>
      <c r="S851" s="17"/>
      <c r="T851" s="10" t="str">
        <f t="shared" si="89"/>
        <v>CABLE CONVERSOR DE 3.5mm A 1/4 PARA AUDIO, 1.8 METROS DE LARGO</v>
      </c>
    </row>
    <row r="852" spans="1:20" ht="27" customHeight="1" x14ac:dyDescent="0.25">
      <c r="A852" s="8" t="s">
        <v>1997</v>
      </c>
      <c r="B852" s="9"/>
      <c r="C852" s="9"/>
      <c r="D852" s="8"/>
      <c r="E852" s="8"/>
      <c r="F852" s="8" t="s">
        <v>22</v>
      </c>
      <c r="G852" s="10" t="s">
        <v>2018</v>
      </c>
      <c r="H852" s="8" t="s">
        <v>2019</v>
      </c>
      <c r="I852" s="10" t="s">
        <v>2018</v>
      </c>
      <c r="J852" s="11" t="s">
        <v>33</v>
      </c>
      <c r="K852" s="18">
        <v>19000</v>
      </c>
      <c r="L852" s="12">
        <f t="shared" si="87"/>
        <v>38000</v>
      </c>
      <c r="M852" s="8">
        <v>1</v>
      </c>
      <c r="N852" s="8" t="s">
        <v>27</v>
      </c>
      <c r="O852" s="13"/>
      <c r="P852" s="14">
        <v>0</v>
      </c>
      <c r="Q852" s="15">
        <v>0.5</v>
      </c>
      <c r="R852" s="16" t="str">
        <f t="shared" si="88"/>
        <v>DIGITAL</v>
      </c>
      <c r="S852" s="17"/>
      <c r="T852" s="10" t="str">
        <f t="shared" si="89"/>
        <v>CABLE DE AUDIO 3.5 DIGITAL DE ALTA PUREZA</v>
      </c>
    </row>
    <row r="853" spans="1:20" ht="27" customHeight="1" x14ac:dyDescent="0.25">
      <c r="A853" s="8" t="s">
        <v>1997</v>
      </c>
      <c r="B853" s="9"/>
      <c r="C853" s="9"/>
      <c r="D853" s="8"/>
      <c r="E853" s="8"/>
      <c r="F853" s="8"/>
      <c r="G853" s="10"/>
      <c r="H853" s="8" t="s">
        <v>2020</v>
      </c>
      <c r="I853" s="10" t="s">
        <v>2021</v>
      </c>
      <c r="J853" s="11" t="s">
        <v>33</v>
      </c>
      <c r="K853" s="18">
        <v>15000</v>
      </c>
      <c r="L853" s="12">
        <f>K853*(1+P853)/(1-Q853)</f>
        <v>25000</v>
      </c>
      <c r="M853" s="8">
        <v>1</v>
      </c>
      <c r="N853" s="8" t="s">
        <v>27</v>
      </c>
      <c r="O853" s="13"/>
      <c r="P853" s="14">
        <v>0</v>
      </c>
      <c r="Q853" s="15">
        <v>0.4</v>
      </c>
      <c r="R853" s="16" t="str">
        <f t="shared" si="88"/>
        <v>DIGITAL</v>
      </c>
      <c r="S853" s="17"/>
      <c r="T853" s="10"/>
    </row>
    <row r="854" spans="1:20" ht="27" customHeight="1" x14ac:dyDescent="0.25">
      <c r="A854" s="8" t="s">
        <v>2022</v>
      </c>
      <c r="B854" s="9"/>
      <c r="C854" s="9"/>
      <c r="D854" s="8"/>
      <c r="E854" s="8"/>
      <c r="F854" s="8" t="s">
        <v>22</v>
      </c>
      <c r="G854" s="10" t="s">
        <v>2023</v>
      </c>
      <c r="H854" s="8" t="s">
        <v>2024</v>
      </c>
      <c r="I854" s="10" t="s">
        <v>2025</v>
      </c>
      <c r="J854" s="11" t="s">
        <v>26</v>
      </c>
      <c r="K854" s="18">
        <v>150</v>
      </c>
      <c r="L854" s="12">
        <f t="shared" ref="L854:L886" si="90">IF(J854="P",ROUNDUP(K854/(1-Q854),-2),K854*(1+P854)/(1-Q854))</f>
        <v>225</v>
      </c>
      <c r="M854" s="8">
        <v>1</v>
      </c>
      <c r="N854" s="8" t="s">
        <v>27</v>
      </c>
      <c r="O854" s="13"/>
      <c r="P854" s="14">
        <v>0.2</v>
      </c>
      <c r="Q854" s="15">
        <v>0.2</v>
      </c>
      <c r="R854" s="16" t="str">
        <f t="shared" si="88"/>
        <v>DIGOO</v>
      </c>
      <c r="S854" s="17"/>
      <c r="T854" s="10" t="str">
        <f t="shared" ref="T854:T884" si="91">G854</f>
        <v>SISTEMA DE ALARMA INALÁMBRICA CON SENSOR DE PRESENCIA.</v>
      </c>
    </row>
    <row r="855" spans="1:20" ht="27" customHeight="1" x14ac:dyDescent="0.25">
      <c r="A855" s="8" t="s">
        <v>2022</v>
      </c>
      <c r="B855" s="9"/>
      <c r="C855" s="9"/>
      <c r="D855" s="8"/>
      <c r="E855" s="8"/>
      <c r="F855" s="8" t="s">
        <v>22</v>
      </c>
      <c r="G855" s="10" t="s">
        <v>2026</v>
      </c>
      <c r="H855" s="8" t="s">
        <v>2027</v>
      </c>
      <c r="I855" s="10" t="s">
        <v>2026</v>
      </c>
      <c r="J855" s="11" t="s">
        <v>26</v>
      </c>
      <c r="K855" s="18">
        <v>76</v>
      </c>
      <c r="L855" s="12">
        <f t="shared" si="90"/>
        <v>114</v>
      </c>
      <c r="M855" s="8">
        <v>1</v>
      </c>
      <c r="N855" s="8" t="s">
        <v>27</v>
      </c>
      <c r="O855" s="13"/>
      <c r="P855" s="14">
        <v>0.2</v>
      </c>
      <c r="Q855" s="15">
        <v>0.2</v>
      </c>
      <c r="R855" s="16" t="str">
        <f t="shared" si="88"/>
        <v>DIGOO</v>
      </c>
      <c r="S855" s="17"/>
      <c r="T855" s="10" t="str">
        <f t="shared" si="91"/>
        <v>CÁMARA INALÁMBRICA CON MEMORIA SD, 720 P. PARA INTEMPERIE IP66</v>
      </c>
    </row>
    <row r="856" spans="1:20" ht="27" customHeight="1" x14ac:dyDescent="0.25">
      <c r="A856" s="8" t="s">
        <v>2022</v>
      </c>
      <c r="B856" s="9"/>
      <c r="C856" s="9"/>
      <c r="D856" s="8"/>
      <c r="E856" s="8"/>
      <c r="F856" s="8" t="s">
        <v>22</v>
      </c>
      <c r="G856" s="10" t="s">
        <v>2028</v>
      </c>
      <c r="H856" s="8" t="s">
        <v>2029</v>
      </c>
      <c r="I856" s="10" t="s">
        <v>2030</v>
      </c>
      <c r="J856" s="11" t="s">
        <v>26</v>
      </c>
      <c r="K856" s="18">
        <v>9</v>
      </c>
      <c r="L856" s="12">
        <f t="shared" si="90"/>
        <v>18</v>
      </c>
      <c r="M856" s="8">
        <v>1</v>
      </c>
      <c r="N856" s="8" t="s">
        <v>27</v>
      </c>
      <c r="O856" s="13"/>
      <c r="P856" s="14">
        <v>0.2</v>
      </c>
      <c r="Q856" s="15">
        <v>0.4</v>
      </c>
      <c r="R856" s="16" t="str">
        <f t="shared" si="88"/>
        <v>DIGOO</v>
      </c>
      <c r="S856" s="17"/>
      <c r="T856" s="10" t="str">
        <f t="shared" si="91"/>
        <v>SENSOR DE MOVIMIENTO ANTI MASCOTA CON 110 GRADOS DE DETECCIÓN.</v>
      </c>
    </row>
    <row r="857" spans="1:20" ht="27" customHeight="1" x14ac:dyDescent="0.25">
      <c r="A857" s="8" t="s">
        <v>2022</v>
      </c>
      <c r="B857" s="9"/>
      <c r="C857" s="9"/>
      <c r="D857" s="8"/>
      <c r="E857" s="8"/>
      <c r="F857" s="8" t="s">
        <v>22</v>
      </c>
      <c r="G857" s="10" t="s">
        <v>2031</v>
      </c>
      <c r="H857" s="8" t="s">
        <v>2032</v>
      </c>
      <c r="I857" s="10" t="s">
        <v>2031</v>
      </c>
      <c r="J857" s="11" t="s">
        <v>26</v>
      </c>
      <c r="K857" s="18">
        <v>20.63</v>
      </c>
      <c r="L857" s="12">
        <f t="shared" si="90"/>
        <v>34.383333333333333</v>
      </c>
      <c r="M857" s="8">
        <v>1</v>
      </c>
      <c r="N857" s="8" t="s">
        <v>27</v>
      </c>
      <c r="O857" s="13"/>
      <c r="P857" s="14">
        <v>0</v>
      </c>
      <c r="Q857" s="15">
        <v>0.4</v>
      </c>
      <c r="R857" s="16" t="str">
        <f t="shared" si="88"/>
        <v>DIGOO</v>
      </c>
      <c r="S857" s="17"/>
      <c r="T857" s="10" t="str">
        <f t="shared" si="91"/>
        <v>SIRENA DE ALARMA DE 110 Db</v>
      </c>
    </row>
    <row r="858" spans="1:20" ht="27" customHeight="1" x14ac:dyDescent="0.25">
      <c r="A858" s="8" t="s">
        <v>2033</v>
      </c>
      <c r="B858" s="9"/>
      <c r="C858" s="9"/>
      <c r="D858" s="8"/>
      <c r="E858" s="8"/>
      <c r="F858" s="8" t="s">
        <v>22</v>
      </c>
      <c r="G858" s="10" t="s">
        <v>2034</v>
      </c>
      <c r="H858" s="8" t="s">
        <v>2035</v>
      </c>
      <c r="I858" s="10" t="s">
        <v>2034</v>
      </c>
      <c r="J858" s="11" t="s">
        <v>26</v>
      </c>
      <c r="K858" s="18">
        <v>70</v>
      </c>
      <c r="L858" s="12">
        <f t="shared" si="90"/>
        <v>140</v>
      </c>
      <c r="M858" s="8">
        <v>1</v>
      </c>
      <c r="N858" s="8" t="s">
        <v>27</v>
      </c>
      <c r="O858" s="13" t="s">
        <v>588</v>
      </c>
      <c r="P858" s="14">
        <v>0.2</v>
      </c>
      <c r="Q858" s="15">
        <v>0.4</v>
      </c>
      <c r="R858" s="16" t="str">
        <f t="shared" si="88"/>
        <v>DISNEY</v>
      </c>
      <c r="S858" s="17"/>
      <c r="T858" s="10" t="str">
        <f t="shared" si="91"/>
        <v>CONTROL PARENTAL DE INTERNET DESDE APP</v>
      </c>
    </row>
    <row r="859" spans="1:20" ht="27" customHeight="1" x14ac:dyDescent="0.25">
      <c r="A859" s="8" t="s">
        <v>2036</v>
      </c>
      <c r="B859" s="9" t="s">
        <v>2036</v>
      </c>
      <c r="C859" s="9"/>
      <c r="D859" s="8" t="s">
        <v>2037</v>
      </c>
      <c r="E859" s="8">
        <v>1</v>
      </c>
      <c r="F859" s="8" t="s">
        <v>22</v>
      </c>
      <c r="G859" s="10" t="s">
        <v>2038</v>
      </c>
      <c r="H859" s="8" t="s">
        <v>2039</v>
      </c>
      <c r="I859" s="10" t="s">
        <v>2038</v>
      </c>
      <c r="J859" s="11" t="s">
        <v>26</v>
      </c>
      <c r="K859" s="18">
        <v>27.75</v>
      </c>
      <c r="L859" s="12">
        <f t="shared" si="90"/>
        <v>55.5</v>
      </c>
      <c r="M859" s="8">
        <v>1</v>
      </c>
      <c r="N859" s="8" t="s">
        <v>27</v>
      </c>
      <c r="O859" s="13" t="e">
        <f>#REF!</f>
        <v>#REF!</v>
      </c>
      <c r="P859" s="14">
        <v>0.2</v>
      </c>
      <c r="Q859" s="15">
        <v>0.4</v>
      </c>
      <c r="R859" s="16" t="str">
        <f t="shared" si="88"/>
        <v>DSC</v>
      </c>
      <c r="S859" s="17"/>
      <c r="T859" s="10" t="str">
        <f t="shared" si="91"/>
        <v>SIRENA TIPO CORNETA DE 30 VATIOS</v>
      </c>
    </row>
    <row r="860" spans="1:20" ht="27" customHeight="1" x14ac:dyDescent="0.25">
      <c r="A860" s="8" t="s">
        <v>2036</v>
      </c>
      <c r="B860" s="9" t="s">
        <v>2036</v>
      </c>
      <c r="C860" s="9"/>
      <c r="D860" s="8" t="s">
        <v>2037</v>
      </c>
      <c r="E860" s="8">
        <v>2</v>
      </c>
      <c r="F860" s="8" t="s">
        <v>22</v>
      </c>
      <c r="G860" s="10" t="s">
        <v>2040</v>
      </c>
      <c r="H860" s="8" t="s">
        <v>2041</v>
      </c>
      <c r="I860" s="10" t="s">
        <v>2042</v>
      </c>
      <c r="J860" s="11" t="s">
        <v>26</v>
      </c>
      <c r="K860" s="18">
        <v>230</v>
      </c>
      <c r="L860" s="12">
        <f t="shared" si="90"/>
        <v>460</v>
      </c>
      <c r="M860" s="8">
        <v>1</v>
      </c>
      <c r="N860" s="8" t="s">
        <v>27</v>
      </c>
      <c r="O860" s="13" t="e">
        <f>#REF!</f>
        <v>#REF!</v>
      </c>
      <c r="P860" s="14">
        <v>0.2</v>
      </c>
      <c r="Q860" s="15">
        <v>0.4</v>
      </c>
      <c r="R860" s="16" t="str">
        <f t="shared" si="88"/>
        <v>DSC</v>
      </c>
      <c r="S860" s="17"/>
      <c r="T860" s="10" t="str">
        <f t="shared" si="91"/>
        <v>MODULO DE COMUNICACIÓN 3G, PARA INTEGRACIÓN CON SISTEMA ALARM.COM.</v>
      </c>
    </row>
    <row r="861" spans="1:20" ht="27" customHeight="1" x14ac:dyDescent="0.25">
      <c r="A861" s="8" t="s">
        <v>2036</v>
      </c>
      <c r="B861" s="9" t="s">
        <v>2036</v>
      </c>
      <c r="C861" s="9"/>
      <c r="D861" s="8" t="s">
        <v>2037</v>
      </c>
      <c r="E861" s="8">
        <v>3</v>
      </c>
      <c r="F861" s="8" t="s">
        <v>22</v>
      </c>
      <c r="G861" s="10" t="s">
        <v>2043</v>
      </c>
      <c r="H861" s="8" t="s">
        <v>2044</v>
      </c>
      <c r="I861" s="10" t="s">
        <v>2043</v>
      </c>
      <c r="J861" s="11" t="s">
        <v>26</v>
      </c>
      <c r="K861" s="18">
        <v>57</v>
      </c>
      <c r="L861" s="12">
        <f t="shared" si="90"/>
        <v>113.99999999999999</v>
      </c>
      <c r="M861" s="8">
        <v>1</v>
      </c>
      <c r="N861" s="8" t="s">
        <v>27</v>
      </c>
      <c r="O861" s="13" t="e">
        <f>#REF!</f>
        <v>#REF!</v>
      </c>
      <c r="P861" s="14">
        <v>0.2</v>
      </c>
      <c r="Q861" s="15">
        <v>0.4</v>
      </c>
      <c r="R861" s="16" t="str">
        <f t="shared" si="88"/>
        <v>DSC</v>
      </c>
      <c r="S861" s="17"/>
      <c r="T861" s="10" t="str">
        <f t="shared" si="91"/>
        <v>SIRENA INTERIOR INALÁMBRICA DE DOS VÍAS, VOLUMEN DE SALIDA DE 85db.</v>
      </c>
    </row>
    <row r="862" spans="1:20" ht="27" customHeight="1" x14ac:dyDescent="0.25">
      <c r="A862" s="8" t="s">
        <v>2036</v>
      </c>
      <c r="B862" s="9" t="s">
        <v>2036</v>
      </c>
      <c r="C862" s="9"/>
      <c r="D862" s="8" t="s">
        <v>188</v>
      </c>
      <c r="E862" s="8">
        <v>1</v>
      </c>
      <c r="F862" s="8" t="s">
        <v>22</v>
      </c>
      <c r="G862" s="10" t="s">
        <v>2045</v>
      </c>
      <c r="H862" s="8" t="s">
        <v>2046</v>
      </c>
      <c r="I862" s="10" t="s">
        <v>2047</v>
      </c>
      <c r="J862" s="11" t="s">
        <v>26</v>
      </c>
      <c r="K862" s="18">
        <v>199.95</v>
      </c>
      <c r="L862" s="12">
        <f t="shared" si="90"/>
        <v>399.9</v>
      </c>
      <c r="M862" s="8">
        <v>1</v>
      </c>
      <c r="N862" s="8" t="s">
        <v>27</v>
      </c>
      <c r="O862" s="13" t="e">
        <f>#REF!</f>
        <v>#REF!</v>
      </c>
      <c r="P862" s="14">
        <v>0.2</v>
      </c>
      <c r="Q862" s="15">
        <v>0.4</v>
      </c>
      <c r="R862" s="16" t="str">
        <f t="shared" si="88"/>
        <v>DSC</v>
      </c>
      <c r="S862" s="17"/>
      <c r="T862" s="10" t="str">
        <f t="shared" si="91"/>
        <v>TECLADO TOUCH DE 7 PULGADAS CON: SD CARD PARA DESPLIEGUE DE FOTOS.</v>
      </c>
    </row>
    <row r="863" spans="1:20" ht="27" customHeight="1" x14ac:dyDescent="0.25">
      <c r="A863" s="8" t="s">
        <v>2036</v>
      </c>
      <c r="B863" s="9" t="s">
        <v>2036</v>
      </c>
      <c r="C863" s="9"/>
      <c r="D863" s="8" t="s">
        <v>2048</v>
      </c>
      <c r="E863" s="8">
        <v>1</v>
      </c>
      <c r="F863" s="8" t="s">
        <v>22</v>
      </c>
      <c r="G863" s="10" t="s">
        <v>2049</v>
      </c>
      <c r="H863" s="8" t="s">
        <v>2050</v>
      </c>
      <c r="I863" s="10" t="s">
        <v>2051</v>
      </c>
      <c r="J863" s="11" t="s">
        <v>26</v>
      </c>
      <c r="K863" s="18">
        <v>144.6</v>
      </c>
      <c r="L863" s="12">
        <f t="shared" si="90"/>
        <v>289.2</v>
      </c>
      <c r="M863" s="8">
        <v>1</v>
      </c>
      <c r="N863" s="8" t="s">
        <v>27</v>
      </c>
      <c r="O863" s="13" t="e">
        <f>#REF!</f>
        <v>#REF!</v>
      </c>
      <c r="P863" s="14">
        <v>0.2</v>
      </c>
      <c r="Q863" s="15">
        <v>0.4</v>
      </c>
      <c r="R863" s="16" t="str">
        <f t="shared" si="88"/>
        <v>DSC</v>
      </c>
      <c r="S863" s="17"/>
      <c r="T863" s="10" t="str">
        <f t="shared" si="91"/>
        <v>KIT DE ALARMA CON DSC 1832,CON TECLADO, TRANSFORMADOR Y BATERÍA.</v>
      </c>
    </row>
    <row r="864" spans="1:20" ht="27" customHeight="1" x14ac:dyDescent="0.25">
      <c r="A864" s="8" t="s">
        <v>2036</v>
      </c>
      <c r="B864" s="9" t="s">
        <v>2036</v>
      </c>
      <c r="C864" s="9"/>
      <c r="D864" s="8" t="s">
        <v>2048</v>
      </c>
      <c r="E864" s="8">
        <v>2</v>
      </c>
      <c r="F864" s="8" t="s">
        <v>22</v>
      </c>
      <c r="G864" s="10" t="s">
        <v>2052</v>
      </c>
      <c r="H864" s="8" t="s">
        <v>2053</v>
      </c>
      <c r="I864" s="10" t="s">
        <v>2054</v>
      </c>
      <c r="J864" s="11" t="s">
        <v>26</v>
      </c>
      <c r="K864" s="18">
        <v>188</v>
      </c>
      <c r="L864" s="12">
        <f t="shared" si="90"/>
        <v>376</v>
      </c>
      <c r="M864" s="8">
        <v>1</v>
      </c>
      <c r="N864" s="8" t="s">
        <v>27</v>
      </c>
      <c r="O864" s="13" t="e">
        <f>#REF!</f>
        <v>#REF!</v>
      </c>
      <c r="P864" s="14">
        <v>0.2</v>
      </c>
      <c r="Q864" s="15">
        <v>0.4</v>
      </c>
      <c r="R864" s="16" t="str">
        <f t="shared" si="88"/>
        <v>DSC</v>
      </c>
      <c r="S864" s="17"/>
      <c r="T864" s="10" t="str">
        <f t="shared" si="91"/>
        <v>KIT DE ALARMA DSC, INCLUYE PANEL CONTROL, UN SENSOR INALÁMBRICO DE MOVIMIENTO.</v>
      </c>
    </row>
    <row r="865" spans="1:20" ht="27" customHeight="1" x14ac:dyDescent="0.25">
      <c r="A865" s="8" t="s">
        <v>2036</v>
      </c>
      <c r="B865" s="9" t="s">
        <v>2036</v>
      </c>
      <c r="C865" s="9"/>
      <c r="D865" s="8" t="s">
        <v>408</v>
      </c>
      <c r="E865" s="8">
        <v>1</v>
      </c>
      <c r="F865" s="8" t="s">
        <v>22</v>
      </c>
      <c r="G865" s="10" t="s">
        <v>2055</v>
      </c>
      <c r="H865" s="8" t="s">
        <v>2056</v>
      </c>
      <c r="I865" s="10" t="s">
        <v>2055</v>
      </c>
      <c r="J865" s="11" t="s">
        <v>26</v>
      </c>
      <c r="K865" s="18">
        <v>53</v>
      </c>
      <c r="L865" s="12">
        <f t="shared" si="90"/>
        <v>106</v>
      </c>
      <c r="M865" s="8">
        <v>1</v>
      </c>
      <c r="N865" s="8" t="s">
        <v>27</v>
      </c>
      <c r="O865" s="13" t="e">
        <f>#REF!</f>
        <v>#REF!</v>
      </c>
      <c r="P865" s="14">
        <v>0.2</v>
      </c>
      <c r="Q865" s="15">
        <v>0.4</v>
      </c>
      <c r="R865" s="16" t="str">
        <f t="shared" si="88"/>
        <v>DSC</v>
      </c>
      <c r="S865" s="17"/>
      <c r="T865" s="10" t="str">
        <f t="shared" si="91"/>
        <v>MODULO PARA INTEGRACIÓN DE SENSORES INALÁMBRICOS.</v>
      </c>
    </row>
    <row r="866" spans="1:20" ht="27" customHeight="1" x14ac:dyDescent="0.25">
      <c r="A866" s="8" t="s">
        <v>2036</v>
      </c>
      <c r="B866" s="9" t="s">
        <v>2036</v>
      </c>
      <c r="C866" s="9"/>
      <c r="D866" s="8" t="s">
        <v>2057</v>
      </c>
      <c r="E866" s="8">
        <v>1</v>
      </c>
      <c r="F866" s="8" t="s">
        <v>22</v>
      </c>
      <c r="G866" s="10" t="s">
        <v>2058</v>
      </c>
      <c r="H866" s="8" t="s">
        <v>2059</v>
      </c>
      <c r="I866" s="10" t="s">
        <v>2058</v>
      </c>
      <c r="J866" s="11" t="s">
        <v>26</v>
      </c>
      <c r="K866" s="18">
        <v>16</v>
      </c>
      <c r="L866" s="12">
        <f t="shared" si="90"/>
        <v>32</v>
      </c>
      <c r="M866" s="8">
        <v>1</v>
      </c>
      <c r="N866" s="8" t="s">
        <v>27</v>
      </c>
      <c r="O866" s="13" t="e">
        <f>#REF!</f>
        <v>#REF!</v>
      </c>
      <c r="P866" s="14">
        <v>0.2</v>
      </c>
      <c r="Q866" s="15">
        <v>0.4</v>
      </c>
      <c r="R866" s="16" t="str">
        <f t="shared" si="88"/>
        <v>DSC</v>
      </c>
      <c r="S866" s="17"/>
      <c r="T866" s="10" t="str">
        <f t="shared" si="91"/>
        <v>SENSOR ALÁMBRICO INMUNE A MASCOTAS HASTA DE 25Kg, ALCANCE DE 15 METROS RADIALES.</v>
      </c>
    </row>
    <row r="867" spans="1:20" ht="27" customHeight="1" x14ac:dyDescent="0.25">
      <c r="A867" s="8" t="s">
        <v>2036</v>
      </c>
      <c r="B867" s="9" t="s">
        <v>2036</v>
      </c>
      <c r="C867" s="9"/>
      <c r="D867" s="8" t="s">
        <v>2057</v>
      </c>
      <c r="E867" s="8">
        <v>2</v>
      </c>
      <c r="F867" s="8" t="s">
        <v>22</v>
      </c>
      <c r="G867" s="10" t="s">
        <v>2060</v>
      </c>
      <c r="H867" s="8" t="s">
        <v>2061</v>
      </c>
      <c r="I867" s="10" t="s">
        <v>2060</v>
      </c>
      <c r="J867" s="11" t="s">
        <v>26</v>
      </c>
      <c r="K867" s="18">
        <v>36.43</v>
      </c>
      <c r="L867" s="12">
        <f t="shared" si="90"/>
        <v>72.86</v>
      </c>
      <c r="M867" s="8">
        <v>1</v>
      </c>
      <c r="N867" s="8" t="s">
        <v>27</v>
      </c>
      <c r="O867" s="13" t="e">
        <f>#REF!</f>
        <v>#REF!</v>
      </c>
      <c r="P867" s="14">
        <v>0.2</v>
      </c>
      <c r="Q867" s="15">
        <v>0.4</v>
      </c>
      <c r="R867" s="16" t="str">
        <f t="shared" si="88"/>
        <v>DSC</v>
      </c>
      <c r="S867" s="17"/>
      <c r="T867" s="10" t="str">
        <f t="shared" si="91"/>
        <v>SENSOR INALÁMBRICO MAGNÉTICO TIPO TABACO, PARA INSTALACIÓN DISCRETA EN TECHO.</v>
      </c>
    </row>
    <row r="868" spans="1:20" ht="27" customHeight="1" x14ac:dyDescent="0.25">
      <c r="A868" s="8" t="s">
        <v>2036</v>
      </c>
      <c r="B868" s="9" t="s">
        <v>2036</v>
      </c>
      <c r="C868" s="9"/>
      <c r="D868" s="8" t="s">
        <v>2057</v>
      </c>
      <c r="E868" s="8">
        <v>3</v>
      </c>
      <c r="F868" s="8" t="s">
        <v>22</v>
      </c>
      <c r="G868" s="10" t="s">
        <v>2062</v>
      </c>
      <c r="H868" s="8" t="s">
        <v>2063</v>
      </c>
      <c r="I868" s="10" t="s">
        <v>2062</v>
      </c>
      <c r="J868" s="11" t="s">
        <v>26</v>
      </c>
      <c r="K868" s="18">
        <v>27.5</v>
      </c>
      <c r="L868" s="12">
        <f t="shared" si="90"/>
        <v>55</v>
      </c>
      <c r="M868" s="8">
        <v>1</v>
      </c>
      <c r="N868" s="8" t="s">
        <v>27</v>
      </c>
      <c r="O868" s="13" t="e">
        <f>#REF!</f>
        <v>#REF!</v>
      </c>
      <c r="P868" s="14">
        <v>0.2</v>
      </c>
      <c r="Q868" s="15">
        <v>0.4</v>
      </c>
      <c r="R868" s="16" t="str">
        <f t="shared" si="88"/>
        <v>DSC</v>
      </c>
      <c r="S868" s="17"/>
      <c r="T868" s="10" t="str">
        <f t="shared" si="91"/>
        <v>SENSOR MAGNÉTICO INALÁMBRICO ULTRA DELGADO PARA PUERTAS Y VENTANAS.</v>
      </c>
    </row>
    <row r="869" spans="1:20" ht="27" customHeight="1" x14ac:dyDescent="0.25">
      <c r="A869" s="8" t="s">
        <v>2036</v>
      </c>
      <c r="B869" s="9" t="s">
        <v>2036</v>
      </c>
      <c r="C869" s="9"/>
      <c r="D869" s="8" t="s">
        <v>2057</v>
      </c>
      <c r="E869" s="8">
        <v>4</v>
      </c>
      <c r="F869" s="8" t="s">
        <v>22</v>
      </c>
      <c r="G869" s="10" t="s">
        <v>2064</v>
      </c>
      <c r="H869" s="8" t="s">
        <v>2065</v>
      </c>
      <c r="I869" s="10" t="s">
        <v>2064</v>
      </c>
      <c r="J869" s="11" t="s">
        <v>26</v>
      </c>
      <c r="K869" s="18">
        <v>29.5</v>
      </c>
      <c r="L869" s="12">
        <f t="shared" si="90"/>
        <v>59</v>
      </c>
      <c r="M869" s="8">
        <v>1</v>
      </c>
      <c r="N869" s="8" t="s">
        <v>27</v>
      </c>
      <c r="O869" s="13" t="e">
        <f>#REF!</f>
        <v>#REF!</v>
      </c>
      <c r="P869" s="14">
        <v>0.2</v>
      </c>
      <c r="Q869" s="15">
        <v>0.4</v>
      </c>
      <c r="R869" s="16" t="str">
        <f t="shared" si="88"/>
        <v>DSC</v>
      </c>
      <c r="S869" s="17"/>
      <c r="T869" s="10" t="str">
        <f t="shared" si="91"/>
        <v>SENSOR MAGNÉTICO INALÁMBRICO PARA PUERTAS Y VENTANAS.</v>
      </c>
    </row>
    <row r="870" spans="1:20" ht="27" customHeight="1" x14ac:dyDescent="0.25">
      <c r="A870" s="8" t="s">
        <v>2036</v>
      </c>
      <c r="B870" s="9" t="s">
        <v>2036</v>
      </c>
      <c r="C870" s="9"/>
      <c r="D870" s="8" t="s">
        <v>2057</v>
      </c>
      <c r="E870" s="8">
        <v>5</v>
      </c>
      <c r="F870" s="8" t="s">
        <v>22</v>
      </c>
      <c r="G870" s="10" t="s">
        <v>2066</v>
      </c>
      <c r="H870" s="8" t="s">
        <v>2067</v>
      </c>
      <c r="I870" s="10" t="s">
        <v>2068</v>
      </c>
      <c r="J870" s="11" t="s">
        <v>26</v>
      </c>
      <c r="K870" s="18">
        <v>67.5</v>
      </c>
      <c r="L870" s="12">
        <f t="shared" si="90"/>
        <v>135</v>
      </c>
      <c r="M870" s="8">
        <v>1</v>
      </c>
      <c r="N870" s="8" t="s">
        <v>27</v>
      </c>
      <c r="O870" s="13" t="e">
        <f>#REF!</f>
        <v>#REF!</v>
      </c>
      <c r="P870" s="14">
        <v>0.2</v>
      </c>
      <c r="Q870" s="15">
        <v>0.4</v>
      </c>
      <c r="R870" s="16" t="str">
        <f t="shared" si="88"/>
        <v>DSC</v>
      </c>
      <c r="S870" s="17"/>
      <c r="T870" s="10" t="str">
        <f t="shared" si="91"/>
        <v>SENSOR INALÁMBRICO DE HUMO O FUEGO, ACTIVACIÓN A TEMPERATURAS SUPERIORES A 57.</v>
      </c>
    </row>
    <row r="871" spans="1:20" ht="27" customHeight="1" x14ac:dyDescent="0.25">
      <c r="A871" s="8" t="s">
        <v>2036</v>
      </c>
      <c r="B871" s="9" t="s">
        <v>2036</v>
      </c>
      <c r="C871" s="9"/>
      <c r="D871" s="8" t="s">
        <v>2057</v>
      </c>
      <c r="E871" s="8">
        <v>6</v>
      </c>
      <c r="F871" s="8" t="s">
        <v>22</v>
      </c>
      <c r="G871" s="10" t="s">
        <v>2069</v>
      </c>
      <c r="H871" s="8" t="s">
        <v>2070</v>
      </c>
      <c r="I871" s="10" t="s">
        <v>2069</v>
      </c>
      <c r="J871" s="11" t="s">
        <v>26</v>
      </c>
      <c r="K871" s="18">
        <v>70.709999999999994</v>
      </c>
      <c r="L871" s="12">
        <f t="shared" si="90"/>
        <v>141.41999999999999</v>
      </c>
      <c r="M871" s="8">
        <v>1</v>
      </c>
      <c r="N871" s="8" t="s">
        <v>27</v>
      </c>
      <c r="O871" s="13" t="e">
        <f>#REF!</f>
        <v>#REF!</v>
      </c>
      <c r="P871" s="14">
        <v>0.2</v>
      </c>
      <c r="Q871" s="15">
        <v>0.4</v>
      </c>
      <c r="R871" s="16" t="str">
        <f t="shared" si="88"/>
        <v>DSC</v>
      </c>
      <c r="S871" s="17"/>
      <c r="T871" s="10" t="str">
        <f t="shared" si="91"/>
        <v xml:space="preserve">SENSOR INALÁMBRICO DE MONÓXIDO DE CARBONO. </v>
      </c>
    </row>
    <row r="872" spans="1:20" ht="27" customHeight="1" x14ac:dyDescent="0.25">
      <c r="A872" s="8" t="s">
        <v>2036</v>
      </c>
      <c r="B872" s="9" t="s">
        <v>2036</v>
      </c>
      <c r="C872" s="9"/>
      <c r="D872" s="8" t="s">
        <v>568</v>
      </c>
      <c r="E872" s="8">
        <v>1</v>
      </c>
      <c r="F872" s="8" t="s">
        <v>22</v>
      </c>
      <c r="G872" s="10" t="s">
        <v>2071</v>
      </c>
      <c r="H872" s="8" t="s">
        <v>2072</v>
      </c>
      <c r="I872" s="10" t="s">
        <v>2071</v>
      </c>
      <c r="J872" s="11" t="s">
        <v>26</v>
      </c>
      <c r="K872" s="18">
        <v>10.5</v>
      </c>
      <c r="L872" s="12">
        <f t="shared" si="90"/>
        <v>21</v>
      </c>
      <c r="M872" s="8">
        <v>1</v>
      </c>
      <c r="N872" s="8" t="s">
        <v>27</v>
      </c>
      <c r="O872" s="13" t="e">
        <f>#REF!</f>
        <v>#REF!</v>
      </c>
      <c r="P872" s="14">
        <v>0.2</v>
      </c>
      <c r="Q872" s="15">
        <v>0.4</v>
      </c>
      <c r="R872" s="16" t="str">
        <f t="shared" si="88"/>
        <v>DSC</v>
      </c>
      <c r="S872" s="17"/>
      <c r="T872" s="10" t="str">
        <f t="shared" si="91"/>
        <v>SOPORTE DE TECHO PARA SENSOR DE PRESENCIA DSC</v>
      </c>
    </row>
    <row r="873" spans="1:20" ht="27" customHeight="1" x14ac:dyDescent="0.25">
      <c r="A873" s="8" t="s">
        <v>2036</v>
      </c>
      <c r="B873" s="9" t="s">
        <v>2036</v>
      </c>
      <c r="C873" s="9"/>
      <c r="D873" s="8" t="s">
        <v>568</v>
      </c>
      <c r="E873" s="8">
        <v>2</v>
      </c>
      <c r="F873" s="8" t="s">
        <v>22</v>
      </c>
      <c r="G873" s="10" t="s">
        <v>2073</v>
      </c>
      <c r="H873" s="8" t="s">
        <v>2074</v>
      </c>
      <c r="I873" s="10" t="s">
        <v>2073</v>
      </c>
      <c r="J873" s="11" t="s">
        <v>26</v>
      </c>
      <c r="K873" s="18">
        <v>8.9499999999999993</v>
      </c>
      <c r="L873" s="12">
        <f t="shared" si="90"/>
        <v>17.899999999999999</v>
      </c>
      <c r="M873" s="8">
        <v>1</v>
      </c>
      <c r="N873" s="8" t="s">
        <v>27</v>
      </c>
      <c r="O873" s="13" t="e">
        <f>#REF!</f>
        <v>#REF!</v>
      </c>
      <c r="P873" s="14">
        <v>0.2</v>
      </c>
      <c r="Q873" s="15">
        <v>0.4</v>
      </c>
      <c r="R873" s="16" t="str">
        <f t="shared" si="88"/>
        <v>DSC</v>
      </c>
      <c r="S873" s="17"/>
      <c r="T873" s="10" t="str">
        <f t="shared" si="91"/>
        <v>SOPORTE DE PARED PARA SENSOR DE PRESENCIA DSC</v>
      </c>
    </row>
    <row r="874" spans="1:20" ht="27" customHeight="1" x14ac:dyDescent="0.25">
      <c r="A874" s="8" t="s">
        <v>2036</v>
      </c>
      <c r="B874" s="9" t="s">
        <v>2036</v>
      </c>
      <c r="C874" s="9"/>
      <c r="D874" s="8" t="s">
        <v>2057</v>
      </c>
      <c r="E874" s="8">
        <v>7</v>
      </c>
      <c r="F874" s="8" t="s">
        <v>22</v>
      </c>
      <c r="G874" s="10" t="s">
        <v>2075</v>
      </c>
      <c r="H874" s="8" t="s">
        <v>2076</v>
      </c>
      <c r="I874" s="10" t="s">
        <v>2075</v>
      </c>
      <c r="J874" s="11" t="s">
        <v>26</v>
      </c>
      <c r="K874" s="18">
        <v>33.729999999999997</v>
      </c>
      <c r="L874" s="12">
        <f t="shared" si="90"/>
        <v>67.459999999999994</v>
      </c>
      <c r="M874" s="8">
        <v>1</v>
      </c>
      <c r="N874" s="8" t="s">
        <v>27</v>
      </c>
      <c r="O874" s="13" t="e">
        <f>#REF!</f>
        <v>#REF!</v>
      </c>
      <c r="P874" s="14">
        <v>0.2</v>
      </c>
      <c r="Q874" s="15">
        <v>0.4</v>
      </c>
      <c r="R874" s="16" t="str">
        <f t="shared" si="88"/>
        <v>DSC</v>
      </c>
      <c r="S874" s="17"/>
      <c r="T874" s="10" t="str">
        <f t="shared" si="91"/>
        <v>SENSOR ANTI MASCOTA (27 KG), INFRA ROJO.</v>
      </c>
    </row>
    <row r="875" spans="1:20" ht="27" customHeight="1" x14ac:dyDescent="0.25">
      <c r="A875" s="8" t="s">
        <v>2036</v>
      </c>
      <c r="B875" s="9" t="s">
        <v>2036</v>
      </c>
      <c r="C875" s="9"/>
      <c r="D875" s="8" t="s">
        <v>408</v>
      </c>
      <c r="E875" s="8">
        <v>2</v>
      </c>
      <c r="F875" s="8" t="s">
        <v>22</v>
      </c>
      <c r="G875" s="10" t="s">
        <v>2077</v>
      </c>
      <c r="H875" s="8" t="s">
        <v>2078</v>
      </c>
      <c r="I875" s="10" t="s">
        <v>2077</v>
      </c>
      <c r="J875" s="11" t="s">
        <v>26</v>
      </c>
      <c r="K875" s="18">
        <v>90.47</v>
      </c>
      <c r="L875" s="12">
        <f t="shared" si="90"/>
        <v>180.94</v>
      </c>
      <c r="M875" s="8">
        <v>1</v>
      </c>
      <c r="N875" s="8" t="s">
        <v>27</v>
      </c>
      <c r="O875" s="13" t="e">
        <f>#REF!</f>
        <v>#REF!</v>
      </c>
      <c r="P875" s="14">
        <v>0.2</v>
      </c>
      <c r="Q875" s="15">
        <v>0.4</v>
      </c>
      <c r="R875" s="16" t="str">
        <f t="shared" si="88"/>
        <v>DSC</v>
      </c>
      <c r="S875" s="17"/>
      <c r="T875" s="10" t="str">
        <f t="shared" si="91"/>
        <v>TARJETA DE INTEGRACIÓN IP PARA ALARMA DSC.</v>
      </c>
    </row>
    <row r="876" spans="1:20" ht="27" customHeight="1" x14ac:dyDescent="0.25">
      <c r="A876" s="8" t="s">
        <v>2079</v>
      </c>
      <c r="B876" s="9" t="s">
        <v>2080</v>
      </c>
      <c r="C876" s="9"/>
      <c r="D876" s="8" t="s">
        <v>205</v>
      </c>
      <c r="E876" s="8">
        <v>1</v>
      </c>
      <c r="F876" s="8" t="s">
        <v>22</v>
      </c>
      <c r="G876" s="10" t="s">
        <v>2081</v>
      </c>
      <c r="H876" s="8" t="s">
        <v>2082</v>
      </c>
      <c r="I876" s="10" t="s">
        <v>2081</v>
      </c>
      <c r="J876" s="11" t="s">
        <v>33</v>
      </c>
      <c r="K876" s="18">
        <v>4000</v>
      </c>
      <c r="L876" s="12">
        <f t="shared" si="90"/>
        <v>6700</v>
      </c>
      <c r="M876" s="8">
        <v>1</v>
      </c>
      <c r="N876" s="8" t="s">
        <v>27</v>
      </c>
      <c r="O876" s="13"/>
      <c r="P876" s="14">
        <v>0</v>
      </c>
      <c r="Q876" s="15">
        <v>0.4</v>
      </c>
      <c r="R876" s="16" t="str">
        <f t="shared" si="88"/>
        <v>DURACEL</v>
      </c>
      <c r="S876" s="17"/>
      <c r="T876" s="10" t="str">
        <f t="shared" si="91"/>
        <v>PILAS DOBLE A.</v>
      </c>
    </row>
    <row r="877" spans="1:20" ht="27" customHeight="1" x14ac:dyDescent="0.25">
      <c r="A877" s="8" t="s">
        <v>2083</v>
      </c>
      <c r="B877" s="9"/>
      <c r="C877" s="9"/>
      <c r="D877" s="8"/>
      <c r="E877" s="8"/>
      <c r="F877" s="8" t="s">
        <v>22</v>
      </c>
      <c r="G877" s="10" t="s">
        <v>2084</v>
      </c>
      <c r="H877" s="8" t="s">
        <v>2085</v>
      </c>
      <c r="I877" s="10" t="s">
        <v>2084</v>
      </c>
      <c r="J877" s="11" t="s">
        <v>33</v>
      </c>
      <c r="K877" s="18">
        <v>350</v>
      </c>
      <c r="L877" s="12">
        <f t="shared" si="90"/>
        <v>600</v>
      </c>
      <c r="M877" s="8">
        <v>1</v>
      </c>
      <c r="N877" s="8" t="s">
        <v>27</v>
      </c>
      <c r="O877" s="13"/>
      <c r="P877" s="14">
        <v>0.2</v>
      </c>
      <c r="Q877" s="15">
        <v>0.4</v>
      </c>
      <c r="R877" s="16" t="str">
        <f t="shared" si="88"/>
        <v>DYMO</v>
      </c>
      <c r="S877" s="17"/>
      <c r="T877" s="10" t="str">
        <f t="shared" si="91"/>
        <v>MARCACIÓN CON CINTA PVC</v>
      </c>
    </row>
    <row r="878" spans="1:20" ht="27" customHeight="1" x14ac:dyDescent="0.25">
      <c r="A878" s="8" t="s">
        <v>2086</v>
      </c>
      <c r="B878" s="9" t="s">
        <v>2086</v>
      </c>
      <c r="C878" s="9"/>
      <c r="D878" s="8" t="s">
        <v>2087</v>
      </c>
      <c r="E878" s="8">
        <v>8</v>
      </c>
      <c r="F878" s="8" t="s">
        <v>22</v>
      </c>
      <c r="G878" s="10" t="s">
        <v>2088</v>
      </c>
      <c r="H878" s="8" t="s">
        <v>2089</v>
      </c>
      <c r="I878" s="10" t="s">
        <v>2090</v>
      </c>
      <c r="J878" s="11" t="s">
        <v>26</v>
      </c>
      <c r="K878" s="18">
        <v>275</v>
      </c>
      <c r="L878" s="12">
        <f t="shared" si="90"/>
        <v>471.42857142857144</v>
      </c>
      <c r="M878" s="8">
        <v>1</v>
      </c>
      <c r="N878" s="8" t="s">
        <v>27</v>
      </c>
      <c r="O878" s="13"/>
      <c r="P878" s="14">
        <v>0.2</v>
      </c>
      <c r="Q878" s="15">
        <v>0.3</v>
      </c>
      <c r="R878" s="16" t="str">
        <f t="shared" si="88"/>
        <v>EATON</v>
      </c>
      <c r="S878" s="17"/>
      <c r="T878" s="10" t="str">
        <f t="shared" si="91"/>
        <v>LUMINARIA LED DE INCRUSTAR DE 71 VATIOS, ALTA EFICIENCIA.</v>
      </c>
    </row>
    <row r="879" spans="1:20" ht="27" customHeight="1" x14ac:dyDescent="0.25">
      <c r="A879" s="8" t="s">
        <v>2091</v>
      </c>
      <c r="B879" s="9"/>
      <c r="C879" s="9"/>
      <c r="D879" s="8"/>
      <c r="E879" s="8"/>
      <c r="F879" s="8" t="s">
        <v>22</v>
      </c>
      <c r="G879" s="10" t="s">
        <v>2092</v>
      </c>
      <c r="H879" s="8" t="s">
        <v>2093</v>
      </c>
      <c r="I879" s="10" t="s">
        <v>2094</v>
      </c>
      <c r="J879" s="11" t="s">
        <v>33</v>
      </c>
      <c r="K879" s="18">
        <v>2150000</v>
      </c>
      <c r="L879" s="12">
        <f t="shared" si="90"/>
        <v>3071500</v>
      </c>
      <c r="M879" s="8">
        <v>1</v>
      </c>
      <c r="N879" s="8" t="s">
        <v>27</v>
      </c>
      <c r="O879" s="13"/>
      <c r="P879" s="14">
        <v>0</v>
      </c>
      <c r="Q879" s="15">
        <v>0.3</v>
      </c>
      <c r="R879" s="16" t="str">
        <f t="shared" si="88"/>
        <v>ECOLED</v>
      </c>
      <c r="S879" s="17"/>
      <c r="T879" s="10" t="str">
        <f t="shared" si="91"/>
        <v>LUMINARIA TIPO LOOP, CON LED OSRAM Y CHASIS NACIONAL.</v>
      </c>
    </row>
    <row r="880" spans="1:20" ht="27" customHeight="1" x14ac:dyDescent="0.25">
      <c r="A880" s="8" t="s">
        <v>2095</v>
      </c>
      <c r="B880" s="9"/>
      <c r="C880" s="9"/>
      <c r="D880" s="8"/>
      <c r="E880" s="8"/>
      <c r="F880" s="8" t="s">
        <v>22</v>
      </c>
      <c r="G880" s="10" t="s">
        <v>2096</v>
      </c>
      <c r="H880" s="8" t="s">
        <v>2097</v>
      </c>
      <c r="I880" s="10" t="s">
        <v>2098</v>
      </c>
      <c r="J880" s="11" t="s">
        <v>33</v>
      </c>
      <c r="K880" s="18">
        <v>14000</v>
      </c>
      <c r="L880" s="12">
        <f t="shared" si="90"/>
        <v>20000</v>
      </c>
      <c r="M880" s="8">
        <v>1</v>
      </c>
      <c r="N880" s="8" t="s">
        <v>27</v>
      </c>
      <c r="O880" s="13" t="s">
        <v>588</v>
      </c>
      <c r="P880" s="14">
        <v>0</v>
      </c>
      <c r="Q880" s="15">
        <v>0.3</v>
      </c>
      <c r="R880" s="16" t="str">
        <f t="shared" si="88"/>
        <v>ECOLITE</v>
      </c>
      <c r="S880" s="17"/>
      <c r="T880" s="10" t="str">
        <f t="shared" si="91"/>
        <v>BALA RECESADA EN POLICARBONATO INYECTADO. PARA USO INTERIOR.</v>
      </c>
    </row>
    <row r="881" spans="1:20" ht="27" customHeight="1" x14ac:dyDescent="0.25">
      <c r="A881" s="8" t="s">
        <v>2095</v>
      </c>
      <c r="B881" s="9"/>
      <c r="C881" s="9"/>
      <c r="D881" s="8"/>
      <c r="E881" s="8"/>
      <c r="F881" s="8" t="s">
        <v>22</v>
      </c>
      <c r="G881" s="10" t="s">
        <v>2096</v>
      </c>
      <c r="H881" s="8" t="s">
        <v>2099</v>
      </c>
      <c r="I881" s="10" t="s">
        <v>2100</v>
      </c>
      <c r="J881" s="11" t="s">
        <v>33</v>
      </c>
      <c r="K881" s="18">
        <f>12500+6300</f>
        <v>18800</v>
      </c>
      <c r="L881" s="12">
        <f t="shared" si="90"/>
        <v>28100</v>
      </c>
      <c r="M881" s="8">
        <v>1</v>
      </c>
      <c r="N881" s="8" t="s">
        <v>27</v>
      </c>
      <c r="O881" s="13" t="s">
        <v>588</v>
      </c>
      <c r="P881" s="14">
        <v>0</v>
      </c>
      <c r="Q881" s="15">
        <v>0.33</v>
      </c>
      <c r="R881" s="16" t="str">
        <f t="shared" si="88"/>
        <v>ECOLITE</v>
      </c>
      <c r="S881" s="17"/>
      <c r="T881" s="10" t="str">
        <f t="shared" si="91"/>
        <v>BALA RECESADA EN POLICARBONATO INYECTADO. PARA USO INTERIOR.</v>
      </c>
    </row>
    <row r="882" spans="1:20" ht="27" customHeight="1" x14ac:dyDescent="0.25">
      <c r="A882" s="8" t="s">
        <v>2095</v>
      </c>
      <c r="B882" s="9"/>
      <c r="C882" s="9"/>
      <c r="D882" s="8"/>
      <c r="E882" s="8"/>
      <c r="F882" s="8" t="s">
        <v>22</v>
      </c>
      <c r="G882" s="10" t="s">
        <v>2096</v>
      </c>
      <c r="H882" s="8" t="s">
        <v>2101</v>
      </c>
      <c r="I882" s="10" t="s">
        <v>2102</v>
      </c>
      <c r="J882" s="11" t="s">
        <v>33</v>
      </c>
      <c r="K882" s="18">
        <f>12500+13900*0.9</f>
        <v>25010</v>
      </c>
      <c r="L882" s="12">
        <f t="shared" si="90"/>
        <v>31300</v>
      </c>
      <c r="M882" s="8">
        <v>1</v>
      </c>
      <c r="N882" s="8" t="s">
        <v>27</v>
      </c>
      <c r="O882" s="13" t="s">
        <v>588</v>
      </c>
      <c r="P882" s="14">
        <v>0</v>
      </c>
      <c r="Q882" s="15">
        <v>0.2</v>
      </c>
      <c r="R882" s="16" t="str">
        <f t="shared" si="88"/>
        <v>ECOLITE</v>
      </c>
      <c r="S882" s="17"/>
      <c r="T882" s="10" t="str">
        <f t="shared" si="91"/>
        <v>BALA RECESADA EN POLICARBONATO INYECTADO. PARA USO INTERIOR.</v>
      </c>
    </row>
    <row r="883" spans="1:20" ht="27" customHeight="1" x14ac:dyDescent="0.25">
      <c r="A883" s="8" t="s">
        <v>2095</v>
      </c>
      <c r="B883" s="9"/>
      <c r="C883" s="9"/>
      <c r="D883" s="8" t="s">
        <v>45</v>
      </c>
      <c r="E883" s="8"/>
      <c r="F883" s="8" t="s">
        <v>22</v>
      </c>
      <c r="G883" s="10" t="s">
        <v>2103</v>
      </c>
      <c r="H883" s="8" t="s">
        <v>2104</v>
      </c>
      <c r="I883" s="10" t="s">
        <v>2105</v>
      </c>
      <c r="J883" s="11" t="s">
        <v>33</v>
      </c>
      <c r="K883" s="18">
        <v>11160</v>
      </c>
      <c r="L883" s="12">
        <f t="shared" si="90"/>
        <v>18600</v>
      </c>
      <c r="M883" s="8">
        <v>1</v>
      </c>
      <c r="N883" s="8" t="s">
        <v>27</v>
      </c>
      <c r="O883" s="13" t="s">
        <v>588</v>
      </c>
      <c r="P883" s="14">
        <v>0</v>
      </c>
      <c r="Q883" s="15">
        <v>0.4</v>
      </c>
      <c r="R883" s="16" t="str">
        <f t="shared" si="88"/>
        <v>ECOLITE</v>
      </c>
      <c r="S883" s="17"/>
      <c r="T883" s="10" t="str">
        <f t="shared" si="91"/>
        <v>PANEL DE SOBREPONER MULTIVOLTAJE 4000K, 12W. 25.000 HORAS DE VIDA ESPERADA.</v>
      </c>
    </row>
    <row r="884" spans="1:20" ht="27" customHeight="1" x14ac:dyDescent="0.25">
      <c r="A884" s="8" t="s">
        <v>2095</v>
      </c>
      <c r="B884" s="9"/>
      <c r="C884" s="9"/>
      <c r="D884" s="8" t="s">
        <v>45</v>
      </c>
      <c r="E884" s="8"/>
      <c r="F884" s="8" t="s">
        <v>22</v>
      </c>
      <c r="G884" s="10" t="s">
        <v>2106</v>
      </c>
      <c r="H884" s="8" t="s">
        <v>2107</v>
      </c>
      <c r="I884" s="10" t="s">
        <v>2108</v>
      </c>
      <c r="J884" s="11" t="s">
        <v>33</v>
      </c>
      <c r="K884" s="18">
        <v>15120</v>
      </c>
      <c r="L884" s="12">
        <f t="shared" si="90"/>
        <v>25200</v>
      </c>
      <c r="M884" s="8">
        <v>1</v>
      </c>
      <c r="N884" s="8" t="s">
        <v>27</v>
      </c>
      <c r="O884" s="13" t="s">
        <v>588</v>
      </c>
      <c r="P884" s="14">
        <v>0</v>
      </c>
      <c r="Q884" s="15">
        <v>0.4</v>
      </c>
      <c r="R884" s="16" t="str">
        <f t="shared" si="88"/>
        <v>ECOLITE</v>
      </c>
      <c r="S884" s="17"/>
      <c r="T884" s="10" t="str">
        <f t="shared" si="91"/>
        <v>PANEL DE SOBREPONER MULTIVOLTAJE 6500K, 18W. 30.000 HORAS DE VIDA ESPERADA.</v>
      </c>
    </row>
    <row r="885" spans="1:20" ht="27" customHeight="1" x14ac:dyDescent="0.25">
      <c r="A885" s="8" t="s">
        <v>2095</v>
      </c>
      <c r="B885" s="9"/>
      <c r="C885" s="9"/>
      <c r="D885" s="8"/>
      <c r="E885" s="8"/>
      <c r="F885" s="8"/>
      <c r="G885" s="10"/>
      <c r="H885" s="8" t="s">
        <v>2109</v>
      </c>
      <c r="I885" s="10" t="s">
        <v>2110</v>
      </c>
      <c r="J885" s="11" t="s">
        <v>33</v>
      </c>
      <c r="K885" s="18">
        <v>65900</v>
      </c>
      <c r="L885" s="12">
        <f t="shared" si="90"/>
        <v>94200</v>
      </c>
      <c r="M885" s="8">
        <v>1</v>
      </c>
      <c r="N885" s="8" t="s">
        <v>27</v>
      </c>
      <c r="O885" s="13"/>
      <c r="P885" s="14">
        <v>0</v>
      </c>
      <c r="Q885" s="15">
        <v>0.3</v>
      </c>
      <c r="R885" s="16" t="str">
        <f t="shared" si="88"/>
        <v>ECOLITE</v>
      </c>
      <c r="S885" s="17"/>
      <c r="T885" s="10"/>
    </row>
    <row r="886" spans="1:20" ht="27" customHeight="1" x14ac:dyDescent="0.25">
      <c r="A886" s="8" t="s">
        <v>2095</v>
      </c>
      <c r="B886" s="9"/>
      <c r="C886" s="9"/>
      <c r="D886" s="8"/>
      <c r="E886" s="8"/>
      <c r="F886" s="8"/>
      <c r="G886" s="10"/>
      <c r="H886" s="8" t="s">
        <v>2111</v>
      </c>
      <c r="I886" s="10" t="s">
        <v>2112</v>
      </c>
      <c r="J886" s="11" t="s">
        <v>33</v>
      </c>
      <c r="K886" s="18">
        <v>5200</v>
      </c>
      <c r="L886" s="12">
        <f t="shared" si="90"/>
        <v>10400</v>
      </c>
      <c r="M886" s="8">
        <v>1</v>
      </c>
      <c r="N886" s="8" t="s">
        <v>27</v>
      </c>
      <c r="O886" s="13"/>
      <c r="P886" s="14">
        <v>0</v>
      </c>
      <c r="Q886" s="15">
        <v>0.5</v>
      </c>
      <c r="R886" s="16" t="str">
        <f t="shared" si="88"/>
        <v>ECOLITE</v>
      </c>
      <c r="S886" s="17"/>
      <c r="T886" s="10"/>
    </row>
    <row r="887" spans="1:20" ht="27" customHeight="1" x14ac:dyDescent="0.25">
      <c r="A887" s="8" t="s">
        <v>2095</v>
      </c>
      <c r="B887" s="9"/>
      <c r="C887" s="9"/>
      <c r="D887" s="8"/>
      <c r="E887" s="8"/>
      <c r="F887" s="8"/>
      <c r="G887" s="10"/>
      <c r="H887" s="8" t="s">
        <v>2113</v>
      </c>
      <c r="I887" s="10" t="s">
        <v>2114</v>
      </c>
      <c r="J887" s="11" t="s">
        <v>33</v>
      </c>
      <c r="K887" s="18">
        <v>300000</v>
      </c>
      <c r="L887" s="12">
        <f>ROUNDUP(K887*(1+P887)/(1-Q887),0)</f>
        <v>428572</v>
      </c>
      <c r="M887" s="8">
        <v>1</v>
      </c>
      <c r="N887" s="8" t="s">
        <v>27</v>
      </c>
      <c r="O887" s="13"/>
      <c r="P887" s="14">
        <v>0</v>
      </c>
      <c r="Q887" s="15">
        <v>0.3</v>
      </c>
      <c r="R887" s="16" t="str">
        <f t="shared" si="88"/>
        <v>ECOLITE</v>
      </c>
      <c r="S887" s="17"/>
      <c r="T887" s="10"/>
    </row>
    <row r="888" spans="1:20" ht="27" customHeight="1" x14ac:dyDescent="0.25">
      <c r="A888" s="8" t="s">
        <v>2095</v>
      </c>
      <c r="B888" s="9"/>
      <c r="C888" s="9"/>
      <c r="D888" s="8"/>
      <c r="E888" s="8"/>
      <c r="F888" s="8"/>
      <c r="G888" s="10"/>
      <c r="H888" s="8" t="s">
        <v>2115</v>
      </c>
      <c r="I888" s="10" t="s">
        <v>2116</v>
      </c>
      <c r="J888" s="11" t="s">
        <v>33</v>
      </c>
      <c r="K888" s="18">
        <v>21450</v>
      </c>
      <c r="L888" s="12">
        <f t="shared" ref="L888:L919" si="92">IF(J888="P",ROUNDUP(K888/(1-Q888),-2),K888*(1+P888)/(1-Q888))</f>
        <v>30700</v>
      </c>
      <c r="M888" s="8">
        <v>1</v>
      </c>
      <c r="N888" s="8" t="s">
        <v>27</v>
      </c>
      <c r="O888" s="13">
        <f>F888</f>
        <v>0</v>
      </c>
      <c r="P888" s="14">
        <v>0</v>
      </c>
      <c r="Q888" s="15">
        <v>0.3</v>
      </c>
      <c r="R888" s="16" t="str">
        <f t="shared" si="88"/>
        <v>ECOLITE</v>
      </c>
      <c r="S888" s="17"/>
      <c r="T888" s="10"/>
    </row>
    <row r="889" spans="1:20" ht="27" customHeight="1" x14ac:dyDescent="0.25">
      <c r="A889" s="8" t="s">
        <v>2117</v>
      </c>
      <c r="B889" s="9"/>
      <c r="C889" s="9"/>
      <c r="D889" s="8"/>
      <c r="E889" s="8"/>
      <c r="F889" s="8"/>
      <c r="G889" s="10"/>
      <c r="H889" s="8" t="s">
        <v>2118</v>
      </c>
      <c r="I889" s="10" t="s">
        <v>2119</v>
      </c>
      <c r="J889" s="11" t="s">
        <v>26</v>
      </c>
      <c r="K889" s="18">
        <f>31+12500/3500</f>
        <v>34.571428571428569</v>
      </c>
      <c r="L889" s="12">
        <f t="shared" si="92"/>
        <v>49.387755102040813</v>
      </c>
      <c r="M889" s="8">
        <v>1</v>
      </c>
      <c r="N889" s="8" t="s">
        <v>27</v>
      </c>
      <c r="O889" s="13">
        <f>F889</f>
        <v>0</v>
      </c>
      <c r="P889" s="14">
        <v>0</v>
      </c>
      <c r="Q889" s="15">
        <v>0.3</v>
      </c>
      <c r="R889" s="16" t="str">
        <f t="shared" si="88"/>
        <v>ECOLITE-OSRAM</v>
      </c>
      <c r="S889" s="17"/>
      <c r="T889" s="10"/>
    </row>
    <row r="890" spans="1:20" ht="27" customHeight="1" x14ac:dyDescent="0.25">
      <c r="A890" s="8" t="s">
        <v>2117</v>
      </c>
      <c r="B890" s="9"/>
      <c r="C890" s="9"/>
      <c r="D890" s="8"/>
      <c r="E890" s="8"/>
      <c r="F890" s="8"/>
      <c r="G890" s="10"/>
      <c r="H890" s="8" t="s">
        <v>2120</v>
      </c>
      <c r="I890" s="10" t="s">
        <v>2121</v>
      </c>
      <c r="J890" s="11" t="s">
        <v>26</v>
      </c>
      <c r="K890" s="18">
        <f>33.16+12500/3500</f>
        <v>36.731428571428566</v>
      </c>
      <c r="L890" s="12">
        <f t="shared" si="92"/>
        <v>52.473469387755095</v>
      </c>
      <c r="M890" s="8">
        <v>1</v>
      </c>
      <c r="N890" s="8" t="s">
        <v>27</v>
      </c>
      <c r="O890" s="13">
        <f>F890</f>
        <v>0</v>
      </c>
      <c r="P890" s="14">
        <v>0</v>
      </c>
      <c r="Q890" s="15">
        <v>0.3</v>
      </c>
      <c r="R890" s="16" t="str">
        <f t="shared" si="88"/>
        <v>ECOLITE-OSRAM</v>
      </c>
      <c r="S890" s="17"/>
      <c r="T890" s="10"/>
    </row>
    <row r="891" spans="1:20" ht="27" customHeight="1" x14ac:dyDescent="0.25">
      <c r="A891" s="8" t="s">
        <v>2117</v>
      </c>
      <c r="B891" s="9"/>
      <c r="C891" s="9"/>
      <c r="D891" s="8"/>
      <c r="E891" s="8"/>
      <c r="F891" s="8"/>
      <c r="G891" s="10"/>
      <c r="H891" s="8" t="s">
        <v>2122</v>
      </c>
      <c r="I891" s="10" t="s">
        <v>2123</v>
      </c>
      <c r="J891" s="11" t="s">
        <v>26</v>
      </c>
      <c r="K891" s="18">
        <f>33.16+12500/3500+2</f>
        <v>38.731428571428566</v>
      </c>
      <c r="L891" s="12">
        <f t="shared" si="92"/>
        <v>55.330612244897956</v>
      </c>
      <c r="M891" s="8">
        <v>1</v>
      </c>
      <c r="N891" s="8" t="s">
        <v>27</v>
      </c>
      <c r="O891" s="13">
        <f>F891</f>
        <v>0</v>
      </c>
      <c r="P891" s="14">
        <v>0</v>
      </c>
      <c r="Q891" s="15">
        <v>0.3</v>
      </c>
      <c r="R891" s="16" t="str">
        <f t="shared" si="88"/>
        <v>ECOLITE-OSRAM</v>
      </c>
      <c r="S891" s="17"/>
      <c r="T891" s="10"/>
    </row>
    <row r="892" spans="1:20" ht="27" customHeight="1" x14ac:dyDescent="0.25">
      <c r="A892" s="8" t="s">
        <v>2124</v>
      </c>
      <c r="B892" s="9" t="s">
        <v>7</v>
      </c>
      <c r="C892" s="9"/>
      <c r="D892" s="8" t="s">
        <v>94</v>
      </c>
      <c r="E892" s="8">
        <v>1</v>
      </c>
      <c r="F892" s="8" t="s">
        <v>22</v>
      </c>
      <c r="G892" s="10" t="s">
        <v>2125</v>
      </c>
      <c r="H892" s="8" t="s">
        <v>2126</v>
      </c>
      <c r="I892" s="10" t="s">
        <v>2127</v>
      </c>
      <c r="J892" s="11" t="s">
        <v>33</v>
      </c>
      <c r="K892" s="18">
        <v>265000</v>
      </c>
      <c r="L892" s="12">
        <f t="shared" si="92"/>
        <v>378600</v>
      </c>
      <c r="M892" s="8">
        <v>1</v>
      </c>
      <c r="N892" s="8" t="s">
        <v>27</v>
      </c>
      <c r="O892" s="13"/>
      <c r="P892" s="14">
        <v>0</v>
      </c>
      <c r="Q892" s="15">
        <v>0.3</v>
      </c>
      <c r="R892" s="16" t="str">
        <f t="shared" si="88"/>
        <v>ECOLUZ</v>
      </c>
      <c r="S892" s="17"/>
      <c r="T892" s="10" t="str">
        <f t="shared" ref="T892:T912" si="93">G892</f>
        <v>LUMINARIA CIRCULAR LED CON FLUJO LUMÍNICO DE 3000 LUMENS.</v>
      </c>
    </row>
    <row r="893" spans="1:20" ht="27" customHeight="1" x14ac:dyDescent="0.25">
      <c r="A893" s="8" t="s">
        <v>2124</v>
      </c>
      <c r="B893" s="9" t="s">
        <v>7</v>
      </c>
      <c r="C893" s="9"/>
      <c r="D893" s="8" t="s">
        <v>2087</v>
      </c>
      <c r="E893" s="8"/>
      <c r="F893" s="8" t="s">
        <v>22</v>
      </c>
      <c r="G893" s="10" t="s">
        <v>2128</v>
      </c>
      <c r="H893" s="8" t="s">
        <v>2129</v>
      </c>
      <c r="I893" s="10" t="s">
        <v>2130</v>
      </c>
      <c r="J893" s="11" t="s">
        <v>33</v>
      </c>
      <c r="K893" s="18">
        <v>270000</v>
      </c>
      <c r="L893" s="12">
        <f t="shared" si="92"/>
        <v>385800</v>
      </c>
      <c r="M893" s="8">
        <v>1</v>
      </c>
      <c r="N893" s="8" t="s">
        <v>27</v>
      </c>
      <c r="O893" s="13"/>
      <c r="P893" s="14">
        <v>0.2</v>
      </c>
      <c r="Q893" s="15">
        <v>0.3</v>
      </c>
      <c r="R893" s="16" t="str">
        <f t="shared" si="88"/>
        <v>ECOLUZ</v>
      </c>
      <c r="S893" s="17"/>
      <c r="T893" s="10" t="str">
        <f t="shared" si="93"/>
        <v>LUMINARIA DE DESCOLGAR, PARA TUBO T5. TERMINADO EN ALUMINIO Y DIFUSOR.</v>
      </c>
    </row>
    <row r="894" spans="1:20" ht="27" customHeight="1" x14ac:dyDescent="0.25">
      <c r="A894" s="8" t="s">
        <v>2124</v>
      </c>
      <c r="B894" s="9" t="s">
        <v>7</v>
      </c>
      <c r="C894" s="9"/>
      <c r="D894" s="8" t="s">
        <v>2087</v>
      </c>
      <c r="E894" s="8"/>
      <c r="F894" s="8" t="s">
        <v>22</v>
      </c>
      <c r="G894" s="10" t="s">
        <v>2131</v>
      </c>
      <c r="H894" s="8" t="s">
        <v>2132</v>
      </c>
      <c r="I894" s="10" t="s">
        <v>2131</v>
      </c>
      <c r="J894" s="11" t="s">
        <v>33</v>
      </c>
      <c r="K894" s="18">
        <v>110000</v>
      </c>
      <c r="L894" s="12">
        <f t="shared" si="92"/>
        <v>157200</v>
      </c>
      <c r="M894" s="8">
        <v>1</v>
      </c>
      <c r="N894" s="8" t="s">
        <v>27</v>
      </c>
      <c r="O894" s="13"/>
      <c r="P894" s="14">
        <v>0.2</v>
      </c>
      <c r="Q894" s="15">
        <v>0.3</v>
      </c>
      <c r="R894" s="16" t="str">
        <f t="shared" si="88"/>
        <v>ECOLUZ</v>
      </c>
      <c r="S894" s="17"/>
      <c r="T894" s="10" t="str">
        <f t="shared" si="93"/>
        <v>LUMINARIA DE DESCOLGAR PARA LUMINARIA TIPO LED ATENUABLE.</v>
      </c>
    </row>
    <row r="895" spans="1:20" ht="27" customHeight="1" x14ac:dyDescent="0.25">
      <c r="A895" s="8" t="s">
        <v>2124</v>
      </c>
      <c r="B895" s="9" t="s">
        <v>93</v>
      </c>
      <c r="C895" s="9"/>
      <c r="D895" s="8" t="s">
        <v>93</v>
      </c>
      <c r="E895" s="8"/>
      <c r="F895" s="8" t="s">
        <v>22</v>
      </c>
      <c r="G895" s="10" t="s">
        <v>2133</v>
      </c>
      <c r="H895" s="8" t="s">
        <v>2134</v>
      </c>
      <c r="I895" s="10" t="s">
        <v>2133</v>
      </c>
      <c r="J895" s="11" t="s">
        <v>33</v>
      </c>
      <c r="K895" s="18">
        <v>235000</v>
      </c>
      <c r="L895" s="12">
        <f t="shared" si="92"/>
        <v>335800</v>
      </c>
      <c r="M895" s="8">
        <v>1</v>
      </c>
      <c r="N895" s="8" t="s">
        <v>27</v>
      </c>
      <c r="O895" s="13"/>
      <c r="P895" s="14">
        <v>0.2</v>
      </c>
      <c r="Q895" s="15">
        <v>0.3</v>
      </c>
      <c r="R895" s="16" t="str">
        <f t="shared" si="88"/>
        <v>ECOLUZ</v>
      </c>
      <c r="S895" s="17"/>
      <c r="T895" s="10" t="str">
        <f t="shared" si="93"/>
        <v>LUMINARIA DE 4400 LUMENS LED ATENUABLE O-10. DE SOBREPONER O DESCOLGAR.</v>
      </c>
    </row>
    <row r="896" spans="1:20" ht="27" customHeight="1" x14ac:dyDescent="0.25">
      <c r="A896" s="8" t="s">
        <v>2124</v>
      </c>
      <c r="B896" s="9"/>
      <c r="C896" s="9"/>
      <c r="D896" s="8"/>
      <c r="E896" s="8"/>
      <c r="F896" s="8" t="s">
        <v>22</v>
      </c>
      <c r="G896" s="10" t="s">
        <v>2135</v>
      </c>
      <c r="H896" s="8" t="s">
        <v>2136</v>
      </c>
      <c r="I896" s="10" t="s">
        <v>2137</v>
      </c>
      <c r="J896" s="11" t="s">
        <v>33</v>
      </c>
      <c r="K896" s="18">
        <v>265000</v>
      </c>
      <c r="L896" s="12">
        <f t="shared" si="92"/>
        <v>441700</v>
      </c>
      <c r="M896" s="8">
        <v>1</v>
      </c>
      <c r="N896" s="8" t="s">
        <v>27</v>
      </c>
      <c r="O896" s="13"/>
      <c r="P896" s="14">
        <v>0.2</v>
      </c>
      <c r="Q896" s="15">
        <v>0.4</v>
      </c>
      <c r="R896" s="16" t="str">
        <f t="shared" si="88"/>
        <v>ECOLUZ</v>
      </c>
      <c r="S896" s="17"/>
      <c r="T896" s="10" t="str">
        <f t="shared" si="93"/>
        <v>REFLECTOR DE 18W, CON APERTURA DE 36 GRADOS. DIMERIZABLE. CHIP LUMILED.</v>
      </c>
    </row>
    <row r="897" spans="1:20" ht="27" customHeight="1" x14ac:dyDescent="0.25">
      <c r="A897" s="8" t="s">
        <v>2124</v>
      </c>
      <c r="B897" s="9"/>
      <c r="C897" s="9"/>
      <c r="D897" s="8"/>
      <c r="E897" s="8"/>
      <c r="F897" s="8" t="s">
        <v>22</v>
      </c>
      <c r="G897" s="10" t="s">
        <v>2138</v>
      </c>
      <c r="H897" s="8" t="s">
        <v>2139</v>
      </c>
      <c r="I897" s="10" t="s">
        <v>2140</v>
      </c>
      <c r="J897" s="11" t="s">
        <v>33</v>
      </c>
      <c r="K897" s="18">
        <v>265000</v>
      </c>
      <c r="L897" s="12">
        <f t="shared" si="92"/>
        <v>441700</v>
      </c>
      <c r="M897" s="8">
        <v>1</v>
      </c>
      <c r="N897" s="8" t="s">
        <v>27</v>
      </c>
      <c r="O897" s="13"/>
      <c r="P897" s="14">
        <v>0.2</v>
      </c>
      <c r="Q897" s="15">
        <v>0.4</v>
      </c>
      <c r="R897" s="16" t="str">
        <f t="shared" ref="R897:R960" si="94">A897</f>
        <v>ECOLUZ</v>
      </c>
      <c r="S897" s="17"/>
      <c r="T897" s="10" t="str">
        <f t="shared" si="93"/>
        <v>REFLECTOR DE 18W, CON APERTURA DE 10 GRADOS. DIMERIZABLE. CHIP LUMILED.</v>
      </c>
    </row>
    <row r="898" spans="1:20" ht="27" customHeight="1" x14ac:dyDescent="0.25">
      <c r="A898" s="8" t="s">
        <v>2124</v>
      </c>
      <c r="B898" s="9"/>
      <c r="C898" s="9"/>
      <c r="D898" s="8"/>
      <c r="E898" s="8"/>
      <c r="F898" s="8" t="s">
        <v>22</v>
      </c>
      <c r="G898" s="10" t="s">
        <v>2141</v>
      </c>
      <c r="H898" s="8" t="s">
        <v>2142</v>
      </c>
      <c r="I898" s="10" t="s">
        <v>2143</v>
      </c>
      <c r="J898" s="11" t="s">
        <v>33</v>
      </c>
      <c r="K898" s="18">
        <v>315000</v>
      </c>
      <c r="L898" s="12">
        <f t="shared" si="92"/>
        <v>525000</v>
      </c>
      <c r="M898" s="8">
        <v>1</v>
      </c>
      <c r="N898" s="8" t="s">
        <v>27</v>
      </c>
      <c r="O898" s="13"/>
      <c r="P898" s="14">
        <v>0</v>
      </c>
      <c r="Q898" s="15">
        <v>0.4</v>
      </c>
      <c r="R898" s="16" t="str">
        <f t="shared" si="94"/>
        <v>ECOLUZ</v>
      </c>
      <c r="S898" s="17"/>
      <c r="T898" s="10" t="str">
        <f t="shared" si="93"/>
        <v>LUMINARIA LINEAL LED DE 4100K, 1.12M DE LARGO. PARA CONFIGURACIÓN EN TÁNDEM.</v>
      </c>
    </row>
    <row r="899" spans="1:20" ht="27" customHeight="1" x14ac:dyDescent="0.25">
      <c r="A899" s="8" t="s">
        <v>2124</v>
      </c>
      <c r="B899" s="9"/>
      <c r="C899" s="9"/>
      <c r="D899" s="8"/>
      <c r="E899" s="8"/>
      <c r="F899" s="8" t="s">
        <v>22</v>
      </c>
      <c r="G899" s="10" t="s">
        <v>2144</v>
      </c>
      <c r="H899" s="8" t="s">
        <v>2145</v>
      </c>
      <c r="I899" s="10" t="s">
        <v>2146</v>
      </c>
      <c r="J899" s="11" t="s">
        <v>33</v>
      </c>
      <c r="K899" s="18">
        <v>520000</v>
      </c>
      <c r="L899" s="12">
        <f t="shared" si="92"/>
        <v>866700</v>
      </c>
      <c r="M899" s="8">
        <v>1</v>
      </c>
      <c r="N899" s="8" t="s">
        <v>27</v>
      </c>
      <c r="O899" s="13"/>
      <c r="P899" s="14">
        <v>0.2</v>
      </c>
      <c r="Q899" s="15">
        <v>0.4</v>
      </c>
      <c r="R899" s="16" t="str">
        <f t="shared" si="94"/>
        <v>ECOLUZ</v>
      </c>
      <c r="S899" s="17"/>
      <c r="T899" s="10" t="str">
        <f t="shared" si="93"/>
        <v>LUMINARIA LINEAL LED DE 4100K, 2.24M DE LARGO PARA CONFIGURACIÓN EN TÁNDEM.</v>
      </c>
    </row>
    <row r="900" spans="1:20" ht="27" customHeight="1" x14ac:dyDescent="0.25">
      <c r="A900" s="8" t="s">
        <v>2124</v>
      </c>
      <c r="B900" s="9"/>
      <c r="C900" s="9"/>
      <c r="D900" s="8"/>
      <c r="E900" s="8"/>
      <c r="F900" s="8" t="s">
        <v>22</v>
      </c>
      <c r="G900" s="10" t="s">
        <v>2147</v>
      </c>
      <c r="H900" s="8" t="s">
        <v>2148</v>
      </c>
      <c r="I900" s="10" t="s">
        <v>2149</v>
      </c>
      <c r="J900" s="11" t="s">
        <v>33</v>
      </c>
      <c r="K900" s="18">
        <f>260000*3</f>
        <v>780000</v>
      </c>
      <c r="L900" s="12">
        <f t="shared" si="92"/>
        <v>1300000</v>
      </c>
      <c r="M900" s="8">
        <v>1</v>
      </c>
      <c r="N900" s="8" t="s">
        <v>27</v>
      </c>
      <c r="O900" s="13"/>
      <c r="P900" s="14">
        <v>0.2</v>
      </c>
      <c r="Q900" s="15">
        <v>0.4</v>
      </c>
      <c r="R900" s="16" t="str">
        <f t="shared" si="94"/>
        <v>ECOLUZ</v>
      </c>
      <c r="S900" s="17"/>
      <c r="T900" s="10" t="str">
        <f t="shared" si="93"/>
        <v>LUMINARIA LINEAL LED DE 4100K, 3.36M DE LARGO PARA CONFIGURACIÓN EN TÁNDEM.</v>
      </c>
    </row>
    <row r="901" spans="1:20" ht="27" customHeight="1" x14ac:dyDescent="0.25">
      <c r="A901" s="8" t="s">
        <v>2124</v>
      </c>
      <c r="B901" s="9"/>
      <c r="C901" s="9"/>
      <c r="D901" s="8"/>
      <c r="E901" s="8"/>
      <c r="F901" s="8" t="s">
        <v>22</v>
      </c>
      <c r="G901" s="10" t="s">
        <v>2150</v>
      </c>
      <c r="H901" s="8" t="s">
        <v>2151</v>
      </c>
      <c r="I901" s="10" t="s">
        <v>2152</v>
      </c>
      <c r="J901" s="11" t="s">
        <v>33</v>
      </c>
      <c r="K901" s="18">
        <v>775000</v>
      </c>
      <c r="L901" s="12">
        <f t="shared" si="92"/>
        <v>1107200</v>
      </c>
      <c r="M901" s="8">
        <v>1</v>
      </c>
      <c r="N901" s="8" t="s">
        <v>27</v>
      </c>
      <c r="O901" s="13"/>
      <c r="P901" s="14">
        <v>0</v>
      </c>
      <c r="Q901" s="15">
        <v>0.3</v>
      </c>
      <c r="R901" s="16" t="str">
        <f t="shared" si="94"/>
        <v>ECOLUZ</v>
      </c>
      <c r="S901" s="17"/>
      <c r="T901" s="10" t="str">
        <f t="shared" si="93"/>
        <v>LUMINARIA LINEAL LED DE 4100K, 4.48M DE LARGO. PARA CONFIGURACIÓN EN TANDEM.</v>
      </c>
    </row>
    <row r="902" spans="1:20" ht="27" customHeight="1" x14ac:dyDescent="0.25">
      <c r="A902" s="8" t="s">
        <v>2124</v>
      </c>
      <c r="B902" s="9"/>
      <c r="C902" s="9"/>
      <c r="D902" s="8"/>
      <c r="E902" s="8"/>
      <c r="F902" s="8" t="s">
        <v>22</v>
      </c>
      <c r="G902" s="10" t="s">
        <v>2153</v>
      </c>
      <c r="H902" s="8" t="s">
        <v>2154</v>
      </c>
      <c r="I902" s="10" t="s">
        <v>2155</v>
      </c>
      <c r="J902" s="11" t="s">
        <v>33</v>
      </c>
      <c r="K902" s="18">
        <v>288000</v>
      </c>
      <c r="L902" s="12">
        <f t="shared" si="92"/>
        <v>480000</v>
      </c>
      <c r="M902" s="8">
        <v>1</v>
      </c>
      <c r="N902" s="8" t="s">
        <v>27</v>
      </c>
      <c r="O902" s="13"/>
      <c r="P902" s="14">
        <v>0.2</v>
      </c>
      <c r="Q902" s="15">
        <v>0.4</v>
      </c>
      <c r="R902" s="16" t="str">
        <f t="shared" si="94"/>
        <v>ECOLUZ</v>
      </c>
      <c r="S902" s="17"/>
      <c r="T902" s="10" t="str">
        <f t="shared" si="93"/>
        <v>LUMINARIA LED DE 28-33W, CON APERTURAS DE 10, 25 O 70 GRADOS.</v>
      </c>
    </row>
    <row r="903" spans="1:20" ht="27" customHeight="1" x14ac:dyDescent="0.25">
      <c r="A903" s="8" t="s">
        <v>2124</v>
      </c>
      <c r="B903" s="9"/>
      <c r="C903" s="9"/>
      <c r="D903" s="8"/>
      <c r="E903" s="8"/>
      <c r="F903" s="8" t="s">
        <v>22</v>
      </c>
      <c r="G903" s="10" t="s">
        <v>2156</v>
      </c>
      <c r="H903" s="8" t="s">
        <v>2157</v>
      </c>
      <c r="I903" s="10" t="s">
        <v>2156</v>
      </c>
      <c r="J903" s="11" t="s">
        <v>33</v>
      </c>
      <c r="K903" s="18">
        <v>16500</v>
      </c>
      <c r="L903" s="12">
        <f t="shared" si="92"/>
        <v>27500</v>
      </c>
      <c r="M903" s="8">
        <v>1</v>
      </c>
      <c r="N903" s="8" t="s">
        <v>27</v>
      </c>
      <c r="O903" s="13"/>
      <c r="P903" s="14">
        <v>0.2</v>
      </c>
      <c r="Q903" s="15">
        <v>0.4</v>
      </c>
      <c r="R903" s="16" t="str">
        <f t="shared" si="94"/>
        <v>ECOLUZ</v>
      </c>
      <c r="S903" s="17"/>
      <c r="T903" s="10" t="str">
        <f t="shared" si="93"/>
        <v>SOPORTE E27 PARA LUMINARIA Y BASE DE TECHO</v>
      </c>
    </row>
    <row r="904" spans="1:20" ht="27" customHeight="1" x14ac:dyDescent="0.25">
      <c r="A904" s="8" t="s">
        <v>2124</v>
      </c>
      <c r="B904" s="9"/>
      <c r="C904" s="9"/>
      <c r="D904" s="8"/>
      <c r="E904" s="8"/>
      <c r="F904" s="8" t="s">
        <v>22</v>
      </c>
      <c r="G904" s="10" t="s">
        <v>2158</v>
      </c>
      <c r="H904" s="8" t="s">
        <v>2159</v>
      </c>
      <c r="I904" s="10" t="s">
        <v>2160</v>
      </c>
      <c r="J904" s="11" t="s">
        <v>33</v>
      </c>
      <c r="K904" s="18">
        <v>495000</v>
      </c>
      <c r="L904" s="12">
        <f t="shared" si="92"/>
        <v>825000</v>
      </c>
      <c r="M904" s="8">
        <v>1</v>
      </c>
      <c r="N904" s="8" t="s">
        <v>27</v>
      </c>
      <c r="O904" s="13"/>
      <c r="P904" s="14">
        <v>0.2</v>
      </c>
      <c r="Q904" s="15">
        <v>0.4</v>
      </c>
      <c r="R904" s="16" t="str">
        <f t="shared" si="94"/>
        <v>ECOLUZ</v>
      </c>
      <c r="S904" s="17"/>
      <c r="T904" s="10" t="str">
        <f t="shared" si="93"/>
        <v>LUMINARIA CHIP ON BOARD DE ALTA EFICIENCIA, INCLUYE DRIVER PROGRAMADO POR CORRIENTE. SALIDA DE 3000 LUMENS.</v>
      </c>
    </row>
    <row r="905" spans="1:20" ht="27" customHeight="1" x14ac:dyDescent="0.25">
      <c r="A905" s="8" t="s">
        <v>2124</v>
      </c>
      <c r="B905" s="9"/>
      <c r="C905" s="9"/>
      <c r="D905" s="8"/>
      <c r="E905" s="8"/>
      <c r="F905" s="8" t="s">
        <v>22</v>
      </c>
      <c r="G905" s="10" t="s">
        <v>2161</v>
      </c>
      <c r="H905" s="8" t="s">
        <v>2162</v>
      </c>
      <c r="I905" s="10" t="s">
        <v>2161</v>
      </c>
      <c r="J905" s="11" t="s">
        <v>33</v>
      </c>
      <c r="K905" s="18">
        <v>135000</v>
      </c>
      <c r="L905" s="12">
        <f t="shared" si="92"/>
        <v>225000</v>
      </c>
      <c r="M905" s="8">
        <v>1</v>
      </c>
      <c r="N905" s="8" t="s">
        <v>27</v>
      </c>
      <c r="O905" s="13"/>
      <c r="P905" s="14">
        <v>0.2</v>
      </c>
      <c r="Q905" s="15">
        <v>0.4</v>
      </c>
      <c r="R905" s="16" t="str">
        <f t="shared" si="94"/>
        <v>ECOLUZ</v>
      </c>
      <c r="S905" s="17"/>
      <c r="T905" s="10" t="str">
        <f t="shared" si="93"/>
        <v>LUMINARIA EN ALUMINIO PARA BOMBILLA GU 10 CUADRADA</v>
      </c>
    </row>
    <row r="906" spans="1:20" ht="27" customHeight="1" x14ac:dyDescent="0.25">
      <c r="A906" s="8" t="s">
        <v>2124</v>
      </c>
      <c r="B906" s="9"/>
      <c r="C906" s="9"/>
      <c r="D906" s="8"/>
      <c r="E906" s="8"/>
      <c r="F906" s="8" t="s">
        <v>22</v>
      </c>
      <c r="G906" s="10" t="s">
        <v>2163</v>
      </c>
      <c r="H906" s="8" t="s">
        <v>2164</v>
      </c>
      <c r="I906" s="10" t="s">
        <v>2165</v>
      </c>
      <c r="J906" s="11" t="s">
        <v>33</v>
      </c>
      <c r="K906" s="18">
        <f>260000*1.33</f>
        <v>345800</v>
      </c>
      <c r="L906" s="12">
        <f t="shared" si="92"/>
        <v>576400</v>
      </c>
      <c r="M906" s="8">
        <v>1</v>
      </c>
      <c r="N906" s="8" t="s">
        <v>27</v>
      </c>
      <c r="O906" s="13"/>
      <c r="P906" s="14">
        <v>0</v>
      </c>
      <c r="Q906" s="15">
        <v>0.4</v>
      </c>
      <c r="R906" s="16" t="str">
        <f t="shared" si="94"/>
        <v>ECOLUZ</v>
      </c>
      <c r="S906" s="17"/>
      <c r="T906" s="10" t="str">
        <f t="shared" si="93"/>
        <v>LUMINARIA LINEAL LED DE 4100K, 1.7M DE LARGO. PARA CONFIGURACIÓN EN TÁNDEM.</v>
      </c>
    </row>
    <row r="907" spans="1:20" ht="27" customHeight="1" x14ac:dyDescent="0.25">
      <c r="A907" s="8" t="s">
        <v>2124</v>
      </c>
      <c r="B907" s="9"/>
      <c r="C907" s="9"/>
      <c r="D907" s="8"/>
      <c r="E907" s="8"/>
      <c r="F907" s="8" t="s">
        <v>22</v>
      </c>
      <c r="G907" s="10" t="s">
        <v>2166</v>
      </c>
      <c r="H907" s="8" t="s">
        <v>2167</v>
      </c>
      <c r="I907" s="10" t="s">
        <v>2168</v>
      </c>
      <c r="J907" s="11" t="s">
        <v>33</v>
      </c>
      <c r="K907" s="18">
        <f>520000*1.33</f>
        <v>691600</v>
      </c>
      <c r="L907" s="12">
        <f t="shared" si="92"/>
        <v>1152700</v>
      </c>
      <c r="M907" s="8">
        <v>1</v>
      </c>
      <c r="N907" s="8" t="s">
        <v>27</v>
      </c>
      <c r="O907" s="13"/>
      <c r="P907" s="14">
        <v>0</v>
      </c>
      <c r="Q907" s="15">
        <v>0.4</v>
      </c>
      <c r="R907" s="16" t="str">
        <f t="shared" si="94"/>
        <v>ECOLUZ</v>
      </c>
      <c r="S907" s="17"/>
      <c r="T907" s="10" t="str">
        <f t="shared" si="93"/>
        <v>LUMINARIA LINEAL LED DE 4100K, 2.82M DE LARGO PARA CONFIGURACIÓN EN TÁNDEM.</v>
      </c>
    </row>
    <row r="908" spans="1:20" ht="27" customHeight="1" x14ac:dyDescent="0.25">
      <c r="A908" s="8" t="s">
        <v>2124</v>
      </c>
      <c r="B908" s="9"/>
      <c r="C908" s="9"/>
      <c r="D908" s="8"/>
      <c r="E908" s="8"/>
      <c r="F908" s="8" t="s">
        <v>22</v>
      </c>
      <c r="G908" s="10" t="s">
        <v>2169</v>
      </c>
      <c r="H908" s="8" t="s">
        <v>2170</v>
      </c>
      <c r="I908" s="10" t="s">
        <v>2171</v>
      </c>
      <c r="J908" s="11" t="s">
        <v>33</v>
      </c>
      <c r="K908" s="18">
        <f>260000*1.15</f>
        <v>299000</v>
      </c>
      <c r="L908" s="12">
        <f t="shared" si="92"/>
        <v>498400</v>
      </c>
      <c r="M908" s="8">
        <v>1</v>
      </c>
      <c r="N908" s="8" t="s">
        <v>27</v>
      </c>
      <c r="O908" s="13"/>
      <c r="P908" s="14">
        <v>0</v>
      </c>
      <c r="Q908" s="15">
        <v>0.4</v>
      </c>
      <c r="R908" s="16" t="str">
        <f t="shared" si="94"/>
        <v>ECOLUZ</v>
      </c>
      <c r="S908" s="17"/>
      <c r="T908" s="10" t="str">
        <f t="shared" si="93"/>
        <v>LUMINARIA LINEAL LED DE 4100K, 1.3M DE LARGO PARA CONFIGURACIÓN EN TÁNDEM.</v>
      </c>
    </row>
    <row r="909" spans="1:20" ht="27" customHeight="1" x14ac:dyDescent="0.25">
      <c r="A909" s="8" t="s">
        <v>2124</v>
      </c>
      <c r="B909" s="9"/>
      <c r="C909" s="9"/>
      <c r="D909" s="8"/>
      <c r="E909" s="8"/>
      <c r="F909" s="8" t="s">
        <v>22</v>
      </c>
      <c r="G909" s="10" t="s">
        <v>2172</v>
      </c>
      <c r="H909" s="8" t="s">
        <v>2173</v>
      </c>
      <c r="I909" s="10" t="s">
        <v>2174</v>
      </c>
      <c r="J909" s="11" t="s">
        <v>33</v>
      </c>
      <c r="K909" s="18">
        <f>260000*5</f>
        <v>1300000</v>
      </c>
      <c r="L909" s="12">
        <f t="shared" si="92"/>
        <v>2166700</v>
      </c>
      <c r="M909" s="8">
        <v>1</v>
      </c>
      <c r="N909" s="8" t="s">
        <v>27</v>
      </c>
      <c r="O909" s="13"/>
      <c r="P909" s="14">
        <v>0</v>
      </c>
      <c r="Q909" s="15">
        <v>0.4</v>
      </c>
      <c r="R909" s="16" t="str">
        <f t="shared" si="94"/>
        <v>ECOLUZ</v>
      </c>
      <c r="S909" s="17"/>
      <c r="T909" s="10" t="str">
        <f t="shared" si="93"/>
        <v>LUMINARIA LINEAL LED DE 4100K, 5.6M DE LARGO. PARA CONFIGURACIÓN EN TÁNDEM.</v>
      </c>
    </row>
    <row r="910" spans="1:20" ht="27" customHeight="1" x14ac:dyDescent="0.25">
      <c r="A910" s="8" t="s">
        <v>2124</v>
      </c>
      <c r="B910" s="9"/>
      <c r="C910" s="9"/>
      <c r="D910" s="8"/>
      <c r="E910" s="8"/>
      <c r="F910" s="8" t="s">
        <v>22</v>
      </c>
      <c r="G910" s="10" t="s">
        <v>2175</v>
      </c>
      <c r="H910" s="8" t="s">
        <v>2176</v>
      </c>
      <c r="I910" s="10" t="s">
        <v>2177</v>
      </c>
      <c r="J910" s="11" t="s">
        <v>26</v>
      </c>
      <c r="K910" s="18">
        <v>70</v>
      </c>
      <c r="L910" s="12">
        <f t="shared" si="92"/>
        <v>116.66666666666667</v>
      </c>
      <c r="M910" s="8">
        <v>1</v>
      </c>
      <c r="N910" s="8" t="s">
        <v>27</v>
      </c>
      <c r="O910" s="13"/>
      <c r="P910" s="14">
        <v>0</v>
      </c>
      <c r="Q910" s="15">
        <v>0.4</v>
      </c>
      <c r="R910" s="16" t="str">
        <f t="shared" si="94"/>
        <v>ECOLUZ</v>
      </c>
      <c r="S910" s="17"/>
      <c r="T910" s="10" t="str">
        <f t="shared" si="93"/>
        <v>REPOTENCIACIÓN DE LUMINARIA CON DRIVER OSRAM A 40 VATIOS.</v>
      </c>
    </row>
    <row r="911" spans="1:20" ht="27" customHeight="1" x14ac:dyDescent="0.25">
      <c r="A911" s="8" t="s">
        <v>2124</v>
      </c>
      <c r="B911" s="9"/>
      <c r="C911" s="9"/>
      <c r="D911" s="8"/>
      <c r="E911" s="8"/>
      <c r="F911" s="8" t="s">
        <v>22</v>
      </c>
      <c r="G911" s="10" t="s">
        <v>2141</v>
      </c>
      <c r="H911" s="8" t="s">
        <v>2178</v>
      </c>
      <c r="I911" s="10" t="s">
        <v>2179</v>
      </c>
      <c r="J911" s="11" t="s">
        <v>33</v>
      </c>
      <c r="K911" s="18">
        <v>585000</v>
      </c>
      <c r="L911" s="12">
        <f t="shared" si="92"/>
        <v>975000</v>
      </c>
      <c r="M911" s="8">
        <v>1</v>
      </c>
      <c r="N911" s="8" t="s">
        <v>27</v>
      </c>
      <c r="O911" s="13"/>
      <c r="P911" s="14">
        <v>0.2</v>
      </c>
      <c r="Q911" s="15">
        <v>0.4</v>
      </c>
      <c r="R911" s="16" t="str">
        <f t="shared" si="94"/>
        <v>ECOLUZ</v>
      </c>
      <c r="S911" s="17"/>
      <c r="T911" s="10" t="str">
        <f t="shared" si="93"/>
        <v>LUMINARIA LINEAL LED DE 4100K, 1.12M DE LARGO. PARA CONFIGURACIÓN EN TÁNDEM.</v>
      </c>
    </row>
    <row r="912" spans="1:20" ht="27" customHeight="1" x14ac:dyDescent="0.25">
      <c r="A912" s="8" t="s">
        <v>2124</v>
      </c>
      <c r="B912" s="9"/>
      <c r="C912" s="9"/>
      <c r="D912" s="8"/>
      <c r="E912" s="8"/>
      <c r="F912" s="8" t="s">
        <v>22</v>
      </c>
      <c r="G912" s="10" t="s">
        <v>2180</v>
      </c>
      <c r="H912" s="8" t="s">
        <v>2181</v>
      </c>
      <c r="I912" s="10" t="s">
        <v>2180</v>
      </c>
      <c r="J912" s="11" t="s">
        <v>33</v>
      </c>
      <c r="K912" s="18">
        <f>1295000+725000</f>
        <v>2020000</v>
      </c>
      <c r="L912" s="12">
        <f t="shared" si="92"/>
        <v>2525000</v>
      </c>
      <c r="M912" s="8">
        <v>1</v>
      </c>
      <c r="N912" s="8" t="s">
        <v>27</v>
      </c>
      <c r="O912" s="13" t="s">
        <v>588</v>
      </c>
      <c r="P912" s="14">
        <v>0</v>
      </c>
      <c r="Q912" s="15">
        <v>0.2</v>
      </c>
      <c r="R912" s="16" t="str">
        <f t="shared" si="94"/>
        <v>ECOLUZ</v>
      </c>
      <c r="S912" s="17"/>
      <c r="T912" s="10" t="str">
        <f t="shared" si="93"/>
        <v>LUMINARIA A MEDIDA DE DOS PIEZAS CONSTITUIDA POR ECO21 1.29 Y ECO 21 2.79</v>
      </c>
    </row>
    <row r="913" spans="1:20" ht="27" customHeight="1" x14ac:dyDescent="0.25">
      <c r="A913" s="8" t="s">
        <v>2124</v>
      </c>
      <c r="B913" s="9"/>
      <c r="C913" s="9"/>
      <c r="D913" s="8"/>
      <c r="E913" s="8"/>
      <c r="F913" s="8"/>
      <c r="G913" s="10"/>
      <c r="H913" s="8" t="s">
        <v>2182</v>
      </c>
      <c r="I913" s="10" t="s">
        <v>2183</v>
      </c>
      <c r="J913" s="11" t="s">
        <v>33</v>
      </c>
      <c r="K913" s="18">
        <v>310000</v>
      </c>
      <c r="L913" s="12">
        <f t="shared" si="92"/>
        <v>442900</v>
      </c>
      <c r="M913" s="8">
        <v>1</v>
      </c>
      <c r="N913" s="8" t="s">
        <v>27</v>
      </c>
      <c r="O913" s="13">
        <f t="shared" ref="O913:O926" si="95">F913</f>
        <v>0</v>
      </c>
      <c r="P913" s="14">
        <v>0</v>
      </c>
      <c r="Q913" s="15">
        <v>0.3</v>
      </c>
      <c r="R913" s="16" t="str">
        <f t="shared" si="94"/>
        <v>ECOLUZ</v>
      </c>
      <c r="S913" s="17"/>
      <c r="T913" s="10"/>
    </row>
    <row r="914" spans="1:20" ht="27" customHeight="1" x14ac:dyDescent="0.25">
      <c r="A914" s="8" t="s">
        <v>2124</v>
      </c>
      <c r="B914" s="9"/>
      <c r="C914" s="9"/>
      <c r="D914" s="8"/>
      <c r="E914" s="8"/>
      <c r="F914" s="8"/>
      <c r="G914" s="10"/>
      <c r="H914" s="8" t="s">
        <v>2184</v>
      </c>
      <c r="I914" s="10" t="s">
        <v>2185</v>
      </c>
      <c r="J914" s="11" t="s">
        <v>33</v>
      </c>
      <c r="K914" s="18">
        <v>270000</v>
      </c>
      <c r="L914" s="12">
        <f t="shared" si="92"/>
        <v>385800</v>
      </c>
      <c r="M914" s="8">
        <v>1</v>
      </c>
      <c r="N914" s="8" t="s">
        <v>27</v>
      </c>
      <c r="O914" s="13">
        <f t="shared" si="95"/>
        <v>0</v>
      </c>
      <c r="P914" s="14">
        <v>0</v>
      </c>
      <c r="Q914" s="15">
        <v>0.3</v>
      </c>
      <c r="R914" s="16" t="str">
        <f t="shared" si="94"/>
        <v>ECOLUZ</v>
      </c>
      <c r="S914" s="17"/>
      <c r="T914" s="10"/>
    </row>
    <row r="915" spans="1:20" ht="27" customHeight="1" x14ac:dyDescent="0.25">
      <c r="A915" s="8" t="s">
        <v>2124</v>
      </c>
      <c r="B915" s="9"/>
      <c r="C915" s="9"/>
      <c r="D915" s="8"/>
      <c r="E915" s="8"/>
      <c r="F915" s="8"/>
      <c r="G915" s="10"/>
      <c r="H915" s="8" t="s">
        <v>2186</v>
      </c>
      <c r="I915" s="10" t="s">
        <v>2187</v>
      </c>
      <c r="J915" s="11" t="s">
        <v>33</v>
      </c>
      <c r="K915" s="18">
        <v>235000</v>
      </c>
      <c r="L915" s="12">
        <f t="shared" si="92"/>
        <v>335800</v>
      </c>
      <c r="M915" s="8">
        <v>1</v>
      </c>
      <c r="N915" s="8" t="s">
        <v>27</v>
      </c>
      <c r="O915" s="13">
        <f t="shared" si="95"/>
        <v>0</v>
      </c>
      <c r="P915" s="14">
        <v>0</v>
      </c>
      <c r="Q915" s="15">
        <v>0.3</v>
      </c>
      <c r="R915" s="16" t="str">
        <f t="shared" si="94"/>
        <v>ECOLUZ</v>
      </c>
      <c r="S915" s="17"/>
      <c r="T915" s="10"/>
    </row>
    <row r="916" spans="1:20" ht="27" customHeight="1" x14ac:dyDescent="0.25">
      <c r="A916" s="8" t="s">
        <v>2124</v>
      </c>
      <c r="B916" s="9"/>
      <c r="C916" s="9"/>
      <c r="D916" s="8"/>
      <c r="E916" s="8"/>
      <c r="F916" s="8"/>
      <c r="G916" s="10"/>
      <c r="H916" s="8" t="s">
        <v>2188</v>
      </c>
      <c r="I916" s="10" t="s">
        <v>2189</v>
      </c>
      <c r="J916" s="11" t="s">
        <v>33</v>
      </c>
      <c r="K916" s="18">
        <f>235000*3.5</f>
        <v>822500</v>
      </c>
      <c r="L916" s="12">
        <f t="shared" si="92"/>
        <v>1175000</v>
      </c>
      <c r="M916" s="8">
        <v>1</v>
      </c>
      <c r="N916" s="8" t="s">
        <v>27</v>
      </c>
      <c r="O916" s="13">
        <f t="shared" si="95"/>
        <v>0</v>
      </c>
      <c r="P916" s="14">
        <v>0</v>
      </c>
      <c r="Q916" s="15">
        <v>0.3</v>
      </c>
      <c r="R916" s="16" t="str">
        <f t="shared" si="94"/>
        <v>ECOLUZ</v>
      </c>
      <c r="S916" s="17"/>
      <c r="T916" s="10"/>
    </row>
    <row r="917" spans="1:20" ht="27" customHeight="1" x14ac:dyDescent="0.25">
      <c r="A917" s="8" t="s">
        <v>2124</v>
      </c>
      <c r="B917" s="9"/>
      <c r="C917" s="9"/>
      <c r="D917" s="8"/>
      <c r="E917" s="8"/>
      <c r="F917" s="8"/>
      <c r="G917" s="10"/>
      <c r="H917" s="8" t="s">
        <v>2190</v>
      </c>
      <c r="I917" s="10" t="s">
        <v>2191</v>
      </c>
      <c r="J917" s="11" t="s">
        <v>33</v>
      </c>
      <c r="K917" s="18">
        <v>875000</v>
      </c>
      <c r="L917" s="12">
        <f t="shared" si="92"/>
        <v>1250000</v>
      </c>
      <c r="M917" s="8">
        <v>1</v>
      </c>
      <c r="N917" s="8" t="s">
        <v>27</v>
      </c>
      <c r="O917" s="13">
        <f t="shared" si="95"/>
        <v>0</v>
      </c>
      <c r="P917" s="14">
        <v>0</v>
      </c>
      <c r="Q917" s="15">
        <v>0.3</v>
      </c>
      <c r="R917" s="16" t="str">
        <f t="shared" si="94"/>
        <v>ECOLUZ</v>
      </c>
      <c r="S917" s="17"/>
      <c r="T917" s="10"/>
    </row>
    <row r="918" spans="1:20" ht="27" customHeight="1" x14ac:dyDescent="0.25">
      <c r="A918" s="8" t="s">
        <v>2124</v>
      </c>
      <c r="B918" s="9"/>
      <c r="C918" s="9"/>
      <c r="D918" s="8"/>
      <c r="E918" s="8"/>
      <c r="F918" s="8"/>
      <c r="G918" s="10"/>
      <c r="H918" s="8" t="s">
        <v>2192</v>
      </c>
      <c r="I918" s="10" t="s">
        <v>2193</v>
      </c>
      <c r="J918" s="11" t="s">
        <v>33</v>
      </c>
      <c r="K918" s="18">
        <v>1200000</v>
      </c>
      <c r="L918" s="12">
        <f t="shared" si="92"/>
        <v>1714300</v>
      </c>
      <c r="M918" s="8">
        <v>1</v>
      </c>
      <c r="N918" s="8" t="s">
        <v>27</v>
      </c>
      <c r="O918" s="13">
        <f t="shared" si="95"/>
        <v>0</v>
      </c>
      <c r="P918" s="14">
        <v>0</v>
      </c>
      <c r="Q918" s="15">
        <v>0.3</v>
      </c>
      <c r="R918" s="16" t="str">
        <f t="shared" si="94"/>
        <v>ECOLUZ</v>
      </c>
      <c r="S918" s="17"/>
      <c r="T918" s="10"/>
    </row>
    <row r="919" spans="1:20" ht="27" customHeight="1" x14ac:dyDescent="0.25">
      <c r="A919" s="8" t="s">
        <v>2124</v>
      </c>
      <c r="B919" s="9"/>
      <c r="C919" s="9"/>
      <c r="D919" s="8"/>
      <c r="E919" s="8"/>
      <c r="F919" s="8"/>
      <c r="G919" s="10"/>
      <c r="H919" s="8" t="s">
        <v>2194</v>
      </c>
      <c r="I919" s="10" t="s">
        <v>2195</v>
      </c>
      <c r="J919" s="11" t="s">
        <v>33</v>
      </c>
      <c r="K919" s="18">
        <v>475000</v>
      </c>
      <c r="L919" s="12">
        <f t="shared" si="92"/>
        <v>678600</v>
      </c>
      <c r="M919" s="8">
        <v>1</v>
      </c>
      <c r="N919" s="8" t="s">
        <v>27</v>
      </c>
      <c r="O919" s="13">
        <f t="shared" si="95"/>
        <v>0</v>
      </c>
      <c r="P919" s="14">
        <v>0</v>
      </c>
      <c r="Q919" s="15">
        <v>0.3</v>
      </c>
      <c r="R919" s="16" t="str">
        <f t="shared" si="94"/>
        <v>ECOLUZ</v>
      </c>
      <c r="S919" s="17"/>
      <c r="T919" s="10"/>
    </row>
    <row r="920" spans="1:20" ht="27" customHeight="1" x14ac:dyDescent="0.25">
      <c r="A920" s="8" t="s">
        <v>2124</v>
      </c>
      <c r="B920" s="9"/>
      <c r="C920" s="9"/>
      <c r="D920" s="8"/>
      <c r="E920" s="8"/>
      <c r="F920" s="8"/>
      <c r="G920" s="10"/>
      <c r="H920" s="8" t="s">
        <v>2196</v>
      </c>
      <c r="I920" s="10" t="s">
        <v>2197</v>
      </c>
      <c r="J920" s="11" t="s">
        <v>33</v>
      </c>
      <c r="K920" s="18">
        <v>635000</v>
      </c>
      <c r="L920" s="12">
        <f t="shared" ref="L920:L942" si="96">IF(J920="P",ROUNDUP(K920/(1-Q920),-2),K920*(1+P920)/(1-Q920))</f>
        <v>907200</v>
      </c>
      <c r="M920" s="8">
        <v>1</v>
      </c>
      <c r="N920" s="8" t="s">
        <v>27</v>
      </c>
      <c r="O920" s="13">
        <f t="shared" si="95"/>
        <v>0</v>
      </c>
      <c r="P920" s="14">
        <v>0</v>
      </c>
      <c r="Q920" s="15">
        <v>0.3</v>
      </c>
      <c r="R920" s="16" t="str">
        <f t="shared" si="94"/>
        <v>ECOLUZ</v>
      </c>
      <c r="S920" s="17"/>
      <c r="T920" s="10"/>
    </row>
    <row r="921" spans="1:20" ht="27" customHeight="1" x14ac:dyDescent="0.25">
      <c r="A921" s="8" t="s">
        <v>2124</v>
      </c>
      <c r="B921" s="9"/>
      <c r="C921" s="9"/>
      <c r="D921" s="8"/>
      <c r="E921" s="8"/>
      <c r="F921" s="8"/>
      <c r="G921" s="10"/>
      <c r="H921" s="8" t="s">
        <v>2198</v>
      </c>
      <c r="I921" s="10" t="s">
        <v>2199</v>
      </c>
      <c r="J921" s="11" t="s">
        <v>33</v>
      </c>
      <c r="K921" s="18">
        <v>745000</v>
      </c>
      <c r="L921" s="12">
        <f t="shared" si="96"/>
        <v>1064300</v>
      </c>
      <c r="M921" s="8">
        <v>1</v>
      </c>
      <c r="N921" s="8" t="s">
        <v>27</v>
      </c>
      <c r="O921" s="13">
        <f t="shared" si="95"/>
        <v>0</v>
      </c>
      <c r="P921" s="14">
        <v>0</v>
      </c>
      <c r="Q921" s="15">
        <v>0.3</v>
      </c>
      <c r="R921" s="16" t="str">
        <f t="shared" si="94"/>
        <v>ECOLUZ</v>
      </c>
      <c r="S921" s="17"/>
      <c r="T921" s="10"/>
    </row>
    <row r="922" spans="1:20" ht="27" customHeight="1" x14ac:dyDescent="0.25">
      <c r="A922" s="8" t="s">
        <v>2124</v>
      </c>
      <c r="B922" s="9"/>
      <c r="C922" s="9"/>
      <c r="D922" s="8"/>
      <c r="E922" s="8"/>
      <c r="F922" s="8"/>
      <c r="G922" s="10"/>
      <c r="H922" s="8" t="s">
        <v>2200</v>
      </c>
      <c r="I922" s="10" t="s">
        <v>2201</v>
      </c>
      <c r="J922" s="11" t="s">
        <v>33</v>
      </c>
      <c r="K922" s="18">
        <v>335000</v>
      </c>
      <c r="L922" s="12">
        <f t="shared" si="96"/>
        <v>478600</v>
      </c>
      <c r="M922" s="8">
        <v>1</v>
      </c>
      <c r="N922" s="8" t="s">
        <v>27</v>
      </c>
      <c r="O922" s="13">
        <f t="shared" si="95"/>
        <v>0</v>
      </c>
      <c r="P922" s="14">
        <v>0</v>
      </c>
      <c r="Q922" s="15">
        <v>0.3</v>
      </c>
      <c r="R922" s="16" t="str">
        <f t="shared" si="94"/>
        <v>ECOLUZ</v>
      </c>
      <c r="S922" s="17"/>
      <c r="T922" s="10"/>
    </row>
    <row r="923" spans="1:20" ht="27" customHeight="1" x14ac:dyDescent="0.25">
      <c r="A923" s="8" t="s">
        <v>2124</v>
      </c>
      <c r="B923" s="9"/>
      <c r="C923" s="9"/>
      <c r="D923" s="8"/>
      <c r="E923" s="8"/>
      <c r="F923" s="8"/>
      <c r="G923" s="10"/>
      <c r="H923" s="8" t="s">
        <v>2202</v>
      </c>
      <c r="I923" s="10" t="s">
        <v>2201</v>
      </c>
      <c r="J923" s="11" t="s">
        <v>33</v>
      </c>
      <c r="K923" s="18">
        <v>330000</v>
      </c>
      <c r="L923" s="12">
        <f t="shared" si="96"/>
        <v>471500</v>
      </c>
      <c r="M923" s="8">
        <v>1</v>
      </c>
      <c r="N923" s="8" t="s">
        <v>27</v>
      </c>
      <c r="O923" s="13">
        <f t="shared" si="95"/>
        <v>0</v>
      </c>
      <c r="P923" s="14">
        <v>0</v>
      </c>
      <c r="Q923" s="15">
        <v>0.3</v>
      </c>
      <c r="R923" s="16" t="str">
        <f t="shared" si="94"/>
        <v>ECOLUZ</v>
      </c>
      <c r="S923" s="17"/>
      <c r="T923" s="10"/>
    </row>
    <row r="924" spans="1:20" ht="27" customHeight="1" x14ac:dyDescent="0.25">
      <c r="A924" s="8" t="s">
        <v>2124</v>
      </c>
      <c r="B924" s="9"/>
      <c r="C924" s="9"/>
      <c r="D924" s="8"/>
      <c r="E924" s="8"/>
      <c r="F924" s="8"/>
      <c r="G924" s="10"/>
      <c r="H924" s="8" t="s">
        <v>2203</v>
      </c>
      <c r="I924" s="10" t="s">
        <v>2204</v>
      </c>
      <c r="J924" s="11" t="s">
        <v>33</v>
      </c>
      <c r="K924" s="18">
        <v>435000</v>
      </c>
      <c r="L924" s="12">
        <f t="shared" si="96"/>
        <v>621500</v>
      </c>
      <c r="M924" s="8">
        <v>1</v>
      </c>
      <c r="N924" s="8" t="s">
        <v>27</v>
      </c>
      <c r="O924" s="13">
        <f t="shared" si="95"/>
        <v>0</v>
      </c>
      <c r="P924" s="14">
        <v>0</v>
      </c>
      <c r="Q924" s="15">
        <v>0.3</v>
      </c>
      <c r="R924" s="16" t="str">
        <f t="shared" si="94"/>
        <v>ECOLUZ</v>
      </c>
      <c r="S924" s="17"/>
      <c r="T924" s="10"/>
    </row>
    <row r="925" spans="1:20" ht="27" customHeight="1" x14ac:dyDescent="0.25">
      <c r="A925" s="8" t="s">
        <v>2124</v>
      </c>
      <c r="B925" s="9"/>
      <c r="C925" s="9"/>
      <c r="D925" s="8"/>
      <c r="E925" s="8"/>
      <c r="F925" s="8"/>
      <c r="G925" s="10"/>
      <c r="H925" s="8" t="s">
        <v>2205</v>
      </c>
      <c r="I925" s="10" t="s">
        <v>2206</v>
      </c>
      <c r="J925" s="11" t="s">
        <v>33</v>
      </c>
      <c r="K925" s="18">
        <v>187500</v>
      </c>
      <c r="L925" s="12">
        <f t="shared" si="96"/>
        <v>267900</v>
      </c>
      <c r="M925" s="8">
        <v>1</v>
      </c>
      <c r="N925" s="8" t="s">
        <v>27</v>
      </c>
      <c r="O925" s="13">
        <f t="shared" si="95"/>
        <v>0</v>
      </c>
      <c r="P925" s="14">
        <v>0</v>
      </c>
      <c r="Q925" s="15">
        <v>0.3</v>
      </c>
      <c r="R925" s="16" t="str">
        <f t="shared" si="94"/>
        <v>ECOLUZ</v>
      </c>
      <c r="S925" s="17"/>
      <c r="T925" s="10"/>
    </row>
    <row r="926" spans="1:20" ht="27" customHeight="1" x14ac:dyDescent="0.25">
      <c r="A926" s="8" t="s">
        <v>2124</v>
      </c>
      <c r="B926" s="9"/>
      <c r="C926" s="9"/>
      <c r="D926" s="8"/>
      <c r="E926" s="8"/>
      <c r="F926" s="8"/>
      <c r="G926" s="10"/>
      <c r="H926" s="8" t="s">
        <v>2207</v>
      </c>
      <c r="I926" s="10" t="s">
        <v>2208</v>
      </c>
      <c r="J926" s="11" t="s">
        <v>33</v>
      </c>
      <c r="K926" s="18">
        <v>215000</v>
      </c>
      <c r="L926" s="12">
        <f t="shared" si="96"/>
        <v>307200</v>
      </c>
      <c r="M926" s="8">
        <v>1</v>
      </c>
      <c r="N926" s="8" t="s">
        <v>27</v>
      </c>
      <c r="O926" s="13">
        <f t="shared" si="95"/>
        <v>0</v>
      </c>
      <c r="P926" s="14">
        <v>0</v>
      </c>
      <c r="Q926" s="15">
        <v>0.3</v>
      </c>
      <c r="R926" s="16" t="str">
        <f t="shared" si="94"/>
        <v>ECOLUZ</v>
      </c>
      <c r="S926" s="17"/>
      <c r="T926" s="10"/>
    </row>
    <row r="927" spans="1:20" ht="27" customHeight="1" x14ac:dyDescent="0.25">
      <c r="A927" s="8" t="s">
        <v>2124</v>
      </c>
      <c r="B927" s="9"/>
      <c r="C927" s="9"/>
      <c r="D927" s="8"/>
      <c r="E927" s="8"/>
      <c r="F927" s="8"/>
      <c r="G927" s="10"/>
      <c r="H927" s="8" t="s">
        <v>2209</v>
      </c>
      <c r="I927" s="10" t="s">
        <v>2210</v>
      </c>
      <c r="J927" s="11" t="s">
        <v>33</v>
      </c>
      <c r="K927" s="18">
        <v>2750000</v>
      </c>
      <c r="L927" s="12">
        <f t="shared" si="96"/>
        <v>3928600</v>
      </c>
      <c r="M927" s="8">
        <v>1</v>
      </c>
      <c r="N927" s="8" t="s">
        <v>27</v>
      </c>
      <c r="O927" s="13"/>
      <c r="P927" s="14">
        <v>0</v>
      </c>
      <c r="Q927" s="15">
        <v>0.3</v>
      </c>
      <c r="R927" s="16" t="str">
        <f t="shared" si="94"/>
        <v>ECOLUZ</v>
      </c>
      <c r="S927" s="17"/>
      <c r="T927" s="10"/>
    </row>
    <row r="928" spans="1:20" ht="27" customHeight="1" x14ac:dyDescent="0.25">
      <c r="A928" s="8" t="s">
        <v>2211</v>
      </c>
      <c r="B928" s="9"/>
      <c r="C928" s="9"/>
      <c r="D928" s="8"/>
      <c r="E928" s="8"/>
      <c r="F928" s="8" t="s">
        <v>22</v>
      </c>
      <c r="G928" s="10" t="s">
        <v>2212</v>
      </c>
      <c r="H928" s="8" t="s">
        <v>2213</v>
      </c>
      <c r="I928" s="10" t="s">
        <v>2212</v>
      </c>
      <c r="J928" s="11" t="s">
        <v>33</v>
      </c>
      <c r="K928" s="18">
        <v>261000</v>
      </c>
      <c r="L928" s="12">
        <f t="shared" si="96"/>
        <v>372900</v>
      </c>
      <c r="M928" s="8">
        <v>1</v>
      </c>
      <c r="N928" s="8" t="s">
        <v>27</v>
      </c>
      <c r="O928" s="13"/>
      <c r="P928" s="14">
        <v>0</v>
      </c>
      <c r="Q928" s="15">
        <v>0.3</v>
      </c>
      <c r="R928" s="16" t="str">
        <f t="shared" si="94"/>
        <v>EGLO</v>
      </c>
      <c r="S928" s="17"/>
      <c r="T928" s="10" t="str">
        <f t="shared" ref="T928:T942" si="97">G928</f>
        <v>APLIQUE RIGA EGLO PARA BOMBILLA GU10</v>
      </c>
    </row>
    <row r="929" spans="1:20" ht="27" customHeight="1" x14ac:dyDescent="0.25">
      <c r="A929" s="8" t="s">
        <v>2214</v>
      </c>
      <c r="B929" s="9"/>
      <c r="C929" s="9"/>
      <c r="D929" s="8"/>
      <c r="E929" s="8"/>
      <c r="F929" s="8" t="s">
        <v>22</v>
      </c>
      <c r="G929" s="10" t="s">
        <v>2215</v>
      </c>
      <c r="H929" s="8" t="s">
        <v>2216</v>
      </c>
      <c r="I929" s="10" t="s">
        <v>2215</v>
      </c>
      <c r="J929" s="11" t="s">
        <v>26</v>
      </c>
      <c r="K929" s="18">
        <v>8.15</v>
      </c>
      <c r="L929" s="12">
        <f t="shared" si="96"/>
        <v>16.3</v>
      </c>
      <c r="M929" s="8">
        <v>1</v>
      </c>
      <c r="N929" s="8" t="s">
        <v>27</v>
      </c>
      <c r="O929" s="13"/>
      <c r="P929" s="14">
        <v>0.2</v>
      </c>
      <c r="Q929" s="15">
        <v>0.4</v>
      </c>
      <c r="R929" s="16" t="str">
        <f t="shared" si="94"/>
        <v>ELECTRIC</v>
      </c>
      <c r="S929" s="17"/>
      <c r="T929" s="10" t="str">
        <f t="shared" si="97"/>
        <v>CAJA ELÉCTRICA DE PASO HERMÉTICA</v>
      </c>
    </row>
    <row r="930" spans="1:20" ht="27" customHeight="1" x14ac:dyDescent="0.25">
      <c r="A930" s="8" t="s">
        <v>2217</v>
      </c>
      <c r="B930" s="9"/>
      <c r="C930" s="9"/>
      <c r="D930" s="8"/>
      <c r="E930" s="8"/>
      <c r="F930" s="8" t="s">
        <v>22</v>
      </c>
      <c r="G930" s="10" t="s">
        <v>2218</v>
      </c>
      <c r="H930" s="8" t="s">
        <v>2219</v>
      </c>
      <c r="I930" s="10" t="s">
        <v>2218</v>
      </c>
      <c r="J930" s="11" t="s">
        <v>33</v>
      </c>
      <c r="K930" s="18">
        <v>69900</v>
      </c>
      <c r="L930" s="12">
        <f t="shared" si="96"/>
        <v>87400</v>
      </c>
      <c r="M930" s="8">
        <v>1</v>
      </c>
      <c r="N930" s="8" t="s">
        <v>27</v>
      </c>
      <c r="O930" s="13"/>
      <c r="P930" s="14">
        <v>0.2</v>
      </c>
      <c r="Q930" s="15">
        <v>0.2</v>
      </c>
      <c r="R930" s="16" t="str">
        <f t="shared" si="94"/>
        <v>ELECTRIC LINE</v>
      </c>
      <c r="S930" s="17"/>
      <c r="T930" s="10" t="str">
        <f t="shared" si="97"/>
        <v>SOPORTE FIJO PATA TV LED</v>
      </c>
    </row>
    <row r="931" spans="1:20" ht="27" customHeight="1" x14ac:dyDescent="0.25">
      <c r="A931" s="8" t="s">
        <v>2220</v>
      </c>
      <c r="B931" s="9"/>
      <c r="C931" s="9"/>
      <c r="D931" s="8"/>
      <c r="E931" s="8"/>
      <c r="F931" s="8" t="s">
        <v>22</v>
      </c>
      <c r="G931" s="10" t="s">
        <v>2221</v>
      </c>
      <c r="H931" s="8" t="s">
        <v>2222</v>
      </c>
      <c r="I931" s="10" t="s">
        <v>2221</v>
      </c>
      <c r="J931" s="11" t="s">
        <v>26</v>
      </c>
      <c r="K931" s="18">
        <v>45</v>
      </c>
      <c r="L931" s="12">
        <f t="shared" si="96"/>
        <v>77.142857142857153</v>
      </c>
      <c r="M931" s="8">
        <v>1</v>
      </c>
      <c r="N931" s="8" t="s">
        <v>27</v>
      </c>
      <c r="O931" s="13"/>
      <c r="P931" s="14">
        <v>0.2</v>
      </c>
      <c r="Q931" s="15">
        <v>0.3</v>
      </c>
      <c r="R931" s="16" t="str">
        <f t="shared" si="94"/>
        <v>ELECTRICDUT</v>
      </c>
      <c r="S931" s="17" t="s">
        <v>2223</v>
      </c>
      <c r="T931" s="10" t="str">
        <f t="shared" si="97"/>
        <v>MULTITOMA DE ESCONDER CON 4 CONECTORES 110VAC Y DOS CONECTORES USB.</v>
      </c>
    </row>
    <row r="932" spans="1:20" ht="27" customHeight="1" x14ac:dyDescent="0.25">
      <c r="A932" s="8" t="s">
        <v>2224</v>
      </c>
      <c r="B932" s="9" t="s">
        <v>2225</v>
      </c>
      <c r="C932" s="9"/>
      <c r="D932" s="8" t="s">
        <v>148</v>
      </c>
      <c r="E932" s="8">
        <v>1</v>
      </c>
      <c r="F932" s="8" t="s">
        <v>22</v>
      </c>
      <c r="G932" s="10" t="s">
        <v>2226</v>
      </c>
      <c r="H932" s="8" t="s">
        <v>2227</v>
      </c>
      <c r="I932" s="10" t="s">
        <v>2228</v>
      </c>
      <c r="J932" s="11" t="s">
        <v>26</v>
      </c>
      <c r="K932" s="18">
        <v>2412</v>
      </c>
      <c r="L932" s="12">
        <f t="shared" si="96"/>
        <v>3859.2000000000003</v>
      </c>
      <c r="M932" s="8">
        <v>1</v>
      </c>
      <c r="N932" s="8" t="s">
        <v>27</v>
      </c>
      <c r="O932" s="13"/>
      <c r="P932" s="14">
        <v>0.2</v>
      </c>
      <c r="Q932" s="15">
        <v>0.25</v>
      </c>
      <c r="R932" s="16" t="str">
        <f t="shared" si="94"/>
        <v>ELECTRO_VOICE</v>
      </c>
      <c r="S932" s="17"/>
      <c r="T932" s="10" t="str">
        <f t="shared" si="97"/>
        <v>CPS4.10 AMPLIFICADOR DE CUATRO CANALES.</v>
      </c>
    </row>
    <row r="933" spans="1:20" ht="27" customHeight="1" x14ac:dyDescent="0.25">
      <c r="A933" s="8" t="s">
        <v>2224</v>
      </c>
      <c r="B933" s="9" t="s">
        <v>2225</v>
      </c>
      <c r="C933" s="9"/>
      <c r="D933" s="8" t="s">
        <v>148</v>
      </c>
      <c r="E933" s="8">
        <v>2</v>
      </c>
      <c r="F933" s="8" t="s">
        <v>22</v>
      </c>
      <c r="G933" s="10" t="s">
        <v>2229</v>
      </c>
      <c r="H933" s="8" t="s">
        <v>2230</v>
      </c>
      <c r="I933" s="10" t="s">
        <v>2231</v>
      </c>
      <c r="J933" s="11" t="s">
        <v>26</v>
      </c>
      <c r="K933" s="18">
        <v>2694</v>
      </c>
      <c r="L933" s="12">
        <f t="shared" si="96"/>
        <v>4310.3999999999996</v>
      </c>
      <c r="M933" s="8">
        <v>2</v>
      </c>
      <c r="N933" s="8" t="s">
        <v>27</v>
      </c>
      <c r="O933" s="13"/>
      <c r="P933" s="14">
        <v>0.2</v>
      </c>
      <c r="Q933" s="15">
        <v>0.25</v>
      </c>
      <c r="R933" s="16" t="str">
        <f t="shared" si="94"/>
        <v>ELECTRO_VOICE</v>
      </c>
      <c r="S933" s="17"/>
      <c r="T933" s="10" t="str">
        <f t="shared" si="97"/>
        <v>CPS8.5 AMPLIFICADOR DE 8 CANALES.</v>
      </c>
    </row>
    <row r="934" spans="1:20" ht="27" customHeight="1" x14ac:dyDescent="0.25">
      <c r="A934" s="8" t="s">
        <v>2224</v>
      </c>
      <c r="B934" s="9" t="s">
        <v>2225</v>
      </c>
      <c r="C934" s="9"/>
      <c r="D934" s="8" t="s">
        <v>2232</v>
      </c>
      <c r="E934" s="8">
        <v>1</v>
      </c>
      <c r="F934" s="8" t="s">
        <v>22</v>
      </c>
      <c r="G934" s="10" t="s">
        <v>2233</v>
      </c>
      <c r="H934" s="8" t="s">
        <v>2234</v>
      </c>
      <c r="I934" s="10" t="s">
        <v>2235</v>
      </c>
      <c r="J934" s="11" t="s">
        <v>26</v>
      </c>
      <c r="K934" s="18">
        <v>275</v>
      </c>
      <c r="L934" s="12">
        <f t="shared" si="96"/>
        <v>440</v>
      </c>
      <c r="M934" s="8">
        <v>3</v>
      </c>
      <c r="N934" s="8" t="s">
        <v>27</v>
      </c>
      <c r="O934" s="13"/>
      <c r="P934" s="14">
        <v>0.2</v>
      </c>
      <c r="Q934" s="15">
        <v>0.25</v>
      </c>
      <c r="R934" s="16" t="str">
        <f t="shared" si="94"/>
        <v>ELECTRO_VOICE</v>
      </c>
      <c r="S934" s="17"/>
      <c r="T934" s="10" t="str">
        <f t="shared" si="97"/>
        <v>MICROFONO CUELLO DE GANZO.</v>
      </c>
    </row>
    <row r="935" spans="1:20" ht="27" customHeight="1" x14ac:dyDescent="0.25">
      <c r="A935" s="8" t="s">
        <v>2224</v>
      </c>
      <c r="B935" s="9" t="s">
        <v>2225</v>
      </c>
      <c r="C935" s="9"/>
      <c r="D935" s="8" t="s">
        <v>148</v>
      </c>
      <c r="E935" s="8">
        <v>3</v>
      </c>
      <c r="F935" s="8" t="s">
        <v>22</v>
      </c>
      <c r="G935" s="10" t="s">
        <v>2236</v>
      </c>
      <c r="H935" s="8" t="s">
        <v>2237</v>
      </c>
      <c r="I935" s="10" t="s">
        <v>2236</v>
      </c>
      <c r="J935" s="11" t="s">
        <v>26</v>
      </c>
      <c r="K935" s="18">
        <v>415</v>
      </c>
      <c r="L935" s="12">
        <f t="shared" si="96"/>
        <v>664</v>
      </c>
      <c r="M935" s="8">
        <v>4</v>
      </c>
      <c r="N935" s="8" t="s">
        <v>27</v>
      </c>
      <c r="O935" s="13"/>
      <c r="P935" s="14">
        <v>0.2</v>
      </c>
      <c r="Q935" s="15">
        <v>0.25</v>
      </c>
      <c r="R935" s="16" t="str">
        <f t="shared" si="94"/>
        <v>ELECTRO_VOICE</v>
      </c>
      <c r="S935" s="17"/>
      <c r="T935" s="10" t="str">
        <f t="shared" si="97"/>
        <v xml:space="preserve">MEZCLADOR DE 6 CANALES XLR Y 2 ENTRADAS AUXILIARES, SALIDA PRE AMPLIFICADA. </v>
      </c>
    </row>
    <row r="936" spans="1:20" ht="27" customHeight="1" x14ac:dyDescent="0.25">
      <c r="A936" s="8" t="s">
        <v>2224</v>
      </c>
      <c r="B936" s="9" t="s">
        <v>2225</v>
      </c>
      <c r="C936" s="9"/>
      <c r="D936" s="8" t="s">
        <v>2232</v>
      </c>
      <c r="E936" s="8">
        <v>2</v>
      </c>
      <c r="F936" s="8" t="s">
        <v>22</v>
      </c>
      <c r="G936" s="10" t="s">
        <v>2233</v>
      </c>
      <c r="H936" s="8" t="s">
        <v>2238</v>
      </c>
      <c r="I936" s="10" t="s">
        <v>2239</v>
      </c>
      <c r="J936" s="11" t="s">
        <v>26</v>
      </c>
      <c r="K936" s="18">
        <v>275</v>
      </c>
      <c r="L936" s="12">
        <f t="shared" si="96"/>
        <v>440</v>
      </c>
      <c r="M936" s="8">
        <v>5</v>
      </c>
      <c r="N936" s="8" t="s">
        <v>27</v>
      </c>
      <c r="O936" s="13"/>
      <c r="P936" s="14">
        <v>0.2</v>
      </c>
      <c r="Q936" s="15">
        <v>0.25</v>
      </c>
      <c r="R936" s="16" t="str">
        <f t="shared" si="94"/>
        <v>ELECTRO_VOICE</v>
      </c>
      <c r="S936" s="17"/>
      <c r="T936" s="10" t="str">
        <f t="shared" si="97"/>
        <v>MICROFONO CUELLO DE GANZO.</v>
      </c>
    </row>
    <row r="937" spans="1:20" ht="27" customHeight="1" x14ac:dyDescent="0.25">
      <c r="A937" s="8" t="s">
        <v>2224</v>
      </c>
      <c r="B937" s="9" t="s">
        <v>2225</v>
      </c>
      <c r="C937" s="9"/>
      <c r="D937" s="8" t="s">
        <v>869</v>
      </c>
      <c r="E937" s="8">
        <v>1</v>
      </c>
      <c r="F937" s="8" t="s">
        <v>22</v>
      </c>
      <c r="G937" s="10" t="s">
        <v>2240</v>
      </c>
      <c r="H937" s="8" t="s">
        <v>2241</v>
      </c>
      <c r="I937" s="10" t="s">
        <v>2242</v>
      </c>
      <c r="J937" s="11" t="s">
        <v>26</v>
      </c>
      <c r="K937" s="18">
        <f>261/2</f>
        <v>130.5</v>
      </c>
      <c r="L937" s="12">
        <f t="shared" si="96"/>
        <v>195.74999999999997</v>
      </c>
      <c r="M937" s="8">
        <v>6</v>
      </c>
      <c r="N937" s="8" t="s">
        <v>27</v>
      </c>
      <c r="O937" s="13"/>
      <c r="P937" s="14">
        <v>0.2</v>
      </c>
      <c r="Q937" s="15">
        <v>0.2</v>
      </c>
      <c r="R937" s="16" t="str">
        <f t="shared" si="94"/>
        <v>ELECTRO_VOICE</v>
      </c>
      <c r="S937" s="17"/>
      <c r="T937" s="10" t="str">
        <f t="shared" si="97"/>
        <v>PARLANTE DE 8".</v>
      </c>
    </row>
    <row r="938" spans="1:20" ht="27" customHeight="1" x14ac:dyDescent="0.25">
      <c r="A938" s="8" t="s">
        <v>2224</v>
      </c>
      <c r="B938" s="9" t="s">
        <v>2225</v>
      </c>
      <c r="C938" s="9"/>
      <c r="D938" s="8" t="s">
        <v>2232</v>
      </c>
      <c r="E938" s="8">
        <v>1</v>
      </c>
      <c r="F938" s="8" t="s">
        <v>22</v>
      </c>
      <c r="G938" s="10" t="s">
        <v>2243</v>
      </c>
      <c r="H938" s="8" t="s">
        <v>2244</v>
      </c>
      <c r="I938" s="10" t="s">
        <v>2243</v>
      </c>
      <c r="J938" s="11" t="s">
        <v>26</v>
      </c>
      <c r="K938" s="18">
        <v>240</v>
      </c>
      <c r="L938" s="12">
        <f t="shared" si="96"/>
        <v>411.42857142857144</v>
      </c>
      <c r="M938" s="8">
        <v>7</v>
      </c>
      <c r="N938" s="8" t="s">
        <v>27</v>
      </c>
      <c r="O938" s="13"/>
      <c r="P938" s="14">
        <v>0.2</v>
      </c>
      <c r="Q938" s="15">
        <v>0.3</v>
      </c>
      <c r="R938" s="16" t="str">
        <f t="shared" si="94"/>
        <v>ELECTRO_VOICE</v>
      </c>
      <c r="S938" s="17"/>
      <c r="T938" s="10" t="str">
        <f t="shared" si="97"/>
        <v>SISTEMA DE MICROFONÍA INALÁMBRICO DE MANO CON RECEPTOR. MARCA: ELECTRO VOICE.</v>
      </c>
    </row>
    <row r="939" spans="1:20" ht="27" customHeight="1" x14ac:dyDescent="0.25">
      <c r="A939" s="8" t="s">
        <v>2224</v>
      </c>
      <c r="B939" s="9" t="s">
        <v>2225</v>
      </c>
      <c r="C939" s="9"/>
      <c r="D939" s="8" t="s">
        <v>2232</v>
      </c>
      <c r="E939" s="8">
        <v>2</v>
      </c>
      <c r="F939" s="8" t="s">
        <v>22</v>
      </c>
      <c r="G939" s="10" t="s">
        <v>2245</v>
      </c>
      <c r="H939" s="8" t="s">
        <v>2246</v>
      </c>
      <c r="I939" s="10" t="s">
        <v>2245</v>
      </c>
      <c r="J939" s="11" t="s">
        <v>26</v>
      </c>
      <c r="K939" s="18">
        <v>66</v>
      </c>
      <c r="L939" s="12">
        <f t="shared" si="96"/>
        <v>113.14285714285715</v>
      </c>
      <c r="M939" s="8">
        <v>8</v>
      </c>
      <c r="N939" s="8" t="s">
        <v>27</v>
      </c>
      <c r="O939" s="13"/>
      <c r="P939" s="14">
        <v>0.2</v>
      </c>
      <c r="Q939" s="15">
        <v>0.3</v>
      </c>
      <c r="R939" s="16" t="str">
        <f t="shared" si="94"/>
        <v>ELECTRO_VOICE</v>
      </c>
      <c r="S939" s="17"/>
      <c r="T939" s="10" t="str">
        <f t="shared" si="97"/>
        <v>N/DYM® dynamic cardioid vocal microphone</v>
      </c>
    </row>
    <row r="940" spans="1:20" ht="27" customHeight="1" x14ac:dyDescent="0.25">
      <c r="A940" s="8" t="s">
        <v>2224</v>
      </c>
      <c r="B940" s="9" t="s">
        <v>2225</v>
      </c>
      <c r="C940" s="9"/>
      <c r="D940" s="8" t="s">
        <v>2232</v>
      </c>
      <c r="E940" s="8">
        <v>3</v>
      </c>
      <c r="F940" s="8" t="s">
        <v>22</v>
      </c>
      <c r="G940" s="10" t="s">
        <v>2247</v>
      </c>
      <c r="H940" s="8" t="s">
        <v>2248</v>
      </c>
      <c r="I940" s="10" t="s">
        <v>2247</v>
      </c>
      <c r="J940" s="11" t="s">
        <v>26</v>
      </c>
      <c r="K940" s="18">
        <v>74</v>
      </c>
      <c r="L940" s="12">
        <f t="shared" si="96"/>
        <v>126.85714285714286</v>
      </c>
      <c r="M940" s="8">
        <v>9</v>
      </c>
      <c r="N940" s="8" t="s">
        <v>27</v>
      </c>
      <c r="O940" s="13"/>
      <c r="P940" s="14">
        <v>0.2</v>
      </c>
      <c r="Q940" s="15">
        <v>0.3</v>
      </c>
      <c r="R940" s="16" t="str">
        <f t="shared" si="94"/>
        <v>ELECTRO_VOICE</v>
      </c>
      <c r="S940" s="17"/>
      <c r="T940" s="10" t="str">
        <f t="shared" si="97"/>
        <v>N/DYM® dynamic supercardioid instrument microphone</v>
      </c>
    </row>
    <row r="941" spans="1:20" ht="27" customHeight="1" x14ac:dyDescent="0.25">
      <c r="A941" s="8" t="s">
        <v>2224</v>
      </c>
      <c r="B941" s="9" t="s">
        <v>2225</v>
      </c>
      <c r="C941" s="9"/>
      <c r="D941" s="8" t="s">
        <v>2249</v>
      </c>
      <c r="E941" s="8">
        <v>4</v>
      </c>
      <c r="F941" s="8" t="s">
        <v>22</v>
      </c>
      <c r="G941" s="10" t="s">
        <v>2250</v>
      </c>
      <c r="H941" s="8" t="s">
        <v>2251</v>
      </c>
      <c r="I941" s="10" t="s">
        <v>2250</v>
      </c>
      <c r="J941" s="11" t="s">
        <v>26</v>
      </c>
      <c r="K941" s="18">
        <v>605</v>
      </c>
      <c r="L941" s="12">
        <f t="shared" si="96"/>
        <v>907.5</v>
      </c>
      <c r="M941" s="8">
        <v>10</v>
      </c>
      <c r="N941" s="8" t="s">
        <v>27</v>
      </c>
      <c r="O941" s="13"/>
      <c r="P941" s="14">
        <v>0.2</v>
      </c>
      <c r="Q941" s="15">
        <v>0.2</v>
      </c>
      <c r="R941" s="16" t="str">
        <f t="shared" si="94"/>
        <v>ELECTRO_VOICE</v>
      </c>
      <c r="S941" s="17"/>
      <c r="T941" s="10" t="str">
        <f t="shared" si="97"/>
        <v xml:space="preserve">Q66-II Power Amplifier, 2x 600W @ 4 Ohms, 2U, 120V </v>
      </c>
    </row>
    <row r="942" spans="1:20" ht="27" customHeight="1" x14ac:dyDescent="0.25">
      <c r="A942" s="8" t="s">
        <v>2252</v>
      </c>
      <c r="B942" s="9" t="s">
        <v>1070</v>
      </c>
      <c r="C942" s="9"/>
      <c r="D942" s="8" t="s">
        <v>28</v>
      </c>
      <c r="E942" s="8">
        <v>2</v>
      </c>
      <c r="F942" s="8" t="s">
        <v>22</v>
      </c>
      <c r="G942" s="10" t="s">
        <v>2253</v>
      </c>
      <c r="H942" s="8" t="s">
        <v>2254</v>
      </c>
      <c r="I942" s="10" t="s">
        <v>2255</v>
      </c>
      <c r="J942" s="11" t="s">
        <v>33</v>
      </c>
      <c r="K942" s="18">
        <f>592000/300</f>
        <v>1973.3333333333333</v>
      </c>
      <c r="L942" s="12">
        <f t="shared" si="96"/>
        <v>2500</v>
      </c>
      <c r="M942" s="8">
        <v>1</v>
      </c>
      <c r="N942" s="8" t="s">
        <v>110</v>
      </c>
      <c r="O942" s="13"/>
      <c r="P942" s="14">
        <v>0.2</v>
      </c>
      <c r="Q942" s="15">
        <v>0.2</v>
      </c>
      <c r="R942" s="16" t="str">
        <f t="shared" si="94"/>
        <v>ELECTROEXPERTS</v>
      </c>
      <c r="S942" s="17"/>
      <c r="T942" s="10" t="str">
        <f t="shared" si="97"/>
        <v>METRO DE CABLE PARA DETECCIÓN DE ALARMA DE INCENDIO 2X16, ROLLO POR 1000 PIES.</v>
      </c>
    </row>
    <row r="943" spans="1:20" ht="27" customHeight="1" x14ac:dyDescent="0.25">
      <c r="A943" s="8" t="s">
        <v>2256</v>
      </c>
      <c r="B943" s="9"/>
      <c r="C943" s="9"/>
      <c r="D943" s="8"/>
      <c r="E943" s="8"/>
      <c r="F943" s="8"/>
      <c r="G943" s="10"/>
      <c r="H943" s="8" t="s">
        <v>2257</v>
      </c>
      <c r="I943" s="10" t="s">
        <v>2258</v>
      </c>
      <c r="J943" s="11" t="s">
        <v>26</v>
      </c>
      <c r="K943" s="18">
        <v>46</v>
      </c>
      <c r="L943" s="12">
        <f>ROUNDUP(K943*(1+P943)/(1-Q943),0)</f>
        <v>77</v>
      </c>
      <c r="M943" s="8">
        <v>1</v>
      </c>
      <c r="N943" s="8" t="s">
        <v>27</v>
      </c>
      <c r="O943" s="13"/>
      <c r="P943" s="14">
        <v>0</v>
      </c>
      <c r="Q943" s="15">
        <v>0.4</v>
      </c>
      <c r="R943" s="16" t="str">
        <f t="shared" si="94"/>
        <v>ELF</v>
      </c>
      <c r="S943" s="17" t="s">
        <v>2259</v>
      </c>
      <c r="T943" s="10"/>
    </row>
    <row r="944" spans="1:20" ht="27" customHeight="1" x14ac:dyDescent="0.25">
      <c r="A944" s="8" t="s">
        <v>2260</v>
      </c>
      <c r="B944" s="9"/>
      <c r="C944" s="9"/>
      <c r="D944" s="8"/>
      <c r="E944" s="8"/>
      <c r="F944" s="8"/>
      <c r="G944" s="10"/>
      <c r="H944" s="8" t="s">
        <v>2261</v>
      </c>
      <c r="I944" s="10" t="s">
        <v>2262</v>
      </c>
      <c r="J944" s="11" t="s">
        <v>33</v>
      </c>
      <c r="K944" s="18">
        <v>890000</v>
      </c>
      <c r="L944" s="12">
        <f t="shared" ref="L944:L950" si="98">IF(J944="P",ROUNDUP(K944/(1-Q944),-2),K944*(1+P944)/(1-Q944))</f>
        <v>1271500</v>
      </c>
      <c r="M944" s="8">
        <v>1</v>
      </c>
      <c r="N944" s="8" t="s">
        <v>27</v>
      </c>
      <c r="O944" s="13">
        <f>F944</f>
        <v>0</v>
      </c>
      <c r="P944" s="14">
        <v>0</v>
      </c>
      <c r="Q944" s="15">
        <v>0.3</v>
      </c>
      <c r="R944" s="16" t="str">
        <f t="shared" si="94"/>
        <v>ELGATO</v>
      </c>
      <c r="S944" s="17"/>
      <c r="T944" s="10"/>
    </row>
    <row r="945" spans="1:20" ht="27" customHeight="1" x14ac:dyDescent="0.25">
      <c r="A945" s="8" t="s">
        <v>2263</v>
      </c>
      <c r="B945" s="9"/>
      <c r="C945" s="9"/>
      <c r="D945" s="8"/>
      <c r="E945" s="8"/>
      <c r="F945" s="8" t="s">
        <v>22</v>
      </c>
      <c r="G945" s="10" t="s">
        <v>2264</v>
      </c>
      <c r="H945" s="8" t="s">
        <v>2265</v>
      </c>
      <c r="I945" s="10" t="s">
        <v>2264</v>
      </c>
      <c r="J945" s="11" t="s">
        <v>33</v>
      </c>
      <c r="K945" s="18">
        <v>85500</v>
      </c>
      <c r="L945" s="12">
        <f t="shared" si="98"/>
        <v>122200</v>
      </c>
      <c r="M945" s="8">
        <v>1</v>
      </c>
      <c r="N945" s="8" t="s">
        <v>27</v>
      </c>
      <c r="O945" s="13"/>
      <c r="P945" s="14">
        <v>0.2</v>
      </c>
      <c r="Q945" s="15">
        <v>0.3</v>
      </c>
      <c r="R945" s="16" t="str">
        <f t="shared" si="94"/>
        <v>ELICENT</v>
      </c>
      <c r="S945" s="17"/>
      <c r="T945" s="10" t="str">
        <f t="shared" ref="T945:T952" si="99">G945</f>
        <v>EXTRACTOR DE 4" LÍNEA ELEGANCE</v>
      </c>
    </row>
    <row r="946" spans="1:20" ht="27" customHeight="1" x14ac:dyDescent="0.25">
      <c r="A946" s="8" t="s">
        <v>2263</v>
      </c>
      <c r="B946" s="9"/>
      <c r="C946" s="9"/>
      <c r="D946" s="8"/>
      <c r="E946" s="8"/>
      <c r="F946" s="8" t="s">
        <v>22</v>
      </c>
      <c r="G946" s="10" t="s">
        <v>2266</v>
      </c>
      <c r="H946" s="8" t="s">
        <v>2267</v>
      </c>
      <c r="I946" s="10" t="s">
        <v>2266</v>
      </c>
      <c r="J946" s="11" t="s">
        <v>33</v>
      </c>
      <c r="K946" s="18">
        <v>67950</v>
      </c>
      <c r="L946" s="12">
        <f t="shared" si="98"/>
        <v>97100</v>
      </c>
      <c r="M946" s="8">
        <v>1</v>
      </c>
      <c r="N946" s="8" t="s">
        <v>27</v>
      </c>
      <c r="O946" s="13"/>
      <c r="P946" s="14">
        <v>0.2</v>
      </c>
      <c r="Q946" s="15">
        <v>0.3</v>
      </c>
      <c r="R946" s="16" t="str">
        <f t="shared" si="94"/>
        <v>ELICENT</v>
      </c>
      <c r="S946" s="17"/>
      <c r="T946" s="10" t="str">
        <f t="shared" si="99"/>
        <v>EXTRACTOR DE 4" LÍNEA STYLE PRO</v>
      </c>
    </row>
    <row r="947" spans="1:20" ht="27" customHeight="1" x14ac:dyDescent="0.25">
      <c r="A947" s="8" t="s">
        <v>2263</v>
      </c>
      <c r="B947" s="9"/>
      <c r="C947" s="9"/>
      <c r="D947" s="8"/>
      <c r="E947" s="8"/>
      <c r="F947" s="8" t="s">
        <v>22</v>
      </c>
      <c r="G947" s="10" t="s">
        <v>2268</v>
      </c>
      <c r="H947" s="8" t="s">
        <v>2269</v>
      </c>
      <c r="I947" s="10" t="s">
        <v>2268</v>
      </c>
      <c r="J947" s="11" t="s">
        <v>33</v>
      </c>
      <c r="K947" s="18">
        <v>44100</v>
      </c>
      <c r="L947" s="12">
        <f t="shared" si="98"/>
        <v>63000</v>
      </c>
      <c r="M947" s="8">
        <v>1</v>
      </c>
      <c r="N947" s="8" t="s">
        <v>27</v>
      </c>
      <c r="O947" s="13"/>
      <c r="P947" s="14">
        <v>0.2</v>
      </c>
      <c r="Q947" s="15">
        <v>0.3</v>
      </c>
      <c r="R947" s="16" t="str">
        <f t="shared" si="94"/>
        <v>ELICENT</v>
      </c>
      <c r="S947" s="17"/>
      <c r="T947" s="10" t="str">
        <f t="shared" si="99"/>
        <v>EXTRACTOR DE 4" MINI STYLE</v>
      </c>
    </row>
    <row r="948" spans="1:20" ht="27" customHeight="1" x14ac:dyDescent="0.25">
      <c r="A948" s="8" t="s">
        <v>2270</v>
      </c>
      <c r="B948" s="9"/>
      <c r="C948" s="9"/>
      <c r="D948" s="8"/>
      <c r="E948" s="8"/>
      <c r="F948" s="8" t="s">
        <v>22</v>
      </c>
      <c r="G948" s="10" t="s">
        <v>2271</v>
      </c>
      <c r="H948" s="8" t="s">
        <v>2272</v>
      </c>
      <c r="I948" s="10" t="s">
        <v>2271</v>
      </c>
      <c r="J948" s="11" t="s">
        <v>26</v>
      </c>
      <c r="K948" s="18">
        <v>700</v>
      </c>
      <c r="L948" s="12">
        <f t="shared" si="98"/>
        <v>1050</v>
      </c>
      <c r="M948" s="8">
        <v>1</v>
      </c>
      <c r="N948" s="8" t="s">
        <v>27</v>
      </c>
      <c r="O948" s="13"/>
      <c r="P948" s="14">
        <v>0.2</v>
      </c>
      <c r="Q948" s="15">
        <v>0.2</v>
      </c>
      <c r="R948" s="16" t="str">
        <f t="shared" si="94"/>
        <v>ELITE</v>
      </c>
      <c r="S948" s="17"/>
      <c r="T948" s="10" t="str">
        <f t="shared" si="99"/>
        <v>TELÓN ELÉCTRICO TENSIONADO FORMATO 16:9 DE 125"</v>
      </c>
    </row>
    <row r="949" spans="1:20" ht="27" customHeight="1" x14ac:dyDescent="0.25">
      <c r="A949" s="8" t="s">
        <v>2270</v>
      </c>
      <c r="B949" s="9"/>
      <c r="C949" s="9"/>
      <c r="D949" s="8"/>
      <c r="E949" s="8"/>
      <c r="F949" s="8" t="s">
        <v>22</v>
      </c>
      <c r="G949" s="10" t="s">
        <v>2273</v>
      </c>
      <c r="H949" s="8" t="s">
        <v>2274</v>
      </c>
      <c r="I949" s="10" t="s">
        <v>2273</v>
      </c>
      <c r="J949" s="11" t="s">
        <v>26</v>
      </c>
      <c r="K949" s="18">
        <v>349</v>
      </c>
      <c r="L949" s="12">
        <f t="shared" si="98"/>
        <v>698</v>
      </c>
      <c r="M949" s="8">
        <v>1</v>
      </c>
      <c r="N949" s="8" t="s">
        <v>27</v>
      </c>
      <c r="O949" s="13"/>
      <c r="P949" s="14">
        <v>0.2</v>
      </c>
      <c r="Q949" s="15">
        <v>0.4</v>
      </c>
      <c r="R949" s="16" t="str">
        <f t="shared" si="94"/>
        <v>ELITE</v>
      </c>
      <c r="S949" s="17"/>
      <c r="T949" s="10" t="str">
        <f t="shared" si="99"/>
        <v>PANTALLA DE PROYECCIÓN FIXED FRAME DE 135" EN FORMATO 16:9</v>
      </c>
    </row>
    <row r="950" spans="1:20" ht="27" customHeight="1" x14ac:dyDescent="0.25">
      <c r="A950" s="8" t="s">
        <v>2275</v>
      </c>
      <c r="B950" s="9" t="s">
        <v>2276</v>
      </c>
      <c r="C950" s="9"/>
      <c r="D950" s="8" t="s">
        <v>2277</v>
      </c>
      <c r="E950" s="8"/>
      <c r="F950" s="8" t="s">
        <v>22</v>
      </c>
      <c r="G950" s="10" t="s">
        <v>2278</v>
      </c>
      <c r="H950" s="8" t="s">
        <v>2279</v>
      </c>
      <c r="I950" s="10" t="s">
        <v>2278</v>
      </c>
      <c r="J950" s="11" t="s">
        <v>26</v>
      </c>
      <c r="K950" s="18">
        <v>278</v>
      </c>
      <c r="L950" s="12">
        <f t="shared" si="98"/>
        <v>456.98630136986299</v>
      </c>
      <c r="M950" s="8">
        <v>1</v>
      </c>
      <c r="N950" s="8" t="s">
        <v>27</v>
      </c>
      <c r="O950" s="13"/>
      <c r="P950" s="14">
        <v>0.2</v>
      </c>
      <c r="Q950" s="15">
        <v>0.27</v>
      </c>
      <c r="R950" s="16" t="str">
        <f t="shared" si="94"/>
        <v>ELITE SCREEN</v>
      </c>
      <c r="S950" s="17"/>
      <c r="T950" s="10" t="str">
        <f t="shared" si="99"/>
        <v>PANTALLA DE PROYECCIÓN DE 120" FIJA.</v>
      </c>
    </row>
    <row r="951" spans="1:20" ht="27" customHeight="1" x14ac:dyDescent="0.25">
      <c r="A951" s="8" t="s">
        <v>2280</v>
      </c>
      <c r="B951" s="9"/>
      <c r="C951" s="9"/>
      <c r="D951" s="8" t="s">
        <v>45</v>
      </c>
      <c r="E951" s="8"/>
      <c r="F951" s="8" t="s">
        <v>22</v>
      </c>
      <c r="G951" s="10" t="s">
        <v>2281</v>
      </c>
      <c r="H951" s="8" t="s">
        <v>2282</v>
      </c>
      <c r="I951" s="10" t="s">
        <v>2281</v>
      </c>
      <c r="J951" s="11" t="s">
        <v>26</v>
      </c>
      <c r="K951" s="18">
        <v>450</v>
      </c>
      <c r="L951" s="12">
        <f>ROUNDUP(K951*(1+P951)/(1-Q951),0)</f>
        <v>772</v>
      </c>
      <c r="M951" s="8">
        <v>1</v>
      </c>
      <c r="N951" s="8" t="s">
        <v>27</v>
      </c>
      <c r="O951" s="13"/>
      <c r="P951" s="14">
        <v>0.2</v>
      </c>
      <c r="Q951" s="15">
        <v>0.3</v>
      </c>
      <c r="R951" s="16" t="str">
        <f t="shared" si="94"/>
        <v>ELLITE</v>
      </c>
      <c r="S951" s="17"/>
      <c r="T951" s="10" t="str">
        <f t="shared" si="99"/>
        <v>PANTALLA FIJA EN FORMATO 16:9 DE 150".</v>
      </c>
    </row>
    <row r="952" spans="1:20" ht="27" customHeight="1" x14ac:dyDescent="0.25">
      <c r="A952" s="8" t="s">
        <v>2283</v>
      </c>
      <c r="B952" s="9"/>
      <c r="C952" s="9"/>
      <c r="D952" s="8"/>
      <c r="E952" s="8"/>
      <c r="F952" s="8" t="s">
        <v>22</v>
      </c>
      <c r="G952" s="10" t="s">
        <v>2284</v>
      </c>
      <c r="H952" s="8" t="s">
        <v>2285</v>
      </c>
      <c r="I952" s="10" t="s">
        <v>2284</v>
      </c>
      <c r="J952" s="11" t="s">
        <v>33</v>
      </c>
      <c r="K952" s="18">
        <v>12900</v>
      </c>
      <c r="L952" s="12">
        <f t="shared" ref="L952:L957" si="100">IF(J952="P",ROUNDUP(K952/(1-Q952),-2),K952*(1+P952)/(1-Q952))</f>
        <v>18500</v>
      </c>
      <c r="M952" s="8">
        <v>1</v>
      </c>
      <c r="N952" s="8" t="s">
        <v>27</v>
      </c>
      <c r="O952" s="13"/>
      <c r="P952" s="14">
        <v>0.2</v>
      </c>
      <c r="Q952" s="15">
        <v>0.3</v>
      </c>
      <c r="R952" s="16" t="str">
        <f t="shared" si="94"/>
        <v>ENERGY LINE</v>
      </c>
      <c r="S952" s="17"/>
      <c r="T952" s="10" t="str">
        <f t="shared" si="99"/>
        <v>TOMA ELÉCTRICA NEGRA</v>
      </c>
    </row>
    <row r="953" spans="1:20" ht="27" customHeight="1" x14ac:dyDescent="0.25">
      <c r="A953" s="8" t="s">
        <v>2286</v>
      </c>
      <c r="B953" s="9"/>
      <c r="C953" s="9"/>
      <c r="D953" s="8"/>
      <c r="E953" s="8"/>
      <c r="F953" s="8"/>
      <c r="G953" s="10"/>
      <c r="H953" s="8" t="s">
        <v>2287</v>
      </c>
      <c r="I953" s="10" t="s">
        <v>2288</v>
      </c>
      <c r="J953" s="11" t="s">
        <v>33</v>
      </c>
      <c r="K953" s="18">
        <v>105000</v>
      </c>
      <c r="L953" s="12">
        <f t="shared" si="100"/>
        <v>161600</v>
      </c>
      <c r="M953" s="8">
        <v>1</v>
      </c>
      <c r="N953" s="8" t="s">
        <v>27</v>
      </c>
      <c r="O953" s="13">
        <f>F953</f>
        <v>0</v>
      </c>
      <c r="P953" s="14">
        <v>0</v>
      </c>
      <c r="Q953" s="15">
        <v>0.35</v>
      </c>
      <c r="R953" s="16" t="str">
        <f t="shared" si="94"/>
        <v>ENERLINE</v>
      </c>
      <c r="S953" s="17"/>
      <c r="T953" s="10"/>
    </row>
    <row r="954" spans="1:20" ht="27" customHeight="1" x14ac:dyDescent="0.25">
      <c r="A954" s="8" t="s">
        <v>2289</v>
      </c>
      <c r="B954" s="9"/>
      <c r="C954" s="9"/>
      <c r="D954" s="8"/>
      <c r="E954" s="8"/>
      <c r="F954" s="8" t="s">
        <v>22</v>
      </c>
      <c r="G954" s="10" t="s">
        <v>2290</v>
      </c>
      <c r="H954" s="8" t="s">
        <v>2291</v>
      </c>
      <c r="I954" s="10" t="s">
        <v>2290</v>
      </c>
      <c r="J954" s="11" t="s">
        <v>33</v>
      </c>
      <c r="K954" s="18">
        <v>7000</v>
      </c>
      <c r="L954" s="12">
        <f t="shared" si="100"/>
        <v>11700</v>
      </c>
      <c r="M954" s="8">
        <v>1</v>
      </c>
      <c r="N954" s="8" t="s">
        <v>27</v>
      </c>
      <c r="O954" s="13"/>
      <c r="P954" s="14">
        <v>0.2</v>
      </c>
      <c r="Q954" s="15">
        <v>0.4</v>
      </c>
      <c r="R954" s="16" t="str">
        <f t="shared" si="94"/>
        <v>ENERLITE</v>
      </c>
      <c r="S954" s="17"/>
      <c r="T954" s="10" t="str">
        <f t="shared" ref="T954:T961" si="101">G954</f>
        <v>LUMINARIA DE 3 VATIOS ULTRA DELGADA DE EMPOTRAR. 3W, 3000K.</v>
      </c>
    </row>
    <row r="955" spans="1:20" ht="27" customHeight="1" x14ac:dyDescent="0.25">
      <c r="A955" s="8" t="s">
        <v>2292</v>
      </c>
      <c r="B955" s="9" t="s">
        <v>2293</v>
      </c>
      <c r="C955" s="9"/>
      <c r="D955" s="8" t="s">
        <v>1215</v>
      </c>
      <c r="E955" s="8"/>
      <c r="F955" s="8" t="s">
        <v>22</v>
      </c>
      <c r="G955" s="10" t="s">
        <v>2294</v>
      </c>
      <c r="H955" s="8" t="s">
        <v>2295</v>
      </c>
      <c r="I955" s="10" t="s">
        <v>2296</v>
      </c>
      <c r="J955" s="11" t="s">
        <v>33</v>
      </c>
      <c r="K955" s="18">
        <f>600000/1.16</f>
        <v>517241.37931034487</v>
      </c>
      <c r="L955" s="12">
        <f t="shared" si="100"/>
        <v>739000</v>
      </c>
      <c r="M955" s="8">
        <v>1</v>
      </c>
      <c r="N955" s="8" t="s">
        <v>27</v>
      </c>
      <c r="O955" s="13"/>
      <c r="P955" s="14">
        <v>0.2</v>
      </c>
      <c r="Q955" s="15">
        <v>0.3</v>
      </c>
      <c r="R955" s="16" t="str">
        <f t="shared" si="94"/>
        <v>EPIC</v>
      </c>
      <c r="S955" s="17"/>
      <c r="T955" s="10" t="str">
        <f t="shared" si="101"/>
        <v>PANTALLA CON TARJETA DE PROXIMIDAD Y CLAVE DE APERTURA.</v>
      </c>
    </row>
    <row r="956" spans="1:20" ht="27" customHeight="1" x14ac:dyDescent="0.25">
      <c r="A956" s="8" t="s">
        <v>2297</v>
      </c>
      <c r="B956" s="9"/>
      <c r="C956" s="9"/>
      <c r="D956" s="8"/>
      <c r="E956" s="8"/>
      <c r="F956" s="8" t="s">
        <v>22</v>
      </c>
      <c r="G956" s="10" t="s">
        <v>2298</v>
      </c>
      <c r="H956" s="8" t="s">
        <v>2299</v>
      </c>
      <c r="I956" s="10" t="s">
        <v>2298</v>
      </c>
      <c r="J956" s="11" t="s">
        <v>26</v>
      </c>
      <c r="K956" s="18">
        <f>1480</f>
        <v>1480</v>
      </c>
      <c r="L956" s="12">
        <f t="shared" si="100"/>
        <v>2537.1428571428573</v>
      </c>
      <c r="M956" s="8">
        <v>1</v>
      </c>
      <c r="N956" s="8" t="s">
        <v>27</v>
      </c>
      <c r="O956" s="13"/>
      <c r="P956" s="14">
        <v>0.2</v>
      </c>
      <c r="Q956" s="15">
        <v>0.3</v>
      </c>
      <c r="R956" s="16" t="str">
        <f t="shared" si="94"/>
        <v>EPSON</v>
      </c>
      <c r="S956" s="17"/>
      <c r="T956" s="10" t="str">
        <f t="shared" si="101"/>
        <v>PROYECTOR DE 4400 LUMENS, RESOLUCIÓN WXGA (1920X1200), CONTRASTE 10.000:1.</v>
      </c>
    </row>
    <row r="957" spans="1:20" ht="27" customHeight="1" x14ac:dyDescent="0.25">
      <c r="A957" s="8" t="s">
        <v>2297</v>
      </c>
      <c r="B957" s="9"/>
      <c r="C957" s="9"/>
      <c r="D957" s="8" t="s">
        <v>45</v>
      </c>
      <c r="E957" s="8"/>
      <c r="F957" s="8" t="s">
        <v>22</v>
      </c>
      <c r="G957" s="10" t="s">
        <v>2300</v>
      </c>
      <c r="H957" s="8" t="s">
        <v>2301</v>
      </c>
      <c r="I957" s="10" t="s">
        <v>2300</v>
      </c>
      <c r="J957" s="11" t="s">
        <v>26</v>
      </c>
      <c r="K957" s="18">
        <v>690</v>
      </c>
      <c r="L957" s="12">
        <f t="shared" si="100"/>
        <v>1150</v>
      </c>
      <c r="M957" s="8">
        <v>1</v>
      </c>
      <c r="N957" s="8" t="s">
        <v>27</v>
      </c>
      <c r="O957" s="13"/>
      <c r="P957" s="14">
        <v>0</v>
      </c>
      <c r="Q957" s="15">
        <v>0.4</v>
      </c>
      <c r="R957" s="16" t="str">
        <f t="shared" si="94"/>
        <v>EPSON</v>
      </c>
      <c r="S957" s="17"/>
      <c r="T957" s="10" t="str">
        <f t="shared" si="101"/>
        <v>PROYECTOR DELGADO DE 3200 LUMENS. WXGA, ENTRADA HDMI Y CONECTIVIDAD WIRELESS</v>
      </c>
    </row>
    <row r="958" spans="1:20" ht="27" customHeight="1" x14ac:dyDescent="0.25">
      <c r="A958" s="8" t="s">
        <v>2297</v>
      </c>
      <c r="B958" s="9"/>
      <c r="C958" s="9"/>
      <c r="D958" s="8" t="s">
        <v>45</v>
      </c>
      <c r="E958" s="8"/>
      <c r="F958" s="8" t="s">
        <v>22</v>
      </c>
      <c r="G958" s="10" t="str">
        <f>B958&amp;"-"&amp;D958&amp;"-"&amp;E958&amp;F958</f>
        <v>-PROG_-BLANCO</v>
      </c>
      <c r="H958" s="8" t="s">
        <v>2302</v>
      </c>
      <c r="I958" s="10" t="s">
        <v>2303</v>
      </c>
      <c r="J958" s="11" t="s">
        <v>33</v>
      </c>
      <c r="K958" s="18">
        <v>2500000</v>
      </c>
      <c r="L958" s="12">
        <f>K958*(1+P958)/(1-Q958)</f>
        <v>3125000</v>
      </c>
      <c r="M958" s="8">
        <v>1</v>
      </c>
      <c r="N958" s="8" t="s">
        <v>27</v>
      </c>
      <c r="O958" s="13"/>
      <c r="P958" s="14">
        <v>0</v>
      </c>
      <c r="Q958" s="15">
        <v>0.2</v>
      </c>
      <c r="R958" s="16" t="str">
        <f t="shared" si="94"/>
        <v>EPSON</v>
      </c>
      <c r="S958" s="17"/>
      <c r="T958" s="10" t="str">
        <f t="shared" si="101"/>
        <v>-PROG_-BLANCO</v>
      </c>
    </row>
    <row r="959" spans="1:20" ht="27" customHeight="1" x14ac:dyDescent="0.25">
      <c r="A959" s="8" t="s">
        <v>2297</v>
      </c>
      <c r="B959" s="9"/>
      <c r="C959" s="9"/>
      <c r="D959" s="8" t="s">
        <v>45</v>
      </c>
      <c r="E959" s="8"/>
      <c r="F959" s="8" t="s">
        <v>22</v>
      </c>
      <c r="G959" s="10" t="str">
        <f>B959&amp;"-"&amp;D959&amp;"-"&amp;E959&amp;F959</f>
        <v>-PROG_-BLANCO</v>
      </c>
      <c r="H959" s="8" t="s">
        <v>2304</v>
      </c>
      <c r="I959" s="10" t="s">
        <v>2305</v>
      </c>
      <c r="J959" s="11" t="s">
        <v>33</v>
      </c>
      <c r="K959" s="18">
        <v>2408000</v>
      </c>
      <c r="L959" s="12">
        <f>K959*(1+P959)/(1-Q959)</f>
        <v>3440000</v>
      </c>
      <c r="M959" s="8">
        <v>1</v>
      </c>
      <c r="N959" s="8" t="s">
        <v>27</v>
      </c>
      <c r="O959" s="13"/>
      <c r="P959" s="14">
        <v>0</v>
      </c>
      <c r="Q959" s="15">
        <v>0.3</v>
      </c>
      <c r="R959" s="16" t="str">
        <f t="shared" si="94"/>
        <v>EPSON</v>
      </c>
      <c r="S959" s="17"/>
      <c r="T959" s="10" t="str">
        <f t="shared" si="101"/>
        <v>-PROG_-BLANCO</v>
      </c>
    </row>
    <row r="960" spans="1:20" ht="27" customHeight="1" x14ac:dyDescent="0.25">
      <c r="A960" s="8" t="s">
        <v>2297</v>
      </c>
      <c r="B960" s="9"/>
      <c r="C960" s="9"/>
      <c r="D960" s="8" t="s">
        <v>45</v>
      </c>
      <c r="E960" s="8"/>
      <c r="F960" s="8" t="s">
        <v>22</v>
      </c>
      <c r="G960" s="10" t="str">
        <f>B960&amp;"-"&amp;D960&amp;"-"&amp;E960&amp;F960</f>
        <v>-PROG_-BLANCO</v>
      </c>
      <c r="H960" s="8" t="s">
        <v>2306</v>
      </c>
      <c r="I960" s="10" t="s">
        <v>2307</v>
      </c>
      <c r="J960" s="11" t="s">
        <v>33</v>
      </c>
      <c r="K960" s="18">
        <v>7608000</v>
      </c>
      <c r="L960" s="12">
        <f>K960*(1+P960)/(1-Q960)</f>
        <v>10868571.428571429</v>
      </c>
      <c r="M960" s="8">
        <v>1</v>
      </c>
      <c r="N960" s="8" t="s">
        <v>27</v>
      </c>
      <c r="O960" s="13"/>
      <c r="P960" s="14">
        <v>0</v>
      </c>
      <c r="Q960" s="15">
        <v>0.3</v>
      </c>
      <c r="R960" s="16" t="str">
        <f t="shared" si="94"/>
        <v>EPSON</v>
      </c>
      <c r="S960" s="17"/>
      <c r="T960" s="10" t="str">
        <f t="shared" si="101"/>
        <v>-PROG_-BLANCO</v>
      </c>
    </row>
    <row r="961" spans="1:20" ht="27" customHeight="1" x14ac:dyDescent="0.25">
      <c r="A961" s="8" t="s">
        <v>2297</v>
      </c>
      <c r="B961" s="9"/>
      <c r="C961" s="9"/>
      <c r="D961" s="8" t="s">
        <v>45</v>
      </c>
      <c r="E961" s="8"/>
      <c r="F961" s="8" t="s">
        <v>22</v>
      </c>
      <c r="G961" s="10" t="str">
        <f>B961&amp;"-"&amp;D961&amp;"-"&amp;E961&amp;F961</f>
        <v>-PROG_-BLANCO</v>
      </c>
      <c r="H961" s="8" t="s">
        <v>2308</v>
      </c>
      <c r="I961" s="10" t="s">
        <v>2309</v>
      </c>
      <c r="J961" s="11" t="s">
        <v>33</v>
      </c>
      <c r="K961" s="18">
        <v>8500000</v>
      </c>
      <c r="L961" s="12">
        <f>K961*(1+P961)/(1-Q961)</f>
        <v>12142857.142857144</v>
      </c>
      <c r="M961" s="8">
        <v>1</v>
      </c>
      <c r="N961" s="8" t="s">
        <v>27</v>
      </c>
      <c r="O961" s="13"/>
      <c r="P961" s="14">
        <v>0</v>
      </c>
      <c r="Q961" s="15">
        <v>0.3</v>
      </c>
      <c r="R961" s="16" t="str">
        <f t="shared" ref="R961:R1024" si="102">A961</f>
        <v>EPSON</v>
      </c>
      <c r="S961" s="17"/>
      <c r="T961" s="10" t="str">
        <f t="shared" si="101"/>
        <v>-PROG_-BLANCO</v>
      </c>
    </row>
    <row r="962" spans="1:20" ht="27" customHeight="1" x14ac:dyDescent="0.25">
      <c r="A962" s="8" t="s">
        <v>2297</v>
      </c>
      <c r="B962" s="9"/>
      <c r="C962" s="9"/>
      <c r="D962" s="8"/>
      <c r="E962" s="8"/>
      <c r="F962" s="8"/>
      <c r="G962" s="10"/>
      <c r="H962" s="8" t="s">
        <v>2310</v>
      </c>
      <c r="I962" s="10" t="s">
        <v>2311</v>
      </c>
      <c r="J962" s="11" t="s">
        <v>33</v>
      </c>
      <c r="K962" s="18">
        <v>766560</v>
      </c>
      <c r="L962" s="12">
        <f t="shared" ref="L962:L994" si="103">IF(J962="P",ROUNDUP(K962/(1-Q962),-2),K962*(1+P962)/(1-Q962))</f>
        <v>1095100</v>
      </c>
      <c r="M962" s="8">
        <v>1</v>
      </c>
      <c r="N962" s="8" t="s">
        <v>27</v>
      </c>
      <c r="O962" s="13"/>
      <c r="P962" s="14">
        <v>0</v>
      </c>
      <c r="Q962" s="15">
        <v>0.3</v>
      </c>
      <c r="R962" s="16" t="str">
        <f t="shared" si="102"/>
        <v>EPSON</v>
      </c>
      <c r="S962" s="17"/>
      <c r="T962" s="10"/>
    </row>
    <row r="963" spans="1:20" ht="27" customHeight="1" x14ac:dyDescent="0.25">
      <c r="A963" s="8" t="s">
        <v>2297</v>
      </c>
      <c r="B963" s="9"/>
      <c r="C963" s="9"/>
      <c r="D963" s="8"/>
      <c r="E963" s="8"/>
      <c r="F963" s="8"/>
      <c r="G963" s="10"/>
      <c r="H963" s="8" t="s">
        <v>2312</v>
      </c>
      <c r="I963" s="10" t="s">
        <v>2313</v>
      </c>
      <c r="J963" s="11" t="s">
        <v>33</v>
      </c>
      <c r="K963" s="18">
        <v>1021303</v>
      </c>
      <c r="L963" s="12">
        <f t="shared" si="103"/>
        <v>1459100</v>
      </c>
      <c r="M963" s="8">
        <v>1</v>
      </c>
      <c r="N963" s="8" t="s">
        <v>27</v>
      </c>
      <c r="O963" s="13"/>
      <c r="P963" s="14">
        <v>0</v>
      </c>
      <c r="Q963" s="15">
        <v>0.3</v>
      </c>
      <c r="R963" s="16" t="str">
        <f t="shared" si="102"/>
        <v>EPSON</v>
      </c>
      <c r="S963" s="17"/>
      <c r="T963" s="10"/>
    </row>
    <row r="964" spans="1:20" ht="27" customHeight="1" x14ac:dyDescent="0.25">
      <c r="A964" s="8" t="s">
        <v>2297</v>
      </c>
      <c r="B964" s="9"/>
      <c r="C964" s="9"/>
      <c r="D964" s="8"/>
      <c r="E964" s="8"/>
      <c r="F964" s="8"/>
      <c r="G964" s="10"/>
      <c r="H964" s="8" t="s">
        <v>2314</v>
      </c>
      <c r="I964" s="10" t="s">
        <v>2315</v>
      </c>
      <c r="J964" s="11" t="s">
        <v>33</v>
      </c>
      <c r="K964" s="18">
        <v>453518</v>
      </c>
      <c r="L964" s="12">
        <f t="shared" si="103"/>
        <v>647900</v>
      </c>
      <c r="M964" s="8">
        <v>1</v>
      </c>
      <c r="N964" s="8" t="s">
        <v>27</v>
      </c>
      <c r="O964" s="13"/>
      <c r="P964" s="14">
        <v>0</v>
      </c>
      <c r="Q964" s="15">
        <v>0.3</v>
      </c>
      <c r="R964" s="16" t="str">
        <f t="shared" si="102"/>
        <v>EPSON</v>
      </c>
      <c r="S964" s="17"/>
      <c r="T964" s="10"/>
    </row>
    <row r="965" spans="1:20" ht="27" customHeight="1" x14ac:dyDescent="0.25">
      <c r="A965" s="8" t="s">
        <v>2297</v>
      </c>
      <c r="B965" s="9"/>
      <c r="C965" s="9"/>
      <c r="D965" s="8"/>
      <c r="E965" s="8"/>
      <c r="F965" s="8"/>
      <c r="G965" s="10"/>
      <c r="H965" s="8" t="s">
        <v>2316</v>
      </c>
      <c r="I965" s="10" t="s">
        <v>2317</v>
      </c>
      <c r="J965" s="11" t="s">
        <v>33</v>
      </c>
      <c r="K965" s="18">
        <v>581270</v>
      </c>
      <c r="L965" s="12">
        <f t="shared" si="103"/>
        <v>830400</v>
      </c>
      <c r="M965" s="8">
        <v>1</v>
      </c>
      <c r="N965" s="8" t="s">
        <v>27</v>
      </c>
      <c r="O965" s="13"/>
      <c r="P965" s="14">
        <v>0</v>
      </c>
      <c r="Q965" s="15">
        <v>0.3</v>
      </c>
      <c r="R965" s="16" t="str">
        <f t="shared" si="102"/>
        <v>EPSON</v>
      </c>
      <c r="S965" s="17"/>
      <c r="T965" s="10"/>
    </row>
    <row r="966" spans="1:20" ht="27" customHeight="1" x14ac:dyDescent="0.25">
      <c r="A966" s="8" t="s">
        <v>2297</v>
      </c>
      <c r="B966" s="9"/>
      <c r="C966" s="9"/>
      <c r="D966" s="8"/>
      <c r="E966" s="8"/>
      <c r="F966" s="8"/>
      <c r="G966" s="10"/>
      <c r="H966" s="8" t="s">
        <v>2318</v>
      </c>
      <c r="I966" s="10" t="s">
        <v>2319</v>
      </c>
      <c r="J966" s="11" t="s">
        <v>33</v>
      </c>
      <c r="K966" s="18">
        <v>1143092</v>
      </c>
      <c r="L966" s="12">
        <f t="shared" si="103"/>
        <v>1633000</v>
      </c>
      <c r="M966" s="8">
        <v>1</v>
      </c>
      <c r="N966" s="8" t="s">
        <v>27</v>
      </c>
      <c r="O966" s="13"/>
      <c r="P966" s="14">
        <v>0</v>
      </c>
      <c r="Q966" s="15">
        <v>0.3</v>
      </c>
      <c r="R966" s="16" t="str">
        <f t="shared" si="102"/>
        <v>EPSON</v>
      </c>
      <c r="S966" s="17"/>
      <c r="T966" s="10"/>
    </row>
    <row r="967" spans="1:20" ht="27" customHeight="1" x14ac:dyDescent="0.25">
      <c r="A967" s="8" t="s">
        <v>2297</v>
      </c>
      <c r="B967" s="9"/>
      <c r="C967" s="9"/>
      <c r="D967" s="8"/>
      <c r="E967" s="8"/>
      <c r="F967" s="8"/>
      <c r="G967" s="10"/>
      <c r="H967" s="8" t="s">
        <v>2320</v>
      </c>
      <c r="I967" s="10" t="s">
        <v>2321</v>
      </c>
      <c r="J967" s="11" t="s">
        <v>33</v>
      </c>
      <c r="K967" s="18">
        <v>2478712</v>
      </c>
      <c r="L967" s="12">
        <f t="shared" si="103"/>
        <v>3541100</v>
      </c>
      <c r="M967" s="8">
        <v>1</v>
      </c>
      <c r="N967" s="8" t="s">
        <v>27</v>
      </c>
      <c r="O967" s="13"/>
      <c r="P967" s="14">
        <v>0</v>
      </c>
      <c r="Q967" s="15">
        <v>0.3</v>
      </c>
      <c r="R967" s="16" t="str">
        <f t="shared" si="102"/>
        <v>EPSON</v>
      </c>
      <c r="S967" s="17"/>
      <c r="T967" s="10"/>
    </row>
    <row r="968" spans="1:20" ht="27" customHeight="1" x14ac:dyDescent="0.25">
      <c r="A968" s="8" t="s">
        <v>2297</v>
      </c>
      <c r="B968" s="9"/>
      <c r="C968" s="9"/>
      <c r="D968" s="8"/>
      <c r="E968" s="8"/>
      <c r="F968" s="8"/>
      <c r="G968" s="10"/>
      <c r="H968" s="8" t="s">
        <v>2322</v>
      </c>
      <c r="I968" s="10" t="s">
        <v>2323</v>
      </c>
      <c r="J968" s="11" t="s">
        <v>33</v>
      </c>
      <c r="K968" s="18">
        <v>2305918</v>
      </c>
      <c r="L968" s="12">
        <f t="shared" si="103"/>
        <v>3294200</v>
      </c>
      <c r="M968" s="8">
        <v>1</v>
      </c>
      <c r="N968" s="8" t="s">
        <v>27</v>
      </c>
      <c r="O968" s="13"/>
      <c r="P968" s="14">
        <v>0</v>
      </c>
      <c r="Q968" s="15">
        <v>0.3</v>
      </c>
      <c r="R968" s="16" t="str">
        <f t="shared" si="102"/>
        <v>EPSON</v>
      </c>
      <c r="S968" s="17"/>
      <c r="T968" s="10"/>
    </row>
    <row r="969" spans="1:20" ht="27" customHeight="1" x14ac:dyDescent="0.25">
      <c r="A969" s="8" t="s">
        <v>2297</v>
      </c>
      <c r="B969" s="9"/>
      <c r="C969" s="9"/>
      <c r="D969" s="8"/>
      <c r="E969" s="8"/>
      <c r="F969" s="8"/>
      <c r="G969" s="10"/>
      <c r="H969" s="8" t="s">
        <v>2324</v>
      </c>
      <c r="I969" s="10" t="s">
        <v>2325</v>
      </c>
      <c r="J969" s="11" t="s">
        <v>33</v>
      </c>
      <c r="K969" s="18">
        <v>1995616</v>
      </c>
      <c r="L969" s="12">
        <f t="shared" si="103"/>
        <v>2850900</v>
      </c>
      <c r="M969" s="8">
        <v>1</v>
      </c>
      <c r="N969" s="8" t="s">
        <v>27</v>
      </c>
      <c r="O969" s="13"/>
      <c r="P969" s="14">
        <v>0</v>
      </c>
      <c r="Q969" s="15">
        <v>0.3</v>
      </c>
      <c r="R969" s="16" t="str">
        <f t="shared" si="102"/>
        <v>EPSON</v>
      </c>
      <c r="S969" s="17"/>
      <c r="T969" s="10"/>
    </row>
    <row r="970" spans="1:20" ht="27" customHeight="1" x14ac:dyDescent="0.25">
      <c r="A970" s="8" t="s">
        <v>2297</v>
      </c>
      <c r="B970" s="9"/>
      <c r="C970" s="9"/>
      <c r="D970" s="8"/>
      <c r="E970" s="8"/>
      <c r="F970" s="8"/>
      <c r="G970" s="10"/>
      <c r="H970" s="8" t="s">
        <v>2326</v>
      </c>
      <c r="I970" s="10" t="s">
        <v>2327</v>
      </c>
      <c r="J970" s="11" t="s">
        <v>33</v>
      </c>
      <c r="K970" s="18">
        <v>2769991</v>
      </c>
      <c r="L970" s="12">
        <f t="shared" si="103"/>
        <v>3957200</v>
      </c>
      <c r="M970" s="8">
        <v>1</v>
      </c>
      <c r="N970" s="8" t="s">
        <v>27</v>
      </c>
      <c r="O970" s="13"/>
      <c r="P970" s="14">
        <v>0</v>
      </c>
      <c r="Q970" s="15">
        <v>0.3</v>
      </c>
      <c r="R970" s="16" t="str">
        <f t="shared" si="102"/>
        <v>EPSON</v>
      </c>
      <c r="S970" s="17"/>
      <c r="T970" s="10"/>
    </row>
    <row r="971" spans="1:20" ht="27" customHeight="1" x14ac:dyDescent="0.25">
      <c r="A971" s="8" t="s">
        <v>2297</v>
      </c>
      <c r="B971" s="9"/>
      <c r="C971" s="9"/>
      <c r="D971" s="8"/>
      <c r="E971" s="8"/>
      <c r="F971" s="8"/>
      <c r="G971" s="10"/>
      <c r="H971" s="8" t="s">
        <v>2328</v>
      </c>
      <c r="I971" s="10" t="s">
        <v>2329</v>
      </c>
      <c r="J971" s="11" t="s">
        <v>33</v>
      </c>
      <c r="K971" s="18">
        <v>4300264</v>
      </c>
      <c r="L971" s="12">
        <f t="shared" si="103"/>
        <v>6143300</v>
      </c>
      <c r="M971" s="8">
        <v>1</v>
      </c>
      <c r="N971" s="8" t="s">
        <v>27</v>
      </c>
      <c r="O971" s="13"/>
      <c r="P971" s="14">
        <v>0</v>
      </c>
      <c r="Q971" s="15">
        <v>0.3</v>
      </c>
      <c r="R971" s="16" t="str">
        <f t="shared" si="102"/>
        <v>EPSON</v>
      </c>
      <c r="S971" s="17"/>
      <c r="T971" s="10"/>
    </row>
    <row r="972" spans="1:20" ht="27" customHeight="1" x14ac:dyDescent="0.25">
      <c r="A972" s="8" t="s">
        <v>2297</v>
      </c>
      <c r="B972" s="9"/>
      <c r="C972" s="9"/>
      <c r="D972" s="8"/>
      <c r="E972" s="8"/>
      <c r="F972" s="8"/>
      <c r="G972" s="10"/>
      <c r="H972" s="8" t="s">
        <v>2330</v>
      </c>
      <c r="I972" s="10" t="s">
        <v>2331</v>
      </c>
      <c r="J972" s="11" t="s">
        <v>33</v>
      </c>
      <c r="K972" s="18">
        <v>5098885</v>
      </c>
      <c r="L972" s="12">
        <f t="shared" si="103"/>
        <v>7284200</v>
      </c>
      <c r="M972" s="8">
        <v>1</v>
      </c>
      <c r="N972" s="8" t="s">
        <v>27</v>
      </c>
      <c r="O972" s="13"/>
      <c r="P972" s="14">
        <v>0</v>
      </c>
      <c r="Q972" s="15">
        <v>0.3</v>
      </c>
      <c r="R972" s="16" t="str">
        <f t="shared" si="102"/>
        <v>EPSON</v>
      </c>
      <c r="S972" s="17"/>
      <c r="T972" s="10"/>
    </row>
    <row r="973" spans="1:20" ht="27" customHeight="1" x14ac:dyDescent="0.25">
      <c r="A973" s="8" t="s">
        <v>2297</v>
      </c>
      <c r="B973" s="9"/>
      <c r="C973" s="9"/>
      <c r="D973" s="8"/>
      <c r="E973" s="8"/>
      <c r="F973" s="8"/>
      <c r="G973" s="10"/>
      <c r="H973" s="8" t="s">
        <v>2332</v>
      </c>
      <c r="I973" s="10" t="s">
        <v>2333</v>
      </c>
      <c r="J973" s="11" t="s">
        <v>33</v>
      </c>
      <c r="K973" s="18">
        <v>1619862</v>
      </c>
      <c r="L973" s="12">
        <f t="shared" si="103"/>
        <v>2314100</v>
      </c>
      <c r="M973" s="8">
        <v>1</v>
      </c>
      <c r="N973" s="8" t="s">
        <v>27</v>
      </c>
      <c r="O973" s="13"/>
      <c r="P973" s="14">
        <v>0</v>
      </c>
      <c r="Q973" s="15">
        <v>0.3</v>
      </c>
      <c r="R973" s="16" t="str">
        <f t="shared" si="102"/>
        <v>EPSON</v>
      </c>
      <c r="S973" s="17"/>
      <c r="T973" s="10"/>
    </row>
    <row r="974" spans="1:20" ht="27" customHeight="1" x14ac:dyDescent="0.25">
      <c r="A974" s="8" t="s">
        <v>2297</v>
      </c>
      <c r="B974" s="9"/>
      <c r="C974" s="9"/>
      <c r="D974" s="8"/>
      <c r="E974" s="8"/>
      <c r="F974" s="8"/>
      <c r="G974" s="10"/>
      <c r="H974" s="8" t="s">
        <v>2304</v>
      </c>
      <c r="I974" s="10" t="s">
        <v>2334</v>
      </c>
      <c r="J974" s="11" t="s">
        <v>33</v>
      </c>
      <c r="K974" s="18">
        <v>2407669</v>
      </c>
      <c r="L974" s="12">
        <f t="shared" si="103"/>
        <v>3439600</v>
      </c>
      <c r="M974" s="8">
        <v>1</v>
      </c>
      <c r="N974" s="8" t="s">
        <v>27</v>
      </c>
      <c r="O974" s="13"/>
      <c r="P974" s="14">
        <v>0</v>
      </c>
      <c r="Q974" s="15">
        <v>0.3</v>
      </c>
      <c r="R974" s="16" t="str">
        <f t="shared" si="102"/>
        <v>EPSON</v>
      </c>
      <c r="S974" s="17"/>
      <c r="T974" s="10"/>
    </row>
    <row r="975" spans="1:20" ht="27" customHeight="1" x14ac:dyDescent="0.25">
      <c r="A975" s="8" t="s">
        <v>2297</v>
      </c>
      <c r="B975" s="9"/>
      <c r="C975" s="9"/>
      <c r="D975" s="8"/>
      <c r="E975" s="8"/>
      <c r="F975" s="8"/>
      <c r="G975" s="10"/>
      <c r="H975" s="8" t="s">
        <v>2335</v>
      </c>
      <c r="I975" s="10" t="s">
        <v>2336</v>
      </c>
      <c r="J975" s="11" t="s">
        <v>33</v>
      </c>
      <c r="K975" s="18">
        <v>2393460</v>
      </c>
      <c r="L975" s="12">
        <f t="shared" si="103"/>
        <v>3419300</v>
      </c>
      <c r="M975" s="8">
        <v>1</v>
      </c>
      <c r="N975" s="8" t="s">
        <v>27</v>
      </c>
      <c r="O975" s="13"/>
      <c r="P975" s="14">
        <v>0</v>
      </c>
      <c r="Q975" s="15">
        <v>0.3</v>
      </c>
      <c r="R975" s="16" t="str">
        <f t="shared" si="102"/>
        <v>EPSON</v>
      </c>
      <c r="S975" s="17"/>
      <c r="T975" s="10"/>
    </row>
    <row r="976" spans="1:20" ht="27" customHeight="1" x14ac:dyDescent="0.25">
      <c r="A976" s="8" t="s">
        <v>2297</v>
      </c>
      <c r="B976" s="9"/>
      <c r="C976" s="9"/>
      <c r="D976" s="8"/>
      <c r="E976" s="8"/>
      <c r="F976" s="8"/>
      <c r="G976" s="10"/>
      <c r="H976" s="8" t="s">
        <v>2337</v>
      </c>
      <c r="I976" s="10" t="s">
        <v>2338</v>
      </c>
      <c r="J976" s="11" t="s">
        <v>33</v>
      </c>
      <c r="K976" s="18">
        <v>4044760</v>
      </c>
      <c r="L976" s="12">
        <f t="shared" si="103"/>
        <v>5778300</v>
      </c>
      <c r="M976" s="8">
        <v>1</v>
      </c>
      <c r="N976" s="8" t="s">
        <v>27</v>
      </c>
      <c r="O976" s="13"/>
      <c r="P976" s="14">
        <v>0</v>
      </c>
      <c r="Q976" s="15">
        <v>0.3</v>
      </c>
      <c r="R976" s="16" t="str">
        <f t="shared" si="102"/>
        <v>EPSON</v>
      </c>
      <c r="S976" s="17"/>
      <c r="T976" s="10"/>
    </row>
    <row r="977" spans="1:20" ht="27" customHeight="1" x14ac:dyDescent="0.25">
      <c r="A977" s="8" t="s">
        <v>2297</v>
      </c>
      <c r="B977" s="9"/>
      <c r="C977" s="9"/>
      <c r="D977" s="8"/>
      <c r="E977" s="8"/>
      <c r="F977" s="8"/>
      <c r="G977" s="10"/>
      <c r="H977" s="8" t="s">
        <v>2339</v>
      </c>
      <c r="I977" s="10" t="s">
        <v>2340</v>
      </c>
      <c r="J977" s="11" t="s">
        <v>33</v>
      </c>
      <c r="K977" s="18">
        <v>3115012</v>
      </c>
      <c r="L977" s="12">
        <f t="shared" si="103"/>
        <v>4450100</v>
      </c>
      <c r="M977" s="8">
        <v>1</v>
      </c>
      <c r="N977" s="8" t="s">
        <v>27</v>
      </c>
      <c r="O977" s="13"/>
      <c r="P977" s="14">
        <v>0</v>
      </c>
      <c r="Q977" s="15">
        <v>0.3</v>
      </c>
      <c r="R977" s="16" t="str">
        <f t="shared" si="102"/>
        <v>EPSON</v>
      </c>
      <c r="S977" s="17"/>
      <c r="T977" s="10"/>
    </row>
    <row r="978" spans="1:20" ht="27" customHeight="1" x14ac:dyDescent="0.25">
      <c r="A978" s="8" t="s">
        <v>2297</v>
      </c>
      <c r="B978" s="9"/>
      <c r="C978" s="9"/>
      <c r="D978" s="8"/>
      <c r="E978" s="8"/>
      <c r="F978" s="8"/>
      <c r="G978" s="10"/>
      <c r="H978" s="8" t="s">
        <v>2341</v>
      </c>
      <c r="I978" s="10" t="s">
        <v>2342</v>
      </c>
      <c r="J978" s="11" t="s">
        <v>33</v>
      </c>
      <c r="K978" s="18">
        <v>4108636</v>
      </c>
      <c r="L978" s="12">
        <f t="shared" si="103"/>
        <v>5869500</v>
      </c>
      <c r="M978" s="8">
        <v>1</v>
      </c>
      <c r="N978" s="8" t="s">
        <v>27</v>
      </c>
      <c r="O978" s="13"/>
      <c r="P978" s="14">
        <v>0</v>
      </c>
      <c r="Q978" s="15">
        <v>0.3</v>
      </c>
      <c r="R978" s="16" t="str">
        <f t="shared" si="102"/>
        <v>EPSON</v>
      </c>
      <c r="S978" s="17"/>
      <c r="T978" s="10"/>
    </row>
    <row r="979" spans="1:20" ht="27" customHeight="1" x14ac:dyDescent="0.25">
      <c r="A979" s="8" t="s">
        <v>2297</v>
      </c>
      <c r="B979" s="9"/>
      <c r="C979" s="9"/>
      <c r="D979" s="8"/>
      <c r="E979" s="8"/>
      <c r="F979" s="8"/>
      <c r="G979" s="10"/>
      <c r="H979" s="8" t="s">
        <v>2343</v>
      </c>
      <c r="I979" s="10" t="s">
        <v>2344</v>
      </c>
      <c r="J979" s="11" t="s">
        <v>33</v>
      </c>
      <c r="K979" s="18">
        <v>4481245</v>
      </c>
      <c r="L979" s="12">
        <f t="shared" si="103"/>
        <v>6401800</v>
      </c>
      <c r="M979" s="8">
        <v>1</v>
      </c>
      <c r="N979" s="8" t="s">
        <v>27</v>
      </c>
      <c r="O979" s="13"/>
      <c r="P979" s="14">
        <v>0</v>
      </c>
      <c r="Q979" s="15">
        <v>0.3</v>
      </c>
      <c r="R979" s="16" t="str">
        <f t="shared" si="102"/>
        <v>EPSON</v>
      </c>
      <c r="S979" s="17"/>
      <c r="T979" s="10"/>
    </row>
    <row r="980" spans="1:20" ht="27" customHeight="1" x14ac:dyDescent="0.25">
      <c r="A980" s="8" t="s">
        <v>2297</v>
      </c>
      <c r="B980" s="9"/>
      <c r="C980" s="9"/>
      <c r="D980" s="8"/>
      <c r="E980" s="8"/>
      <c r="F980" s="8"/>
      <c r="G980" s="10"/>
      <c r="H980" s="8" t="s">
        <v>2345</v>
      </c>
      <c r="I980" s="10" t="s">
        <v>2346</v>
      </c>
      <c r="J980" s="11" t="s">
        <v>33</v>
      </c>
      <c r="K980" s="18">
        <v>4797076</v>
      </c>
      <c r="L980" s="12">
        <f t="shared" si="103"/>
        <v>6853000</v>
      </c>
      <c r="M980" s="8">
        <v>1</v>
      </c>
      <c r="N980" s="8" t="s">
        <v>27</v>
      </c>
      <c r="O980" s="13"/>
      <c r="P980" s="14">
        <v>0</v>
      </c>
      <c r="Q980" s="15">
        <v>0.3</v>
      </c>
      <c r="R980" s="16" t="str">
        <f t="shared" si="102"/>
        <v>EPSON</v>
      </c>
      <c r="S980" s="17"/>
      <c r="T980" s="10"/>
    </row>
    <row r="981" spans="1:20" ht="27" customHeight="1" x14ac:dyDescent="0.25">
      <c r="A981" s="8" t="s">
        <v>2297</v>
      </c>
      <c r="B981" s="9"/>
      <c r="C981" s="9"/>
      <c r="D981" s="8"/>
      <c r="E981" s="8"/>
      <c r="F981" s="8"/>
      <c r="G981" s="10"/>
      <c r="H981" s="8" t="s">
        <v>2308</v>
      </c>
      <c r="I981" s="10" t="s">
        <v>2347</v>
      </c>
      <c r="J981" s="11" t="s">
        <v>33</v>
      </c>
      <c r="K981" s="18">
        <v>6791062</v>
      </c>
      <c r="L981" s="12">
        <f t="shared" si="103"/>
        <v>9701600</v>
      </c>
      <c r="M981" s="8">
        <v>1</v>
      </c>
      <c r="N981" s="8" t="s">
        <v>27</v>
      </c>
      <c r="O981" s="13"/>
      <c r="P981" s="14">
        <v>0</v>
      </c>
      <c r="Q981" s="15">
        <v>0.3</v>
      </c>
      <c r="R981" s="16" t="str">
        <f t="shared" si="102"/>
        <v>EPSON</v>
      </c>
      <c r="S981" s="17"/>
      <c r="T981" s="10"/>
    </row>
    <row r="982" spans="1:20" ht="27" customHeight="1" x14ac:dyDescent="0.25">
      <c r="A982" s="8" t="s">
        <v>2297</v>
      </c>
      <c r="B982" s="9"/>
      <c r="C982" s="9"/>
      <c r="D982" s="8"/>
      <c r="E982" s="8"/>
      <c r="F982" s="8"/>
      <c r="G982" s="10"/>
      <c r="H982" s="8" t="s">
        <v>2306</v>
      </c>
      <c r="I982" s="10" t="s">
        <v>2348</v>
      </c>
      <c r="J982" s="11" t="s">
        <v>33</v>
      </c>
      <c r="K982" s="18">
        <v>7608063</v>
      </c>
      <c r="L982" s="12">
        <f t="shared" si="103"/>
        <v>10868700</v>
      </c>
      <c r="M982" s="8">
        <v>1</v>
      </c>
      <c r="N982" s="8" t="s">
        <v>27</v>
      </c>
      <c r="O982" s="13"/>
      <c r="P982" s="14">
        <v>0</v>
      </c>
      <c r="Q982" s="15">
        <v>0.3</v>
      </c>
      <c r="R982" s="16" t="str">
        <f t="shared" si="102"/>
        <v>EPSON</v>
      </c>
      <c r="S982" s="17"/>
      <c r="T982" s="10"/>
    </row>
    <row r="983" spans="1:20" ht="27" customHeight="1" x14ac:dyDescent="0.25">
      <c r="A983" s="8" t="s">
        <v>2297</v>
      </c>
      <c r="B983" s="9"/>
      <c r="C983" s="9"/>
      <c r="D983" s="8"/>
      <c r="E983" s="8"/>
      <c r="F983" s="8"/>
      <c r="G983" s="10"/>
      <c r="H983" s="8" t="s">
        <v>2349</v>
      </c>
      <c r="I983" s="10" t="s">
        <v>2350</v>
      </c>
      <c r="J983" s="11" t="s">
        <v>33</v>
      </c>
      <c r="K983" s="18">
        <v>5853286</v>
      </c>
      <c r="L983" s="12">
        <f t="shared" si="103"/>
        <v>8361900</v>
      </c>
      <c r="M983" s="8">
        <v>1</v>
      </c>
      <c r="N983" s="8" t="s">
        <v>27</v>
      </c>
      <c r="O983" s="13"/>
      <c r="P983" s="14">
        <v>0</v>
      </c>
      <c r="Q983" s="15">
        <v>0.3</v>
      </c>
      <c r="R983" s="16" t="str">
        <f t="shared" si="102"/>
        <v>EPSON</v>
      </c>
      <c r="S983" s="17"/>
      <c r="T983" s="10"/>
    </row>
    <row r="984" spans="1:20" ht="27" customHeight="1" x14ac:dyDescent="0.25">
      <c r="A984" s="8" t="s">
        <v>2297</v>
      </c>
      <c r="B984" s="9"/>
      <c r="C984" s="9"/>
      <c r="D984" s="8"/>
      <c r="E984" s="8"/>
      <c r="F984" s="8"/>
      <c r="G984" s="10"/>
      <c r="H984" s="8" t="s">
        <v>2351</v>
      </c>
      <c r="I984" s="10" t="s">
        <v>2352</v>
      </c>
      <c r="J984" s="11" t="s">
        <v>33</v>
      </c>
      <c r="K984" s="18">
        <v>8508973</v>
      </c>
      <c r="L984" s="12">
        <f t="shared" si="103"/>
        <v>12155700</v>
      </c>
      <c r="M984" s="8">
        <v>1</v>
      </c>
      <c r="N984" s="8" t="s">
        <v>27</v>
      </c>
      <c r="O984" s="13"/>
      <c r="P984" s="14">
        <v>0</v>
      </c>
      <c r="Q984" s="15">
        <v>0.3</v>
      </c>
      <c r="R984" s="16" t="str">
        <f t="shared" si="102"/>
        <v>EPSON</v>
      </c>
      <c r="S984" s="17"/>
      <c r="T984" s="10"/>
    </row>
    <row r="985" spans="1:20" ht="27" customHeight="1" x14ac:dyDescent="0.25">
      <c r="A985" s="8" t="s">
        <v>2297</v>
      </c>
      <c r="B985" s="9"/>
      <c r="C985" s="9"/>
      <c r="D985" s="8"/>
      <c r="E985" s="8"/>
      <c r="F985" s="8"/>
      <c r="G985" s="10"/>
      <c r="H985" s="8" t="s">
        <v>2353</v>
      </c>
      <c r="I985" s="10" t="s">
        <v>2354</v>
      </c>
      <c r="J985" s="11" t="s">
        <v>33</v>
      </c>
      <c r="K985" s="18">
        <v>6006917</v>
      </c>
      <c r="L985" s="12">
        <f t="shared" si="103"/>
        <v>8581400</v>
      </c>
      <c r="M985" s="8">
        <v>1</v>
      </c>
      <c r="N985" s="8" t="s">
        <v>27</v>
      </c>
      <c r="O985" s="13"/>
      <c r="P985" s="14">
        <v>0</v>
      </c>
      <c r="Q985" s="15">
        <v>0.3</v>
      </c>
      <c r="R985" s="16" t="str">
        <f t="shared" si="102"/>
        <v>EPSON</v>
      </c>
      <c r="S985" s="17"/>
      <c r="T985" s="10"/>
    </row>
    <row r="986" spans="1:20" ht="27" customHeight="1" x14ac:dyDescent="0.25">
      <c r="A986" s="8" t="s">
        <v>2297</v>
      </c>
      <c r="B986" s="9"/>
      <c r="C986" s="9"/>
      <c r="D986" s="8"/>
      <c r="E986" s="8"/>
      <c r="F986" s="8"/>
      <c r="G986" s="10"/>
      <c r="H986" s="8" t="s">
        <v>2355</v>
      </c>
      <c r="I986" s="10" t="s">
        <v>2356</v>
      </c>
      <c r="J986" s="11" t="s">
        <v>33</v>
      </c>
      <c r="K986" s="18">
        <v>7913551</v>
      </c>
      <c r="L986" s="12">
        <f t="shared" si="103"/>
        <v>11305100</v>
      </c>
      <c r="M986" s="8">
        <v>1</v>
      </c>
      <c r="N986" s="8" t="s">
        <v>27</v>
      </c>
      <c r="O986" s="13"/>
      <c r="P986" s="14">
        <v>0</v>
      </c>
      <c r="Q986" s="15">
        <v>0.3</v>
      </c>
      <c r="R986" s="16" t="str">
        <f t="shared" si="102"/>
        <v>EPSON</v>
      </c>
      <c r="S986" s="17"/>
      <c r="T986" s="10"/>
    </row>
    <row r="987" spans="1:20" ht="27" customHeight="1" x14ac:dyDescent="0.25">
      <c r="A987" s="8" t="s">
        <v>2297</v>
      </c>
      <c r="B987" s="9"/>
      <c r="C987" s="9"/>
      <c r="D987" s="8"/>
      <c r="E987" s="8"/>
      <c r="F987" s="8"/>
      <c r="G987" s="10"/>
      <c r="H987" s="8" t="s">
        <v>2357</v>
      </c>
      <c r="I987" s="10" t="s">
        <v>2358</v>
      </c>
      <c r="J987" s="11" t="s">
        <v>33</v>
      </c>
      <c r="K987" s="18">
        <v>10638167</v>
      </c>
      <c r="L987" s="12">
        <f t="shared" si="103"/>
        <v>15197400</v>
      </c>
      <c r="M987" s="8">
        <v>1</v>
      </c>
      <c r="N987" s="8" t="s">
        <v>27</v>
      </c>
      <c r="O987" s="13"/>
      <c r="P987" s="14">
        <v>0</v>
      </c>
      <c r="Q987" s="15">
        <v>0.3</v>
      </c>
      <c r="R987" s="16" t="str">
        <f t="shared" si="102"/>
        <v>EPSON</v>
      </c>
      <c r="S987" s="17"/>
      <c r="T987" s="10"/>
    </row>
    <row r="988" spans="1:20" ht="27" customHeight="1" x14ac:dyDescent="0.25">
      <c r="A988" s="8" t="s">
        <v>2297</v>
      </c>
      <c r="B988" s="9"/>
      <c r="C988" s="9"/>
      <c r="D988" s="8"/>
      <c r="E988" s="8"/>
      <c r="F988" s="8"/>
      <c r="G988" s="10"/>
      <c r="H988" s="8" t="s">
        <v>2359</v>
      </c>
      <c r="I988" s="10" t="s">
        <v>2360</v>
      </c>
      <c r="J988" s="11" t="s">
        <v>33</v>
      </c>
      <c r="K988" s="18">
        <v>1398085</v>
      </c>
      <c r="L988" s="12">
        <f t="shared" si="103"/>
        <v>1997300</v>
      </c>
      <c r="M988" s="8">
        <v>1</v>
      </c>
      <c r="N988" s="8" t="s">
        <v>27</v>
      </c>
      <c r="O988" s="13"/>
      <c r="P988" s="14">
        <v>0</v>
      </c>
      <c r="Q988" s="15">
        <v>0.3</v>
      </c>
      <c r="R988" s="16" t="str">
        <f t="shared" si="102"/>
        <v>EPSON</v>
      </c>
      <c r="S988" s="17"/>
      <c r="T988" s="10"/>
    </row>
    <row r="989" spans="1:20" ht="27" customHeight="1" x14ac:dyDescent="0.25">
      <c r="A989" s="8" t="s">
        <v>2297</v>
      </c>
      <c r="B989" s="9"/>
      <c r="C989" s="9"/>
      <c r="D989" s="8"/>
      <c r="E989" s="8"/>
      <c r="F989" s="8"/>
      <c r="G989" s="10"/>
      <c r="H989" s="8" t="s">
        <v>2361</v>
      </c>
      <c r="I989" s="10" t="s">
        <v>2362</v>
      </c>
      <c r="J989" s="11" t="s">
        <v>33</v>
      </c>
      <c r="K989" s="18">
        <v>2043317</v>
      </c>
      <c r="L989" s="12">
        <f t="shared" si="103"/>
        <v>2919100</v>
      </c>
      <c r="M989" s="8">
        <v>1</v>
      </c>
      <c r="N989" s="8" t="s">
        <v>27</v>
      </c>
      <c r="O989" s="13"/>
      <c r="P989" s="14">
        <v>0</v>
      </c>
      <c r="Q989" s="15">
        <v>0.3</v>
      </c>
      <c r="R989" s="16" t="str">
        <f t="shared" si="102"/>
        <v>EPSON</v>
      </c>
      <c r="S989" s="17"/>
      <c r="T989" s="10"/>
    </row>
    <row r="990" spans="1:20" ht="27" customHeight="1" x14ac:dyDescent="0.25">
      <c r="A990" s="8" t="s">
        <v>2297</v>
      </c>
      <c r="B990" s="9"/>
      <c r="C990" s="9"/>
      <c r="D990" s="8"/>
      <c r="E990" s="8"/>
      <c r="F990" s="8"/>
      <c r="G990" s="10"/>
      <c r="H990" s="8" t="s">
        <v>2363</v>
      </c>
      <c r="I990" s="10" t="s">
        <v>2364</v>
      </c>
      <c r="J990" s="11" t="s">
        <v>33</v>
      </c>
      <c r="K990" s="18">
        <v>1980790</v>
      </c>
      <c r="L990" s="12">
        <f t="shared" si="103"/>
        <v>2829700</v>
      </c>
      <c r="M990" s="8">
        <v>1</v>
      </c>
      <c r="N990" s="8" t="s">
        <v>27</v>
      </c>
      <c r="O990" s="13"/>
      <c r="P990" s="14">
        <v>0</v>
      </c>
      <c r="Q990" s="15">
        <v>0.3</v>
      </c>
      <c r="R990" s="16" t="str">
        <f t="shared" si="102"/>
        <v>EPSON</v>
      </c>
      <c r="S990" s="17"/>
      <c r="T990" s="10"/>
    </row>
    <row r="991" spans="1:20" ht="27" customHeight="1" x14ac:dyDescent="0.25">
      <c r="A991" s="8" t="s">
        <v>2297</v>
      </c>
      <c r="B991" s="9"/>
      <c r="C991" s="9"/>
      <c r="D991" s="8"/>
      <c r="E991" s="8"/>
      <c r="F991" s="8"/>
      <c r="G991" s="10"/>
      <c r="H991" s="8" t="s">
        <v>2365</v>
      </c>
      <c r="I991" s="10" t="s">
        <v>2366</v>
      </c>
      <c r="J991" s="11" t="s">
        <v>33</v>
      </c>
      <c r="K991" s="18">
        <v>1398085</v>
      </c>
      <c r="L991" s="12">
        <f t="shared" si="103"/>
        <v>1997300</v>
      </c>
      <c r="M991" s="8">
        <v>1</v>
      </c>
      <c r="N991" s="8" t="s">
        <v>27</v>
      </c>
      <c r="O991" s="13"/>
      <c r="P991" s="14">
        <v>0</v>
      </c>
      <c r="Q991" s="15">
        <v>0.3</v>
      </c>
      <c r="R991" s="16" t="str">
        <f t="shared" si="102"/>
        <v>EPSON</v>
      </c>
      <c r="S991" s="17"/>
      <c r="T991" s="10"/>
    </row>
    <row r="992" spans="1:20" ht="27" customHeight="1" x14ac:dyDescent="0.25">
      <c r="A992" s="8" t="s">
        <v>2297</v>
      </c>
      <c r="B992" s="9"/>
      <c r="C992" s="9"/>
      <c r="D992" s="8"/>
      <c r="E992" s="8"/>
      <c r="F992" s="8"/>
      <c r="G992" s="10"/>
      <c r="H992" s="8" t="s">
        <v>2367</v>
      </c>
      <c r="I992" s="10" t="s">
        <v>2368</v>
      </c>
      <c r="J992" s="11" t="s">
        <v>33</v>
      </c>
      <c r="K992" s="18">
        <v>2650000</v>
      </c>
      <c r="L992" s="12">
        <f t="shared" si="103"/>
        <v>3785800</v>
      </c>
      <c r="M992" s="8">
        <v>1</v>
      </c>
      <c r="N992" s="8" t="s">
        <v>27</v>
      </c>
      <c r="O992" s="13" t="s">
        <v>588</v>
      </c>
      <c r="P992" s="14">
        <v>0</v>
      </c>
      <c r="Q992" s="15">
        <v>0.3</v>
      </c>
      <c r="R992" s="16" t="str">
        <f t="shared" si="102"/>
        <v>EPSON</v>
      </c>
      <c r="S992" s="17"/>
      <c r="T992" s="10"/>
    </row>
    <row r="993" spans="1:21" ht="27" customHeight="1" x14ac:dyDescent="0.25">
      <c r="A993" s="8" t="s">
        <v>2369</v>
      </c>
      <c r="B993" s="9"/>
      <c r="C993" s="9"/>
      <c r="D993" s="8"/>
      <c r="E993" s="8"/>
      <c r="F993" s="8" t="s">
        <v>22</v>
      </c>
      <c r="G993" s="10" t="s">
        <v>2370</v>
      </c>
      <c r="H993" s="8" t="s">
        <v>2371</v>
      </c>
      <c r="I993" s="10" t="s">
        <v>2370</v>
      </c>
      <c r="J993" s="11" t="s">
        <v>26</v>
      </c>
      <c r="K993" s="18">
        <v>110</v>
      </c>
      <c r="L993" s="12">
        <f t="shared" si="103"/>
        <v>165</v>
      </c>
      <c r="M993" s="8">
        <v>1</v>
      </c>
      <c r="N993" s="8" t="s">
        <v>27</v>
      </c>
      <c r="O993" s="13"/>
      <c r="P993" s="14">
        <v>0.2</v>
      </c>
      <c r="Q993" s="15">
        <v>0.2</v>
      </c>
      <c r="R993" s="16" t="str">
        <f t="shared" si="102"/>
        <v>ESYNIC</v>
      </c>
      <c r="S993" s="17"/>
      <c r="T993" s="10" t="str">
        <f>G993</f>
        <v>TRANSMISOR HDMI POR UTP</v>
      </c>
    </row>
    <row r="994" spans="1:21" ht="27" customHeight="1" x14ac:dyDescent="0.25">
      <c r="A994" s="8" t="s">
        <v>2372</v>
      </c>
      <c r="B994" s="9"/>
      <c r="C994" s="9"/>
      <c r="D994" s="8"/>
      <c r="E994" s="8"/>
      <c r="F994" s="8"/>
      <c r="G994" s="10"/>
      <c r="H994" s="8" t="s">
        <v>2373</v>
      </c>
      <c r="I994" s="10" t="s">
        <v>2374</v>
      </c>
      <c r="J994" s="11" t="s">
        <v>33</v>
      </c>
      <c r="K994" s="18">
        <v>5280000</v>
      </c>
      <c r="L994" s="12">
        <f t="shared" si="103"/>
        <v>7040000</v>
      </c>
      <c r="M994" s="8">
        <v>1</v>
      </c>
      <c r="N994" s="8" t="s">
        <v>27</v>
      </c>
      <c r="O994" s="13">
        <f>F994</f>
        <v>0</v>
      </c>
      <c r="P994" s="14">
        <v>0</v>
      </c>
      <c r="Q994" s="15">
        <v>0.25</v>
      </c>
      <c r="R994" s="16" t="str">
        <f t="shared" si="102"/>
        <v>ETION</v>
      </c>
      <c r="S994" s="17"/>
      <c r="T994" s="10"/>
    </row>
    <row r="995" spans="1:21" ht="27" customHeight="1" x14ac:dyDescent="0.25">
      <c r="A995" s="8" t="s">
        <v>2375</v>
      </c>
      <c r="B995" s="9"/>
      <c r="C995" s="9"/>
      <c r="D995" s="8"/>
      <c r="E995" s="8"/>
      <c r="F995" s="8"/>
      <c r="G995" s="10"/>
      <c r="H995" s="8" t="s">
        <v>2376</v>
      </c>
      <c r="I995" s="10" t="s">
        <v>2377</v>
      </c>
      <c r="J995" s="11" t="s">
        <v>26</v>
      </c>
      <c r="K995" s="18">
        <v>52</v>
      </c>
      <c r="L995" s="12">
        <f>K995*(1+P995)/(1-Q995)</f>
        <v>104</v>
      </c>
      <c r="M995" s="8">
        <v>1</v>
      </c>
      <c r="N995" s="8" t="s">
        <v>27</v>
      </c>
      <c r="O995" s="13"/>
      <c r="P995" s="14">
        <v>0.2</v>
      </c>
      <c r="Q995" s="15">
        <v>0.4</v>
      </c>
      <c r="R995" s="16" t="str">
        <f t="shared" si="102"/>
        <v>EUFI</v>
      </c>
      <c r="S995" s="17" t="s">
        <v>2378</v>
      </c>
      <c r="T995" s="10"/>
    </row>
    <row r="996" spans="1:21" ht="27" customHeight="1" x14ac:dyDescent="0.25">
      <c r="A996" s="8" t="s">
        <v>2379</v>
      </c>
      <c r="B996" s="9"/>
      <c r="C996" s="9"/>
      <c r="D996" s="8"/>
      <c r="E996" s="8"/>
      <c r="F996" s="8"/>
      <c r="G996" s="10"/>
      <c r="H996" s="8" t="s">
        <v>2380</v>
      </c>
      <c r="I996" s="10" t="s">
        <v>2381</v>
      </c>
      <c r="J996" s="11" t="s">
        <v>26</v>
      </c>
      <c r="K996" s="18">
        <v>20</v>
      </c>
      <c r="L996" s="12">
        <f>ROUNDUP(K996*(1+P996)/(1-Q996),0)</f>
        <v>34</v>
      </c>
      <c r="M996" s="8">
        <v>1</v>
      </c>
      <c r="N996" s="8" t="s">
        <v>27</v>
      </c>
      <c r="O996" s="13"/>
      <c r="P996" s="14">
        <v>0</v>
      </c>
      <c r="Q996" s="15">
        <v>0.4</v>
      </c>
      <c r="R996" s="16" t="str">
        <f t="shared" si="102"/>
        <v>EXCELLINE</v>
      </c>
      <c r="S996" s="17" t="s">
        <v>2382</v>
      </c>
      <c r="T996" s="10"/>
      <c r="U996" s="39" t="s">
        <v>2383</v>
      </c>
    </row>
    <row r="997" spans="1:21" ht="27" customHeight="1" x14ac:dyDescent="0.25">
      <c r="A997" s="8" t="s">
        <v>2384</v>
      </c>
      <c r="B997" s="9"/>
      <c r="C997" s="9"/>
      <c r="D997" s="8"/>
      <c r="E997" s="8"/>
      <c r="F997" s="8" t="s">
        <v>22</v>
      </c>
      <c r="G997" s="10" t="s">
        <v>2385</v>
      </c>
      <c r="H997" s="8" t="s">
        <v>2386</v>
      </c>
      <c r="I997" s="10" t="s">
        <v>2385</v>
      </c>
      <c r="J997" s="11" t="s">
        <v>33</v>
      </c>
      <c r="K997" s="18">
        <v>201000</v>
      </c>
      <c r="L997" s="12">
        <f>IF(J997="P",ROUNDUP(K997/(1-Q997),-2),K997*(1+P997)/(1-Q997))</f>
        <v>335000</v>
      </c>
      <c r="M997" s="8">
        <v>1</v>
      </c>
      <c r="N997" s="8" t="s">
        <v>27</v>
      </c>
      <c r="O997" s="13"/>
      <c r="P997" s="14">
        <v>0.2</v>
      </c>
      <c r="Q997" s="15">
        <v>0.4</v>
      </c>
      <c r="R997" s="16" t="str">
        <f t="shared" si="102"/>
        <v>EYCOS</v>
      </c>
      <c r="S997" s="17"/>
      <c r="T997" s="10" t="str">
        <f>G997</f>
        <v>RACK ABIERTO DE 1.8 METROS DE ALTURA.</v>
      </c>
    </row>
    <row r="998" spans="1:21" ht="27" customHeight="1" x14ac:dyDescent="0.25">
      <c r="A998" s="8" t="s">
        <v>2387</v>
      </c>
      <c r="B998" s="9" t="s">
        <v>683</v>
      </c>
      <c r="C998" s="9"/>
      <c r="D998" s="8" t="s">
        <v>684</v>
      </c>
      <c r="E998" s="8"/>
      <c r="F998" s="8" t="s">
        <v>22</v>
      </c>
      <c r="G998" s="10" t="s">
        <v>2388</v>
      </c>
      <c r="H998" s="8" t="s">
        <v>2389</v>
      </c>
      <c r="I998" s="10" t="s">
        <v>2388</v>
      </c>
      <c r="J998" s="11" t="s">
        <v>26</v>
      </c>
      <c r="K998" s="18">
        <v>182</v>
      </c>
      <c r="L998" s="12">
        <f>IF(J998="P",ROUNDUP(K998/(1-Q998),-2),K998*(1+P998)/(1-Q998))</f>
        <v>312</v>
      </c>
      <c r="M998" s="8">
        <v>1</v>
      </c>
      <c r="N998" s="8" t="s">
        <v>27</v>
      </c>
      <c r="O998" s="13"/>
      <c r="P998" s="14">
        <v>0.2</v>
      </c>
      <c r="Q998" s="15">
        <v>0.3</v>
      </c>
      <c r="R998" s="16" t="str">
        <f t="shared" si="102"/>
        <v>FAVI</v>
      </c>
      <c r="S998" s="17"/>
      <c r="T998" s="10" t="str">
        <f>G998</f>
        <v>TELÓN MOTORIZADO DE 100" EN FORMATO 16:9.</v>
      </c>
    </row>
    <row r="999" spans="1:21" ht="27" customHeight="1" x14ac:dyDescent="0.25">
      <c r="A999" s="8" t="s">
        <v>2390</v>
      </c>
      <c r="B999" s="9"/>
      <c r="C999" s="9"/>
      <c r="D999" s="8"/>
      <c r="E999" s="8"/>
      <c r="F999" s="8"/>
      <c r="G999" s="10"/>
      <c r="H999" s="8" t="s">
        <v>2391</v>
      </c>
      <c r="I999" s="10" t="s">
        <v>2392</v>
      </c>
      <c r="J999" s="11" t="s">
        <v>26</v>
      </c>
      <c r="K999" s="18">
        <v>3.9</v>
      </c>
      <c r="L999" s="12">
        <f>IF(J999="P",ROUNDUP(K999/(1-Q999),-2),K999*(1+P999)/(1-Q999))</f>
        <v>7.8</v>
      </c>
      <c r="M999" s="8">
        <v>1</v>
      </c>
      <c r="N999" s="8" t="s">
        <v>27</v>
      </c>
      <c r="O999" s="13">
        <f>F999</f>
        <v>0</v>
      </c>
      <c r="P999" s="14">
        <v>0.2</v>
      </c>
      <c r="Q999" s="15">
        <v>0.4</v>
      </c>
      <c r="R999" s="16" t="str">
        <f t="shared" si="102"/>
        <v>FEDERAL</v>
      </c>
      <c r="S999" s="17"/>
      <c r="T999" s="10"/>
    </row>
    <row r="1000" spans="1:21" ht="27" customHeight="1" x14ac:dyDescent="0.25">
      <c r="A1000" s="8" t="s">
        <v>2393</v>
      </c>
      <c r="B1000" s="9"/>
      <c r="C1000" s="9"/>
      <c r="D1000" s="8"/>
      <c r="E1000" s="8"/>
      <c r="F1000" s="8" t="s">
        <v>22</v>
      </c>
      <c r="G1000" s="10" t="s">
        <v>2394</v>
      </c>
      <c r="H1000" s="8" t="s">
        <v>2395</v>
      </c>
      <c r="I1000" s="10" t="s">
        <v>2394</v>
      </c>
      <c r="J1000" s="11" t="s">
        <v>26</v>
      </c>
      <c r="K1000" s="18">
        <v>132</v>
      </c>
      <c r="L1000" s="12">
        <f>IF(J1000="P",ROUNDUP(K1000/(1-Q1000),-2),K1000*(1+P1000)/(1-Q1000))</f>
        <v>226.28571428571431</v>
      </c>
      <c r="M1000" s="8">
        <v>1</v>
      </c>
      <c r="N1000" s="8" t="s">
        <v>27</v>
      </c>
      <c r="O1000" s="13"/>
      <c r="P1000" s="14">
        <v>0.2</v>
      </c>
      <c r="Q1000" s="15">
        <v>0.3</v>
      </c>
      <c r="R1000" s="16" t="str">
        <f t="shared" si="102"/>
        <v>FIBER SAVVY</v>
      </c>
      <c r="S1000" s="17"/>
      <c r="T1000" s="10" t="str">
        <f>G1000</f>
        <v>PATCH PANEL DE 12 PUERTOS PARA CONEXIÓN DE FIBRA ÓPTICA MULTIMODAL.</v>
      </c>
    </row>
    <row r="1001" spans="1:21" ht="27" customHeight="1" x14ac:dyDescent="0.25">
      <c r="A1001" s="8" t="s">
        <v>2393</v>
      </c>
      <c r="B1001" s="9"/>
      <c r="C1001" s="9"/>
      <c r="D1001" s="8"/>
      <c r="E1001" s="8"/>
      <c r="F1001" s="8" t="s">
        <v>22</v>
      </c>
      <c r="G1001" s="10" t="s">
        <v>2396</v>
      </c>
      <c r="H1001" s="8" t="s">
        <v>2397</v>
      </c>
      <c r="I1001" s="10" t="s">
        <v>2396</v>
      </c>
      <c r="J1001" s="11" t="s">
        <v>26</v>
      </c>
      <c r="K1001" s="18">
        <v>36</v>
      </c>
      <c r="L1001" s="12">
        <f>IF(J1001="P",ROUNDUP(K1001/(1-Q1001),-2),K1001*(1+P1001)/(1-Q1001))</f>
        <v>61.714285714285715</v>
      </c>
      <c r="M1001" s="8">
        <v>1</v>
      </c>
      <c r="N1001" s="8" t="s">
        <v>27</v>
      </c>
      <c r="O1001" s="13"/>
      <c r="P1001" s="14">
        <v>0.2</v>
      </c>
      <c r="Q1001" s="15">
        <v>0.3</v>
      </c>
      <c r="R1001" s="16" t="str">
        <f t="shared" si="102"/>
        <v>FIBER SAVVY</v>
      </c>
      <c r="S1001" s="17"/>
      <c r="T1001" s="10" t="str">
        <f>G1001</f>
        <v>PATCH CORE EN FIBRA MULTIMODO DE 40M DE LONGITUD</v>
      </c>
    </row>
    <row r="1002" spans="1:21" ht="27" customHeight="1" x14ac:dyDescent="0.25">
      <c r="A1002" s="8" t="s">
        <v>2398</v>
      </c>
      <c r="B1002" s="9"/>
      <c r="C1002" s="9"/>
      <c r="D1002" s="8" t="s">
        <v>45</v>
      </c>
      <c r="E1002" s="8"/>
      <c r="F1002" s="8" t="s">
        <v>22</v>
      </c>
      <c r="G1002" s="10" t="s">
        <v>2399</v>
      </c>
      <c r="H1002" s="8" t="s">
        <v>2400</v>
      </c>
      <c r="I1002" s="10" t="s">
        <v>2399</v>
      </c>
      <c r="J1002" s="11" t="s">
        <v>33</v>
      </c>
      <c r="K1002" s="18">
        <v>29000</v>
      </c>
      <c r="L1002" s="12">
        <f>ROUNDUP(K1002*(1+P1002)/(1-Q1002),0)</f>
        <v>41429</v>
      </c>
      <c r="M1002" s="8">
        <v>1</v>
      </c>
      <c r="N1002" s="8" t="s">
        <v>27</v>
      </c>
      <c r="O1002" s="13"/>
      <c r="P1002" s="14">
        <v>0</v>
      </c>
      <c r="Q1002" s="15">
        <v>0.3</v>
      </c>
      <c r="R1002" s="16" t="str">
        <f t="shared" si="102"/>
        <v>FIERO</v>
      </c>
      <c r="S1002" s="17" t="s">
        <v>2401</v>
      </c>
      <c r="T1002" s="10" t="str">
        <f>G1002</f>
        <v>POLEA DE 2 PULGADAS PARA SOPORTE EN TECHO.</v>
      </c>
    </row>
    <row r="1003" spans="1:21" ht="27" customHeight="1" x14ac:dyDescent="0.25">
      <c r="A1003" s="8" t="s">
        <v>2402</v>
      </c>
      <c r="B1003" s="9"/>
      <c r="C1003" s="9"/>
      <c r="D1003" s="8"/>
      <c r="E1003" s="8"/>
      <c r="F1003" s="8" t="s">
        <v>22</v>
      </c>
      <c r="G1003" s="10" t="s">
        <v>2403</v>
      </c>
      <c r="H1003" s="8" t="s">
        <v>2404</v>
      </c>
      <c r="I1003" s="10" t="s">
        <v>2403</v>
      </c>
      <c r="J1003" s="11" t="s">
        <v>33</v>
      </c>
      <c r="K1003" s="18">
        <v>59900</v>
      </c>
      <c r="L1003" s="12">
        <f>IF(J1003="P",ROUNDUP(K1003/(1-Q1003),-2),K1003*(1+P1003)/(1-Q1003))</f>
        <v>99900</v>
      </c>
      <c r="M1003" s="8">
        <v>1</v>
      </c>
      <c r="N1003" s="8" t="s">
        <v>27</v>
      </c>
      <c r="O1003" s="13"/>
      <c r="P1003" s="14">
        <v>0.2</v>
      </c>
      <c r="Q1003" s="15">
        <v>0.4</v>
      </c>
      <c r="R1003" s="16" t="str">
        <f t="shared" si="102"/>
        <v>FIX</v>
      </c>
      <c r="S1003" s="17"/>
      <c r="T1003" s="10" t="str">
        <f>G1003</f>
        <v>SOPORTE FIJO PARA TV ENTRE 42" Y 70"</v>
      </c>
    </row>
    <row r="1004" spans="1:21" ht="27" customHeight="1" x14ac:dyDescent="0.25">
      <c r="A1004" s="8" t="s">
        <v>2405</v>
      </c>
      <c r="B1004" s="9"/>
      <c r="C1004" s="9"/>
      <c r="D1004" s="8"/>
      <c r="E1004" s="8"/>
      <c r="F1004" s="8"/>
      <c r="G1004" s="10"/>
      <c r="H1004" s="8" t="s">
        <v>2406</v>
      </c>
      <c r="I1004" s="10" t="s">
        <v>2407</v>
      </c>
      <c r="J1004" s="11" t="s">
        <v>33</v>
      </c>
      <c r="K1004" s="18">
        <v>7200</v>
      </c>
      <c r="L1004" s="12">
        <f>ROUNDUP(K1004*(1+P1004)/(1-Q1004),0)</f>
        <v>12000</v>
      </c>
      <c r="M1004" s="8">
        <v>1</v>
      </c>
      <c r="N1004" s="8" t="s">
        <v>27</v>
      </c>
      <c r="O1004" s="13"/>
      <c r="P1004" s="14">
        <v>0</v>
      </c>
      <c r="Q1004" s="15">
        <v>0.4</v>
      </c>
      <c r="R1004" s="16" t="str">
        <f t="shared" si="102"/>
        <v>FLEXILIGHT</v>
      </c>
      <c r="S1004" s="17"/>
      <c r="T1004" s="10"/>
    </row>
    <row r="1005" spans="1:21" ht="27" customHeight="1" x14ac:dyDescent="0.25">
      <c r="A1005" s="8" t="s">
        <v>2405</v>
      </c>
      <c r="B1005" s="9"/>
      <c r="C1005" s="9"/>
      <c r="D1005" s="8"/>
      <c r="E1005" s="8"/>
      <c r="F1005" s="8"/>
      <c r="G1005" s="10"/>
      <c r="H1005" s="8" t="s">
        <v>2408</v>
      </c>
      <c r="I1005" s="10" t="s">
        <v>2409</v>
      </c>
      <c r="J1005" s="11" t="s">
        <v>33</v>
      </c>
      <c r="K1005" s="18">
        <v>6400</v>
      </c>
      <c r="L1005" s="12">
        <f>ROUNDUP(K1005*(1+P1005)/(1-Q1005),0)</f>
        <v>10667</v>
      </c>
      <c r="M1005" s="8">
        <v>1</v>
      </c>
      <c r="N1005" s="8" t="s">
        <v>27</v>
      </c>
      <c r="O1005" s="13"/>
      <c r="P1005" s="14">
        <v>0</v>
      </c>
      <c r="Q1005" s="15">
        <v>0.4</v>
      </c>
      <c r="R1005" s="16" t="str">
        <f t="shared" si="102"/>
        <v>FLEXILIGHT</v>
      </c>
      <c r="S1005" s="17"/>
      <c r="T1005" s="10"/>
    </row>
    <row r="1006" spans="1:21" ht="27" customHeight="1" x14ac:dyDescent="0.25">
      <c r="A1006" s="8" t="s">
        <v>2410</v>
      </c>
      <c r="B1006" s="9"/>
      <c r="C1006" s="9"/>
      <c r="D1006" s="8"/>
      <c r="E1006" s="8"/>
      <c r="F1006" s="8" t="s">
        <v>22</v>
      </c>
      <c r="G1006" s="10" t="s">
        <v>2411</v>
      </c>
      <c r="H1006" s="8" t="s">
        <v>2412</v>
      </c>
      <c r="I1006" s="10" t="s">
        <v>2411</v>
      </c>
      <c r="J1006" s="11" t="s">
        <v>26</v>
      </c>
      <c r="K1006" s="18">
        <v>25</v>
      </c>
      <c r="L1006" s="12">
        <f t="shared" ref="L1006:L1015" si="104">IF(J1006="P",ROUNDUP(K1006/(1-Q1006),-2),K1006*(1+P1006)/(1-Q1006))</f>
        <v>50</v>
      </c>
      <c r="M1006" s="8">
        <v>1</v>
      </c>
      <c r="N1006" s="8" t="s">
        <v>27</v>
      </c>
      <c r="O1006" s="13"/>
      <c r="P1006" s="14">
        <v>0.2</v>
      </c>
      <c r="Q1006" s="15">
        <v>0.4</v>
      </c>
      <c r="R1006" s="16" t="str">
        <f t="shared" si="102"/>
        <v>FLEXON</v>
      </c>
      <c r="S1006" s="17"/>
      <c r="T1006" s="10" t="str">
        <f t="shared" ref="T1006:T1015" si="105">G1006</f>
        <v>SOPORTE DE PARED PARA EQUIPO PLAY 1</v>
      </c>
    </row>
    <row r="1007" spans="1:21" ht="27" customHeight="1" x14ac:dyDescent="0.25">
      <c r="A1007" s="8" t="s">
        <v>2413</v>
      </c>
      <c r="B1007" s="9"/>
      <c r="C1007" s="9"/>
      <c r="D1007" s="8"/>
      <c r="E1007" s="8"/>
      <c r="F1007" s="8" t="s">
        <v>22</v>
      </c>
      <c r="G1007" s="10" t="s">
        <v>2414</v>
      </c>
      <c r="H1007" s="8" t="s">
        <v>2415</v>
      </c>
      <c r="I1007" s="10" t="s">
        <v>2414</v>
      </c>
      <c r="J1007" s="11" t="s">
        <v>26</v>
      </c>
      <c r="K1007" s="18">
        <f>267*1.1*0.5</f>
        <v>146.85000000000002</v>
      </c>
      <c r="L1007" s="12">
        <f t="shared" si="104"/>
        <v>234.96000000000004</v>
      </c>
      <c r="M1007" s="8">
        <v>1</v>
      </c>
      <c r="N1007" s="8" t="s">
        <v>27</v>
      </c>
      <c r="O1007" s="13"/>
      <c r="P1007" s="14">
        <v>0.2</v>
      </c>
      <c r="Q1007" s="15">
        <v>0.25</v>
      </c>
      <c r="R1007" s="16" t="str">
        <f t="shared" si="102"/>
        <v>FLOS</v>
      </c>
      <c r="S1007" s="17"/>
      <c r="T1007" s="10" t="str">
        <f t="shared" si="105"/>
        <v>UT SPOT TRACK 57 LED ARRAY
21,5W 1900lm CRI90 3000K
WHITE 40D</v>
      </c>
    </row>
    <row r="1008" spans="1:21" ht="27" customHeight="1" x14ac:dyDescent="0.25">
      <c r="A1008" s="8" t="s">
        <v>2413</v>
      </c>
      <c r="B1008" s="9"/>
      <c r="C1008" s="9"/>
      <c r="D1008" s="8"/>
      <c r="E1008" s="8"/>
      <c r="F1008" s="8" t="s">
        <v>22</v>
      </c>
      <c r="G1008" s="10" t="s">
        <v>2416</v>
      </c>
      <c r="H1008" s="8" t="s">
        <v>2417</v>
      </c>
      <c r="I1008" s="10" t="s">
        <v>2416</v>
      </c>
      <c r="J1008" s="11" t="s">
        <v>26</v>
      </c>
      <c r="K1008" s="18">
        <f>267*1.1*0.5</f>
        <v>146.85000000000002</v>
      </c>
      <c r="L1008" s="12">
        <f t="shared" si="104"/>
        <v>234.96000000000004</v>
      </c>
      <c r="M1008" s="8">
        <v>2</v>
      </c>
      <c r="N1008" s="8" t="s">
        <v>27</v>
      </c>
      <c r="O1008" s="13"/>
      <c r="P1008" s="14">
        <v>0.2</v>
      </c>
      <c r="Q1008" s="15">
        <v>0.25</v>
      </c>
      <c r="R1008" s="16" t="str">
        <f t="shared" si="102"/>
        <v>FLOS</v>
      </c>
      <c r="S1008" s="17"/>
      <c r="T1008" s="10" t="str">
        <f t="shared" si="105"/>
        <v>UT SPOT TRACK 57 LED ARRAY
21,5W 1900lm CRI90 3000K
WHITE 12D</v>
      </c>
    </row>
    <row r="1009" spans="1:20" ht="27" customHeight="1" x14ac:dyDescent="0.25">
      <c r="A1009" s="8" t="s">
        <v>2413</v>
      </c>
      <c r="B1009" s="9"/>
      <c r="C1009" s="9"/>
      <c r="D1009" s="8"/>
      <c r="E1009" s="8"/>
      <c r="F1009" s="8" t="s">
        <v>22</v>
      </c>
      <c r="G1009" s="10" t="s">
        <v>2418</v>
      </c>
      <c r="H1009" s="8" t="s">
        <v>2419</v>
      </c>
      <c r="I1009" s="10" t="s">
        <v>2418</v>
      </c>
      <c r="J1009" s="11" t="s">
        <v>26</v>
      </c>
      <c r="K1009" s="18">
        <f>64*1.1*0.5</f>
        <v>35.200000000000003</v>
      </c>
      <c r="L1009" s="12">
        <f t="shared" si="104"/>
        <v>56.32</v>
      </c>
      <c r="M1009" s="8">
        <v>3</v>
      </c>
      <c r="N1009" s="8" t="s">
        <v>27</v>
      </c>
      <c r="O1009" s="13"/>
      <c r="P1009" s="14">
        <v>0.2</v>
      </c>
      <c r="Q1009" s="15">
        <v>0.25</v>
      </c>
      <c r="R1009" s="16" t="str">
        <f t="shared" si="102"/>
        <v>FLOS</v>
      </c>
      <c r="S1009" s="17"/>
      <c r="T1009" s="10" t="str">
        <f t="shared" si="105"/>
        <v>3-PHASE TRACK WHITE
Surface Track 1m</v>
      </c>
    </row>
    <row r="1010" spans="1:20" ht="27" customHeight="1" x14ac:dyDescent="0.25">
      <c r="A1010" s="8" t="s">
        <v>2413</v>
      </c>
      <c r="B1010" s="9"/>
      <c r="C1010" s="9"/>
      <c r="D1010" s="8"/>
      <c r="E1010" s="8"/>
      <c r="F1010" s="8" t="s">
        <v>22</v>
      </c>
      <c r="G1010" s="10" t="s">
        <v>2420</v>
      </c>
      <c r="H1010" s="8" t="s">
        <v>2421</v>
      </c>
      <c r="I1010" s="10" t="s">
        <v>2420</v>
      </c>
      <c r="J1010" s="11" t="s">
        <v>26</v>
      </c>
      <c r="K1010" s="18">
        <f>123*1.1*0.5</f>
        <v>67.650000000000006</v>
      </c>
      <c r="L1010" s="12">
        <f t="shared" si="104"/>
        <v>108.24000000000001</v>
      </c>
      <c r="M1010" s="8">
        <v>4</v>
      </c>
      <c r="N1010" s="8" t="s">
        <v>27</v>
      </c>
      <c r="O1010" s="13"/>
      <c r="P1010" s="14">
        <v>0.2</v>
      </c>
      <c r="Q1010" s="15">
        <v>0.25</v>
      </c>
      <c r="R1010" s="16" t="str">
        <f t="shared" si="102"/>
        <v>FLOS</v>
      </c>
      <c r="S1010" s="17"/>
      <c r="T1010" s="10" t="str">
        <f t="shared" si="105"/>
        <v>3-PHASE TRACK WHITE
Surface Track 2m</v>
      </c>
    </row>
    <row r="1011" spans="1:20" ht="27" customHeight="1" x14ac:dyDescent="0.25">
      <c r="A1011" s="8" t="s">
        <v>2413</v>
      </c>
      <c r="B1011" s="9"/>
      <c r="C1011" s="9"/>
      <c r="D1011" s="8"/>
      <c r="E1011" s="8"/>
      <c r="F1011" s="8" t="s">
        <v>22</v>
      </c>
      <c r="G1011" s="10" t="s">
        <v>2422</v>
      </c>
      <c r="H1011" s="8" t="s">
        <v>2423</v>
      </c>
      <c r="I1011" s="10" t="s">
        <v>2422</v>
      </c>
      <c r="J1011" s="11" t="s">
        <v>26</v>
      </c>
      <c r="K1011" s="18">
        <f>21*1.1*0.5</f>
        <v>11.55</v>
      </c>
      <c r="L1011" s="12">
        <f t="shared" si="104"/>
        <v>18.48</v>
      </c>
      <c r="M1011" s="8">
        <v>5</v>
      </c>
      <c r="N1011" s="8" t="s">
        <v>27</v>
      </c>
      <c r="O1011" s="13"/>
      <c r="P1011" s="14">
        <v>0.2</v>
      </c>
      <c r="Q1011" s="15">
        <v>0.25</v>
      </c>
      <c r="R1011" s="16" t="str">
        <f t="shared" si="102"/>
        <v>FLOS</v>
      </c>
      <c r="S1011" s="17"/>
      <c r="T1011" s="10" t="str">
        <f t="shared" si="105"/>
        <v>STRAIGHT CONNECT WHITE for
3-phase Track</v>
      </c>
    </row>
    <row r="1012" spans="1:20" ht="27" customHeight="1" x14ac:dyDescent="0.25">
      <c r="A1012" s="8" t="s">
        <v>2413</v>
      </c>
      <c r="B1012" s="9"/>
      <c r="C1012" s="9"/>
      <c r="D1012" s="8"/>
      <c r="E1012" s="8"/>
      <c r="F1012" s="8" t="s">
        <v>22</v>
      </c>
      <c r="G1012" s="10" t="s">
        <v>2424</v>
      </c>
      <c r="H1012" s="8" t="s">
        <v>2425</v>
      </c>
      <c r="I1012" s="10" t="s">
        <v>2424</v>
      </c>
      <c r="J1012" s="11" t="s">
        <v>26</v>
      </c>
      <c r="K1012" s="18">
        <f>27*1.1*0.5</f>
        <v>14.850000000000001</v>
      </c>
      <c r="L1012" s="12">
        <f t="shared" si="104"/>
        <v>23.76</v>
      </c>
      <c r="M1012" s="8">
        <v>6</v>
      </c>
      <c r="N1012" s="8" t="s">
        <v>27</v>
      </c>
      <c r="O1012" s="13"/>
      <c r="P1012" s="14">
        <v>0.2</v>
      </c>
      <c r="Q1012" s="15">
        <v>0.25</v>
      </c>
      <c r="R1012" s="16" t="str">
        <f t="shared" si="102"/>
        <v>FLOS</v>
      </c>
      <c r="S1012" s="17"/>
      <c r="T1012" s="10" t="str">
        <f t="shared" si="105"/>
        <v>LIVE END RIGHT WHITE for 3-
phase Track</v>
      </c>
    </row>
    <row r="1013" spans="1:20" ht="27" customHeight="1" x14ac:dyDescent="0.25">
      <c r="A1013" s="8" t="s">
        <v>2413</v>
      </c>
      <c r="B1013" s="9"/>
      <c r="C1013" s="9"/>
      <c r="D1013" s="8"/>
      <c r="E1013" s="8"/>
      <c r="F1013" s="8" t="s">
        <v>22</v>
      </c>
      <c r="G1013" s="10" t="s">
        <v>2426</v>
      </c>
      <c r="H1013" s="8" t="s">
        <v>2427</v>
      </c>
      <c r="I1013" s="10" t="s">
        <v>2426</v>
      </c>
      <c r="J1013" s="11" t="s">
        <v>26</v>
      </c>
      <c r="K1013" s="18">
        <f>7*1.1*0.5</f>
        <v>3.8500000000000005</v>
      </c>
      <c r="L1013" s="12">
        <f t="shared" si="104"/>
        <v>6.16</v>
      </c>
      <c r="M1013" s="8">
        <v>7</v>
      </c>
      <c r="N1013" s="8" t="s">
        <v>27</v>
      </c>
      <c r="O1013" s="13"/>
      <c r="P1013" s="14">
        <v>0.2</v>
      </c>
      <c r="Q1013" s="15">
        <v>0.25</v>
      </c>
      <c r="R1013" s="16" t="str">
        <f t="shared" si="102"/>
        <v>FLOS</v>
      </c>
      <c r="S1013" s="17"/>
      <c r="T1013" s="10" t="str">
        <f t="shared" si="105"/>
        <v>BLIND END WHITE for 3-
phase Track</v>
      </c>
    </row>
    <row r="1014" spans="1:20" ht="27" customHeight="1" x14ac:dyDescent="0.25">
      <c r="A1014" s="8" t="s">
        <v>2413</v>
      </c>
      <c r="B1014" s="9"/>
      <c r="C1014" s="9"/>
      <c r="D1014" s="8"/>
      <c r="E1014" s="8"/>
      <c r="F1014" s="8" t="s">
        <v>22</v>
      </c>
      <c r="G1014" s="10" t="s">
        <v>2428</v>
      </c>
      <c r="H1014" s="8" t="s">
        <v>2429</v>
      </c>
      <c r="I1014" s="10" t="s">
        <v>2428</v>
      </c>
      <c r="J1014" s="11" t="s">
        <v>26</v>
      </c>
      <c r="K1014" s="18">
        <f>40*1.1*0.5</f>
        <v>22</v>
      </c>
      <c r="L1014" s="12">
        <f t="shared" si="104"/>
        <v>35.199999999999996</v>
      </c>
      <c r="M1014" s="8">
        <v>8</v>
      </c>
      <c r="N1014" s="8" t="s">
        <v>27</v>
      </c>
      <c r="O1014" s="13"/>
      <c r="P1014" s="14">
        <v>0.2</v>
      </c>
      <c r="Q1014" s="15">
        <v>0.25</v>
      </c>
      <c r="R1014" s="16" t="str">
        <f t="shared" si="102"/>
        <v>FLOS</v>
      </c>
      <c r="S1014" s="17"/>
      <c r="T1014" s="10" t="str">
        <f t="shared" si="105"/>
        <v>LEAD BENDING KEY</v>
      </c>
    </row>
    <row r="1015" spans="1:20" ht="27" customHeight="1" x14ac:dyDescent="0.25">
      <c r="A1015" s="8" t="s">
        <v>2413</v>
      </c>
      <c r="B1015" s="9"/>
      <c r="C1015" s="9"/>
      <c r="D1015" s="8"/>
      <c r="E1015" s="8"/>
      <c r="F1015" s="8" t="s">
        <v>22</v>
      </c>
      <c r="G1015" s="10" t="s">
        <v>2430</v>
      </c>
      <c r="H1015" s="8" t="s">
        <v>2431</v>
      </c>
      <c r="I1015" s="10" t="s">
        <v>2430</v>
      </c>
      <c r="J1015" s="11" t="s">
        <v>26</v>
      </c>
      <c r="K1015" s="18">
        <f>7*1.1*0.5</f>
        <v>3.8500000000000005</v>
      </c>
      <c r="L1015" s="12">
        <f t="shared" si="104"/>
        <v>6.16</v>
      </c>
      <c r="M1015" s="8">
        <v>9</v>
      </c>
      <c r="N1015" s="8" t="s">
        <v>27</v>
      </c>
      <c r="O1015" s="13"/>
      <c r="P1015" s="14">
        <v>0.2</v>
      </c>
      <c r="Q1015" s="15">
        <v>0.25</v>
      </c>
      <c r="R1015" s="16" t="str">
        <f t="shared" si="102"/>
        <v>FLOS</v>
      </c>
      <c r="S1015" s="17"/>
      <c r="T1015" s="10" t="str">
        <f t="shared" si="105"/>
        <v>BRACKET FOR FIXING TRACKS TO
WALL OR CEILING</v>
      </c>
    </row>
    <row r="1016" spans="1:20" ht="27" customHeight="1" x14ac:dyDescent="0.25">
      <c r="A1016" s="8" t="s">
        <v>2432</v>
      </c>
      <c r="B1016" s="9"/>
      <c r="C1016" s="9"/>
      <c r="D1016" s="8"/>
      <c r="E1016" s="8"/>
      <c r="F1016" s="8"/>
      <c r="G1016" s="10"/>
      <c r="H1016" s="8" t="s">
        <v>2433</v>
      </c>
      <c r="I1016" s="10" t="s">
        <v>2434</v>
      </c>
      <c r="J1016" s="11" t="s">
        <v>33</v>
      </c>
      <c r="K1016" s="18">
        <v>170000</v>
      </c>
      <c r="L1016" s="12">
        <f>K1016*(1+P1016)/(1-Q1016)</f>
        <v>283333.33333333337</v>
      </c>
      <c r="M1016" s="8">
        <v>1</v>
      </c>
      <c r="N1016" s="8" t="s">
        <v>27</v>
      </c>
      <c r="O1016" s="13"/>
      <c r="P1016" s="14">
        <v>0</v>
      </c>
      <c r="Q1016" s="15">
        <v>0.4</v>
      </c>
      <c r="R1016" s="16" t="str">
        <f t="shared" si="102"/>
        <v>FORLIGHT</v>
      </c>
      <c r="S1016" s="17"/>
      <c r="T1016" s="10"/>
    </row>
    <row r="1017" spans="1:20" ht="27" customHeight="1" x14ac:dyDescent="0.25">
      <c r="A1017" s="8" t="s">
        <v>2432</v>
      </c>
      <c r="B1017" s="9"/>
      <c r="C1017" s="9"/>
      <c r="D1017" s="8"/>
      <c r="E1017" s="8"/>
      <c r="F1017" s="8"/>
      <c r="G1017" s="10"/>
      <c r="H1017" s="8" t="s">
        <v>2435</v>
      </c>
      <c r="I1017" s="10" t="s">
        <v>2436</v>
      </c>
      <c r="J1017" s="11" t="s">
        <v>33</v>
      </c>
      <c r="K1017" s="18">
        <v>47500</v>
      </c>
      <c r="L1017" s="12">
        <f>K1017*(1+P1017)/(1-Q1017)</f>
        <v>59375</v>
      </c>
      <c r="M1017" s="8">
        <v>1</v>
      </c>
      <c r="N1017" s="8" t="s">
        <v>27</v>
      </c>
      <c r="O1017" s="13"/>
      <c r="P1017" s="14">
        <v>0</v>
      </c>
      <c r="Q1017" s="15">
        <v>0.2</v>
      </c>
      <c r="R1017" s="16" t="str">
        <f t="shared" si="102"/>
        <v>FORLIGHT</v>
      </c>
      <c r="S1017" s="17"/>
      <c r="T1017" s="10"/>
    </row>
    <row r="1018" spans="1:20" ht="27" customHeight="1" x14ac:dyDescent="0.25">
      <c r="A1018" s="8" t="s">
        <v>2437</v>
      </c>
      <c r="B1018" s="9"/>
      <c r="C1018" s="9"/>
      <c r="D1018" s="8"/>
      <c r="E1018" s="8"/>
      <c r="F1018" s="8" t="s">
        <v>22</v>
      </c>
      <c r="G1018" s="10" t="s">
        <v>2438</v>
      </c>
      <c r="H1018" s="8" t="s">
        <v>2439</v>
      </c>
      <c r="I1018" s="10" t="s">
        <v>2438</v>
      </c>
      <c r="J1018" s="11" t="s">
        <v>33</v>
      </c>
      <c r="K1018" s="18">
        <v>133800</v>
      </c>
      <c r="L1018" s="12">
        <f>IF(J1018="P",ROUNDUP(K1018/(1-Q1018),-2),K1018*(1+P1018)/(1-Q1018))</f>
        <v>191200</v>
      </c>
      <c r="M1018" s="8">
        <v>1</v>
      </c>
      <c r="N1018" s="8" t="s">
        <v>27</v>
      </c>
      <c r="O1018" s="13"/>
      <c r="P1018" s="14">
        <v>0.2</v>
      </c>
      <c r="Q1018" s="15">
        <v>0.3</v>
      </c>
      <c r="R1018" s="16" t="str">
        <f t="shared" si="102"/>
        <v>FORZA</v>
      </c>
      <c r="S1018" s="17"/>
      <c r="T1018" s="10" t="str">
        <f>G1018</f>
        <v>SUPRESOR DE PICOS Y REGULADOR DE VOLTAJE A 1200VA</v>
      </c>
    </row>
    <row r="1019" spans="1:20" ht="27" customHeight="1" x14ac:dyDescent="0.25">
      <c r="A1019" s="8" t="s">
        <v>2437</v>
      </c>
      <c r="B1019" s="9"/>
      <c r="C1019" s="9"/>
      <c r="D1019" s="8"/>
      <c r="E1019" s="8"/>
      <c r="F1019" s="8" t="s">
        <v>22</v>
      </c>
      <c r="G1019" s="10" t="s">
        <v>2440</v>
      </c>
      <c r="H1019" s="8" t="s">
        <v>2441</v>
      </c>
      <c r="I1019" s="10" t="s">
        <v>2440</v>
      </c>
      <c r="J1019" s="11" t="s">
        <v>33</v>
      </c>
      <c r="K1019" s="18">
        <v>125000</v>
      </c>
      <c r="L1019" s="12">
        <f>IF(J1019="P",ROUNDUP(K1019/(1-Q1019),-2),K1019*(1+P1019)/(1-Q1019))</f>
        <v>208400</v>
      </c>
      <c r="M1019" s="8">
        <v>1</v>
      </c>
      <c r="N1019" s="8" t="s">
        <v>27</v>
      </c>
      <c r="O1019" s="13"/>
      <c r="P1019" s="14">
        <v>0.2</v>
      </c>
      <c r="Q1019" s="15">
        <v>0.4</v>
      </c>
      <c r="R1019" s="16" t="str">
        <f t="shared" si="102"/>
        <v>FORZA</v>
      </c>
      <c r="S1019" s="17"/>
      <c r="T1019" s="10" t="str">
        <f>G1019</f>
        <v>REGULADOR DE VOLTAJE DE 1500W</v>
      </c>
    </row>
    <row r="1020" spans="1:20" ht="27" customHeight="1" x14ac:dyDescent="0.25">
      <c r="A1020" s="8" t="s">
        <v>2442</v>
      </c>
      <c r="B1020" s="9"/>
      <c r="C1020" s="9"/>
      <c r="D1020" s="8"/>
      <c r="E1020" s="8"/>
      <c r="F1020" s="8"/>
      <c r="G1020" s="10"/>
      <c r="H1020" s="8" t="s">
        <v>2443</v>
      </c>
      <c r="I1020" s="10" t="s">
        <v>2444</v>
      </c>
      <c r="J1020" s="11" t="s">
        <v>26</v>
      </c>
      <c r="K1020" s="18">
        <v>23</v>
      </c>
      <c r="L1020" s="12">
        <f>K1020*(1+P1020)/(1-Q1020)</f>
        <v>55.199999999999996</v>
      </c>
      <c r="M1020" s="8">
        <v>1</v>
      </c>
      <c r="N1020" s="8" t="s">
        <v>27</v>
      </c>
      <c r="O1020" s="13"/>
      <c r="P1020" s="14">
        <v>0.2</v>
      </c>
      <c r="Q1020" s="15">
        <v>0.5</v>
      </c>
      <c r="R1020" s="16" t="str">
        <f t="shared" si="102"/>
        <v>FOSMON</v>
      </c>
      <c r="S1020" s="17" t="s">
        <v>2445</v>
      </c>
      <c r="T1020" s="10"/>
    </row>
    <row r="1021" spans="1:20" ht="27" customHeight="1" x14ac:dyDescent="0.25">
      <c r="A1021" s="8" t="s">
        <v>2446</v>
      </c>
      <c r="B1021" s="9" t="s">
        <v>2447</v>
      </c>
      <c r="C1021" s="9"/>
      <c r="D1021" s="8" t="s">
        <v>2448</v>
      </c>
      <c r="E1021" s="8"/>
      <c r="F1021" s="8" t="s">
        <v>22</v>
      </c>
      <c r="G1021" s="10" t="s">
        <v>2449</v>
      </c>
      <c r="H1021" s="8" t="s">
        <v>2450</v>
      </c>
      <c r="I1021" s="10" t="s">
        <v>2451</v>
      </c>
      <c r="J1021" s="11" t="s">
        <v>26</v>
      </c>
      <c r="K1021" s="18">
        <v>1299</v>
      </c>
      <c r="L1021" s="12">
        <f>IF(J1021="P",ROUNDUP(K1021/(1-Q1021),-2),K1021*(1+P1021)/(1-Q1021))</f>
        <v>2598</v>
      </c>
      <c r="M1021" s="8">
        <v>1</v>
      </c>
      <c r="N1021" s="8" t="s">
        <v>27</v>
      </c>
      <c r="O1021" s="13"/>
      <c r="P1021" s="14">
        <v>0.2</v>
      </c>
      <c r="Q1021" s="15">
        <v>0.4</v>
      </c>
      <c r="R1021" s="16" t="str">
        <f t="shared" si="102"/>
        <v>FUNLUX</v>
      </c>
      <c r="S1021" s="17"/>
      <c r="T1021" s="10" t="str">
        <f>G1021</f>
        <v>NRV CON DOS TERAS DE CAPACIDAD PARA EL MANEJO DE 16 CÁMARAS IP.</v>
      </c>
    </row>
    <row r="1022" spans="1:20" ht="27" customHeight="1" x14ac:dyDescent="0.25">
      <c r="A1022" s="8" t="s">
        <v>2452</v>
      </c>
      <c r="B1022" s="9"/>
      <c r="C1022" s="9"/>
      <c r="D1022" s="8"/>
      <c r="E1022" s="8"/>
      <c r="F1022" s="8"/>
      <c r="G1022" s="10"/>
      <c r="H1022" s="8" t="s">
        <v>2453</v>
      </c>
      <c r="I1022" s="10" t="s">
        <v>2454</v>
      </c>
      <c r="J1022" s="11" t="s">
        <v>26</v>
      </c>
      <c r="K1022" s="18">
        <v>1700</v>
      </c>
      <c r="L1022" s="12">
        <f>IF(J1022="P",ROUNDUP(K1022/(1-Q1022),-2),K1022*(1+P1022)/(1-Q1022))+1900000/3000</f>
        <v>3061.9047619047624</v>
      </c>
      <c r="M1022" s="8">
        <v>1</v>
      </c>
      <c r="N1022" s="8" t="s">
        <v>27</v>
      </c>
      <c r="O1022" s="13"/>
      <c r="P1022" s="14">
        <v>0</v>
      </c>
      <c r="Q1022" s="15">
        <v>0.3</v>
      </c>
      <c r="R1022" s="16" t="str">
        <f t="shared" si="102"/>
        <v>FURRION</v>
      </c>
      <c r="S1022" s="17"/>
      <c r="T1022" s="10"/>
    </row>
    <row r="1023" spans="1:20" ht="27" customHeight="1" x14ac:dyDescent="0.25">
      <c r="A1023" s="8" t="s">
        <v>2455</v>
      </c>
      <c r="B1023" s="9" t="s">
        <v>946</v>
      </c>
      <c r="C1023" s="9"/>
      <c r="D1023" s="8" t="s">
        <v>947</v>
      </c>
      <c r="E1023" s="8">
        <v>1</v>
      </c>
      <c r="F1023" s="8" t="s">
        <v>22</v>
      </c>
      <c r="G1023" s="10" t="s">
        <v>2456</v>
      </c>
      <c r="H1023" s="8" t="s">
        <v>2457</v>
      </c>
      <c r="I1023" s="10" t="s">
        <v>2456</v>
      </c>
      <c r="J1023" s="11" t="s">
        <v>33</v>
      </c>
      <c r="K1023" s="18">
        <v>3362</v>
      </c>
      <c r="L1023" s="12">
        <f t="shared" ref="L1023:L1031" si="106">IF(J1023="P",ROUNDUP(K1023/(1-Q1023),-2),K1023*(1+P1023)/(1-Q1023))</f>
        <v>5700</v>
      </c>
      <c r="M1023" s="8">
        <v>1</v>
      </c>
      <c r="N1023" s="8" t="s">
        <v>27</v>
      </c>
      <c r="O1023" s="13"/>
      <c r="P1023" s="14">
        <v>0.2</v>
      </c>
      <c r="Q1023" s="15">
        <v>0.4</v>
      </c>
      <c r="R1023" s="16" t="str">
        <f t="shared" si="102"/>
        <v>GALICA</v>
      </c>
      <c r="S1023" s="17"/>
      <c r="T1023" s="10" t="str">
        <f t="shared" ref="T1023:T1032" si="107">G1023</f>
        <v>TOMA COAXIAL</v>
      </c>
    </row>
    <row r="1024" spans="1:20" ht="27" customHeight="1" x14ac:dyDescent="0.25">
      <c r="A1024" s="8" t="s">
        <v>2455</v>
      </c>
      <c r="B1024" s="9" t="s">
        <v>946</v>
      </c>
      <c r="C1024" s="9"/>
      <c r="D1024" s="8" t="s">
        <v>947</v>
      </c>
      <c r="E1024" s="8">
        <v>1</v>
      </c>
      <c r="F1024" s="8" t="s">
        <v>22</v>
      </c>
      <c r="G1024" s="10" t="s">
        <v>2458</v>
      </c>
      <c r="H1024" s="8" t="s">
        <v>2459</v>
      </c>
      <c r="I1024" s="10" t="s">
        <v>2458</v>
      </c>
      <c r="J1024" s="11" t="s">
        <v>33</v>
      </c>
      <c r="K1024" s="18">
        <v>4621</v>
      </c>
      <c r="L1024" s="12">
        <f t="shared" si="106"/>
        <v>7800</v>
      </c>
      <c r="M1024" s="8">
        <v>1</v>
      </c>
      <c r="N1024" s="8" t="s">
        <v>27</v>
      </c>
      <c r="O1024" s="13"/>
      <c r="P1024" s="14">
        <v>0.2</v>
      </c>
      <c r="Q1024" s="15">
        <v>0.4</v>
      </c>
      <c r="R1024" s="16" t="str">
        <f t="shared" si="102"/>
        <v>GALICA</v>
      </c>
      <c r="S1024" s="17"/>
      <c r="T1024" s="10" t="str">
        <f t="shared" si="107"/>
        <v>TOMA DOBLE</v>
      </c>
    </row>
    <row r="1025" spans="1:20" ht="27" customHeight="1" x14ac:dyDescent="0.25">
      <c r="A1025" s="8" t="s">
        <v>2460</v>
      </c>
      <c r="B1025" s="9"/>
      <c r="C1025" s="9"/>
      <c r="D1025" s="8"/>
      <c r="E1025" s="8"/>
      <c r="F1025" s="8" t="s">
        <v>22</v>
      </c>
      <c r="G1025" s="10" t="s">
        <v>2461</v>
      </c>
      <c r="H1025" s="8" t="s">
        <v>2462</v>
      </c>
      <c r="I1025" s="10" t="s">
        <v>2461</v>
      </c>
      <c r="J1025" s="11" t="s">
        <v>697</v>
      </c>
      <c r="K1025" s="18">
        <v>7500</v>
      </c>
      <c r="L1025" s="12">
        <f t="shared" si="106"/>
        <v>12500</v>
      </c>
      <c r="M1025" s="8">
        <v>1</v>
      </c>
      <c r="N1025" s="8" t="s">
        <v>27</v>
      </c>
      <c r="O1025" s="13"/>
      <c r="P1025" s="14">
        <v>0.2</v>
      </c>
      <c r="Q1025" s="15">
        <v>0.4</v>
      </c>
      <c r="R1025" s="16" t="str">
        <f t="shared" ref="R1025:R1088" si="108">A1025</f>
        <v>GE</v>
      </c>
      <c r="S1025" s="17"/>
      <c r="T1025" s="10" t="str">
        <f t="shared" si="107"/>
        <v>BOMBILLA LED DE 100 VATIOS COLOR NEUTRO</v>
      </c>
    </row>
    <row r="1026" spans="1:20" ht="27" customHeight="1" x14ac:dyDescent="0.25">
      <c r="A1026" s="8" t="s">
        <v>2463</v>
      </c>
      <c r="B1026" s="9"/>
      <c r="C1026" s="9"/>
      <c r="D1026" s="8"/>
      <c r="E1026" s="8"/>
      <c r="F1026" s="8" t="s">
        <v>22</v>
      </c>
      <c r="G1026" s="10" t="s">
        <v>2464</v>
      </c>
      <c r="H1026" s="8" t="s">
        <v>2465</v>
      </c>
      <c r="I1026" s="10" t="s">
        <v>2464</v>
      </c>
      <c r="J1026" s="11" t="s">
        <v>26</v>
      </c>
      <c r="K1026" s="18">
        <f>8/5</f>
        <v>1.6</v>
      </c>
      <c r="L1026" s="12">
        <f t="shared" si="106"/>
        <v>3.2</v>
      </c>
      <c r="M1026" s="8">
        <v>1</v>
      </c>
      <c r="N1026" s="8" t="s">
        <v>27</v>
      </c>
      <c r="O1026" s="13"/>
      <c r="P1026" s="14">
        <v>0.2</v>
      </c>
      <c r="Q1026" s="15">
        <v>0.4</v>
      </c>
      <c r="R1026" s="16" t="str">
        <f t="shared" si="108"/>
        <v>GEADES</v>
      </c>
      <c r="S1026" s="17" t="s">
        <v>2466</v>
      </c>
      <c r="T1026" s="10" t="str">
        <f t="shared" si="107"/>
        <v>GROMMET PASACABLES DE 2 PULGADAS EN COLOR NEGRO.</v>
      </c>
    </row>
    <row r="1027" spans="1:20" ht="27" customHeight="1" x14ac:dyDescent="0.25">
      <c r="A1027" s="8" t="s">
        <v>2467</v>
      </c>
      <c r="B1027" s="9"/>
      <c r="C1027" s="9"/>
      <c r="D1027" s="8"/>
      <c r="E1027" s="8"/>
      <c r="F1027" s="8" t="s">
        <v>22</v>
      </c>
      <c r="G1027" s="10" t="s">
        <v>2468</v>
      </c>
      <c r="H1027" s="8" t="s">
        <v>2469</v>
      </c>
      <c r="I1027" s="10" t="s">
        <v>2468</v>
      </c>
      <c r="J1027" s="11" t="s">
        <v>26</v>
      </c>
      <c r="K1027" s="18">
        <v>378</v>
      </c>
      <c r="L1027" s="12">
        <f t="shared" si="106"/>
        <v>648</v>
      </c>
      <c r="M1027" s="8">
        <v>1</v>
      </c>
      <c r="N1027" s="8" t="s">
        <v>27</v>
      </c>
      <c r="O1027" s="13"/>
      <c r="P1027" s="14">
        <v>0.2</v>
      </c>
      <c r="Q1027" s="15">
        <v>0.3</v>
      </c>
      <c r="R1027" s="16" t="str">
        <f t="shared" si="108"/>
        <v>GEFEN</v>
      </c>
      <c r="S1027" s="17"/>
      <c r="T1027" s="10" t="str">
        <f t="shared" si="107"/>
        <v>TRANSMISOR CON RESOLUCIÓN 4K HDMI POR CABLE UTP.</v>
      </c>
    </row>
    <row r="1028" spans="1:20" ht="27" customHeight="1" x14ac:dyDescent="0.25">
      <c r="A1028" s="8" t="s">
        <v>2467</v>
      </c>
      <c r="B1028" s="9" t="s">
        <v>2467</v>
      </c>
      <c r="C1028" s="9"/>
      <c r="D1028" s="8" t="s">
        <v>2470</v>
      </c>
      <c r="E1028" s="8">
        <v>1</v>
      </c>
      <c r="F1028" s="8" t="s">
        <v>22</v>
      </c>
      <c r="G1028" s="10" t="s">
        <v>2471</v>
      </c>
      <c r="H1028" s="8" t="s">
        <v>2472</v>
      </c>
      <c r="I1028" s="10" t="s">
        <v>2471</v>
      </c>
      <c r="J1028" s="11" t="s">
        <v>26</v>
      </c>
      <c r="K1028" s="18">
        <v>160</v>
      </c>
      <c r="L1028" s="12">
        <f t="shared" si="106"/>
        <v>274.28571428571428</v>
      </c>
      <c r="M1028" s="8">
        <v>1</v>
      </c>
      <c r="N1028" s="8" t="s">
        <v>27</v>
      </c>
      <c r="O1028" s="13"/>
      <c r="P1028" s="14">
        <v>0.2</v>
      </c>
      <c r="Q1028" s="15">
        <v>0.3</v>
      </c>
      <c r="R1028" s="16" t="str">
        <f t="shared" si="108"/>
        <v>GEFEN</v>
      </c>
      <c r="S1028" s="17"/>
      <c r="T1028" s="10" t="str">
        <f t="shared" si="107"/>
        <v>4K ULTRA HD 1:2 SPLITTER PARA HDMI</v>
      </c>
    </row>
    <row r="1029" spans="1:20" ht="27" customHeight="1" x14ac:dyDescent="0.25">
      <c r="A1029" s="8" t="s">
        <v>2467</v>
      </c>
      <c r="B1029" s="9" t="s">
        <v>2467</v>
      </c>
      <c r="C1029" s="9"/>
      <c r="D1029" s="8"/>
      <c r="E1029" s="8"/>
      <c r="F1029" s="8" t="s">
        <v>22</v>
      </c>
      <c r="G1029" s="10" t="s">
        <v>2473</v>
      </c>
      <c r="H1029" s="8" t="s">
        <v>2474</v>
      </c>
      <c r="I1029" s="10" t="s">
        <v>2475</v>
      </c>
      <c r="J1029" s="11" t="s">
        <v>26</v>
      </c>
      <c r="K1029" s="18">
        <v>322</v>
      </c>
      <c r="L1029" s="12">
        <f t="shared" si="106"/>
        <v>552</v>
      </c>
      <c r="M1029" s="8">
        <v>1</v>
      </c>
      <c r="N1029" s="8" t="s">
        <v>27</v>
      </c>
      <c r="O1029" s="13"/>
      <c r="P1029" s="14">
        <v>0.2</v>
      </c>
      <c r="Q1029" s="15">
        <v>0.3</v>
      </c>
      <c r="R1029" s="16" t="str">
        <f t="shared" si="108"/>
        <v>GEFEN</v>
      </c>
      <c r="S1029" s="17"/>
      <c r="T1029" s="10" t="str">
        <f t="shared" si="107"/>
        <v>MATRIZ 4X2 HDMI 4K DE 4 PUERTOS DE ENTRADA Y 2 DE SALIDA.</v>
      </c>
    </row>
    <row r="1030" spans="1:20" ht="27" customHeight="1" x14ac:dyDescent="0.25">
      <c r="A1030" s="8" t="s">
        <v>2467</v>
      </c>
      <c r="B1030" s="9"/>
      <c r="C1030" s="9"/>
      <c r="D1030" s="8" t="s">
        <v>45</v>
      </c>
      <c r="E1030" s="8"/>
      <c r="F1030" s="8" t="s">
        <v>22</v>
      </c>
      <c r="G1030" s="10" t="s">
        <v>2476</v>
      </c>
      <c r="H1030" s="8" t="s">
        <v>2477</v>
      </c>
      <c r="I1030" s="10" t="s">
        <v>2476</v>
      </c>
      <c r="J1030" s="11" t="s">
        <v>33</v>
      </c>
      <c r="K1030" s="18">
        <v>369</v>
      </c>
      <c r="L1030" s="12">
        <f t="shared" si="106"/>
        <v>600</v>
      </c>
      <c r="M1030" s="8">
        <v>1</v>
      </c>
      <c r="N1030" s="8" t="s">
        <v>27</v>
      </c>
      <c r="O1030" s="13"/>
      <c r="P1030" s="14">
        <v>0.2</v>
      </c>
      <c r="Q1030" s="15">
        <v>0.3</v>
      </c>
      <c r="R1030" s="16" t="str">
        <f t="shared" si="108"/>
        <v>GEFEN</v>
      </c>
      <c r="S1030" s="17"/>
      <c r="T1030" s="10" t="str">
        <f t="shared" si="107"/>
        <v>FACE PARTE DE TRANSMISIÓN HDbT CON ENTRADAS HDMI, VGA Y ESTÉREO</v>
      </c>
    </row>
    <row r="1031" spans="1:20" ht="27" customHeight="1" x14ac:dyDescent="0.25">
      <c r="A1031" s="8" t="s">
        <v>2467</v>
      </c>
      <c r="B1031" s="9"/>
      <c r="C1031" s="9"/>
      <c r="D1031" s="8" t="s">
        <v>45</v>
      </c>
      <c r="E1031" s="8"/>
      <c r="F1031" s="8" t="s">
        <v>22</v>
      </c>
      <c r="G1031" s="10" t="s">
        <v>2478</v>
      </c>
      <c r="H1031" s="8" t="s">
        <v>2479</v>
      </c>
      <c r="I1031" s="10" t="s">
        <v>2480</v>
      </c>
      <c r="J1031" s="11" t="s">
        <v>33</v>
      </c>
      <c r="K1031" s="18">
        <v>226</v>
      </c>
      <c r="L1031" s="12">
        <f t="shared" si="106"/>
        <v>400</v>
      </c>
      <c r="M1031" s="8">
        <v>1</v>
      </c>
      <c r="N1031" s="8" t="s">
        <v>27</v>
      </c>
      <c r="O1031" s="13"/>
      <c r="P1031" s="14">
        <v>0.2</v>
      </c>
      <c r="Q1031" s="15">
        <v>0.3</v>
      </c>
      <c r="R1031" s="16" t="str">
        <f t="shared" si="108"/>
        <v>GEFEN</v>
      </c>
      <c r="S1031" s="17"/>
      <c r="T1031" s="10" t="str">
        <f t="shared" si="107"/>
        <v>RECEPTOR HDbT CON SALIDAS ANÁLOGAS Y DIGITALES DE AUDIO.</v>
      </c>
    </row>
    <row r="1032" spans="1:20" ht="27" customHeight="1" x14ac:dyDescent="0.25">
      <c r="A1032" s="8" t="s">
        <v>2467</v>
      </c>
      <c r="B1032" s="9"/>
      <c r="C1032" s="9"/>
      <c r="D1032" s="8" t="s">
        <v>45</v>
      </c>
      <c r="E1032" s="8"/>
      <c r="F1032" s="8" t="s">
        <v>22</v>
      </c>
      <c r="G1032" s="10" t="s">
        <v>2481</v>
      </c>
      <c r="H1032" s="8" t="s">
        <v>2482</v>
      </c>
      <c r="I1032" s="10" t="s">
        <v>2481</v>
      </c>
      <c r="J1032" s="11" t="s">
        <v>26</v>
      </c>
      <c r="K1032" s="18">
        <v>1055</v>
      </c>
      <c r="L1032" s="12">
        <f>ROUNDUP(K1032*(1+P1032)/(1-Q1032),0)</f>
        <v>1759</v>
      </c>
      <c r="M1032" s="8">
        <v>1</v>
      </c>
      <c r="N1032" s="8" t="s">
        <v>27</v>
      </c>
      <c r="O1032" s="13"/>
      <c r="P1032" s="14">
        <v>0</v>
      </c>
      <c r="Q1032" s="15">
        <v>0.4</v>
      </c>
      <c r="R1032" s="16" t="str">
        <f t="shared" si="108"/>
        <v>GEFEN</v>
      </c>
      <c r="S1032" s="17"/>
      <c r="T1032" s="10" t="str">
        <f t="shared" si="107"/>
        <v>MATRIZ 4X4 HDMI 4K CON HDR.</v>
      </c>
    </row>
    <row r="1033" spans="1:20" ht="27" customHeight="1" x14ac:dyDescent="0.25">
      <c r="A1033" s="8" t="s">
        <v>2467</v>
      </c>
      <c r="B1033" s="9"/>
      <c r="C1033" s="9"/>
      <c r="D1033" s="8"/>
      <c r="E1033" s="8"/>
      <c r="F1033" s="8"/>
      <c r="G1033" s="10"/>
      <c r="H1033" s="8" t="s">
        <v>2483</v>
      </c>
      <c r="I1033" s="10" t="s">
        <v>2484</v>
      </c>
      <c r="J1033" s="11" t="s">
        <v>26</v>
      </c>
      <c r="K1033" s="18">
        <v>659</v>
      </c>
      <c r="L1033" s="12">
        <f>IF(J1033="P",ROUNDUP(K1033/(1-Q1033),-2),K1033*(1+P1033)/(1-Q1033))</f>
        <v>732.22222222222217</v>
      </c>
      <c r="M1033" s="8">
        <v>1</v>
      </c>
      <c r="N1033" s="8" t="s">
        <v>27</v>
      </c>
      <c r="O1033" s="13"/>
      <c r="P1033" s="14">
        <v>0</v>
      </c>
      <c r="Q1033" s="15">
        <v>0.1</v>
      </c>
      <c r="R1033" s="16" t="str">
        <f t="shared" si="108"/>
        <v>GEFEN</v>
      </c>
      <c r="S1033" s="17"/>
      <c r="T1033" s="10"/>
    </row>
    <row r="1034" spans="1:20" ht="27" customHeight="1" x14ac:dyDescent="0.25">
      <c r="A1034" s="8" t="s">
        <v>2467</v>
      </c>
      <c r="B1034" s="9"/>
      <c r="C1034" s="9"/>
      <c r="D1034" s="8"/>
      <c r="E1034" s="8"/>
      <c r="F1034" s="8"/>
      <c r="G1034" s="10"/>
      <c r="H1034" s="8" t="s">
        <v>2485</v>
      </c>
      <c r="I1034" s="10" t="s">
        <v>2486</v>
      </c>
      <c r="J1034" s="11" t="s">
        <v>26</v>
      </c>
      <c r="K1034" s="18">
        <v>330</v>
      </c>
      <c r="L1034" s="12"/>
      <c r="M1034" s="8"/>
      <c r="N1034" s="8"/>
      <c r="O1034" s="13"/>
      <c r="P1034" s="14"/>
      <c r="Q1034" s="15"/>
      <c r="R1034" s="16" t="str">
        <f t="shared" si="108"/>
        <v>GEFEN</v>
      </c>
      <c r="S1034" s="17"/>
      <c r="T1034" s="10"/>
    </row>
    <row r="1035" spans="1:20" ht="27" customHeight="1" x14ac:dyDescent="0.25">
      <c r="A1035" s="8" t="s">
        <v>2467</v>
      </c>
      <c r="B1035" s="9"/>
      <c r="C1035" s="9"/>
      <c r="D1035" s="8"/>
      <c r="E1035" s="8"/>
      <c r="F1035" s="8"/>
      <c r="G1035" s="10"/>
      <c r="H1035" s="8" t="s">
        <v>2487</v>
      </c>
      <c r="I1035" s="10" t="s">
        <v>2488</v>
      </c>
      <c r="J1035" s="11" t="s">
        <v>26</v>
      </c>
      <c r="K1035" s="18">
        <v>1141</v>
      </c>
      <c r="L1035" s="12">
        <f>K1035*(1+P1035)/(1-Q1035)</f>
        <v>1867.0909091063584</v>
      </c>
      <c r="M1035" s="8">
        <v>1</v>
      </c>
      <c r="N1035" s="8" t="s">
        <v>27</v>
      </c>
      <c r="O1035" s="13"/>
      <c r="P1035" s="14">
        <v>0.2</v>
      </c>
      <c r="Q1035" s="15">
        <v>0.26666666667273459</v>
      </c>
      <c r="R1035" s="16" t="str">
        <f t="shared" si="108"/>
        <v>GEFEN</v>
      </c>
      <c r="S1035" s="17"/>
      <c r="T1035" s="10"/>
    </row>
    <row r="1036" spans="1:20" ht="27" customHeight="1" x14ac:dyDescent="0.25">
      <c r="A1036" s="8" t="s">
        <v>2467</v>
      </c>
      <c r="B1036" s="9"/>
      <c r="C1036" s="9"/>
      <c r="D1036" s="8"/>
      <c r="E1036" s="8"/>
      <c r="F1036" s="8"/>
      <c r="G1036" s="10"/>
      <c r="H1036" s="8" t="s">
        <v>2485</v>
      </c>
      <c r="I1036" s="10" t="s">
        <v>2489</v>
      </c>
      <c r="J1036" s="11" t="s">
        <v>26</v>
      </c>
      <c r="K1036" s="18">
        <v>330</v>
      </c>
      <c r="L1036" s="12">
        <f>K1036*(1+P1036)/(1-Q1036)</f>
        <v>542.46575342465758</v>
      </c>
      <c r="M1036" s="8">
        <v>1</v>
      </c>
      <c r="N1036" s="8" t="s">
        <v>27</v>
      </c>
      <c r="O1036" s="13"/>
      <c r="P1036" s="14">
        <v>0.2</v>
      </c>
      <c r="Q1036" s="15">
        <v>0.27</v>
      </c>
      <c r="R1036" s="16" t="str">
        <f t="shared" si="108"/>
        <v>GEFEN</v>
      </c>
      <c r="S1036" s="17"/>
      <c r="T1036" s="10"/>
    </row>
    <row r="1037" spans="1:20" ht="27" customHeight="1" x14ac:dyDescent="0.25">
      <c r="A1037" s="8" t="s">
        <v>2467</v>
      </c>
      <c r="B1037" s="9"/>
      <c r="C1037" s="9"/>
      <c r="D1037" s="8"/>
      <c r="E1037" s="8"/>
      <c r="F1037" s="8"/>
      <c r="G1037" s="10"/>
      <c r="H1037" s="8" t="s">
        <v>2490</v>
      </c>
      <c r="I1037" s="10" t="s">
        <v>2491</v>
      </c>
      <c r="J1037" s="11" t="s">
        <v>26</v>
      </c>
      <c r="K1037" s="18">
        <v>354</v>
      </c>
      <c r="L1037" s="12">
        <f t="shared" ref="L1037:L1046" si="109">IF(J1037="P",ROUNDUP(K1037/(1-Q1037),-2),K1037*(1+P1037)/(1-Q1037))</f>
        <v>581.91780821917814</v>
      </c>
      <c r="M1037" s="8">
        <v>1</v>
      </c>
      <c r="N1037" s="8" t="s">
        <v>27</v>
      </c>
      <c r="O1037" s="13"/>
      <c r="P1037" s="14">
        <v>0.2</v>
      </c>
      <c r="Q1037" s="15">
        <v>0.27</v>
      </c>
      <c r="R1037" s="16" t="str">
        <f t="shared" si="108"/>
        <v>GEFEN</v>
      </c>
      <c r="S1037" s="17"/>
      <c r="T1037" s="10"/>
    </row>
    <row r="1038" spans="1:20" ht="27" customHeight="1" x14ac:dyDescent="0.25">
      <c r="A1038" s="8" t="s">
        <v>2467</v>
      </c>
      <c r="B1038" s="9"/>
      <c r="C1038" s="9"/>
      <c r="D1038" s="8"/>
      <c r="E1038" s="8"/>
      <c r="F1038" s="8"/>
      <c r="G1038" s="10"/>
      <c r="H1038" s="8" t="s">
        <v>2490</v>
      </c>
      <c r="I1038" s="10" t="s">
        <v>2492</v>
      </c>
      <c r="J1038" s="11" t="s">
        <v>26</v>
      </c>
      <c r="K1038" s="18">
        <v>354</v>
      </c>
      <c r="L1038" s="12">
        <f t="shared" si="109"/>
        <v>580.00007357974641</v>
      </c>
      <c r="M1038" s="8">
        <v>1</v>
      </c>
      <c r="N1038" s="8" t="s">
        <v>27</v>
      </c>
      <c r="O1038" s="13"/>
      <c r="P1038" s="14">
        <v>0.2</v>
      </c>
      <c r="Q1038" s="15">
        <v>0.26758629981174892</v>
      </c>
      <c r="R1038" s="16" t="str">
        <f t="shared" si="108"/>
        <v>GEFEN</v>
      </c>
      <c r="S1038" s="17"/>
      <c r="T1038" s="10"/>
    </row>
    <row r="1039" spans="1:20" ht="27" customHeight="1" x14ac:dyDescent="0.25">
      <c r="A1039" s="8" t="s">
        <v>683</v>
      </c>
      <c r="B1039" s="9" t="s">
        <v>683</v>
      </c>
      <c r="C1039" s="9"/>
      <c r="D1039" s="8" t="s">
        <v>21</v>
      </c>
      <c r="E1039" s="8">
        <v>1</v>
      </c>
      <c r="F1039" s="8" t="s">
        <v>22</v>
      </c>
      <c r="G1039" s="10" t="s">
        <v>2493</v>
      </c>
      <c r="H1039" s="8" t="s">
        <v>2494</v>
      </c>
      <c r="I1039" s="10" t="s">
        <v>2493</v>
      </c>
      <c r="J1039" s="11" t="s">
        <v>33</v>
      </c>
      <c r="K1039" s="18">
        <v>65000</v>
      </c>
      <c r="L1039" s="12">
        <f t="shared" si="109"/>
        <v>108400</v>
      </c>
      <c r="M1039" s="8">
        <v>1</v>
      </c>
      <c r="N1039" s="8" t="s">
        <v>27</v>
      </c>
      <c r="O1039" s="13"/>
      <c r="P1039" s="14">
        <v>0.2</v>
      </c>
      <c r="Q1039" s="15">
        <v>0.4</v>
      </c>
      <c r="R1039" s="16" t="str">
        <f t="shared" si="108"/>
        <v>GEN</v>
      </c>
      <c r="S1039" s="17"/>
      <c r="T1039" s="10" t="str">
        <f t="shared" ref="T1039:T1046" si="110">G1039</f>
        <v>BANDEJA PARA RACK</v>
      </c>
    </row>
    <row r="1040" spans="1:20" ht="27" customHeight="1" x14ac:dyDescent="0.25">
      <c r="A1040" s="8" t="s">
        <v>683</v>
      </c>
      <c r="B1040" s="9" t="s">
        <v>683</v>
      </c>
      <c r="C1040" s="9"/>
      <c r="D1040" s="8" t="s">
        <v>2495</v>
      </c>
      <c r="E1040" s="8">
        <v>1</v>
      </c>
      <c r="F1040" s="8" t="s">
        <v>22</v>
      </c>
      <c r="G1040" s="10" t="s">
        <v>2496</v>
      </c>
      <c r="H1040" s="8" t="s">
        <v>2497</v>
      </c>
      <c r="I1040" s="10" t="s">
        <v>2498</v>
      </c>
      <c r="J1040" s="11" t="s">
        <v>33</v>
      </c>
      <c r="K1040" s="18">
        <v>112000</v>
      </c>
      <c r="L1040" s="12">
        <f t="shared" si="109"/>
        <v>186700</v>
      </c>
      <c r="M1040" s="8">
        <v>1</v>
      </c>
      <c r="N1040" s="8" t="s">
        <v>27</v>
      </c>
      <c r="O1040" s="13"/>
      <c r="P1040" s="14">
        <v>0.2</v>
      </c>
      <c r="Q1040" s="15">
        <v>0.4</v>
      </c>
      <c r="R1040" s="16" t="str">
        <f t="shared" si="108"/>
        <v>GEN</v>
      </c>
      <c r="S1040" s="17"/>
      <c r="T1040" s="10" t="str">
        <f t="shared" si="110"/>
        <v>CABLE HDMI CON FERRITA, LONGITUD DE 15 METROS, MANEJO DE ALTA VELOCIDAD.</v>
      </c>
    </row>
    <row r="1041" spans="1:20" ht="27" customHeight="1" x14ac:dyDescent="0.25">
      <c r="A1041" s="8" t="s">
        <v>683</v>
      </c>
      <c r="B1041" s="9" t="s">
        <v>683</v>
      </c>
      <c r="C1041" s="9"/>
      <c r="D1041" s="8" t="s">
        <v>28</v>
      </c>
      <c r="E1041" s="8"/>
      <c r="F1041" s="8" t="s">
        <v>22</v>
      </c>
      <c r="G1041" s="10" t="s">
        <v>2499</v>
      </c>
      <c r="H1041" s="8" t="s">
        <v>2500</v>
      </c>
      <c r="I1041" s="10" t="s">
        <v>2499</v>
      </c>
      <c r="J1041" s="11" t="s">
        <v>26</v>
      </c>
      <c r="K1041" s="18">
        <v>12.49</v>
      </c>
      <c r="L1041" s="12">
        <f t="shared" si="109"/>
        <v>21.411428571428573</v>
      </c>
      <c r="M1041" s="8">
        <v>1</v>
      </c>
      <c r="N1041" s="8" t="s">
        <v>27</v>
      </c>
      <c r="O1041" s="13"/>
      <c r="P1041" s="14">
        <v>0.2</v>
      </c>
      <c r="Q1041" s="15">
        <v>0.3</v>
      </c>
      <c r="R1041" s="16" t="str">
        <f t="shared" si="108"/>
        <v>GEN</v>
      </c>
      <c r="S1041" s="17"/>
      <c r="T1041" s="10" t="str">
        <f t="shared" si="110"/>
        <v>CABLE VGA DE 15 METROS</v>
      </c>
    </row>
    <row r="1042" spans="1:20" ht="27" customHeight="1" x14ac:dyDescent="0.25">
      <c r="A1042" s="8" t="s">
        <v>683</v>
      </c>
      <c r="B1042" s="9" t="s">
        <v>683</v>
      </c>
      <c r="C1042" s="9"/>
      <c r="D1042" s="8" t="s">
        <v>602</v>
      </c>
      <c r="E1042" s="8"/>
      <c r="F1042" s="8" t="s">
        <v>22</v>
      </c>
      <c r="G1042" s="10" t="s">
        <v>2501</v>
      </c>
      <c r="H1042" s="8" t="s">
        <v>2502</v>
      </c>
      <c r="I1042" s="10" t="s">
        <v>2501</v>
      </c>
      <c r="J1042" s="11" t="s">
        <v>33</v>
      </c>
      <c r="K1042" s="18">
        <v>9000</v>
      </c>
      <c r="L1042" s="12">
        <f t="shared" si="109"/>
        <v>12900</v>
      </c>
      <c r="M1042" s="8">
        <v>1</v>
      </c>
      <c r="N1042" s="8" t="s">
        <v>27</v>
      </c>
      <c r="O1042" s="13"/>
      <c r="P1042" s="14">
        <v>0.2</v>
      </c>
      <c r="Q1042" s="15">
        <v>0.3</v>
      </c>
      <c r="R1042" s="16" t="str">
        <f t="shared" si="108"/>
        <v>GEN</v>
      </c>
      <c r="S1042" s="17"/>
      <c r="T1042" s="10" t="str">
        <f t="shared" si="110"/>
        <v>CABLE RCA X 2 A MINI JACK DE 1.5M</v>
      </c>
    </row>
    <row r="1043" spans="1:20" ht="27" customHeight="1" x14ac:dyDescent="0.25">
      <c r="A1043" s="8" t="s">
        <v>683</v>
      </c>
      <c r="B1043" s="9" t="s">
        <v>683</v>
      </c>
      <c r="C1043" s="9"/>
      <c r="D1043" s="8" t="s">
        <v>602</v>
      </c>
      <c r="E1043" s="8"/>
      <c r="F1043" s="8" t="s">
        <v>22</v>
      </c>
      <c r="G1043" s="10" t="s">
        <v>2503</v>
      </c>
      <c r="H1043" s="8" t="s">
        <v>2504</v>
      </c>
      <c r="I1043" s="10" t="s">
        <v>2503</v>
      </c>
      <c r="J1043" s="11" t="s">
        <v>33</v>
      </c>
      <c r="K1043" s="18">
        <v>20000</v>
      </c>
      <c r="L1043" s="12">
        <f t="shared" si="109"/>
        <v>28600</v>
      </c>
      <c r="M1043" s="8">
        <v>1</v>
      </c>
      <c r="N1043" s="8" t="s">
        <v>27</v>
      </c>
      <c r="O1043" s="13"/>
      <c r="P1043" s="14">
        <v>0.2</v>
      </c>
      <c r="Q1043" s="15">
        <v>0.3</v>
      </c>
      <c r="R1043" s="16" t="str">
        <f t="shared" si="108"/>
        <v>GEN</v>
      </c>
      <c r="S1043" s="17"/>
      <c r="T1043" s="10" t="str">
        <f t="shared" si="110"/>
        <v>MEMORIA USB DE 8G</v>
      </c>
    </row>
    <row r="1044" spans="1:20" ht="27" customHeight="1" x14ac:dyDescent="0.25">
      <c r="A1044" s="8" t="s">
        <v>683</v>
      </c>
      <c r="B1044" s="9" t="s">
        <v>636</v>
      </c>
      <c r="C1044" s="9"/>
      <c r="D1044" s="8" t="s">
        <v>625</v>
      </c>
      <c r="E1044" s="8"/>
      <c r="F1044" s="8" t="s">
        <v>22</v>
      </c>
      <c r="G1044" s="10" t="s">
        <v>2505</v>
      </c>
      <c r="H1044" s="8" t="s">
        <v>2506</v>
      </c>
      <c r="I1044" s="10" t="s">
        <v>2505</v>
      </c>
      <c r="J1044" s="11" t="s">
        <v>33</v>
      </c>
      <c r="K1044" s="18">
        <v>12500</v>
      </c>
      <c r="L1044" s="12">
        <f t="shared" si="109"/>
        <v>17900</v>
      </c>
      <c r="M1044" s="8">
        <v>1</v>
      </c>
      <c r="N1044" s="8" t="s">
        <v>27</v>
      </c>
      <c r="O1044" s="13"/>
      <c r="P1044" s="14">
        <v>0.2</v>
      </c>
      <c r="Q1044" s="15">
        <v>0.3</v>
      </c>
      <c r="R1044" s="16" t="str">
        <f t="shared" si="108"/>
        <v>GEN</v>
      </c>
      <c r="S1044" s="17"/>
      <c r="T1044" s="10" t="str">
        <f t="shared" si="110"/>
        <v>EXTENSIÓN DE 5 METROS DE 3 POLOS</v>
      </c>
    </row>
    <row r="1045" spans="1:20" ht="27" customHeight="1" x14ac:dyDescent="0.25">
      <c r="A1045" s="8" t="s">
        <v>683</v>
      </c>
      <c r="B1045" s="9" t="s">
        <v>683</v>
      </c>
      <c r="C1045" s="9"/>
      <c r="D1045" s="8" t="s">
        <v>93</v>
      </c>
      <c r="E1045" s="8"/>
      <c r="F1045" s="8" t="s">
        <v>22</v>
      </c>
      <c r="G1045" s="10" t="s">
        <v>2507</v>
      </c>
      <c r="H1045" s="8" t="s">
        <v>2508</v>
      </c>
      <c r="I1045" s="10" t="s">
        <v>2509</v>
      </c>
      <c r="J1045" s="11" t="s">
        <v>33</v>
      </c>
      <c r="K1045" s="18">
        <v>240000</v>
      </c>
      <c r="L1045" s="12">
        <f t="shared" si="109"/>
        <v>400000</v>
      </c>
      <c r="M1045" s="8">
        <v>1</v>
      </c>
      <c r="N1045" s="8" t="s">
        <v>27</v>
      </c>
      <c r="O1045" s="13"/>
      <c r="P1045" s="14">
        <v>0.2</v>
      </c>
      <c r="Q1045" s="15">
        <v>0.4</v>
      </c>
      <c r="R1045" s="16" t="str">
        <f t="shared" si="108"/>
        <v>GEN</v>
      </c>
      <c r="S1045" s="17"/>
      <c r="T1045" s="10" t="str">
        <f t="shared" si="110"/>
        <v>REFLECTOR RGB CON CONTROL REMOTO, POTENCIA 100W, 7000 LUMENS.</v>
      </c>
    </row>
    <row r="1046" spans="1:20" ht="27" customHeight="1" x14ac:dyDescent="0.25">
      <c r="A1046" s="8" t="s">
        <v>683</v>
      </c>
      <c r="B1046" s="9" t="s">
        <v>1070</v>
      </c>
      <c r="C1046" s="9"/>
      <c r="D1046" s="8" t="s">
        <v>28</v>
      </c>
      <c r="E1046" s="8">
        <v>2</v>
      </c>
      <c r="F1046" s="8" t="s">
        <v>22</v>
      </c>
      <c r="G1046" s="10" t="s">
        <v>2510</v>
      </c>
      <c r="H1046" s="8" t="s">
        <v>2511</v>
      </c>
      <c r="I1046" s="10" t="s">
        <v>2510</v>
      </c>
      <c r="J1046" s="11" t="s">
        <v>33</v>
      </c>
      <c r="K1046" s="18">
        <v>1500</v>
      </c>
      <c r="L1046" s="12">
        <f t="shared" si="109"/>
        <v>2100</v>
      </c>
      <c r="M1046" s="8">
        <v>1</v>
      </c>
      <c r="N1046" s="8" t="s">
        <v>110</v>
      </c>
      <c r="O1046" s="13"/>
      <c r="P1046" s="14">
        <v>0.2</v>
      </c>
      <c r="Q1046" s="15">
        <v>0.28000000000000003</v>
      </c>
      <c r="R1046" s="16" t="str">
        <f t="shared" si="108"/>
        <v>GEN</v>
      </c>
      <c r="S1046" s="17"/>
      <c r="T1046" s="10" t="str">
        <f t="shared" si="110"/>
        <v>METRO DE ALAMBRE 2X18 PARA TRANSMISIÓN DE BUS DE DATOS.</v>
      </c>
    </row>
    <row r="1047" spans="1:20" ht="27" customHeight="1" x14ac:dyDescent="0.25">
      <c r="A1047" s="8" t="s">
        <v>2512</v>
      </c>
      <c r="B1047" s="9"/>
      <c r="C1047" s="9"/>
      <c r="D1047" s="8"/>
      <c r="E1047" s="8"/>
      <c r="F1047" s="8"/>
      <c r="G1047" s="10"/>
      <c r="H1047" s="8" t="s">
        <v>2513</v>
      </c>
      <c r="I1047" s="10" t="s">
        <v>2514</v>
      </c>
      <c r="J1047" s="11" t="s">
        <v>33</v>
      </c>
      <c r="K1047" s="18">
        <v>22664000</v>
      </c>
      <c r="L1047" s="12">
        <f>K1047*(1+P1047)/(1-Q1047)</f>
        <v>30218666.666666668</v>
      </c>
      <c r="M1047" s="8">
        <v>1</v>
      </c>
      <c r="N1047" s="8" t="s">
        <v>27</v>
      </c>
      <c r="O1047" s="13"/>
      <c r="P1047" s="14">
        <v>0</v>
      </c>
      <c r="Q1047" s="15">
        <v>0.25</v>
      </c>
      <c r="R1047" s="16" t="str">
        <f t="shared" si="108"/>
        <v>GENERAL</v>
      </c>
      <c r="S1047" s="17"/>
      <c r="T1047" s="10"/>
    </row>
    <row r="1048" spans="1:20" ht="27" customHeight="1" x14ac:dyDescent="0.25">
      <c r="A1048" s="8" t="s">
        <v>2512</v>
      </c>
      <c r="B1048" s="9" t="s">
        <v>2515</v>
      </c>
      <c r="C1048" s="9"/>
      <c r="D1048" s="8"/>
      <c r="E1048" s="8"/>
      <c r="F1048" s="8" t="s">
        <v>22</v>
      </c>
      <c r="G1048" s="10" t="s">
        <v>2516</v>
      </c>
      <c r="H1048" s="8" t="s">
        <v>2517</v>
      </c>
      <c r="I1048" s="10" t="s">
        <v>2516</v>
      </c>
      <c r="J1048" s="11" t="s">
        <v>33</v>
      </c>
      <c r="K1048" s="18">
        <v>114000</v>
      </c>
      <c r="L1048" s="12">
        <f>IF(J1048="P",ROUNDUP(K1048/(1-Q1048),-2),K1048*(1+P1048)/(1-Q1048))</f>
        <v>142500</v>
      </c>
      <c r="M1048" s="8">
        <v>1</v>
      </c>
      <c r="N1048" s="8" t="s">
        <v>27</v>
      </c>
      <c r="O1048" s="13" t="s">
        <v>588</v>
      </c>
      <c r="P1048" s="14">
        <v>0</v>
      </c>
      <c r="Q1048" s="15">
        <v>0.2</v>
      </c>
      <c r="R1048" s="16" t="str">
        <f t="shared" si="108"/>
        <v>GENERAL</v>
      </c>
      <c r="S1048" s="17"/>
      <c r="T1048" s="10" t="str">
        <f t="shared" ref="T1048:T1111" si="111">G1048</f>
        <v>VARILLA 5/8X 2.40 COOPER GROUND</v>
      </c>
    </row>
    <row r="1049" spans="1:20" ht="27" customHeight="1" x14ac:dyDescent="0.25">
      <c r="A1049" s="8" t="s">
        <v>2512</v>
      </c>
      <c r="B1049" s="9"/>
      <c r="C1049" s="9"/>
      <c r="D1049" s="8"/>
      <c r="E1049" s="8"/>
      <c r="F1049" s="8" t="s">
        <v>22</v>
      </c>
      <c r="G1049" s="10" t="s">
        <v>2518</v>
      </c>
      <c r="H1049" s="8" t="s">
        <v>2519</v>
      </c>
      <c r="I1049" s="10" t="s">
        <v>2518</v>
      </c>
      <c r="J1049" s="11" t="s">
        <v>33</v>
      </c>
      <c r="K1049" s="18">
        <v>9900</v>
      </c>
      <c r="L1049" s="12">
        <f>IF(J1049="P",ROUNDUP(K1049/(1-P1049),-2),K1049*(1+O1049)/(1-P1049))</f>
        <v>9900</v>
      </c>
      <c r="M1049" s="8" t="s">
        <v>2520</v>
      </c>
      <c r="N1049" s="8" t="s">
        <v>2521</v>
      </c>
      <c r="O1049" s="13"/>
      <c r="P1049" s="14">
        <v>0</v>
      </c>
      <c r="Q1049" s="15">
        <v>0.4</v>
      </c>
      <c r="R1049" s="16" t="str">
        <f t="shared" si="108"/>
        <v>GENERAL</v>
      </c>
      <c r="S1049" s="17"/>
      <c r="T1049" s="10" t="str">
        <f t="shared" si="111"/>
        <v>ALQUILER DE DIA DE SECCIÓN DE ANDAMIO CERTIFICADO</v>
      </c>
    </row>
    <row r="1050" spans="1:20" ht="27" customHeight="1" x14ac:dyDescent="0.25">
      <c r="A1050" s="8" t="s">
        <v>2512</v>
      </c>
      <c r="B1050" s="9"/>
      <c r="C1050" s="9"/>
      <c r="D1050" s="8"/>
      <c r="E1050" s="8"/>
      <c r="F1050" s="8" t="s">
        <v>22</v>
      </c>
      <c r="G1050" s="10" t="s">
        <v>2522</v>
      </c>
      <c r="H1050" s="8" t="s">
        <v>2523</v>
      </c>
      <c r="I1050" s="10" t="s">
        <v>2522</v>
      </c>
      <c r="J1050" s="11" t="s">
        <v>33</v>
      </c>
      <c r="K1050" s="18">
        <v>35000</v>
      </c>
      <c r="L1050" s="12">
        <v>35000</v>
      </c>
      <c r="M1050" s="8" t="s">
        <v>2520</v>
      </c>
      <c r="N1050" s="8" t="s">
        <v>2521</v>
      </c>
      <c r="O1050" s="13"/>
      <c r="P1050" s="14">
        <v>0</v>
      </c>
      <c r="Q1050" s="15">
        <v>0.4</v>
      </c>
      <c r="R1050" s="16" t="str">
        <f t="shared" si="108"/>
        <v>GENERAL</v>
      </c>
      <c r="S1050" s="17"/>
      <c r="T1050" s="10" t="str">
        <f t="shared" si="111"/>
        <v>ALQUILER DE ESCALERA TELESCÓPICA</v>
      </c>
    </row>
    <row r="1051" spans="1:20" ht="27" customHeight="1" x14ac:dyDescent="0.25">
      <c r="A1051" s="8" t="s">
        <v>2512</v>
      </c>
      <c r="B1051" s="9" t="s">
        <v>683</v>
      </c>
      <c r="C1051" s="9"/>
      <c r="D1051" s="8" t="s">
        <v>684</v>
      </c>
      <c r="E1051" s="8"/>
      <c r="F1051" s="8" t="s">
        <v>22</v>
      </c>
      <c r="G1051" s="10" t="s">
        <v>2524</v>
      </c>
      <c r="H1051" s="8" t="s">
        <v>2525</v>
      </c>
      <c r="I1051" s="10" t="s">
        <v>2524</v>
      </c>
      <c r="J1051" s="11" t="s">
        <v>33</v>
      </c>
      <c r="K1051" s="18">
        <v>87000</v>
      </c>
      <c r="L1051" s="12">
        <f t="shared" ref="L1051:L1114" si="112">IF(J1051="P",ROUNDUP(K1051/(1-Q1051),-2),K1051*(1+P1051)/(1-Q1051))</f>
        <v>124300</v>
      </c>
      <c r="M1051" s="8">
        <v>1</v>
      </c>
      <c r="N1051" s="8" t="s">
        <v>27</v>
      </c>
      <c r="O1051" s="13"/>
      <c r="P1051" s="14">
        <v>0.2</v>
      </c>
      <c r="Q1051" s="15">
        <v>0.3</v>
      </c>
      <c r="R1051" s="16" t="str">
        <f t="shared" si="108"/>
        <v>GENERAL</v>
      </c>
      <c r="S1051" s="17"/>
      <c r="T1051" s="10" t="str">
        <f t="shared" si="111"/>
        <v>CONVERTIDOR ACTIVO DE VGA A S-VIDEO Y COMPUESTO.</v>
      </c>
    </row>
    <row r="1052" spans="1:20" ht="27" customHeight="1" x14ac:dyDescent="0.25">
      <c r="A1052" s="8" t="s">
        <v>2512</v>
      </c>
      <c r="B1052" s="9" t="s">
        <v>683</v>
      </c>
      <c r="C1052" s="9"/>
      <c r="D1052" s="8"/>
      <c r="E1052" s="8"/>
      <c r="F1052" s="8" t="s">
        <v>22</v>
      </c>
      <c r="G1052" s="10" t="s">
        <v>2526</v>
      </c>
      <c r="H1052" s="8" t="s">
        <v>2527</v>
      </c>
      <c r="I1052" s="10" t="s">
        <v>2526</v>
      </c>
      <c r="J1052" s="11" t="s">
        <v>33</v>
      </c>
      <c r="K1052" s="18">
        <v>10100</v>
      </c>
      <c r="L1052" s="12">
        <f t="shared" si="112"/>
        <v>14500</v>
      </c>
      <c r="M1052" s="8">
        <v>1</v>
      </c>
      <c r="N1052" s="8" t="s">
        <v>27</v>
      </c>
      <c r="O1052" s="13"/>
      <c r="P1052" s="14">
        <v>0.2</v>
      </c>
      <c r="Q1052" s="15">
        <v>0.3</v>
      </c>
      <c r="R1052" s="16" t="str">
        <f t="shared" si="108"/>
        <v>GENERAL</v>
      </c>
      <c r="S1052" s="17"/>
      <c r="T1052" s="10" t="str">
        <f t="shared" si="111"/>
        <v>PATCH CORE DE 1 METRO CATEGORÍA 6.</v>
      </c>
    </row>
    <row r="1053" spans="1:20" ht="27" customHeight="1" x14ac:dyDescent="0.25">
      <c r="A1053" s="8" t="s">
        <v>2512</v>
      </c>
      <c r="B1053" s="9" t="s">
        <v>683</v>
      </c>
      <c r="C1053" s="9"/>
      <c r="D1053" s="8"/>
      <c r="E1053" s="8"/>
      <c r="F1053" s="8" t="s">
        <v>22</v>
      </c>
      <c r="G1053" s="10" t="s">
        <v>2528</v>
      </c>
      <c r="H1053" s="8" t="s">
        <v>2529</v>
      </c>
      <c r="I1053" s="10" t="s">
        <v>2528</v>
      </c>
      <c r="J1053" s="11" t="s">
        <v>33</v>
      </c>
      <c r="K1053" s="18">
        <v>3600</v>
      </c>
      <c r="L1053" s="12">
        <f t="shared" si="112"/>
        <v>5200</v>
      </c>
      <c r="M1053" s="8">
        <v>1</v>
      </c>
      <c r="N1053" s="8" t="s">
        <v>27</v>
      </c>
      <c r="O1053" s="13"/>
      <c r="P1053" s="14">
        <v>0.2</v>
      </c>
      <c r="Q1053" s="15">
        <v>0.3</v>
      </c>
      <c r="R1053" s="16" t="str">
        <f t="shared" si="108"/>
        <v>GENERAL</v>
      </c>
      <c r="S1053" s="17"/>
      <c r="T1053" s="10" t="str">
        <f t="shared" si="111"/>
        <v>PATCHCORE DE 50CM CATEGORÍA 5</v>
      </c>
    </row>
    <row r="1054" spans="1:20" ht="27" customHeight="1" x14ac:dyDescent="0.25">
      <c r="A1054" s="8" t="s">
        <v>2512</v>
      </c>
      <c r="B1054" s="9" t="s">
        <v>683</v>
      </c>
      <c r="C1054" s="9"/>
      <c r="D1054" s="8"/>
      <c r="E1054" s="8"/>
      <c r="F1054" s="8" t="s">
        <v>22</v>
      </c>
      <c r="G1054" s="10" t="s">
        <v>2530</v>
      </c>
      <c r="H1054" s="8" t="s">
        <v>2531</v>
      </c>
      <c r="I1054" s="10" t="s">
        <v>2530</v>
      </c>
      <c r="J1054" s="11" t="s">
        <v>33</v>
      </c>
      <c r="K1054" s="18">
        <v>95000</v>
      </c>
      <c r="L1054" s="12">
        <f t="shared" si="112"/>
        <v>135800</v>
      </c>
      <c r="M1054" s="8">
        <v>1</v>
      </c>
      <c r="N1054" s="8" t="s">
        <v>27</v>
      </c>
      <c r="O1054" s="13"/>
      <c r="P1054" s="14">
        <v>0.2</v>
      </c>
      <c r="Q1054" s="15">
        <v>0.3</v>
      </c>
      <c r="R1054" s="16" t="str">
        <f t="shared" si="108"/>
        <v>GENERAL</v>
      </c>
      <c r="S1054" s="17"/>
      <c r="T1054" s="10" t="str">
        <f t="shared" si="111"/>
        <v>MULTITOMA PARA RACK</v>
      </c>
    </row>
    <row r="1055" spans="1:20" ht="27" customHeight="1" x14ac:dyDescent="0.25">
      <c r="A1055" s="8" t="s">
        <v>2512</v>
      </c>
      <c r="B1055" s="9"/>
      <c r="C1055" s="9"/>
      <c r="D1055" s="8"/>
      <c r="E1055" s="8"/>
      <c r="F1055" s="8" t="s">
        <v>22</v>
      </c>
      <c r="G1055" s="10" t="s">
        <v>2532</v>
      </c>
      <c r="H1055" s="8" t="s">
        <v>2533</v>
      </c>
      <c r="I1055" s="10" t="s">
        <v>2532</v>
      </c>
      <c r="J1055" s="11" t="s">
        <v>33</v>
      </c>
      <c r="K1055" s="18">
        <v>45000</v>
      </c>
      <c r="L1055" s="12">
        <f t="shared" si="112"/>
        <v>64300</v>
      </c>
      <c r="M1055" s="8">
        <v>1</v>
      </c>
      <c r="N1055" s="8" t="s">
        <v>27</v>
      </c>
      <c r="O1055" s="13"/>
      <c r="P1055" s="14">
        <v>0.2</v>
      </c>
      <c r="Q1055" s="15">
        <v>0.3</v>
      </c>
      <c r="R1055" s="16" t="str">
        <f t="shared" si="108"/>
        <v>GENERAL</v>
      </c>
      <c r="S1055" s="17"/>
      <c r="T1055" s="10" t="str">
        <f t="shared" si="111"/>
        <v>EXTRACTOR DE OLORES HERMÉTICO CON REJILLA PLÁSTICA</v>
      </c>
    </row>
    <row r="1056" spans="1:20" ht="27" customHeight="1" x14ac:dyDescent="0.25">
      <c r="A1056" s="8" t="s">
        <v>2512</v>
      </c>
      <c r="B1056" s="9"/>
      <c r="C1056" s="9"/>
      <c r="D1056" s="8"/>
      <c r="E1056" s="8"/>
      <c r="F1056" s="8" t="s">
        <v>22</v>
      </c>
      <c r="G1056" s="10" t="s">
        <v>2534</v>
      </c>
      <c r="H1056" s="8" t="s">
        <v>2535</v>
      </c>
      <c r="I1056" s="10" t="s">
        <v>2534</v>
      </c>
      <c r="J1056" s="11" t="s">
        <v>33</v>
      </c>
      <c r="K1056" s="18">
        <v>5500</v>
      </c>
      <c r="L1056" s="12">
        <f t="shared" si="112"/>
        <v>7900</v>
      </c>
      <c r="M1056" s="8">
        <v>1</v>
      </c>
      <c r="N1056" s="8" t="s">
        <v>27</v>
      </c>
      <c r="O1056" s="13"/>
      <c r="P1056" s="14">
        <v>0.2</v>
      </c>
      <c r="Q1056" s="15">
        <v>0.3</v>
      </c>
      <c r="R1056" s="16" t="str">
        <f t="shared" si="108"/>
        <v>GENERAL</v>
      </c>
      <c r="S1056" s="17"/>
      <c r="T1056" s="10" t="str">
        <f t="shared" si="111"/>
        <v>DUCTO TIPO SERPENTINA EN ALUMINIO DE 4 PULGADAS</v>
      </c>
    </row>
    <row r="1057" spans="1:20" ht="27" customHeight="1" x14ac:dyDescent="0.25">
      <c r="A1057" s="8" t="s">
        <v>2512</v>
      </c>
      <c r="B1057" s="9"/>
      <c r="C1057" s="9"/>
      <c r="D1057" s="8"/>
      <c r="E1057" s="8"/>
      <c r="F1057" s="8" t="s">
        <v>22</v>
      </c>
      <c r="G1057" s="10" t="s">
        <v>2536</v>
      </c>
      <c r="H1057" s="8" t="s">
        <v>2537</v>
      </c>
      <c r="I1057" s="10" t="s">
        <v>2536</v>
      </c>
      <c r="J1057" s="11" t="s">
        <v>33</v>
      </c>
      <c r="K1057" s="18">
        <v>1077.5999999999999</v>
      </c>
      <c r="L1057" s="12">
        <f t="shared" si="112"/>
        <v>1600</v>
      </c>
      <c r="M1057" s="8">
        <v>1</v>
      </c>
      <c r="N1057" s="8" t="s">
        <v>27</v>
      </c>
      <c r="O1057" s="13"/>
      <c r="P1057" s="14">
        <v>0.2</v>
      </c>
      <c r="Q1057" s="15">
        <v>0.3</v>
      </c>
      <c r="R1057" s="16" t="str">
        <f t="shared" si="108"/>
        <v>GENERAL</v>
      </c>
      <c r="S1057" s="17"/>
      <c r="T1057" s="10" t="str">
        <f t="shared" si="111"/>
        <v>TERMINAL ESTAÑADA AWG8</v>
      </c>
    </row>
    <row r="1058" spans="1:20" ht="27" customHeight="1" x14ac:dyDescent="0.25">
      <c r="A1058" s="8" t="s">
        <v>2512</v>
      </c>
      <c r="B1058" s="9"/>
      <c r="C1058" s="9"/>
      <c r="D1058" s="8"/>
      <c r="E1058" s="8"/>
      <c r="F1058" s="8" t="s">
        <v>22</v>
      </c>
      <c r="G1058" s="10" t="s">
        <v>2538</v>
      </c>
      <c r="H1058" s="8" t="s">
        <v>2539</v>
      </c>
      <c r="I1058" s="10" t="s">
        <v>2538</v>
      </c>
      <c r="J1058" s="11" t="s">
        <v>33</v>
      </c>
      <c r="K1058" s="18">
        <v>280</v>
      </c>
      <c r="L1058" s="12">
        <f t="shared" si="112"/>
        <v>400</v>
      </c>
      <c r="M1058" s="8">
        <v>1</v>
      </c>
      <c r="N1058" s="8" t="s">
        <v>27</v>
      </c>
      <c r="O1058" s="13"/>
      <c r="P1058" s="14">
        <v>0.2</v>
      </c>
      <c r="Q1058" s="15">
        <v>0.25</v>
      </c>
      <c r="R1058" s="16" t="str">
        <f t="shared" si="108"/>
        <v>GENERAL</v>
      </c>
      <c r="S1058" s="17"/>
      <c r="T1058" s="10" t="str">
        <f t="shared" si="111"/>
        <v>CONECTOR ROSCADO AMARILLO</v>
      </c>
    </row>
    <row r="1059" spans="1:20" ht="27" customHeight="1" x14ac:dyDescent="0.25">
      <c r="A1059" s="8" t="s">
        <v>2512</v>
      </c>
      <c r="B1059" s="9"/>
      <c r="C1059" s="9"/>
      <c r="D1059" s="8"/>
      <c r="E1059" s="8"/>
      <c r="F1059" s="8" t="s">
        <v>22</v>
      </c>
      <c r="G1059" s="10" t="s">
        <v>2540</v>
      </c>
      <c r="H1059" s="8" t="s">
        <v>2541</v>
      </c>
      <c r="I1059" s="10" t="s">
        <v>2540</v>
      </c>
      <c r="J1059" s="11" t="s">
        <v>33</v>
      </c>
      <c r="K1059" s="18">
        <v>150862</v>
      </c>
      <c r="L1059" s="12">
        <f t="shared" si="112"/>
        <v>215600</v>
      </c>
      <c r="M1059" s="8">
        <v>1</v>
      </c>
      <c r="N1059" s="8" t="s">
        <v>27</v>
      </c>
      <c r="O1059" s="13"/>
      <c r="P1059" s="14">
        <v>0.2</v>
      </c>
      <c r="Q1059" s="15">
        <v>0.3</v>
      </c>
      <c r="R1059" s="16" t="str">
        <f t="shared" si="108"/>
        <v>GENERAL</v>
      </c>
      <c r="S1059" s="17"/>
      <c r="T1059" s="10" t="str">
        <f t="shared" si="111"/>
        <v>TABLERO DE 18 CIRCUITOS SIN ESPACIO</v>
      </c>
    </row>
    <row r="1060" spans="1:20" ht="27" customHeight="1" x14ac:dyDescent="0.25">
      <c r="A1060" s="8" t="s">
        <v>2512</v>
      </c>
      <c r="B1060" s="9"/>
      <c r="C1060" s="9"/>
      <c r="D1060" s="8"/>
      <c r="E1060" s="8"/>
      <c r="F1060" s="8" t="s">
        <v>22</v>
      </c>
      <c r="G1060" s="10" t="s">
        <v>2542</v>
      </c>
      <c r="H1060" s="8" t="s">
        <v>2543</v>
      </c>
      <c r="I1060" s="10" t="s">
        <v>2542</v>
      </c>
      <c r="J1060" s="11" t="s">
        <v>33</v>
      </c>
      <c r="K1060" s="18">
        <v>1594.83</v>
      </c>
      <c r="L1060" s="12">
        <f t="shared" si="112"/>
        <v>2300</v>
      </c>
      <c r="M1060" s="8">
        <v>1</v>
      </c>
      <c r="N1060" s="8" t="s">
        <v>27</v>
      </c>
      <c r="O1060" s="13"/>
      <c r="P1060" s="14">
        <v>0.2</v>
      </c>
      <c r="Q1060" s="15">
        <v>0.3</v>
      </c>
      <c r="R1060" s="16" t="str">
        <f t="shared" si="108"/>
        <v>GENERAL</v>
      </c>
      <c r="S1060" s="17"/>
      <c r="T1060" s="10" t="str">
        <f t="shared" si="111"/>
        <v>TERMINAL ESTAÑADA AWG2</v>
      </c>
    </row>
    <row r="1061" spans="1:20" ht="27" customHeight="1" x14ac:dyDescent="0.25">
      <c r="A1061" s="8" t="s">
        <v>2512</v>
      </c>
      <c r="B1061" s="9"/>
      <c r="C1061" s="9"/>
      <c r="D1061" s="8"/>
      <c r="E1061" s="8"/>
      <c r="F1061" s="8" t="s">
        <v>22</v>
      </c>
      <c r="G1061" s="10" t="s">
        <v>2544</v>
      </c>
      <c r="H1061" s="8" t="s">
        <v>2545</v>
      </c>
      <c r="I1061" s="10" t="s">
        <v>2544</v>
      </c>
      <c r="J1061" s="11" t="s">
        <v>33</v>
      </c>
      <c r="K1061" s="18">
        <v>1100</v>
      </c>
      <c r="L1061" s="12">
        <f t="shared" si="112"/>
        <v>1600</v>
      </c>
      <c r="M1061" s="8">
        <v>1</v>
      </c>
      <c r="N1061" s="8" t="s">
        <v>27</v>
      </c>
      <c r="O1061" s="13"/>
      <c r="P1061" s="14">
        <v>0.2</v>
      </c>
      <c r="Q1061" s="15">
        <v>0.3</v>
      </c>
      <c r="R1061" s="16" t="str">
        <f t="shared" si="108"/>
        <v>GENERAL</v>
      </c>
      <c r="S1061" s="17"/>
      <c r="T1061" s="10" t="str">
        <f t="shared" si="111"/>
        <v>TERMINAL ESTAÑADA AWG6</v>
      </c>
    </row>
    <row r="1062" spans="1:20" ht="27" customHeight="1" x14ac:dyDescent="0.25">
      <c r="A1062" s="8" t="s">
        <v>2512</v>
      </c>
      <c r="B1062" s="9"/>
      <c r="C1062" s="9"/>
      <c r="D1062" s="8"/>
      <c r="E1062" s="8"/>
      <c r="F1062" s="8" t="s">
        <v>22</v>
      </c>
      <c r="G1062" s="10" t="s">
        <v>2546</v>
      </c>
      <c r="H1062" s="8" t="s">
        <v>2547</v>
      </c>
      <c r="I1062" s="10" t="s">
        <v>2546</v>
      </c>
      <c r="J1062" s="11" t="s">
        <v>33</v>
      </c>
      <c r="K1062" s="18">
        <v>1300</v>
      </c>
      <c r="L1062" s="12">
        <f t="shared" si="112"/>
        <v>1900</v>
      </c>
      <c r="M1062" s="8">
        <v>1</v>
      </c>
      <c r="N1062" s="8" t="s">
        <v>27</v>
      </c>
      <c r="O1062" s="13"/>
      <c r="P1062" s="14">
        <v>0.2</v>
      </c>
      <c r="Q1062" s="15">
        <v>0.3</v>
      </c>
      <c r="R1062" s="16" t="str">
        <f t="shared" si="108"/>
        <v>GENERAL</v>
      </c>
      <c r="S1062" s="17"/>
      <c r="T1062" s="10" t="str">
        <f t="shared" si="111"/>
        <v>TERMINAL ESTAÑADA AWG4</v>
      </c>
    </row>
    <row r="1063" spans="1:20" ht="27" customHeight="1" x14ac:dyDescent="0.25">
      <c r="A1063" s="8" t="s">
        <v>2512</v>
      </c>
      <c r="B1063" s="9"/>
      <c r="C1063" s="9"/>
      <c r="D1063" s="8"/>
      <c r="E1063" s="8"/>
      <c r="F1063" s="8" t="s">
        <v>22</v>
      </c>
      <c r="G1063" s="10" t="s">
        <v>2548</v>
      </c>
      <c r="H1063" s="8" t="s">
        <v>2549</v>
      </c>
      <c r="I1063" s="10" t="s">
        <v>2548</v>
      </c>
      <c r="J1063" s="11" t="s">
        <v>33</v>
      </c>
      <c r="K1063" s="18">
        <v>1724.25</v>
      </c>
      <c r="L1063" s="12">
        <f t="shared" si="112"/>
        <v>2500</v>
      </c>
      <c r="M1063" s="8">
        <v>1</v>
      </c>
      <c r="N1063" s="8" t="s">
        <v>27</v>
      </c>
      <c r="O1063" s="13"/>
      <c r="P1063" s="14">
        <v>0.2</v>
      </c>
      <c r="Q1063" s="15">
        <v>0.3</v>
      </c>
      <c r="R1063" s="16" t="str">
        <f t="shared" si="108"/>
        <v>GENERAL</v>
      </c>
      <c r="S1063" s="17"/>
      <c r="T1063" s="10" t="str">
        <f t="shared" si="111"/>
        <v>TERMINAL DE UNIÓN</v>
      </c>
    </row>
    <row r="1064" spans="1:20" ht="27" customHeight="1" x14ac:dyDescent="0.25">
      <c r="A1064" s="8" t="s">
        <v>2512</v>
      </c>
      <c r="B1064" s="9"/>
      <c r="C1064" s="9"/>
      <c r="D1064" s="8"/>
      <c r="E1064" s="8"/>
      <c r="F1064" s="8" t="s">
        <v>22</v>
      </c>
      <c r="G1064" s="10" t="s">
        <v>2550</v>
      </c>
      <c r="H1064" s="8" t="s">
        <v>2551</v>
      </c>
      <c r="I1064" s="10" t="s">
        <v>2550</v>
      </c>
      <c r="J1064" s="11" t="s">
        <v>33</v>
      </c>
      <c r="K1064" s="18">
        <v>4000</v>
      </c>
      <c r="L1064" s="12">
        <f t="shared" si="112"/>
        <v>5800</v>
      </c>
      <c r="M1064" s="8">
        <v>1</v>
      </c>
      <c r="N1064" s="8" t="s">
        <v>110</v>
      </c>
      <c r="O1064" s="13"/>
      <c r="P1064" s="14">
        <v>0.2</v>
      </c>
      <c r="Q1064" s="15">
        <v>0.3</v>
      </c>
      <c r="R1064" s="16" t="str">
        <f t="shared" si="108"/>
        <v>GENERAL</v>
      </c>
      <c r="S1064" s="17"/>
      <c r="T1064" s="10" t="str">
        <f t="shared" si="111"/>
        <v>METRO DE AMARRE TIPO VELCRO</v>
      </c>
    </row>
    <row r="1065" spans="1:20" ht="27" customHeight="1" x14ac:dyDescent="0.25">
      <c r="A1065" s="8" t="s">
        <v>2512</v>
      </c>
      <c r="B1065" s="9"/>
      <c r="C1065" s="9"/>
      <c r="D1065" s="8"/>
      <c r="E1065" s="8"/>
      <c r="F1065" s="8" t="s">
        <v>22</v>
      </c>
      <c r="G1065" s="10" t="s">
        <v>2552</v>
      </c>
      <c r="H1065" s="8" t="s">
        <v>2553</v>
      </c>
      <c r="I1065" s="10" t="s">
        <v>2552</v>
      </c>
      <c r="J1065" s="11" t="s">
        <v>33</v>
      </c>
      <c r="K1065" s="18">
        <v>9698</v>
      </c>
      <c r="L1065" s="12">
        <f t="shared" si="112"/>
        <v>13900</v>
      </c>
      <c r="M1065" s="8">
        <v>1</v>
      </c>
      <c r="N1065" s="8" t="s">
        <v>27</v>
      </c>
      <c r="O1065" s="13"/>
      <c r="P1065" s="14">
        <v>0.2</v>
      </c>
      <c r="Q1065" s="15">
        <v>0.3</v>
      </c>
      <c r="R1065" s="16" t="str">
        <f t="shared" si="108"/>
        <v>GENERAL</v>
      </c>
      <c r="S1065" s="17"/>
      <c r="T1065" s="10" t="str">
        <f t="shared" si="111"/>
        <v>CABLE ÓPTICO DE 1.8 METROS</v>
      </c>
    </row>
    <row r="1066" spans="1:20" ht="27" customHeight="1" x14ac:dyDescent="0.25">
      <c r="A1066" s="8" t="s">
        <v>2512</v>
      </c>
      <c r="B1066" s="9"/>
      <c r="C1066" s="9"/>
      <c r="D1066" s="8"/>
      <c r="E1066" s="8"/>
      <c r="F1066" s="8" t="s">
        <v>22</v>
      </c>
      <c r="G1066" s="10" t="s">
        <v>2554</v>
      </c>
      <c r="H1066" s="8" t="s">
        <v>2555</v>
      </c>
      <c r="I1066" s="10" t="s">
        <v>2554</v>
      </c>
      <c r="J1066" s="11" t="s">
        <v>33</v>
      </c>
      <c r="K1066" s="18">
        <v>51724</v>
      </c>
      <c r="L1066" s="12">
        <f t="shared" si="112"/>
        <v>73900</v>
      </c>
      <c r="M1066" s="8">
        <v>1</v>
      </c>
      <c r="N1066" s="8" t="s">
        <v>27</v>
      </c>
      <c r="O1066" s="13"/>
      <c r="P1066" s="14">
        <v>0.2</v>
      </c>
      <c r="Q1066" s="15">
        <v>0.3</v>
      </c>
      <c r="R1066" s="16" t="str">
        <f t="shared" si="108"/>
        <v>GENERAL</v>
      </c>
      <c r="S1066" s="17"/>
      <c r="T1066" s="10" t="str">
        <f t="shared" si="111"/>
        <v>CABLE HDMI DE 15 METROS</v>
      </c>
    </row>
    <row r="1067" spans="1:20" ht="27" customHeight="1" x14ac:dyDescent="0.25">
      <c r="A1067" s="8" t="s">
        <v>2512</v>
      </c>
      <c r="B1067" s="9"/>
      <c r="C1067" s="9"/>
      <c r="D1067" s="8"/>
      <c r="E1067" s="8"/>
      <c r="F1067" s="8" t="s">
        <v>22</v>
      </c>
      <c r="G1067" s="10" t="s">
        <v>2556</v>
      </c>
      <c r="H1067" s="8" t="s">
        <v>2557</v>
      </c>
      <c r="I1067" s="10" t="s">
        <v>2556</v>
      </c>
      <c r="J1067" s="11" t="s">
        <v>33</v>
      </c>
      <c r="K1067" s="18">
        <v>1500</v>
      </c>
      <c r="L1067" s="12">
        <f t="shared" si="112"/>
        <v>2200</v>
      </c>
      <c r="M1067" s="8">
        <v>1</v>
      </c>
      <c r="N1067" s="8" t="s">
        <v>27</v>
      </c>
      <c r="O1067" s="13"/>
      <c r="P1067" s="14">
        <v>0.2</v>
      </c>
      <c r="Q1067" s="15">
        <v>0.3</v>
      </c>
      <c r="R1067" s="16" t="str">
        <f t="shared" si="108"/>
        <v>GENERAL</v>
      </c>
      <c r="S1067" s="17"/>
      <c r="T1067" s="10" t="str">
        <f t="shared" si="111"/>
        <v>SOCKET GU 10 EN PORCELANA</v>
      </c>
    </row>
    <row r="1068" spans="1:20" ht="27" customHeight="1" x14ac:dyDescent="0.25">
      <c r="A1068" s="8" t="s">
        <v>2512</v>
      </c>
      <c r="B1068" s="9"/>
      <c r="C1068" s="9"/>
      <c r="D1068" s="8"/>
      <c r="E1068" s="8"/>
      <c r="F1068" s="8" t="s">
        <v>22</v>
      </c>
      <c r="G1068" s="10" t="s">
        <v>2558</v>
      </c>
      <c r="H1068" s="8" t="s">
        <v>2559</v>
      </c>
      <c r="I1068" s="10" t="s">
        <v>2558</v>
      </c>
      <c r="J1068" s="11" t="s">
        <v>33</v>
      </c>
      <c r="K1068" s="18">
        <v>1000</v>
      </c>
      <c r="L1068" s="12">
        <f t="shared" si="112"/>
        <v>1500</v>
      </c>
      <c r="M1068" s="8">
        <v>1</v>
      </c>
      <c r="N1068" s="8" t="s">
        <v>27</v>
      </c>
      <c r="O1068" s="13"/>
      <c r="P1068" s="14">
        <v>0.2</v>
      </c>
      <c r="Q1068" s="15">
        <v>0.3</v>
      </c>
      <c r="R1068" s="16" t="str">
        <f t="shared" si="108"/>
        <v>GENERAL</v>
      </c>
      <c r="S1068" s="17"/>
      <c r="T1068" s="10" t="str">
        <f t="shared" si="111"/>
        <v>SOCKET PARA BOMBILLA 2 PINES</v>
      </c>
    </row>
    <row r="1069" spans="1:20" ht="27" customHeight="1" x14ac:dyDescent="0.25">
      <c r="A1069" s="8" t="s">
        <v>2512</v>
      </c>
      <c r="B1069" s="9"/>
      <c r="C1069" s="9"/>
      <c r="D1069" s="8"/>
      <c r="E1069" s="8"/>
      <c r="F1069" s="8" t="s">
        <v>22</v>
      </c>
      <c r="G1069" s="10" t="s">
        <v>2560</v>
      </c>
      <c r="H1069" s="8" t="s">
        <v>2561</v>
      </c>
      <c r="I1069" s="10" t="s">
        <v>2560</v>
      </c>
      <c r="J1069" s="11" t="s">
        <v>33</v>
      </c>
      <c r="K1069" s="18">
        <v>24800</v>
      </c>
      <c r="L1069" s="12">
        <f t="shared" si="112"/>
        <v>35500</v>
      </c>
      <c r="M1069" s="8">
        <v>1</v>
      </c>
      <c r="N1069" s="8" t="s">
        <v>27</v>
      </c>
      <c r="O1069" s="13"/>
      <c r="P1069" s="14">
        <v>0.2</v>
      </c>
      <c r="Q1069" s="15">
        <v>0.3</v>
      </c>
      <c r="R1069" s="16" t="str">
        <f t="shared" si="108"/>
        <v>GENERAL</v>
      </c>
      <c r="S1069" s="17"/>
      <c r="T1069" s="10" t="str">
        <f t="shared" si="111"/>
        <v>CAJA DE PASO DE 20Cm X 20Cm X 10Cm.</v>
      </c>
    </row>
    <row r="1070" spans="1:20" ht="27" customHeight="1" x14ac:dyDescent="0.25">
      <c r="A1070" s="8" t="s">
        <v>2512</v>
      </c>
      <c r="B1070" s="9"/>
      <c r="C1070" s="9"/>
      <c r="D1070" s="8"/>
      <c r="E1070" s="8"/>
      <c r="F1070" s="8" t="s">
        <v>22</v>
      </c>
      <c r="G1070" s="10" t="s">
        <v>2562</v>
      </c>
      <c r="H1070" s="8" t="s">
        <v>2563</v>
      </c>
      <c r="I1070" s="10" t="s">
        <v>2562</v>
      </c>
      <c r="J1070" s="11" t="s">
        <v>33</v>
      </c>
      <c r="K1070" s="18">
        <v>6034</v>
      </c>
      <c r="L1070" s="12">
        <f t="shared" si="112"/>
        <v>10100</v>
      </c>
      <c r="M1070" s="8">
        <v>1</v>
      </c>
      <c r="N1070" s="8" t="s">
        <v>27</v>
      </c>
      <c r="O1070" s="13"/>
      <c r="P1070" s="14">
        <v>0.2</v>
      </c>
      <c r="Q1070" s="15">
        <v>0.4</v>
      </c>
      <c r="R1070" s="16" t="str">
        <f t="shared" si="108"/>
        <v>GENERAL</v>
      </c>
      <c r="S1070" s="17"/>
      <c r="T1070" s="10" t="str">
        <f t="shared" si="111"/>
        <v>CABLE HDMI DE 1.8 METROS</v>
      </c>
    </row>
    <row r="1071" spans="1:20" ht="27" customHeight="1" x14ac:dyDescent="0.25">
      <c r="A1071" s="8" t="s">
        <v>2512</v>
      </c>
      <c r="B1071" s="9"/>
      <c r="C1071" s="9"/>
      <c r="D1071" s="8"/>
      <c r="E1071" s="8"/>
      <c r="F1071" s="8" t="s">
        <v>22</v>
      </c>
      <c r="G1071" s="10" t="s">
        <v>2564</v>
      </c>
      <c r="H1071" s="8" t="s">
        <v>2565</v>
      </c>
      <c r="I1071" s="10" t="s">
        <v>2564</v>
      </c>
      <c r="J1071" s="11" t="s">
        <v>33</v>
      </c>
      <c r="K1071" s="18">
        <v>40000</v>
      </c>
      <c r="L1071" s="12">
        <f t="shared" si="112"/>
        <v>66700</v>
      </c>
      <c r="M1071" s="8">
        <v>1</v>
      </c>
      <c r="N1071" s="8" t="s">
        <v>27</v>
      </c>
      <c r="O1071" s="13"/>
      <c r="P1071" s="14">
        <v>0</v>
      </c>
      <c r="Q1071" s="15">
        <v>0.4</v>
      </c>
      <c r="R1071" s="16" t="str">
        <f t="shared" si="108"/>
        <v>GENERAL</v>
      </c>
      <c r="S1071" s="17"/>
      <c r="T1071" s="10" t="str">
        <f t="shared" si="111"/>
        <v>VENTILADOR 110V.5 PULGADAS</v>
      </c>
    </row>
    <row r="1072" spans="1:20" ht="27" customHeight="1" x14ac:dyDescent="0.25">
      <c r="A1072" s="8" t="s">
        <v>2512</v>
      </c>
      <c r="B1072" s="9"/>
      <c r="C1072" s="9"/>
      <c r="D1072" s="8"/>
      <c r="E1072" s="8"/>
      <c r="F1072" s="8" t="s">
        <v>22</v>
      </c>
      <c r="G1072" s="10" t="s">
        <v>2566</v>
      </c>
      <c r="H1072" s="8" t="s">
        <v>2567</v>
      </c>
      <c r="I1072" s="10" t="s">
        <v>2566</v>
      </c>
      <c r="J1072" s="11" t="s">
        <v>33</v>
      </c>
      <c r="K1072" s="18">
        <v>13500</v>
      </c>
      <c r="L1072" s="12">
        <f t="shared" si="112"/>
        <v>19300</v>
      </c>
      <c r="M1072" s="8">
        <v>1</v>
      </c>
      <c r="N1072" s="8" t="s">
        <v>27</v>
      </c>
      <c r="O1072" s="13"/>
      <c r="P1072" s="14">
        <v>0.2</v>
      </c>
      <c r="Q1072" s="15">
        <v>0.3</v>
      </c>
      <c r="R1072" s="16" t="str">
        <f t="shared" si="108"/>
        <v>GENERAL</v>
      </c>
      <c r="S1072" s="17"/>
      <c r="T1072" s="10" t="str">
        <f t="shared" si="111"/>
        <v>BARRAJE EN COBRE DE 16 PINES</v>
      </c>
    </row>
    <row r="1073" spans="1:20" ht="27" customHeight="1" x14ac:dyDescent="0.25">
      <c r="A1073" s="8" t="s">
        <v>2512</v>
      </c>
      <c r="B1073" s="9"/>
      <c r="C1073" s="9"/>
      <c r="D1073" s="8"/>
      <c r="E1073" s="8"/>
      <c r="F1073" s="8" t="s">
        <v>22</v>
      </c>
      <c r="G1073" s="10" t="s">
        <v>2568</v>
      </c>
      <c r="H1073" s="8" t="s">
        <v>2569</v>
      </c>
      <c r="I1073" s="10" t="s">
        <v>2568</v>
      </c>
      <c r="J1073" s="11" t="s">
        <v>33</v>
      </c>
      <c r="K1073" s="18">
        <v>15000</v>
      </c>
      <c r="L1073" s="12">
        <f t="shared" si="112"/>
        <v>21500</v>
      </c>
      <c r="M1073" s="8">
        <v>1</v>
      </c>
      <c r="N1073" s="8" t="s">
        <v>27</v>
      </c>
      <c r="O1073" s="13"/>
      <c r="P1073" s="14">
        <v>0.2</v>
      </c>
      <c r="Q1073" s="15">
        <v>0.3</v>
      </c>
      <c r="R1073" s="16" t="str">
        <f t="shared" si="108"/>
        <v>GENERAL</v>
      </c>
      <c r="S1073" s="17"/>
      <c r="T1073" s="10" t="str">
        <f t="shared" si="111"/>
        <v>RELÉ 10 AMPERIOS 120 VAC</v>
      </c>
    </row>
    <row r="1074" spans="1:20" ht="27" customHeight="1" x14ac:dyDescent="0.25">
      <c r="A1074" s="8" t="s">
        <v>2512</v>
      </c>
      <c r="B1074" s="9"/>
      <c r="C1074" s="9"/>
      <c r="D1074" s="8"/>
      <c r="E1074" s="8"/>
      <c r="F1074" s="8" t="s">
        <v>22</v>
      </c>
      <c r="G1074" s="10" t="s">
        <v>2570</v>
      </c>
      <c r="H1074" s="8" t="s">
        <v>2571</v>
      </c>
      <c r="I1074" s="10" t="s">
        <v>2570</v>
      </c>
      <c r="J1074" s="11" t="s">
        <v>33</v>
      </c>
      <c r="K1074" s="18">
        <v>54700</v>
      </c>
      <c r="L1074" s="12">
        <f t="shared" si="112"/>
        <v>78200</v>
      </c>
      <c r="M1074" s="8">
        <v>1</v>
      </c>
      <c r="N1074" s="8" t="s">
        <v>27</v>
      </c>
      <c r="O1074" s="13"/>
      <c r="P1074" s="14">
        <v>0.2</v>
      </c>
      <c r="Q1074" s="15">
        <v>0.3</v>
      </c>
      <c r="R1074" s="16" t="str">
        <f t="shared" si="108"/>
        <v>GENERAL</v>
      </c>
      <c r="S1074" s="17"/>
      <c r="T1074" s="10" t="str">
        <f t="shared" si="111"/>
        <v>VENTILADOR 120VAC</v>
      </c>
    </row>
    <row r="1075" spans="1:20" ht="27" customHeight="1" x14ac:dyDescent="0.25">
      <c r="A1075" s="8" t="s">
        <v>2512</v>
      </c>
      <c r="B1075" s="9"/>
      <c r="C1075" s="9"/>
      <c r="D1075" s="8"/>
      <c r="E1075" s="8"/>
      <c r="F1075" s="8" t="s">
        <v>22</v>
      </c>
      <c r="G1075" s="10" t="s">
        <v>2572</v>
      </c>
      <c r="H1075" s="8" t="s">
        <v>2573</v>
      </c>
      <c r="I1075" s="10" t="s">
        <v>2572</v>
      </c>
      <c r="J1075" s="11" t="s">
        <v>33</v>
      </c>
      <c r="K1075" s="18">
        <v>33000</v>
      </c>
      <c r="L1075" s="12">
        <f t="shared" si="112"/>
        <v>47200</v>
      </c>
      <c r="M1075" s="8">
        <v>1</v>
      </c>
      <c r="N1075" s="8" t="s">
        <v>27</v>
      </c>
      <c r="O1075" s="13"/>
      <c r="P1075" s="14">
        <v>0.2</v>
      </c>
      <c r="Q1075" s="15">
        <v>0.3</v>
      </c>
      <c r="R1075" s="16" t="str">
        <f t="shared" si="108"/>
        <v>GENERAL</v>
      </c>
      <c r="S1075" s="17"/>
      <c r="T1075" s="10" t="str">
        <f t="shared" si="111"/>
        <v>CONTADOR MONOFÁSICO DE CONSUMO ELÉCTRICO.</v>
      </c>
    </row>
    <row r="1076" spans="1:20" ht="27" customHeight="1" x14ac:dyDescent="0.25">
      <c r="A1076" s="8" t="s">
        <v>2512</v>
      </c>
      <c r="B1076" s="9"/>
      <c r="C1076" s="9"/>
      <c r="D1076" s="8"/>
      <c r="E1076" s="8"/>
      <c r="F1076" s="8" t="s">
        <v>22</v>
      </c>
      <c r="G1076" s="10" t="s">
        <v>2574</v>
      </c>
      <c r="H1076" s="8" t="s">
        <v>2575</v>
      </c>
      <c r="I1076" s="10" t="s">
        <v>2574</v>
      </c>
      <c r="J1076" s="11" t="s">
        <v>33</v>
      </c>
      <c r="K1076" s="18">
        <v>31000</v>
      </c>
      <c r="L1076" s="12">
        <f t="shared" si="112"/>
        <v>44300</v>
      </c>
      <c r="M1076" s="8">
        <v>1</v>
      </c>
      <c r="N1076" s="8" t="s">
        <v>27</v>
      </c>
      <c r="O1076" s="13"/>
      <c r="P1076" s="14">
        <v>0.2</v>
      </c>
      <c r="Q1076" s="15">
        <v>0.3</v>
      </c>
      <c r="R1076" s="16" t="str">
        <f t="shared" si="108"/>
        <v>GENERAL</v>
      </c>
      <c r="S1076" s="17"/>
      <c r="T1076" s="10" t="str">
        <f t="shared" si="111"/>
        <v>TRANSFORMADOR TIPO FUENTE 24VAC</v>
      </c>
    </row>
    <row r="1077" spans="1:20" ht="27" customHeight="1" x14ac:dyDescent="0.25">
      <c r="A1077" s="8" t="s">
        <v>2512</v>
      </c>
      <c r="B1077" s="9"/>
      <c r="C1077" s="9"/>
      <c r="D1077" s="8"/>
      <c r="E1077" s="8"/>
      <c r="F1077" s="8" t="s">
        <v>22</v>
      </c>
      <c r="G1077" s="10" t="s">
        <v>2576</v>
      </c>
      <c r="H1077" s="8" t="s">
        <v>2577</v>
      </c>
      <c r="I1077" s="10" t="s">
        <v>2576</v>
      </c>
      <c r="J1077" s="11" t="s">
        <v>33</v>
      </c>
      <c r="K1077" s="18">
        <v>3800</v>
      </c>
      <c r="L1077" s="12">
        <f t="shared" si="112"/>
        <v>7600</v>
      </c>
      <c r="M1077" s="8">
        <v>1</v>
      </c>
      <c r="N1077" s="8" t="s">
        <v>27</v>
      </c>
      <c r="O1077" s="13"/>
      <c r="P1077" s="14">
        <v>0</v>
      </c>
      <c r="Q1077" s="15">
        <v>0.5</v>
      </c>
      <c r="R1077" s="16" t="str">
        <f t="shared" si="108"/>
        <v>GENERAL</v>
      </c>
      <c r="S1077" s="17"/>
      <c r="T1077" s="10" t="str">
        <f t="shared" si="111"/>
        <v>BASE PARA RELEVO 11 PINES</v>
      </c>
    </row>
    <row r="1078" spans="1:20" ht="27" customHeight="1" x14ac:dyDescent="0.25">
      <c r="A1078" s="8" t="s">
        <v>2512</v>
      </c>
      <c r="B1078" s="9"/>
      <c r="C1078" s="9"/>
      <c r="D1078" s="8"/>
      <c r="E1078" s="8"/>
      <c r="F1078" s="8" t="s">
        <v>22</v>
      </c>
      <c r="G1078" s="10" t="s">
        <v>2578</v>
      </c>
      <c r="H1078" s="8" t="s">
        <v>2579</v>
      </c>
      <c r="I1078" s="10" t="s">
        <v>2578</v>
      </c>
      <c r="J1078" s="11" t="s">
        <v>33</v>
      </c>
      <c r="K1078" s="18">
        <v>6000</v>
      </c>
      <c r="L1078" s="12">
        <f t="shared" si="112"/>
        <v>10000</v>
      </c>
      <c r="M1078" s="8">
        <v>1</v>
      </c>
      <c r="N1078" s="8" t="s">
        <v>27</v>
      </c>
      <c r="O1078" s="13"/>
      <c r="P1078" s="14">
        <v>0.2</v>
      </c>
      <c r="Q1078" s="15">
        <v>0.4</v>
      </c>
      <c r="R1078" s="16" t="str">
        <f t="shared" si="108"/>
        <v>GENERAL</v>
      </c>
      <c r="S1078" s="17"/>
      <c r="T1078" s="10" t="str">
        <f t="shared" si="111"/>
        <v>CERTIFICACIÓN DE PUNTO DE RED, EQUIPO FLUKE.</v>
      </c>
    </row>
    <row r="1079" spans="1:20" ht="27" customHeight="1" x14ac:dyDescent="0.25">
      <c r="A1079" s="8" t="s">
        <v>2512</v>
      </c>
      <c r="B1079" s="9"/>
      <c r="C1079" s="9"/>
      <c r="D1079" s="8"/>
      <c r="E1079" s="8"/>
      <c r="F1079" s="8" t="s">
        <v>22</v>
      </c>
      <c r="G1079" s="10" t="s">
        <v>2580</v>
      </c>
      <c r="H1079" s="8" t="s">
        <v>2581</v>
      </c>
      <c r="I1079" s="10" t="s">
        <v>2580</v>
      </c>
      <c r="J1079" s="11" t="s">
        <v>33</v>
      </c>
      <c r="K1079" s="18">
        <v>3500</v>
      </c>
      <c r="L1079" s="12">
        <f t="shared" si="112"/>
        <v>5900</v>
      </c>
      <c r="M1079" s="8">
        <v>1</v>
      </c>
      <c r="N1079" s="8" t="s">
        <v>27</v>
      </c>
      <c r="O1079" s="13"/>
      <c r="P1079" s="14">
        <v>0.2</v>
      </c>
      <c r="Q1079" s="15">
        <v>0.4</v>
      </c>
      <c r="R1079" s="16" t="str">
        <f t="shared" si="108"/>
        <v>GENERAL</v>
      </c>
      <c r="S1079" s="17"/>
      <c r="T1079" s="10" t="str">
        <f t="shared" si="111"/>
        <v>TRAMO DE RIEL OMEGA DE 2 METROS</v>
      </c>
    </row>
    <row r="1080" spans="1:20" ht="27" customHeight="1" x14ac:dyDescent="0.25">
      <c r="A1080" s="8" t="s">
        <v>2512</v>
      </c>
      <c r="B1080" s="9"/>
      <c r="C1080" s="9"/>
      <c r="D1080" s="8"/>
      <c r="E1080" s="8"/>
      <c r="F1080" s="8" t="s">
        <v>22</v>
      </c>
      <c r="G1080" s="10" t="s">
        <v>2582</v>
      </c>
      <c r="H1080" s="8" t="s">
        <v>2583</v>
      </c>
      <c r="I1080" s="10" t="s">
        <v>2582</v>
      </c>
      <c r="J1080" s="11" t="s">
        <v>33</v>
      </c>
      <c r="K1080" s="18">
        <v>1400</v>
      </c>
      <c r="L1080" s="12">
        <f t="shared" si="112"/>
        <v>2000</v>
      </c>
      <c r="M1080" s="8">
        <v>1</v>
      </c>
      <c r="N1080" s="8" t="s">
        <v>27</v>
      </c>
      <c r="O1080" s="13"/>
      <c r="P1080" s="14">
        <v>0.2</v>
      </c>
      <c r="Q1080" s="15">
        <v>0.3</v>
      </c>
      <c r="R1080" s="16" t="str">
        <f t="shared" si="108"/>
        <v>GENERAL</v>
      </c>
      <c r="S1080" s="17"/>
      <c r="T1080" s="10" t="str">
        <f t="shared" si="111"/>
        <v>REGLETA DE CONEXIÓN POR 10 UNIDADES</v>
      </c>
    </row>
    <row r="1081" spans="1:20" ht="27" customHeight="1" x14ac:dyDescent="0.25">
      <c r="A1081" s="8" t="s">
        <v>2512</v>
      </c>
      <c r="B1081" s="9"/>
      <c r="C1081" s="9"/>
      <c r="D1081" s="8"/>
      <c r="E1081" s="8"/>
      <c r="F1081" s="8" t="s">
        <v>22</v>
      </c>
      <c r="G1081" s="10" t="s">
        <v>2584</v>
      </c>
      <c r="H1081" s="8" t="s">
        <v>2585</v>
      </c>
      <c r="I1081" s="10" t="s">
        <v>2584</v>
      </c>
      <c r="J1081" s="11" t="s">
        <v>33</v>
      </c>
      <c r="K1081" s="18">
        <v>10000</v>
      </c>
      <c r="L1081" s="12">
        <f t="shared" si="112"/>
        <v>14300</v>
      </c>
      <c r="M1081" s="8">
        <v>1</v>
      </c>
      <c r="N1081" s="8" t="s">
        <v>27</v>
      </c>
      <c r="O1081" s="13"/>
      <c r="P1081" s="14">
        <v>0.2</v>
      </c>
      <c r="Q1081" s="15">
        <v>0.3</v>
      </c>
      <c r="R1081" s="16" t="str">
        <f t="shared" si="108"/>
        <v>GENERAL</v>
      </c>
      <c r="S1081" s="17"/>
      <c r="T1081" s="10" t="str">
        <f t="shared" si="111"/>
        <v>UNIÓN HDMI</v>
      </c>
    </row>
    <row r="1082" spans="1:20" ht="27" customHeight="1" x14ac:dyDescent="0.25">
      <c r="A1082" s="8" t="s">
        <v>2512</v>
      </c>
      <c r="B1082" s="9"/>
      <c r="C1082" s="9"/>
      <c r="D1082" s="8"/>
      <c r="E1082" s="8"/>
      <c r="F1082" s="8" t="s">
        <v>22</v>
      </c>
      <c r="G1082" s="10" t="s">
        <v>2586</v>
      </c>
      <c r="H1082" s="8" t="s">
        <v>2587</v>
      </c>
      <c r="I1082" s="10" t="s">
        <v>2586</v>
      </c>
      <c r="J1082" s="11" t="s">
        <v>33</v>
      </c>
      <c r="K1082" s="18">
        <v>39000</v>
      </c>
      <c r="L1082" s="12">
        <f t="shared" si="112"/>
        <v>55800</v>
      </c>
      <c r="M1082" s="8">
        <v>1</v>
      </c>
      <c r="N1082" s="8" t="s">
        <v>27</v>
      </c>
      <c r="O1082" s="13"/>
      <c r="P1082" s="14">
        <v>0.2</v>
      </c>
      <c r="Q1082" s="15">
        <v>0.3</v>
      </c>
      <c r="R1082" s="16" t="str">
        <f t="shared" si="108"/>
        <v>GENERAL</v>
      </c>
      <c r="S1082" s="17"/>
      <c r="T1082" s="10" t="str">
        <f t="shared" si="111"/>
        <v>ADAPTADOR DE VOLTAJE 15VDC, 1 AMPERIO.</v>
      </c>
    </row>
    <row r="1083" spans="1:20" ht="27" customHeight="1" x14ac:dyDescent="0.25">
      <c r="A1083" s="8" t="s">
        <v>2512</v>
      </c>
      <c r="B1083" s="9"/>
      <c r="C1083" s="9"/>
      <c r="D1083" s="8"/>
      <c r="E1083" s="8"/>
      <c r="F1083" s="8" t="s">
        <v>22</v>
      </c>
      <c r="G1083" s="10" t="s">
        <v>2588</v>
      </c>
      <c r="H1083" s="8" t="s">
        <v>2589</v>
      </c>
      <c r="I1083" s="10" t="s">
        <v>2588</v>
      </c>
      <c r="J1083" s="11" t="s">
        <v>33</v>
      </c>
      <c r="K1083" s="18">
        <v>2586.17</v>
      </c>
      <c r="L1083" s="12">
        <f t="shared" si="112"/>
        <v>4400</v>
      </c>
      <c r="M1083" s="8">
        <v>1</v>
      </c>
      <c r="N1083" s="8" t="s">
        <v>27</v>
      </c>
      <c r="O1083" s="13"/>
      <c r="P1083" s="14">
        <v>0.2</v>
      </c>
      <c r="Q1083" s="15">
        <v>0.4</v>
      </c>
      <c r="R1083" s="16" t="str">
        <f t="shared" si="108"/>
        <v>GENERAL</v>
      </c>
      <c r="S1083" s="17"/>
      <c r="T1083" s="10" t="str">
        <f t="shared" si="111"/>
        <v>ACCESORIO DE SUJECIÓN DE PUESTA A TIERRA</v>
      </c>
    </row>
    <row r="1084" spans="1:20" ht="27" customHeight="1" x14ac:dyDescent="0.25">
      <c r="A1084" s="8" t="s">
        <v>2512</v>
      </c>
      <c r="B1084" s="9"/>
      <c r="C1084" s="9"/>
      <c r="D1084" s="8"/>
      <c r="E1084" s="8"/>
      <c r="F1084" s="8" t="s">
        <v>22</v>
      </c>
      <c r="G1084" s="10" t="s">
        <v>2590</v>
      </c>
      <c r="H1084" s="8" t="s">
        <v>2591</v>
      </c>
      <c r="I1084" s="10" t="s">
        <v>2590</v>
      </c>
      <c r="J1084" s="11" t="s">
        <v>33</v>
      </c>
      <c r="K1084" s="18">
        <v>12460</v>
      </c>
      <c r="L1084" s="12">
        <f t="shared" si="112"/>
        <v>20800</v>
      </c>
      <c r="M1084" s="8">
        <v>1</v>
      </c>
      <c r="N1084" s="8" t="s">
        <v>27</v>
      </c>
      <c r="O1084" s="13"/>
      <c r="P1084" s="14">
        <v>0.2</v>
      </c>
      <c r="Q1084" s="15">
        <v>0.4</v>
      </c>
      <c r="R1084" s="16" t="str">
        <f t="shared" si="108"/>
        <v>GENERAL</v>
      </c>
      <c r="S1084" s="17"/>
      <c r="T1084" s="10" t="str">
        <f t="shared" si="111"/>
        <v>CANALETA DELGADA DE 2.5 PULGADAS, 2 METROS DE LARGA.</v>
      </c>
    </row>
    <row r="1085" spans="1:20" ht="27" customHeight="1" x14ac:dyDescent="0.25">
      <c r="A1085" s="8" t="s">
        <v>2512</v>
      </c>
      <c r="B1085" s="9"/>
      <c r="C1085" s="9"/>
      <c r="D1085" s="8"/>
      <c r="E1085" s="8"/>
      <c r="F1085" s="8" t="s">
        <v>22</v>
      </c>
      <c r="G1085" s="10" t="s">
        <v>2592</v>
      </c>
      <c r="H1085" s="8" t="s">
        <v>2593</v>
      </c>
      <c r="I1085" s="10" t="s">
        <v>2592</v>
      </c>
      <c r="J1085" s="11" t="s">
        <v>33</v>
      </c>
      <c r="K1085" s="18">
        <v>55000</v>
      </c>
      <c r="L1085" s="12">
        <f t="shared" si="112"/>
        <v>78600</v>
      </c>
      <c r="M1085" s="8">
        <v>1</v>
      </c>
      <c r="N1085" s="8" t="s">
        <v>27</v>
      </c>
      <c r="O1085" s="13"/>
      <c r="P1085" s="14">
        <v>0.2</v>
      </c>
      <c r="Q1085" s="15">
        <v>0.3</v>
      </c>
      <c r="R1085" s="16" t="str">
        <f t="shared" si="108"/>
        <v>GENERAL</v>
      </c>
      <c r="S1085" s="17"/>
      <c r="T1085" s="10" t="str">
        <f t="shared" si="111"/>
        <v>DOBLA TUBO DE 3/4</v>
      </c>
    </row>
    <row r="1086" spans="1:20" ht="27" customHeight="1" x14ac:dyDescent="0.25">
      <c r="A1086" s="8" t="s">
        <v>2512</v>
      </c>
      <c r="B1086" s="9"/>
      <c r="C1086" s="9"/>
      <c r="D1086" s="8"/>
      <c r="E1086" s="8"/>
      <c r="F1086" s="8" t="s">
        <v>22</v>
      </c>
      <c r="G1086" s="10" t="s">
        <v>2594</v>
      </c>
      <c r="H1086" s="8" t="s">
        <v>2595</v>
      </c>
      <c r="I1086" s="10" t="s">
        <v>2594</v>
      </c>
      <c r="J1086" s="11" t="s">
        <v>33</v>
      </c>
      <c r="K1086" s="18">
        <v>39000</v>
      </c>
      <c r="L1086" s="12">
        <f t="shared" si="112"/>
        <v>65000</v>
      </c>
      <c r="M1086" s="8">
        <v>1</v>
      </c>
      <c r="N1086" s="8" t="s">
        <v>27</v>
      </c>
      <c r="O1086" s="13"/>
      <c r="P1086" s="14">
        <v>0.2</v>
      </c>
      <c r="Q1086" s="15">
        <v>0.4</v>
      </c>
      <c r="R1086" s="16" t="str">
        <f t="shared" si="108"/>
        <v>GENERAL</v>
      </c>
      <c r="S1086" s="17"/>
      <c r="T1086" s="10" t="str">
        <f t="shared" si="111"/>
        <v>BOTÓN NO TOUCH PARA CONTROL DE ACCESO/SALIDA.</v>
      </c>
    </row>
    <row r="1087" spans="1:20" ht="27" customHeight="1" x14ac:dyDescent="0.25">
      <c r="A1087" s="8" t="s">
        <v>2512</v>
      </c>
      <c r="B1087" s="9"/>
      <c r="C1087" s="9"/>
      <c r="D1087" s="8"/>
      <c r="E1087" s="8"/>
      <c r="F1087" s="8" t="s">
        <v>22</v>
      </c>
      <c r="G1087" s="10" t="s">
        <v>2596</v>
      </c>
      <c r="H1087" s="8" t="s">
        <v>2597</v>
      </c>
      <c r="I1087" s="10" t="s">
        <v>2596</v>
      </c>
      <c r="J1087" s="11" t="s">
        <v>33</v>
      </c>
      <c r="K1087" s="18">
        <v>11300</v>
      </c>
      <c r="L1087" s="12">
        <f t="shared" si="112"/>
        <v>18900</v>
      </c>
      <c r="M1087" s="8">
        <v>1</v>
      </c>
      <c r="N1087" s="8" t="s">
        <v>27</v>
      </c>
      <c r="O1087" s="13"/>
      <c r="P1087" s="14">
        <v>0.2</v>
      </c>
      <c r="Q1087" s="15">
        <v>0.4</v>
      </c>
      <c r="R1087" s="16" t="str">
        <f t="shared" si="108"/>
        <v>GENERAL</v>
      </c>
      <c r="S1087" s="17"/>
      <c r="T1087" s="10" t="str">
        <f t="shared" si="111"/>
        <v>MULTITOMA DE 6 SALIDAS, 15 AMPERIOS</v>
      </c>
    </row>
    <row r="1088" spans="1:20" ht="27" customHeight="1" x14ac:dyDescent="0.25">
      <c r="A1088" s="8" t="s">
        <v>2512</v>
      </c>
      <c r="B1088" s="9"/>
      <c r="C1088" s="9"/>
      <c r="D1088" s="8"/>
      <c r="E1088" s="8"/>
      <c r="F1088" s="8" t="s">
        <v>22</v>
      </c>
      <c r="G1088" s="10" t="s">
        <v>2598</v>
      </c>
      <c r="H1088" s="8" t="s">
        <v>2599</v>
      </c>
      <c r="I1088" s="10" t="s">
        <v>2598</v>
      </c>
      <c r="J1088" s="11" t="s">
        <v>33</v>
      </c>
      <c r="K1088" s="18">
        <v>6800</v>
      </c>
      <c r="L1088" s="12">
        <f t="shared" si="112"/>
        <v>9800</v>
      </c>
      <c r="M1088" s="8">
        <v>1</v>
      </c>
      <c r="N1088" s="8" t="s">
        <v>27</v>
      </c>
      <c r="O1088" s="13"/>
      <c r="P1088" s="14">
        <v>0.2</v>
      </c>
      <c r="Q1088" s="15">
        <v>0.3</v>
      </c>
      <c r="R1088" s="16" t="str">
        <f t="shared" si="108"/>
        <v>GENERAL</v>
      </c>
      <c r="S1088" s="17"/>
      <c r="T1088" s="10" t="str">
        <f t="shared" si="111"/>
        <v>PULSADOR TIPO TIMBRE BLANCO</v>
      </c>
    </row>
    <row r="1089" spans="1:20" ht="27" customHeight="1" x14ac:dyDescent="0.25">
      <c r="A1089" s="8" t="s">
        <v>2512</v>
      </c>
      <c r="B1089" s="9"/>
      <c r="C1089" s="9"/>
      <c r="D1089" s="8"/>
      <c r="E1089" s="8"/>
      <c r="F1089" s="8" t="s">
        <v>22</v>
      </c>
      <c r="G1089" s="10" t="s">
        <v>2600</v>
      </c>
      <c r="H1089" s="8" t="s">
        <v>2601</v>
      </c>
      <c r="I1089" s="10" t="s">
        <v>2600</v>
      </c>
      <c r="J1089" s="11" t="s">
        <v>33</v>
      </c>
      <c r="K1089" s="18">
        <v>6500</v>
      </c>
      <c r="L1089" s="12">
        <f t="shared" si="112"/>
        <v>9300</v>
      </c>
      <c r="M1089" s="8">
        <v>1</v>
      </c>
      <c r="N1089" s="8" t="s">
        <v>27</v>
      </c>
      <c r="O1089" s="13"/>
      <c r="P1089" s="14">
        <v>0.2</v>
      </c>
      <c r="Q1089" s="15">
        <v>0.3</v>
      </c>
      <c r="R1089" s="16" t="str">
        <f t="shared" ref="R1089:R1152" si="113">A1089</f>
        <v>GENERAL</v>
      </c>
      <c r="S1089" s="17"/>
      <c r="T1089" s="10" t="str">
        <f t="shared" si="111"/>
        <v>TOMA TELEFÓNICA RJ11</v>
      </c>
    </row>
    <row r="1090" spans="1:20" ht="27" customHeight="1" x14ac:dyDescent="0.25">
      <c r="A1090" s="8" t="s">
        <v>2512</v>
      </c>
      <c r="B1090" s="9"/>
      <c r="C1090" s="9"/>
      <c r="D1090" s="8"/>
      <c r="E1090" s="8"/>
      <c r="F1090" s="8" t="s">
        <v>22</v>
      </c>
      <c r="G1090" s="10" t="s">
        <v>2602</v>
      </c>
      <c r="H1090" s="8" t="s">
        <v>2603</v>
      </c>
      <c r="I1090" s="10" t="s">
        <v>2602</v>
      </c>
      <c r="J1090" s="11" t="s">
        <v>33</v>
      </c>
      <c r="K1090" s="18">
        <v>10900</v>
      </c>
      <c r="L1090" s="12">
        <f t="shared" si="112"/>
        <v>15600</v>
      </c>
      <c r="M1090" s="8">
        <v>1</v>
      </c>
      <c r="N1090" s="8" t="s">
        <v>27</v>
      </c>
      <c r="O1090" s="13"/>
      <c r="P1090" s="14">
        <v>0.2</v>
      </c>
      <c r="Q1090" s="15">
        <v>0.3</v>
      </c>
      <c r="R1090" s="16" t="str">
        <f t="shared" si="113"/>
        <v>GENERAL</v>
      </c>
      <c r="S1090" s="17"/>
      <c r="T1090" s="10" t="str">
        <f t="shared" si="111"/>
        <v>PLACA DOBLE</v>
      </c>
    </row>
    <row r="1091" spans="1:20" ht="27" customHeight="1" x14ac:dyDescent="0.25">
      <c r="A1091" s="8" t="s">
        <v>2512</v>
      </c>
      <c r="B1091" s="9"/>
      <c r="C1091" s="9"/>
      <c r="D1091" s="8"/>
      <c r="E1091" s="8"/>
      <c r="F1091" s="8" t="s">
        <v>22</v>
      </c>
      <c r="G1091" s="10" t="s">
        <v>2604</v>
      </c>
      <c r="H1091" s="8" t="s">
        <v>2605</v>
      </c>
      <c r="I1091" s="10" t="s">
        <v>2604</v>
      </c>
      <c r="J1091" s="11" t="s">
        <v>33</v>
      </c>
      <c r="K1091" s="18">
        <f>24000/3</f>
        <v>8000</v>
      </c>
      <c r="L1091" s="12">
        <f t="shared" si="112"/>
        <v>11500</v>
      </c>
      <c r="M1091" s="8">
        <v>1</v>
      </c>
      <c r="N1091" s="8" t="s">
        <v>27</v>
      </c>
      <c r="O1091" s="13"/>
      <c r="P1091" s="14">
        <v>0.2</v>
      </c>
      <c r="Q1091" s="15">
        <v>0.3</v>
      </c>
      <c r="R1091" s="16" t="str">
        <f t="shared" si="113"/>
        <v>GENERAL</v>
      </c>
      <c r="S1091" s="17"/>
      <c r="T1091" s="10" t="str">
        <f t="shared" si="111"/>
        <v>CABLE RCA DE 5 METROS</v>
      </c>
    </row>
    <row r="1092" spans="1:20" ht="27" customHeight="1" x14ac:dyDescent="0.25">
      <c r="A1092" s="8" t="s">
        <v>2512</v>
      </c>
      <c r="B1092" s="9"/>
      <c r="C1092" s="9"/>
      <c r="D1092" s="8"/>
      <c r="E1092" s="8"/>
      <c r="F1092" s="8" t="s">
        <v>22</v>
      </c>
      <c r="G1092" s="10" t="s">
        <v>2606</v>
      </c>
      <c r="H1092" s="8" t="s">
        <v>2607</v>
      </c>
      <c r="I1092" s="10" t="s">
        <v>2606</v>
      </c>
      <c r="J1092" s="11" t="s">
        <v>33</v>
      </c>
      <c r="K1092" s="18">
        <v>28000</v>
      </c>
      <c r="L1092" s="12">
        <f t="shared" si="112"/>
        <v>40000</v>
      </c>
      <c r="M1092" s="8">
        <v>1</v>
      </c>
      <c r="N1092" s="8" t="s">
        <v>27</v>
      </c>
      <c r="O1092" s="13"/>
      <c r="P1092" s="14">
        <v>0.2</v>
      </c>
      <c r="Q1092" s="15">
        <v>0.3</v>
      </c>
      <c r="R1092" s="16" t="str">
        <f t="shared" si="113"/>
        <v>GENERAL</v>
      </c>
      <c r="S1092" s="17"/>
      <c r="T1092" s="10" t="str">
        <f t="shared" si="111"/>
        <v>ADAPTADOR 15 VDC 2 AMPERIOS</v>
      </c>
    </row>
    <row r="1093" spans="1:20" ht="27" customHeight="1" x14ac:dyDescent="0.25">
      <c r="A1093" s="8" t="s">
        <v>2512</v>
      </c>
      <c r="B1093" s="9"/>
      <c r="C1093" s="9"/>
      <c r="D1093" s="8"/>
      <c r="E1093" s="8"/>
      <c r="F1093" s="8" t="s">
        <v>22</v>
      </c>
      <c r="G1093" s="10" t="s">
        <v>2608</v>
      </c>
      <c r="H1093" s="8" t="s">
        <v>2609</v>
      </c>
      <c r="I1093" s="10" t="s">
        <v>2608</v>
      </c>
      <c r="J1093" s="11" t="s">
        <v>33</v>
      </c>
      <c r="K1093" s="18">
        <v>15000</v>
      </c>
      <c r="L1093" s="12">
        <f t="shared" si="112"/>
        <v>21500</v>
      </c>
      <c r="M1093" s="8">
        <v>1</v>
      </c>
      <c r="N1093" s="8" t="s">
        <v>27</v>
      </c>
      <c r="O1093" s="13"/>
      <c r="P1093" s="14">
        <v>0.2</v>
      </c>
      <c r="Q1093" s="15">
        <v>0.3</v>
      </c>
      <c r="R1093" s="16" t="str">
        <f t="shared" si="113"/>
        <v>GENERAL</v>
      </c>
      <c r="S1093" s="17"/>
      <c r="T1093" s="10" t="str">
        <f t="shared" si="111"/>
        <v>CAJA DE PASO DE 30Cm X 20Cm X 10Cm.</v>
      </c>
    </row>
    <row r="1094" spans="1:20" ht="27" customHeight="1" x14ac:dyDescent="0.25">
      <c r="A1094" s="8" t="s">
        <v>2512</v>
      </c>
      <c r="B1094" s="9"/>
      <c r="C1094" s="9"/>
      <c r="D1094" s="8"/>
      <c r="E1094" s="8"/>
      <c r="F1094" s="8" t="s">
        <v>22</v>
      </c>
      <c r="G1094" s="10" t="s">
        <v>2610</v>
      </c>
      <c r="H1094" s="8" t="s">
        <v>2611</v>
      </c>
      <c r="I1094" s="10" t="s">
        <v>2610</v>
      </c>
      <c r="J1094" s="11" t="s">
        <v>697</v>
      </c>
      <c r="K1094" s="18">
        <v>25000</v>
      </c>
      <c r="L1094" s="12">
        <f t="shared" si="112"/>
        <v>35800</v>
      </c>
      <c r="M1094" s="8">
        <v>1</v>
      </c>
      <c r="N1094" s="8" t="s">
        <v>27</v>
      </c>
      <c r="O1094" s="13"/>
      <c r="P1094" s="14">
        <v>0.2</v>
      </c>
      <c r="Q1094" s="15">
        <v>0.3</v>
      </c>
      <c r="R1094" s="16" t="str">
        <f t="shared" si="113"/>
        <v>GENERAL</v>
      </c>
      <c r="S1094" s="17"/>
      <c r="T1094" s="10" t="str">
        <f t="shared" si="111"/>
        <v>RELEVO 16 AMPERIOS 8 PINES</v>
      </c>
    </row>
    <row r="1095" spans="1:20" ht="27" customHeight="1" x14ac:dyDescent="0.25">
      <c r="A1095" s="8" t="s">
        <v>2512</v>
      </c>
      <c r="B1095" s="9"/>
      <c r="C1095" s="9"/>
      <c r="D1095" s="8"/>
      <c r="E1095" s="8"/>
      <c r="F1095" s="8" t="s">
        <v>22</v>
      </c>
      <c r="G1095" s="10" t="s">
        <v>2538</v>
      </c>
      <c r="H1095" s="8" t="s">
        <v>2612</v>
      </c>
      <c r="I1095" s="10" t="s">
        <v>2538</v>
      </c>
      <c r="J1095" s="11" t="s">
        <v>33</v>
      </c>
      <c r="K1095" s="18">
        <v>380</v>
      </c>
      <c r="L1095" s="12">
        <f t="shared" si="112"/>
        <v>600</v>
      </c>
      <c r="M1095" s="8">
        <v>1</v>
      </c>
      <c r="N1095" s="8" t="s">
        <v>27</v>
      </c>
      <c r="O1095" s="13"/>
      <c r="P1095" s="14">
        <v>0.2</v>
      </c>
      <c r="Q1095" s="15">
        <v>0.3</v>
      </c>
      <c r="R1095" s="16" t="str">
        <f t="shared" si="113"/>
        <v>GENERAL</v>
      </c>
      <c r="S1095" s="17"/>
      <c r="T1095" s="10" t="str">
        <f t="shared" si="111"/>
        <v>CONECTOR ROSCADO AMARILLO</v>
      </c>
    </row>
    <row r="1096" spans="1:20" ht="27" customHeight="1" x14ac:dyDescent="0.25">
      <c r="A1096" s="8" t="s">
        <v>2512</v>
      </c>
      <c r="B1096" s="9"/>
      <c r="C1096" s="9"/>
      <c r="D1096" s="8"/>
      <c r="E1096" s="8"/>
      <c r="F1096" s="8" t="s">
        <v>22</v>
      </c>
      <c r="G1096" s="10" t="s">
        <v>2613</v>
      </c>
      <c r="H1096" s="8" t="s">
        <v>2614</v>
      </c>
      <c r="I1096" s="10" t="s">
        <v>2613</v>
      </c>
      <c r="J1096" s="11" t="s">
        <v>26</v>
      </c>
      <c r="K1096" s="18">
        <v>6400</v>
      </c>
      <c r="L1096" s="12">
        <f t="shared" si="112"/>
        <v>9600</v>
      </c>
      <c r="M1096" s="8">
        <v>1</v>
      </c>
      <c r="N1096" s="8" t="s">
        <v>27</v>
      </c>
      <c r="O1096" s="13"/>
      <c r="P1096" s="14">
        <v>0.2</v>
      </c>
      <c r="Q1096" s="15">
        <v>0.2</v>
      </c>
      <c r="R1096" s="16" t="str">
        <f t="shared" si="113"/>
        <v>GENERAL</v>
      </c>
      <c r="S1096" s="17"/>
      <c r="T1096" s="10" t="str">
        <f t="shared" si="111"/>
        <v>BARRERA DE ENTRADA DE DOS LÍNEAS, CON ABATIBLE EN CRISTAL</v>
      </c>
    </row>
    <row r="1097" spans="1:20" ht="27" customHeight="1" x14ac:dyDescent="0.25">
      <c r="A1097" s="8" t="s">
        <v>2512</v>
      </c>
      <c r="B1097" s="9"/>
      <c r="C1097" s="9"/>
      <c r="D1097" s="8"/>
      <c r="E1097" s="8"/>
      <c r="F1097" s="8" t="s">
        <v>22</v>
      </c>
      <c r="G1097" s="10" t="s">
        <v>2615</v>
      </c>
      <c r="H1097" s="8" t="s">
        <v>2616</v>
      </c>
      <c r="I1097" s="10" t="s">
        <v>2615</v>
      </c>
      <c r="J1097" s="11" t="s">
        <v>33</v>
      </c>
      <c r="K1097" s="18">
        <v>750000</v>
      </c>
      <c r="L1097" s="12">
        <f t="shared" si="112"/>
        <v>1071500</v>
      </c>
      <c r="M1097" s="8">
        <v>1</v>
      </c>
      <c r="N1097" s="8" t="s">
        <v>27</v>
      </c>
      <c r="O1097" s="13"/>
      <c r="P1097" s="14">
        <v>0.2</v>
      </c>
      <c r="Q1097" s="15">
        <v>0.3</v>
      </c>
      <c r="R1097" s="16" t="str">
        <f t="shared" si="113"/>
        <v>GENERAL</v>
      </c>
      <c r="S1097" s="17"/>
      <c r="T1097" s="10" t="str">
        <f t="shared" si="111"/>
        <v>ROLLO DE 305 METROS DE CABLE AWG 14 LIBRE DE OXIGENO PARA PARLANTE.</v>
      </c>
    </row>
    <row r="1098" spans="1:20" ht="27" customHeight="1" x14ac:dyDescent="0.25">
      <c r="A1098" s="8" t="s">
        <v>2512</v>
      </c>
      <c r="B1098" s="9"/>
      <c r="C1098" s="9"/>
      <c r="D1098" s="8"/>
      <c r="E1098" s="8"/>
      <c r="F1098" s="8" t="s">
        <v>22</v>
      </c>
      <c r="G1098" s="10" t="s">
        <v>2617</v>
      </c>
      <c r="H1098" s="8" t="s">
        <v>2618</v>
      </c>
      <c r="I1098" s="10" t="s">
        <v>2617</v>
      </c>
      <c r="J1098" s="11" t="s">
        <v>33</v>
      </c>
      <c r="K1098" s="18">
        <v>77000</v>
      </c>
      <c r="L1098" s="12">
        <f t="shared" si="112"/>
        <v>110000</v>
      </c>
      <c r="M1098" s="8">
        <v>1</v>
      </c>
      <c r="N1098" s="8" t="s">
        <v>27</v>
      </c>
      <c r="O1098" s="13"/>
      <c r="P1098" s="14">
        <v>0.2</v>
      </c>
      <c r="Q1098" s="15">
        <v>0.3</v>
      </c>
      <c r="R1098" s="16" t="str">
        <f t="shared" si="113"/>
        <v>GENERAL</v>
      </c>
      <c r="S1098" s="17"/>
      <c r="T1098" s="10" t="str">
        <f t="shared" si="111"/>
        <v>FUENTE DE ALIMENTACIÓN 12V 30 AMPERIOS.</v>
      </c>
    </row>
    <row r="1099" spans="1:20" ht="27" customHeight="1" x14ac:dyDescent="0.25">
      <c r="A1099" s="8" t="s">
        <v>2512</v>
      </c>
      <c r="B1099" s="9"/>
      <c r="C1099" s="9"/>
      <c r="D1099" s="8"/>
      <c r="E1099" s="8"/>
      <c r="F1099" s="8" t="s">
        <v>22</v>
      </c>
      <c r="G1099" s="10" t="s">
        <v>2619</v>
      </c>
      <c r="H1099" s="8" t="s">
        <v>2620</v>
      </c>
      <c r="I1099" s="10" t="s">
        <v>2619</v>
      </c>
      <c r="J1099" s="11" t="s">
        <v>33</v>
      </c>
      <c r="K1099" s="18">
        <v>25000</v>
      </c>
      <c r="L1099" s="12">
        <f t="shared" si="112"/>
        <v>41700</v>
      </c>
      <c r="M1099" s="8">
        <v>1</v>
      </c>
      <c r="N1099" s="8" t="s">
        <v>27</v>
      </c>
      <c r="O1099" s="13"/>
      <c r="P1099" s="14">
        <v>0.2</v>
      </c>
      <c r="Q1099" s="15">
        <v>0.4</v>
      </c>
      <c r="R1099" s="16" t="str">
        <f t="shared" si="113"/>
        <v>GENERAL</v>
      </c>
      <c r="S1099" s="17"/>
      <c r="T1099" s="10" t="str">
        <f t="shared" si="111"/>
        <v>SENSOR DE PRESENCIA CON ALCANCE DE 6 METROS.</v>
      </c>
    </row>
    <row r="1100" spans="1:20" ht="27" customHeight="1" x14ac:dyDescent="0.25">
      <c r="A1100" s="8" t="s">
        <v>2512</v>
      </c>
      <c r="B1100" s="9"/>
      <c r="C1100" s="9"/>
      <c r="D1100" s="8"/>
      <c r="E1100" s="8"/>
      <c r="F1100" s="8" t="s">
        <v>22</v>
      </c>
      <c r="G1100" s="10" t="s">
        <v>2621</v>
      </c>
      <c r="H1100" s="8" t="s">
        <v>2622</v>
      </c>
      <c r="I1100" s="10" t="s">
        <v>2621</v>
      </c>
      <c r="J1100" s="11" t="s">
        <v>33</v>
      </c>
      <c r="K1100" s="18">
        <v>70000</v>
      </c>
      <c r="L1100" s="12">
        <f t="shared" si="112"/>
        <v>116700</v>
      </c>
      <c r="M1100" s="8">
        <v>1</v>
      </c>
      <c r="N1100" s="8" t="s">
        <v>27</v>
      </c>
      <c r="O1100" s="13"/>
      <c r="P1100" s="14">
        <v>0.2</v>
      </c>
      <c r="Q1100" s="15">
        <v>0.4</v>
      </c>
      <c r="R1100" s="16" t="str">
        <f t="shared" si="113"/>
        <v>GENERAL</v>
      </c>
      <c r="S1100" s="17"/>
      <c r="T1100" s="10" t="str">
        <f t="shared" si="111"/>
        <v>TIMER PROGRAMABLE 1 AMPERIO</v>
      </c>
    </row>
    <row r="1101" spans="1:20" ht="27" customHeight="1" x14ac:dyDescent="0.25">
      <c r="A1101" s="8" t="s">
        <v>2512</v>
      </c>
      <c r="B1101" s="9"/>
      <c r="C1101" s="9"/>
      <c r="D1101" s="8"/>
      <c r="E1101" s="8"/>
      <c r="F1101" s="8" t="s">
        <v>22</v>
      </c>
      <c r="G1101" s="10" t="s">
        <v>2623</v>
      </c>
      <c r="H1101" s="8" t="s">
        <v>2624</v>
      </c>
      <c r="I1101" s="10" t="s">
        <v>2623</v>
      </c>
      <c r="J1101" s="11" t="s">
        <v>33</v>
      </c>
      <c r="K1101" s="18">
        <v>4000</v>
      </c>
      <c r="L1101" s="12">
        <f t="shared" si="112"/>
        <v>5800</v>
      </c>
      <c r="M1101" s="8">
        <v>1</v>
      </c>
      <c r="N1101" s="8" t="s">
        <v>27</v>
      </c>
      <c r="O1101" s="13"/>
      <c r="P1101" s="14">
        <v>0.2</v>
      </c>
      <c r="Q1101" s="15">
        <v>0.3</v>
      </c>
      <c r="R1101" s="16" t="str">
        <f t="shared" si="113"/>
        <v>GENERAL</v>
      </c>
      <c r="S1101" s="17"/>
      <c r="T1101" s="10" t="str">
        <f t="shared" si="111"/>
        <v>PILA 5V</v>
      </c>
    </row>
    <row r="1102" spans="1:20" ht="27" customHeight="1" x14ac:dyDescent="0.25">
      <c r="A1102" s="8" t="s">
        <v>2512</v>
      </c>
      <c r="B1102" s="9" t="s">
        <v>683</v>
      </c>
      <c r="C1102" s="9"/>
      <c r="D1102" s="8" t="s">
        <v>28</v>
      </c>
      <c r="E1102" s="8"/>
      <c r="F1102" s="8" t="s">
        <v>22</v>
      </c>
      <c r="G1102" s="10" t="s">
        <v>2625</v>
      </c>
      <c r="H1102" s="8" t="s">
        <v>2626</v>
      </c>
      <c r="I1102" s="10" t="s">
        <v>2625</v>
      </c>
      <c r="J1102" s="11" t="s">
        <v>33</v>
      </c>
      <c r="K1102" s="18">
        <v>32000</v>
      </c>
      <c r="L1102" s="12">
        <f t="shared" si="112"/>
        <v>45800</v>
      </c>
      <c r="M1102" s="8">
        <v>1</v>
      </c>
      <c r="N1102" s="8" t="s">
        <v>27</v>
      </c>
      <c r="O1102" s="13"/>
      <c r="P1102" s="14">
        <v>0.2</v>
      </c>
      <c r="Q1102" s="15">
        <v>0.3</v>
      </c>
      <c r="R1102" s="16" t="str">
        <f t="shared" si="113"/>
        <v>GENERAL</v>
      </c>
      <c r="S1102" s="17"/>
      <c r="T1102" s="10" t="str">
        <f t="shared" si="111"/>
        <v>CABLE VGA DE 10 METROS</v>
      </c>
    </row>
    <row r="1103" spans="1:20" ht="27" customHeight="1" x14ac:dyDescent="0.25">
      <c r="A1103" s="8" t="s">
        <v>2512</v>
      </c>
      <c r="B1103" s="9"/>
      <c r="C1103" s="9"/>
      <c r="D1103" s="8"/>
      <c r="E1103" s="8"/>
      <c r="F1103" s="8" t="s">
        <v>22</v>
      </c>
      <c r="G1103" s="10" t="s">
        <v>2627</v>
      </c>
      <c r="H1103" s="8" t="s">
        <v>2628</v>
      </c>
      <c r="I1103" s="10" t="s">
        <v>2627</v>
      </c>
      <c r="J1103" s="11" t="s">
        <v>33</v>
      </c>
      <c r="K1103" s="18">
        <v>5041.969696969697</v>
      </c>
      <c r="L1103" s="12">
        <f t="shared" si="112"/>
        <v>8500</v>
      </c>
      <c r="M1103" s="8">
        <v>1</v>
      </c>
      <c r="N1103" s="8" t="s">
        <v>27</v>
      </c>
      <c r="O1103" s="13"/>
      <c r="P1103" s="14">
        <v>0.2</v>
      </c>
      <c r="Q1103" s="15">
        <v>0.4</v>
      </c>
      <c r="R1103" s="16" t="str">
        <f t="shared" si="113"/>
        <v>GENERAL</v>
      </c>
      <c r="S1103" s="17"/>
      <c r="T1103" s="10" t="str">
        <f t="shared" si="111"/>
        <v>FACE PLATE PARA 3 MÓDULOS</v>
      </c>
    </row>
    <row r="1104" spans="1:20" ht="27" customHeight="1" x14ac:dyDescent="0.25">
      <c r="A1104" s="8" t="s">
        <v>2512</v>
      </c>
      <c r="B1104" s="9"/>
      <c r="C1104" s="9"/>
      <c r="D1104" s="8"/>
      <c r="E1104" s="8"/>
      <c r="F1104" s="8" t="s">
        <v>22</v>
      </c>
      <c r="G1104" s="10" t="s">
        <v>2629</v>
      </c>
      <c r="H1104" s="8" t="s">
        <v>2630</v>
      </c>
      <c r="I1104" s="10" t="s">
        <v>2629</v>
      </c>
      <c r="J1104" s="11" t="s">
        <v>33</v>
      </c>
      <c r="K1104" s="18">
        <v>20000</v>
      </c>
      <c r="L1104" s="12">
        <f t="shared" si="112"/>
        <v>33400</v>
      </c>
      <c r="M1104" s="8">
        <v>1</v>
      </c>
      <c r="N1104" s="8" t="s">
        <v>27</v>
      </c>
      <c r="O1104" s="13"/>
      <c r="P1104" s="14">
        <v>0.2</v>
      </c>
      <c r="Q1104" s="15">
        <v>0.4</v>
      </c>
      <c r="R1104" s="16" t="str">
        <f t="shared" si="113"/>
        <v>GENERAL</v>
      </c>
      <c r="S1104" s="17"/>
      <c r="T1104" s="10" t="str">
        <f t="shared" si="111"/>
        <v>MODULO HDMI</v>
      </c>
    </row>
    <row r="1105" spans="1:20" ht="27" customHeight="1" x14ac:dyDescent="0.25">
      <c r="A1105" s="8" t="s">
        <v>2512</v>
      </c>
      <c r="B1105" s="9"/>
      <c r="C1105" s="9"/>
      <c r="D1105" s="8"/>
      <c r="E1105" s="8"/>
      <c r="F1105" s="8" t="s">
        <v>22</v>
      </c>
      <c r="G1105" s="10" t="s">
        <v>2631</v>
      </c>
      <c r="H1105" s="8" t="s">
        <v>2632</v>
      </c>
      <c r="I1105" s="10" t="s">
        <v>2631</v>
      </c>
      <c r="J1105" s="11" t="s">
        <v>33</v>
      </c>
      <c r="K1105" s="18">
        <f>K1104*0.9</f>
        <v>18000</v>
      </c>
      <c r="L1105" s="12">
        <f t="shared" si="112"/>
        <v>30000</v>
      </c>
      <c r="M1105" s="8">
        <v>1</v>
      </c>
      <c r="N1105" s="8" t="s">
        <v>27</v>
      </c>
      <c r="O1105" s="13"/>
      <c r="P1105" s="14">
        <v>0.2</v>
      </c>
      <c r="Q1105" s="15">
        <v>0.4</v>
      </c>
      <c r="R1105" s="16" t="str">
        <f t="shared" si="113"/>
        <v>GENERAL</v>
      </c>
      <c r="S1105" s="17"/>
      <c r="T1105" s="10" t="str">
        <f t="shared" si="111"/>
        <v>MODULO VGA</v>
      </c>
    </row>
    <row r="1106" spans="1:20" ht="27" customHeight="1" x14ac:dyDescent="0.25">
      <c r="A1106" s="8" t="s">
        <v>2512</v>
      </c>
      <c r="B1106" s="9"/>
      <c r="C1106" s="9"/>
      <c r="D1106" s="8"/>
      <c r="E1106" s="8"/>
      <c r="F1106" s="8" t="s">
        <v>22</v>
      </c>
      <c r="G1106" s="10" t="s">
        <v>2633</v>
      </c>
      <c r="H1106" s="8" t="s">
        <v>2634</v>
      </c>
      <c r="I1106" s="10" t="s">
        <v>2633</v>
      </c>
      <c r="J1106" s="11" t="s">
        <v>33</v>
      </c>
      <c r="K1106" s="18">
        <f>K1104*0.9</f>
        <v>18000</v>
      </c>
      <c r="L1106" s="12">
        <f t="shared" si="112"/>
        <v>30000</v>
      </c>
      <c r="M1106" s="8">
        <v>1</v>
      </c>
      <c r="N1106" s="8" t="s">
        <v>27</v>
      </c>
      <c r="O1106" s="13"/>
      <c r="P1106" s="14">
        <v>0.2</v>
      </c>
      <c r="Q1106" s="15">
        <v>0.4</v>
      </c>
      <c r="R1106" s="16" t="str">
        <f t="shared" si="113"/>
        <v>GENERAL</v>
      </c>
      <c r="S1106" s="17"/>
      <c r="T1106" s="10" t="str">
        <f t="shared" si="111"/>
        <v>MODULO DE AUDIO</v>
      </c>
    </row>
    <row r="1107" spans="1:20" ht="27" customHeight="1" x14ac:dyDescent="0.25">
      <c r="A1107" s="8" t="s">
        <v>2512</v>
      </c>
      <c r="B1107" s="9"/>
      <c r="C1107" s="9"/>
      <c r="D1107" s="8"/>
      <c r="E1107" s="8"/>
      <c r="F1107" s="8" t="s">
        <v>22</v>
      </c>
      <c r="G1107" s="10" t="s">
        <v>2635</v>
      </c>
      <c r="H1107" s="8" t="s">
        <v>2612</v>
      </c>
      <c r="I1107" s="10" t="s">
        <v>2635</v>
      </c>
      <c r="J1107" s="11" t="s">
        <v>33</v>
      </c>
      <c r="K1107" s="18">
        <v>1000</v>
      </c>
      <c r="L1107" s="12">
        <f t="shared" si="112"/>
        <v>1500</v>
      </c>
      <c r="M1107" s="8">
        <v>1</v>
      </c>
      <c r="N1107" s="8" t="s">
        <v>27</v>
      </c>
      <c r="O1107" s="13"/>
      <c r="P1107" s="14">
        <v>0.2</v>
      </c>
      <c r="Q1107" s="15">
        <v>0.3</v>
      </c>
      <c r="R1107" s="16" t="str">
        <f t="shared" si="113"/>
        <v>GENERAL</v>
      </c>
      <c r="S1107" s="17"/>
      <c r="T1107" s="10" t="str">
        <f t="shared" si="111"/>
        <v>CONECTOR ROSCADO GRIS</v>
      </c>
    </row>
    <row r="1108" spans="1:20" ht="27" customHeight="1" x14ac:dyDescent="0.25">
      <c r="A1108" s="8" t="s">
        <v>2512</v>
      </c>
      <c r="B1108" s="9"/>
      <c r="C1108" s="9"/>
      <c r="D1108" s="8"/>
      <c r="E1108" s="8"/>
      <c r="F1108" s="8" t="s">
        <v>22</v>
      </c>
      <c r="G1108" s="10" t="s">
        <v>2636</v>
      </c>
      <c r="H1108" s="8" t="s">
        <v>2637</v>
      </c>
      <c r="I1108" s="10" t="s">
        <v>2636</v>
      </c>
      <c r="J1108" s="11" t="s">
        <v>33</v>
      </c>
      <c r="K1108" s="18">
        <v>1890</v>
      </c>
      <c r="L1108" s="12">
        <f t="shared" si="112"/>
        <v>3200</v>
      </c>
      <c r="M1108" s="8">
        <v>1</v>
      </c>
      <c r="N1108" s="8" t="s">
        <v>27</v>
      </c>
      <c r="O1108" s="13"/>
      <c r="P1108" s="14">
        <v>0.2</v>
      </c>
      <c r="Q1108" s="15">
        <v>0.4</v>
      </c>
      <c r="R1108" s="16" t="str">
        <f t="shared" si="113"/>
        <v>GENERAL</v>
      </c>
      <c r="S1108" s="17"/>
      <c r="T1108" s="10" t="str">
        <f t="shared" si="111"/>
        <v>TERMINAL ESTAÑADA AWG1/0</v>
      </c>
    </row>
    <row r="1109" spans="1:20" ht="27" customHeight="1" x14ac:dyDescent="0.25">
      <c r="A1109" s="8" t="s">
        <v>2512</v>
      </c>
      <c r="B1109" s="9"/>
      <c r="C1109" s="9"/>
      <c r="D1109" s="8"/>
      <c r="E1109" s="8"/>
      <c r="F1109" s="8" t="s">
        <v>22</v>
      </c>
      <c r="G1109" s="10" t="s">
        <v>2638</v>
      </c>
      <c r="H1109" s="8" t="s">
        <v>2639</v>
      </c>
      <c r="I1109" s="10" t="s">
        <v>2638</v>
      </c>
      <c r="J1109" s="11" t="s">
        <v>33</v>
      </c>
      <c r="K1109" s="18">
        <v>32000</v>
      </c>
      <c r="L1109" s="12">
        <f t="shared" si="112"/>
        <v>53400</v>
      </c>
      <c r="M1109" s="8">
        <v>1</v>
      </c>
      <c r="N1109" s="8" t="s">
        <v>27</v>
      </c>
      <c r="O1109" s="13"/>
      <c r="P1109" s="14">
        <v>0.2</v>
      </c>
      <c r="Q1109" s="15">
        <v>0.4</v>
      </c>
      <c r="R1109" s="16" t="str">
        <f t="shared" si="113"/>
        <v>GENERAL</v>
      </c>
      <c r="S1109" s="17"/>
      <c r="T1109" s="10" t="str">
        <f t="shared" si="111"/>
        <v>BATERÍA 12 VOLTIOS</v>
      </c>
    </row>
    <row r="1110" spans="1:20" ht="27" customHeight="1" x14ac:dyDescent="0.25">
      <c r="A1110" s="8" t="s">
        <v>2512</v>
      </c>
      <c r="B1110" s="9"/>
      <c r="C1110" s="9"/>
      <c r="D1110" s="8"/>
      <c r="E1110" s="8"/>
      <c r="F1110" s="8" t="s">
        <v>22</v>
      </c>
      <c r="G1110" s="10" t="s">
        <v>2640</v>
      </c>
      <c r="H1110" s="8" t="s">
        <v>2641</v>
      </c>
      <c r="I1110" s="10" t="s">
        <v>2640</v>
      </c>
      <c r="J1110" s="11" t="s">
        <v>33</v>
      </c>
      <c r="K1110" s="18">
        <v>26000</v>
      </c>
      <c r="L1110" s="12">
        <f t="shared" si="112"/>
        <v>43400</v>
      </c>
      <c r="M1110" s="8">
        <v>1</v>
      </c>
      <c r="N1110" s="8" t="s">
        <v>27</v>
      </c>
      <c r="O1110" s="13"/>
      <c r="P1110" s="14">
        <v>0.2</v>
      </c>
      <c r="Q1110" s="15">
        <v>0.4</v>
      </c>
      <c r="R1110" s="16" t="str">
        <f t="shared" si="113"/>
        <v>GENERAL</v>
      </c>
      <c r="S1110" s="17"/>
      <c r="T1110" s="10" t="str">
        <f t="shared" si="111"/>
        <v>SIRENA TIPO CORNETA DE 50 VATIOS.</v>
      </c>
    </row>
    <row r="1111" spans="1:20" ht="27" customHeight="1" x14ac:dyDescent="0.25">
      <c r="A1111" s="8" t="s">
        <v>2512</v>
      </c>
      <c r="B1111" s="9"/>
      <c r="C1111" s="9"/>
      <c r="D1111" s="8"/>
      <c r="E1111" s="8"/>
      <c r="F1111" s="8" t="s">
        <v>22</v>
      </c>
      <c r="G1111" s="10" t="s">
        <v>2642</v>
      </c>
      <c r="H1111" s="8" t="s">
        <v>2643</v>
      </c>
      <c r="I1111" s="10" t="s">
        <v>2642</v>
      </c>
      <c r="J1111" s="11" t="s">
        <v>33</v>
      </c>
      <c r="K1111" s="18">
        <v>9500</v>
      </c>
      <c r="L1111" s="12">
        <f t="shared" si="112"/>
        <v>13600</v>
      </c>
      <c r="M1111" s="8">
        <v>1</v>
      </c>
      <c r="N1111" s="8" t="s">
        <v>27</v>
      </c>
      <c r="O1111" s="13"/>
      <c r="P1111" s="14">
        <v>0</v>
      </c>
      <c r="Q1111" s="15">
        <v>0.3</v>
      </c>
      <c r="R1111" s="16" t="str">
        <f t="shared" si="113"/>
        <v>GENERAL</v>
      </c>
      <c r="S1111" s="17"/>
      <c r="T1111" s="10" t="str">
        <f t="shared" si="111"/>
        <v>CAJA PLÁSTICA HERMÉTICA</v>
      </c>
    </row>
    <row r="1112" spans="1:20" ht="27" customHeight="1" x14ac:dyDescent="0.25">
      <c r="A1112" s="8" t="s">
        <v>2512</v>
      </c>
      <c r="B1112" s="9"/>
      <c r="C1112" s="9"/>
      <c r="D1112" s="8"/>
      <c r="E1112" s="8"/>
      <c r="F1112" s="8" t="s">
        <v>22</v>
      </c>
      <c r="G1112" s="10" t="s">
        <v>2644</v>
      </c>
      <c r="H1112" s="8" t="s">
        <v>2645</v>
      </c>
      <c r="I1112" s="10" t="s">
        <v>2644</v>
      </c>
      <c r="J1112" s="11" t="s">
        <v>33</v>
      </c>
      <c r="K1112" s="18">
        <v>1050</v>
      </c>
      <c r="L1112" s="12">
        <f t="shared" si="112"/>
        <v>1500</v>
      </c>
      <c r="M1112" s="8">
        <v>1</v>
      </c>
      <c r="N1112" s="8" t="s">
        <v>27</v>
      </c>
      <c r="O1112" s="13"/>
      <c r="P1112" s="14">
        <v>0.2</v>
      </c>
      <c r="Q1112" s="15">
        <v>0.3</v>
      </c>
      <c r="R1112" s="16" t="str">
        <f t="shared" si="113"/>
        <v>GENERAL</v>
      </c>
      <c r="S1112" s="17"/>
      <c r="T1112" s="10" t="str">
        <f t="shared" ref="T1112:T1175" si="114">G1112</f>
        <v>CONECTOR DE PRESIÓN PARA 6 CABLES AWG 12</v>
      </c>
    </row>
    <row r="1113" spans="1:20" ht="27" customHeight="1" x14ac:dyDescent="0.25">
      <c r="A1113" s="8" t="s">
        <v>2512</v>
      </c>
      <c r="B1113" s="9"/>
      <c r="C1113" s="9"/>
      <c r="D1113" s="8"/>
      <c r="E1113" s="8"/>
      <c r="F1113" s="8" t="s">
        <v>22</v>
      </c>
      <c r="G1113" s="10" t="s">
        <v>2646</v>
      </c>
      <c r="H1113" s="8" t="s">
        <v>2647</v>
      </c>
      <c r="I1113" s="10" t="s">
        <v>2646</v>
      </c>
      <c r="J1113" s="11" t="s">
        <v>33</v>
      </c>
      <c r="K1113" s="18">
        <v>630</v>
      </c>
      <c r="L1113" s="12">
        <f t="shared" si="112"/>
        <v>900</v>
      </c>
      <c r="M1113" s="8">
        <v>1</v>
      </c>
      <c r="N1113" s="8" t="s">
        <v>27</v>
      </c>
      <c r="O1113" s="13"/>
      <c r="P1113" s="14">
        <v>0.2</v>
      </c>
      <c r="Q1113" s="15">
        <v>0.3</v>
      </c>
      <c r="R1113" s="16" t="str">
        <f t="shared" si="113"/>
        <v>GENERAL</v>
      </c>
      <c r="S1113" s="17"/>
      <c r="T1113" s="10" t="str">
        <f t="shared" si="114"/>
        <v>CONEXIÓN DE PRESIÓN PARA 4 CABLES AWG12</v>
      </c>
    </row>
    <row r="1114" spans="1:20" ht="27" customHeight="1" x14ac:dyDescent="0.25">
      <c r="A1114" s="8" t="s">
        <v>2512</v>
      </c>
      <c r="B1114" s="9"/>
      <c r="C1114" s="9"/>
      <c r="D1114" s="8"/>
      <c r="E1114" s="8"/>
      <c r="F1114" s="8" t="s">
        <v>22</v>
      </c>
      <c r="G1114" s="10" t="s">
        <v>2648</v>
      </c>
      <c r="H1114" s="8" t="s">
        <v>2649</v>
      </c>
      <c r="I1114" s="10" t="s">
        <v>2648</v>
      </c>
      <c r="J1114" s="11" t="s">
        <v>33</v>
      </c>
      <c r="K1114" s="18">
        <v>180</v>
      </c>
      <c r="L1114" s="12">
        <f t="shared" si="112"/>
        <v>300</v>
      </c>
      <c r="M1114" s="8">
        <v>1</v>
      </c>
      <c r="N1114" s="8" t="s">
        <v>27</v>
      </c>
      <c r="O1114" s="13"/>
      <c r="P1114" s="14">
        <v>0.2</v>
      </c>
      <c r="Q1114" s="15">
        <v>0.3</v>
      </c>
      <c r="R1114" s="16" t="str">
        <f t="shared" si="113"/>
        <v>GENERAL</v>
      </c>
      <c r="S1114" s="17"/>
      <c r="T1114" s="10" t="str">
        <f t="shared" si="114"/>
        <v>TERMINAL AMARILLA DE PONCHADO A PRESIÓN</v>
      </c>
    </row>
    <row r="1115" spans="1:20" ht="27" customHeight="1" x14ac:dyDescent="0.25">
      <c r="A1115" s="8" t="s">
        <v>2512</v>
      </c>
      <c r="B1115" s="9"/>
      <c r="C1115" s="9"/>
      <c r="D1115" s="8"/>
      <c r="E1115" s="8"/>
      <c r="F1115" s="8" t="s">
        <v>22</v>
      </c>
      <c r="G1115" s="10" t="s">
        <v>2650</v>
      </c>
      <c r="H1115" s="8" t="s">
        <v>2651</v>
      </c>
      <c r="I1115" s="10" t="s">
        <v>2650</v>
      </c>
      <c r="J1115" s="11" t="s">
        <v>33</v>
      </c>
      <c r="K1115" s="18">
        <v>2100</v>
      </c>
      <c r="L1115" s="12">
        <f t="shared" ref="L1115:L1178" si="115">IF(J1115="P",ROUNDUP(K1115/(1-Q1115),-2),K1115*(1+P1115)/(1-Q1115))</f>
        <v>3000</v>
      </c>
      <c r="M1115" s="8">
        <v>1</v>
      </c>
      <c r="N1115" s="8" t="s">
        <v>27</v>
      </c>
      <c r="O1115" s="13"/>
      <c r="P1115" s="14">
        <v>0.2</v>
      </c>
      <c r="Q1115" s="15">
        <v>0.3</v>
      </c>
      <c r="R1115" s="16" t="str">
        <f t="shared" si="113"/>
        <v>GENERAL</v>
      </c>
      <c r="S1115" s="17"/>
      <c r="T1115" s="10" t="str">
        <f t="shared" si="114"/>
        <v>BOLSA DE 100 AMARRES PLÁSTICOS DE 15CM</v>
      </c>
    </row>
    <row r="1116" spans="1:20" ht="27" customHeight="1" x14ac:dyDescent="0.25">
      <c r="A1116" s="8" t="s">
        <v>2512</v>
      </c>
      <c r="B1116" s="9"/>
      <c r="C1116" s="9"/>
      <c r="D1116" s="8"/>
      <c r="E1116" s="8"/>
      <c r="F1116" s="8" t="s">
        <v>22</v>
      </c>
      <c r="G1116" s="10" t="s">
        <v>2652</v>
      </c>
      <c r="H1116" s="8" t="s">
        <v>2653</v>
      </c>
      <c r="I1116" s="10" t="s">
        <v>2652</v>
      </c>
      <c r="J1116" s="11" t="s">
        <v>33</v>
      </c>
      <c r="K1116" s="18">
        <v>42000</v>
      </c>
      <c r="L1116" s="12">
        <f t="shared" si="115"/>
        <v>60000</v>
      </c>
      <c r="M1116" s="8">
        <v>1</v>
      </c>
      <c r="N1116" s="8" t="s">
        <v>27</v>
      </c>
      <c r="O1116" s="13"/>
      <c r="P1116" s="14">
        <v>0.2</v>
      </c>
      <c r="Q1116" s="15">
        <v>0.3</v>
      </c>
      <c r="R1116" s="16" t="str">
        <f t="shared" si="113"/>
        <v>GENERAL</v>
      </c>
      <c r="S1116" s="17"/>
      <c r="T1116" s="10" t="str">
        <f t="shared" si="114"/>
        <v>PATCH CORE EN FIBRA ÓPTICA DE 1 METRO</v>
      </c>
    </row>
    <row r="1117" spans="1:20" ht="27" customHeight="1" x14ac:dyDescent="0.25">
      <c r="A1117" s="8" t="s">
        <v>2512</v>
      </c>
      <c r="B1117" s="9"/>
      <c r="C1117" s="9"/>
      <c r="D1117" s="8"/>
      <c r="E1117" s="8"/>
      <c r="F1117" s="8" t="s">
        <v>22</v>
      </c>
      <c r="G1117" s="10" t="s">
        <v>2654</v>
      </c>
      <c r="H1117" s="8" t="s">
        <v>2655</v>
      </c>
      <c r="I1117" s="10" t="s">
        <v>2654</v>
      </c>
      <c r="J1117" s="11" t="s">
        <v>33</v>
      </c>
      <c r="K1117" s="18">
        <v>3000</v>
      </c>
      <c r="L1117" s="12">
        <f t="shared" si="115"/>
        <v>5000</v>
      </c>
      <c r="M1117" s="8">
        <v>1</v>
      </c>
      <c r="N1117" s="8" t="s">
        <v>27</v>
      </c>
      <c r="O1117" s="13"/>
      <c r="P1117" s="14">
        <v>0.2</v>
      </c>
      <c r="Q1117" s="15">
        <v>0.4</v>
      </c>
      <c r="R1117" s="16" t="str">
        <f t="shared" si="113"/>
        <v>GENERAL</v>
      </c>
      <c r="S1117" s="17"/>
      <c r="T1117" s="10" t="str">
        <f t="shared" si="114"/>
        <v>CAJA PLÁSTICA PARA CANALETA</v>
      </c>
    </row>
    <row r="1118" spans="1:20" ht="27" customHeight="1" x14ac:dyDescent="0.25">
      <c r="A1118" s="8" t="s">
        <v>2512</v>
      </c>
      <c r="B1118" s="9"/>
      <c r="C1118" s="9"/>
      <c r="D1118" s="8"/>
      <c r="E1118" s="8"/>
      <c r="F1118" s="8" t="s">
        <v>22</v>
      </c>
      <c r="G1118" s="10" t="s">
        <v>2656</v>
      </c>
      <c r="H1118" s="8" t="s">
        <v>2657</v>
      </c>
      <c r="I1118" s="10" t="s">
        <v>2656</v>
      </c>
      <c r="J1118" s="11" t="s">
        <v>33</v>
      </c>
      <c r="K1118" s="18">
        <v>35882</v>
      </c>
      <c r="L1118" s="12">
        <f t="shared" si="115"/>
        <v>51300</v>
      </c>
      <c r="M1118" s="8">
        <v>1</v>
      </c>
      <c r="N1118" s="8" t="s">
        <v>27</v>
      </c>
      <c r="O1118" s="13"/>
      <c r="P1118" s="14">
        <v>0.2</v>
      </c>
      <c r="Q1118" s="15">
        <v>0.3</v>
      </c>
      <c r="R1118" s="16" t="str">
        <f t="shared" si="113"/>
        <v>GENERAL</v>
      </c>
      <c r="S1118" s="17"/>
      <c r="T1118" s="10" t="str">
        <f t="shared" si="114"/>
        <v>CABLE HDMI DE 5.5 METROS PARA SEÑALES EN RESOLUCIÓN 4K</v>
      </c>
    </row>
    <row r="1119" spans="1:20" ht="27" customHeight="1" x14ac:dyDescent="0.25">
      <c r="A1119" s="8" t="s">
        <v>2512</v>
      </c>
      <c r="B1119" s="9"/>
      <c r="C1119" s="9"/>
      <c r="D1119" s="8"/>
      <c r="E1119" s="8"/>
      <c r="F1119" s="8" t="s">
        <v>22</v>
      </c>
      <c r="G1119" s="10" t="s">
        <v>2658</v>
      </c>
      <c r="H1119" s="8" t="s">
        <v>2659</v>
      </c>
      <c r="I1119" s="10" t="s">
        <v>2658</v>
      </c>
      <c r="J1119" s="11" t="s">
        <v>33</v>
      </c>
      <c r="K1119" s="18">
        <v>28907</v>
      </c>
      <c r="L1119" s="12">
        <f t="shared" si="115"/>
        <v>41300</v>
      </c>
      <c r="M1119" s="8">
        <v>1</v>
      </c>
      <c r="N1119" s="8" t="s">
        <v>27</v>
      </c>
      <c r="O1119" s="13"/>
      <c r="P1119" s="14">
        <v>0.2</v>
      </c>
      <c r="Q1119" s="15">
        <v>0.3</v>
      </c>
      <c r="R1119" s="16" t="str">
        <f t="shared" si="113"/>
        <v>GENERAL</v>
      </c>
      <c r="S1119" s="17"/>
      <c r="T1119" s="10" t="str">
        <f t="shared" si="114"/>
        <v>CABLE HDMI DE 3.6 METROS PARA SEÑALES EN RESOLUCIÓN 4K</v>
      </c>
    </row>
    <row r="1120" spans="1:20" ht="27" customHeight="1" x14ac:dyDescent="0.25">
      <c r="A1120" s="8" t="s">
        <v>2512</v>
      </c>
      <c r="B1120" s="9"/>
      <c r="C1120" s="9"/>
      <c r="D1120" s="8"/>
      <c r="E1120" s="8"/>
      <c r="F1120" s="8" t="s">
        <v>22</v>
      </c>
      <c r="G1120" s="10" t="s">
        <v>2660</v>
      </c>
      <c r="H1120" s="8" t="s">
        <v>2661</v>
      </c>
      <c r="I1120" s="10" t="s">
        <v>2660</v>
      </c>
      <c r="J1120" s="11" t="s">
        <v>33</v>
      </c>
      <c r="K1120" s="18">
        <f>128999/3</f>
        <v>42999.666666666664</v>
      </c>
      <c r="L1120" s="12">
        <f t="shared" si="115"/>
        <v>61500</v>
      </c>
      <c r="M1120" s="8">
        <v>1</v>
      </c>
      <c r="N1120" s="8" t="s">
        <v>27</v>
      </c>
      <c r="O1120" s="13"/>
      <c r="P1120" s="14">
        <v>0.2</v>
      </c>
      <c r="Q1120" s="15">
        <v>0.3</v>
      </c>
      <c r="R1120" s="16" t="str">
        <f t="shared" si="113"/>
        <v>GENERAL</v>
      </c>
      <c r="S1120" s="17"/>
      <c r="T1120" s="10" t="str">
        <f t="shared" si="114"/>
        <v>CABLE HDMI DE 7.5 METROS PARA SEÑALES EN RESOLUCIÓN 4K</v>
      </c>
    </row>
    <row r="1121" spans="1:20" ht="27" customHeight="1" x14ac:dyDescent="0.25">
      <c r="A1121" s="8" t="s">
        <v>2512</v>
      </c>
      <c r="B1121" s="9"/>
      <c r="C1121" s="9"/>
      <c r="D1121" s="8"/>
      <c r="E1121" s="8"/>
      <c r="F1121" s="8" t="s">
        <v>22</v>
      </c>
      <c r="G1121" s="10" t="s">
        <v>2662</v>
      </c>
      <c r="H1121" s="8" t="s">
        <v>2663</v>
      </c>
      <c r="I1121" s="10" t="s">
        <v>2662</v>
      </c>
      <c r="J1121" s="11" t="s">
        <v>33</v>
      </c>
      <c r="K1121" s="18">
        <v>106</v>
      </c>
      <c r="L1121" s="12">
        <f t="shared" si="115"/>
        <v>200</v>
      </c>
      <c r="M1121" s="8">
        <v>1</v>
      </c>
      <c r="N1121" s="8" t="s">
        <v>27</v>
      </c>
      <c r="O1121" s="13"/>
      <c r="P1121" s="14">
        <v>0.2</v>
      </c>
      <c r="Q1121" s="15">
        <v>0.3</v>
      </c>
      <c r="R1121" s="16" t="str">
        <f t="shared" si="113"/>
        <v>GENERAL</v>
      </c>
      <c r="S1121" s="17"/>
      <c r="T1121" s="10" t="str">
        <f t="shared" si="114"/>
        <v>TERMINAL DE SALIDA PARA CABLES AWG12</v>
      </c>
    </row>
    <row r="1122" spans="1:20" ht="27" customHeight="1" x14ac:dyDescent="0.25">
      <c r="A1122" s="8" t="s">
        <v>2512</v>
      </c>
      <c r="B1122" s="9"/>
      <c r="C1122" s="9"/>
      <c r="D1122" s="8"/>
      <c r="E1122" s="8"/>
      <c r="F1122" s="8" t="s">
        <v>22</v>
      </c>
      <c r="G1122" s="10" t="s">
        <v>2664</v>
      </c>
      <c r="H1122" s="8" t="s">
        <v>2665</v>
      </c>
      <c r="I1122" s="10" t="s">
        <v>2664</v>
      </c>
      <c r="J1122" s="11" t="s">
        <v>33</v>
      </c>
      <c r="K1122" s="18">
        <f>110000/1.19</f>
        <v>92436.97478991597</v>
      </c>
      <c r="L1122" s="12">
        <f t="shared" si="115"/>
        <v>154100</v>
      </c>
      <c r="M1122" s="8">
        <v>1</v>
      </c>
      <c r="N1122" s="8" t="s">
        <v>27</v>
      </c>
      <c r="O1122" s="13"/>
      <c r="P1122" s="14">
        <v>0.2</v>
      </c>
      <c r="Q1122" s="15">
        <v>0.4</v>
      </c>
      <c r="R1122" s="16" t="str">
        <f t="shared" si="113"/>
        <v>GENERAL</v>
      </c>
      <c r="S1122" s="17"/>
      <c r="T1122" s="10" t="str">
        <f t="shared" si="114"/>
        <v>ELEVADOR DE VOLTAJE DE 110/V A 220V, MANEJO DE CARGAS HASTA 2 AMPERIOS.</v>
      </c>
    </row>
    <row r="1123" spans="1:20" ht="27" customHeight="1" x14ac:dyDescent="0.25">
      <c r="A1123" s="8" t="s">
        <v>2512</v>
      </c>
      <c r="B1123" s="9"/>
      <c r="C1123" s="9"/>
      <c r="D1123" s="8"/>
      <c r="E1123" s="8"/>
      <c r="F1123" s="8" t="s">
        <v>22</v>
      </c>
      <c r="G1123" s="10" t="s">
        <v>2666</v>
      </c>
      <c r="H1123" s="8" t="s">
        <v>2667</v>
      </c>
      <c r="I1123" s="10" t="s">
        <v>2666</v>
      </c>
      <c r="J1123" s="11" t="s">
        <v>33</v>
      </c>
      <c r="K1123" s="18">
        <v>11000</v>
      </c>
      <c r="L1123" s="12">
        <f t="shared" si="115"/>
        <v>18400</v>
      </c>
      <c r="M1123" s="8">
        <v>1</v>
      </c>
      <c r="N1123" s="8" t="s">
        <v>27</v>
      </c>
      <c r="O1123" s="13"/>
      <c r="P1123" s="14">
        <v>0.2</v>
      </c>
      <c r="Q1123" s="15">
        <v>0.4</v>
      </c>
      <c r="R1123" s="16" t="str">
        <f t="shared" si="113"/>
        <v>GENERAL</v>
      </c>
      <c r="S1123" s="17"/>
      <c r="T1123" s="10" t="str">
        <f t="shared" si="114"/>
        <v>CABLE DE PODER DE UN METRO DE LONGITUD</v>
      </c>
    </row>
    <row r="1124" spans="1:20" ht="27" customHeight="1" x14ac:dyDescent="0.25">
      <c r="A1124" s="8" t="s">
        <v>2512</v>
      </c>
      <c r="B1124" s="9"/>
      <c r="C1124" s="9"/>
      <c r="D1124" s="8"/>
      <c r="E1124" s="8"/>
      <c r="F1124" s="8" t="s">
        <v>22</v>
      </c>
      <c r="G1124" s="10" t="s">
        <v>2668</v>
      </c>
      <c r="H1124" s="8" t="s">
        <v>2669</v>
      </c>
      <c r="I1124" s="10" t="s">
        <v>2668</v>
      </c>
      <c r="J1124" s="11" t="s">
        <v>33</v>
      </c>
      <c r="K1124" s="18">
        <v>780000</v>
      </c>
      <c r="L1124" s="12">
        <f t="shared" si="115"/>
        <v>1114300</v>
      </c>
      <c r="M1124" s="8">
        <v>1</v>
      </c>
      <c r="N1124" s="8" t="s">
        <v>27</v>
      </c>
      <c r="O1124" s="13"/>
      <c r="P1124" s="14">
        <v>0.2</v>
      </c>
      <c r="Q1124" s="15">
        <v>0.3</v>
      </c>
      <c r="R1124" s="16" t="str">
        <f t="shared" si="113"/>
        <v>GENERAL</v>
      </c>
      <c r="S1124" s="17"/>
      <c r="T1124" s="10" t="str">
        <f t="shared" si="114"/>
        <v>COFRE PARA MONTAJE DE ELEMENTOS ELECTRICOS, MEDIDAS: 140cm ALTO, 120cm , 25cm.</v>
      </c>
    </row>
    <row r="1125" spans="1:20" ht="27" customHeight="1" x14ac:dyDescent="0.25">
      <c r="A1125" s="8" t="s">
        <v>2512</v>
      </c>
      <c r="B1125" s="9"/>
      <c r="C1125" s="9"/>
      <c r="D1125" s="8"/>
      <c r="E1125" s="8"/>
      <c r="F1125" s="8" t="s">
        <v>22</v>
      </c>
      <c r="G1125" s="10" t="s">
        <v>2670</v>
      </c>
      <c r="H1125" s="8" t="s">
        <v>2671</v>
      </c>
      <c r="I1125" s="10" t="s">
        <v>2670</v>
      </c>
      <c r="J1125" s="11" t="s">
        <v>33</v>
      </c>
      <c r="K1125" s="18">
        <v>350000</v>
      </c>
      <c r="L1125" s="12">
        <f t="shared" si="115"/>
        <v>500000</v>
      </c>
      <c r="M1125" s="8">
        <v>1</v>
      </c>
      <c r="N1125" s="8" t="s">
        <v>27</v>
      </c>
      <c r="O1125" s="13"/>
      <c r="P1125" s="14">
        <v>0.2</v>
      </c>
      <c r="Q1125" s="15">
        <v>0.3</v>
      </c>
      <c r="R1125" s="16" t="str">
        <f t="shared" si="113"/>
        <v>GENERAL</v>
      </c>
      <c r="S1125" s="17"/>
      <c r="T1125" s="10" t="str">
        <f t="shared" si="114"/>
        <v>COFRE PARA MONTAJE DE ELEMENTOS ELECTRICOS, MEDIDAS: 80cm ALTO, 80cm , 25cm.</v>
      </c>
    </row>
    <row r="1126" spans="1:20" ht="27" customHeight="1" x14ac:dyDescent="0.25">
      <c r="A1126" s="8" t="s">
        <v>2512</v>
      </c>
      <c r="B1126" s="9"/>
      <c r="C1126" s="9"/>
      <c r="D1126" s="8"/>
      <c r="E1126" s="8"/>
      <c r="F1126" s="8" t="s">
        <v>22</v>
      </c>
      <c r="G1126" s="10" t="s">
        <v>2672</v>
      </c>
      <c r="H1126" s="8" t="s">
        <v>2673</v>
      </c>
      <c r="I1126" s="10" t="s">
        <v>2672</v>
      </c>
      <c r="J1126" s="11" t="s">
        <v>33</v>
      </c>
      <c r="K1126" s="18">
        <v>12000</v>
      </c>
      <c r="L1126" s="12">
        <f t="shared" si="115"/>
        <v>17200</v>
      </c>
      <c r="M1126" s="8">
        <v>1</v>
      </c>
      <c r="N1126" s="8" t="s">
        <v>27</v>
      </c>
      <c r="O1126" s="13"/>
      <c r="P1126" s="14">
        <v>0.2</v>
      </c>
      <c r="Q1126" s="15">
        <v>0.3</v>
      </c>
      <c r="R1126" s="16" t="str">
        <f t="shared" si="113"/>
        <v>GENERAL</v>
      </c>
      <c r="S1126" s="17"/>
      <c r="T1126" s="10" t="str">
        <f t="shared" si="114"/>
        <v>TOMA CON INTERRUPTOR EN COLOR BLANCO</v>
      </c>
    </row>
    <row r="1127" spans="1:20" ht="27" customHeight="1" x14ac:dyDescent="0.25">
      <c r="A1127" s="8" t="s">
        <v>2512</v>
      </c>
      <c r="B1127" s="9"/>
      <c r="C1127" s="9"/>
      <c r="D1127" s="8"/>
      <c r="E1127" s="8"/>
      <c r="F1127" s="8" t="s">
        <v>22</v>
      </c>
      <c r="G1127" s="10" t="s">
        <v>2674</v>
      </c>
      <c r="H1127" s="8" t="s">
        <v>2675</v>
      </c>
      <c r="I1127" s="10" t="s">
        <v>2674</v>
      </c>
      <c r="J1127" s="11" t="s">
        <v>33</v>
      </c>
      <c r="K1127" s="18">
        <v>6400</v>
      </c>
      <c r="L1127" s="12">
        <f t="shared" si="115"/>
        <v>9200</v>
      </c>
      <c r="M1127" s="8">
        <v>1</v>
      </c>
      <c r="N1127" s="8" t="s">
        <v>27</v>
      </c>
      <c r="O1127" s="13"/>
      <c r="P1127" s="14">
        <v>0.2</v>
      </c>
      <c r="Q1127" s="15">
        <v>0.3</v>
      </c>
      <c r="R1127" s="16" t="str">
        <f t="shared" si="113"/>
        <v>GENERAL</v>
      </c>
      <c r="S1127" s="17"/>
      <c r="T1127" s="10" t="str">
        <f t="shared" si="114"/>
        <v>METRO DE CORAZA AMERICANA DE 3/4 DE PULGADA</v>
      </c>
    </row>
    <row r="1128" spans="1:20" ht="27" customHeight="1" x14ac:dyDescent="0.25">
      <c r="A1128" s="8" t="s">
        <v>2512</v>
      </c>
      <c r="B1128" s="9"/>
      <c r="C1128" s="9"/>
      <c r="D1128" s="8"/>
      <c r="E1128" s="8"/>
      <c r="F1128" s="8" t="s">
        <v>22</v>
      </c>
      <c r="G1128" s="10" t="s">
        <v>2676</v>
      </c>
      <c r="H1128" s="8" t="s">
        <v>2677</v>
      </c>
      <c r="I1128" s="10" t="s">
        <v>2676</v>
      </c>
      <c r="J1128" s="11" t="s">
        <v>33</v>
      </c>
      <c r="K1128" s="18">
        <v>24000</v>
      </c>
      <c r="L1128" s="12">
        <f t="shared" si="115"/>
        <v>48000</v>
      </c>
      <c r="M1128" s="8">
        <v>1</v>
      </c>
      <c r="N1128" s="8" t="s">
        <v>27</v>
      </c>
      <c r="O1128" s="13"/>
      <c r="P1128" s="14">
        <v>0.2</v>
      </c>
      <c r="Q1128" s="15">
        <v>0.5</v>
      </c>
      <c r="R1128" s="16" t="str">
        <f t="shared" si="113"/>
        <v>GENERAL</v>
      </c>
      <c r="S1128" s="17"/>
      <c r="T1128" s="10" t="str">
        <f t="shared" si="114"/>
        <v>CAJA ELÉCTRICA PARA 6 BREAKERS</v>
      </c>
    </row>
    <row r="1129" spans="1:20" ht="27" customHeight="1" x14ac:dyDescent="0.25">
      <c r="A1129" s="8" t="s">
        <v>2512</v>
      </c>
      <c r="B1129" s="9"/>
      <c r="C1129" s="9"/>
      <c r="D1129" s="8"/>
      <c r="E1129" s="8"/>
      <c r="F1129" s="8" t="s">
        <v>22</v>
      </c>
      <c r="G1129" s="10" t="s">
        <v>2678</v>
      </c>
      <c r="H1129" s="8" t="s">
        <v>2679</v>
      </c>
      <c r="I1129" s="10" t="s">
        <v>2678</v>
      </c>
      <c r="J1129" s="11" t="s">
        <v>26</v>
      </c>
      <c r="K1129" s="18">
        <v>75</v>
      </c>
      <c r="L1129" s="12">
        <f t="shared" si="115"/>
        <v>128.57142857142858</v>
      </c>
      <c r="M1129" s="8">
        <v>1</v>
      </c>
      <c r="N1129" s="8" t="s">
        <v>27</v>
      </c>
      <c r="O1129" s="13"/>
      <c r="P1129" s="14">
        <v>0.2</v>
      </c>
      <c r="Q1129" s="15">
        <v>0.3</v>
      </c>
      <c r="R1129" s="16" t="str">
        <f t="shared" si="113"/>
        <v>GENERAL</v>
      </c>
      <c r="S1129" s="17"/>
      <c r="T1129" s="10" t="str">
        <f t="shared" si="114"/>
        <v>FUENTE 12V 60 AMPERIOS</v>
      </c>
    </row>
    <row r="1130" spans="1:20" ht="27" customHeight="1" x14ac:dyDescent="0.25">
      <c r="A1130" s="8" t="s">
        <v>2512</v>
      </c>
      <c r="B1130" s="9"/>
      <c r="C1130" s="9"/>
      <c r="D1130" s="8"/>
      <c r="E1130" s="8"/>
      <c r="F1130" s="8" t="s">
        <v>22</v>
      </c>
      <c r="G1130" s="10" t="s">
        <v>2680</v>
      </c>
      <c r="H1130" s="8" t="s">
        <v>2681</v>
      </c>
      <c r="I1130" s="10" t="s">
        <v>2680</v>
      </c>
      <c r="J1130" s="11" t="s">
        <v>26</v>
      </c>
      <c r="K1130" s="18">
        <v>10</v>
      </c>
      <c r="L1130" s="12">
        <f t="shared" si="115"/>
        <v>15</v>
      </c>
      <c r="M1130" s="8">
        <v>1</v>
      </c>
      <c r="N1130" s="8" t="s">
        <v>27</v>
      </c>
      <c r="O1130" s="13"/>
      <c r="P1130" s="14">
        <v>0.2</v>
      </c>
      <c r="Q1130" s="15">
        <v>0.2</v>
      </c>
      <c r="R1130" s="16" t="str">
        <f t="shared" si="113"/>
        <v>GENERAL</v>
      </c>
      <c r="S1130" s="17"/>
      <c r="T1130" s="10" t="str">
        <f t="shared" si="114"/>
        <v>BALUM COMPLETO PARA AUDIO Y VIDEO</v>
      </c>
    </row>
    <row r="1131" spans="1:20" ht="27" customHeight="1" x14ac:dyDescent="0.25">
      <c r="A1131" s="8" t="s">
        <v>2512</v>
      </c>
      <c r="B1131" s="9"/>
      <c r="C1131" s="9"/>
      <c r="D1131" s="8"/>
      <c r="E1131" s="8"/>
      <c r="F1131" s="8" t="s">
        <v>22</v>
      </c>
      <c r="G1131" s="10" t="s">
        <v>2682</v>
      </c>
      <c r="H1131" s="8" t="s">
        <v>2683</v>
      </c>
      <c r="I1131" s="10" t="s">
        <v>2682</v>
      </c>
      <c r="J1131" s="11" t="s">
        <v>33</v>
      </c>
      <c r="K1131" s="18">
        <v>110000</v>
      </c>
      <c r="L1131" s="12">
        <f t="shared" si="115"/>
        <v>183400</v>
      </c>
      <c r="M1131" s="8">
        <v>1</v>
      </c>
      <c r="N1131" s="8" t="s">
        <v>27</v>
      </c>
      <c r="O1131" s="13"/>
      <c r="P1131" s="14">
        <v>0.2</v>
      </c>
      <c r="Q1131" s="15">
        <v>0.4</v>
      </c>
      <c r="R1131" s="16" t="str">
        <f t="shared" si="113"/>
        <v>GENERAL</v>
      </c>
      <c r="S1131" s="17"/>
      <c r="T1131" s="10" t="str">
        <f t="shared" si="114"/>
        <v>FUENTE 12V 30 AMPERIOS</v>
      </c>
    </row>
    <row r="1132" spans="1:20" ht="27" customHeight="1" x14ac:dyDescent="0.25">
      <c r="A1132" s="8" t="s">
        <v>2512</v>
      </c>
      <c r="B1132" s="9"/>
      <c r="C1132" s="9"/>
      <c r="D1132" s="8"/>
      <c r="E1132" s="8"/>
      <c r="F1132" s="8" t="s">
        <v>22</v>
      </c>
      <c r="G1132" s="10" t="s">
        <v>2684</v>
      </c>
      <c r="H1132" s="8" t="s">
        <v>2685</v>
      </c>
      <c r="I1132" s="10" t="s">
        <v>2684</v>
      </c>
      <c r="J1132" s="11" t="s">
        <v>33</v>
      </c>
      <c r="K1132" s="18">
        <v>20420</v>
      </c>
      <c r="L1132" s="12">
        <f t="shared" si="115"/>
        <v>29200</v>
      </c>
      <c r="M1132" s="8">
        <v>1</v>
      </c>
      <c r="N1132" s="8" t="s">
        <v>27</v>
      </c>
      <c r="O1132" s="13"/>
      <c r="P1132" s="14">
        <v>0.2</v>
      </c>
      <c r="Q1132" s="15">
        <v>0.3</v>
      </c>
      <c r="R1132" s="16" t="str">
        <f t="shared" si="113"/>
        <v>GENERAL</v>
      </c>
      <c r="S1132" s="17"/>
      <c r="T1132" s="10" t="str">
        <f t="shared" si="114"/>
        <v>CABLE RCA X 1.8M</v>
      </c>
    </row>
    <row r="1133" spans="1:20" ht="27" customHeight="1" x14ac:dyDescent="0.25">
      <c r="A1133" s="8" t="s">
        <v>2512</v>
      </c>
      <c r="B1133" s="9"/>
      <c r="C1133" s="9"/>
      <c r="D1133" s="8"/>
      <c r="E1133" s="8"/>
      <c r="F1133" s="8" t="s">
        <v>22</v>
      </c>
      <c r="G1133" s="10" t="s">
        <v>2686</v>
      </c>
      <c r="H1133" s="8" t="s">
        <v>2687</v>
      </c>
      <c r="I1133" s="10" t="s">
        <v>2686</v>
      </c>
      <c r="J1133" s="11" t="s">
        <v>33</v>
      </c>
      <c r="K1133" s="18">
        <v>25000</v>
      </c>
      <c r="L1133" s="12">
        <f t="shared" si="115"/>
        <v>35800</v>
      </c>
      <c r="M1133" s="8">
        <v>1</v>
      </c>
      <c r="N1133" s="8" t="s">
        <v>27</v>
      </c>
      <c r="O1133" s="13"/>
      <c r="P1133" s="14">
        <v>0.2</v>
      </c>
      <c r="Q1133" s="15">
        <v>0.3</v>
      </c>
      <c r="R1133" s="16" t="str">
        <f t="shared" si="113"/>
        <v>GENERAL</v>
      </c>
      <c r="S1133" s="17"/>
      <c r="T1133" s="10" t="str">
        <f t="shared" si="114"/>
        <v>CABLE ÓPTICO DE AUDIO DE 1.8M</v>
      </c>
    </row>
    <row r="1134" spans="1:20" ht="27" customHeight="1" x14ac:dyDescent="0.25">
      <c r="A1134" s="8" t="s">
        <v>2512</v>
      </c>
      <c r="B1134" s="9"/>
      <c r="C1134" s="9"/>
      <c r="D1134" s="8"/>
      <c r="E1134" s="8"/>
      <c r="F1134" s="8" t="s">
        <v>22</v>
      </c>
      <c r="G1134" s="10" t="s">
        <v>2688</v>
      </c>
      <c r="H1134" s="8" t="s">
        <v>2689</v>
      </c>
      <c r="I1134" s="10" t="s">
        <v>2688</v>
      </c>
      <c r="J1134" s="11" t="s">
        <v>33</v>
      </c>
      <c r="K1134" s="18">
        <v>8000</v>
      </c>
      <c r="L1134" s="12">
        <f t="shared" si="115"/>
        <v>11500</v>
      </c>
      <c r="M1134" s="8">
        <v>1</v>
      </c>
      <c r="N1134" s="8" t="s">
        <v>27</v>
      </c>
      <c r="O1134" s="13"/>
      <c r="P1134" s="14">
        <v>0.2</v>
      </c>
      <c r="Q1134" s="15">
        <v>0.3</v>
      </c>
      <c r="R1134" s="16" t="str">
        <f t="shared" si="113"/>
        <v>GENERAL</v>
      </c>
      <c r="S1134" s="17"/>
      <c r="T1134" s="10" t="str">
        <f t="shared" si="114"/>
        <v>CABLE VGA DE 2 METROS</v>
      </c>
    </row>
    <row r="1135" spans="1:20" ht="27" customHeight="1" x14ac:dyDescent="0.25">
      <c r="A1135" s="8" t="s">
        <v>2512</v>
      </c>
      <c r="B1135" s="9"/>
      <c r="C1135" s="9"/>
      <c r="D1135" s="8"/>
      <c r="E1135" s="8"/>
      <c r="F1135" s="8" t="s">
        <v>22</v>
      </c>
      <c r="G1135" s="10" t="s">
        <v>2690</v>
      </c>
      <c r="H1135" s="8" t="s">
        <v>2691</v>
      </c>
      <c r="I1135" s="10" t="s">
        <v>2690</v>
      </c>
      <c r="J1135" s="11" t="s">
        <v>33</v>
      </c>
      <c r="K1135" s="18">
        <v>10000</v>
      </c>
      <c r="L1135" s="12">
        <f t="shared" si="115"/>
        <v>14300</v>
      </c>
      <c r="M1135" s="8">
        <v>1</v>
      </c>
      <c r="N1135" s="8" t="s">
        <v>27</v>
      </c>
      <c r="O1135" s="13"/>
      <c r="P1135" s="14">
        <v>0.2</v>
      </c>
      <c r="Q1135" s="15">
        <v>0.3</v>
      </c>
      <c r="R1135" s="16" t="str">
        <f t="shared" si="113"/>
        <v>GENERAL</v>
      </c>
      <c r="S1135" s="17"/>
      <c r="T1135" s="10" t="str">
        <f t="shared" si="114"/>
        <v>CABLE COAXIAL DE 1 METRO</v>
      </c>
    </row>
    <row r="1136" spans="1:20" ht="27" customHeight="1" x14ac:dyDescent="0.25">
      <c r="A1136" s="8" t="s">
        <v>2512</v>
      </c>
      <c r="B1136" s="9"/>
      <c r="C1136" s="9"/>
      <c r="D1136" s="8"/>
      <c r="E1136" s="8"/>
      <c r="F1136" s="8" t="s">
        <v>22</v>
      </c>
      <c r="G1136" s="10" t="s">
        <v>2692</v>
      </c>
      <c r="H1136" s="8" t="s">
        <v>2693</v>
      </c>
      <c r="I1136" s="10" t="s">
        <v>2692</v>
      </c>
      <c r="J1136" s="11" t="s">
        <v>33</v>
      </c>
      <c r="K1136" s="18">
        <v>30000</v>
      </c>
      <c r="L1136" s="12">
        <f t="shared" si="115"/>
        <v>42900</v>
      </c>
      <c r="M1136" s="8">
        <v>1</v>
      </c>
      <c r="N1136" s="8" t="s">
        <v>27</v>
      </c>
      <c r="O1136" s="13"/>
      <c r="P1136" s="14">
        <v>0.2</v>
      </c>
      <c r="Q1136" s="15">
        <v>0.3</v>
      </c>
      <c r="R1136" s="16" t="str">
        <f t="shared" si="113"/>
        <v>GENERAL</v>
      </c>
      <c r="S1136" s="17"/>
      <c r="T1136" s="10" t="str">
        <f t="shared" si="114"/>
        <v>CABLE DVI DE 1 METRO</v>
      </c>
    </row>
    <row r="1137" spans="1:20" ht="27" customHeight="1" x14ac:dyDescent="0.25">
      <c r="A1137" s="8" t="s">
        <v>2512</v>
      </c>
      <c r="B1137" s="9"/>
      <c r="C1137" s="9"/>
      <c r="D1137" s="8"/>
      <c r="E1137" s="8"/>
      <c r="F1137" s="8" t="s">
        <v>22</v>
      </c>
      <c r="G1137" s="10" t="s">
        <v>2694</v>
      </c>
      <c r="H1137" s="8" t="s">
        <v>2695</v>
      </c>
      <c r="I1137" s="10" t="s">
        <v>2694</v>
      </c>
      <c r="J1137" s="11" t="s">
        <v>33</v>
      </c>
      <c r="K1137" s="18">
        <v>20000</v>
      </c>
      <c r="L1137" s="12">
        <f t="shared" si="115"/>
        <v>28600</v>
      </c>
      <c r="M1137" s="8">
        <v>1</v>
      </c>
      <c r="N1137" s="8" t="s">
        <v>27</v>
      </c>
      <c r="O1137" s="13"/>
      <c r="P1137" s="14">
        <v>0.2</v>
      </c>
      <c r="Q1137" s="15">
        <v>0.3</v>
      </c>
      <c r="R1137" s="16" t="str">
        <f t="shared" si="113"/>
        <v>GENERAL</v>
      </c>
      <c r="S1137" s="17"/>
      <c r="T1137" s="10" t="str">
        <f t="shared" si="114"/>
        <v>CABLE VGA DE 3.6 METROS</v>
      </c>
    </row>
    <row r="1138" spans="1:20" ht="27" customHeight="1" x14ac:dyDescent="0.25">
      <c r="A1138" s="8" t="s">
        <v>2512</v>
      </c>
      <c r="B1138" s="9"/>
      <c r="C1138" s="9"/>
      <c r="D1138" s="8"/>
      <c r="E1138" s="8"/>
      <c r="F1138" s="8" t="s">
        <v>22</v>
      </c>
      <c r="G1138" s="10" t="s">
        <v>2696</v>
      </c>
      <c r="H1138" s="8" t="s">
        <v>2697</v>
      </c>
      <c r="I1138" s="10" t="s">
        <v>2696</v>
      </c>
      <c r="J1138" s="11" t="s">
        <v>33</v>
      </c>
      <c r="K1138" s="18">
        <v>15000</v>
      </c>
      <c r="L1138" s="12">
        <f t="shared" si="115"/>
        <v>21500</v>
      </c>
      <c r="M1138" s="8">
        <v>1</v>
      </c>
      <c r="N1138" s="8" t="s">
        <v>27</v>
      </c>
      <c r="O1138" s="13"/>
      <c r="P1138" s="14">
        <v>0.2</v>
      </c>
      <c r="Q1138" s="15">
        <v>0.3</v>
      </c>
      <c r="R1138" s="16" t="str">
        <f t="shared" si="113"/>
        <v>GENERAL</v>
      </c>
      <c r="S1138" s="17"/>
      <c r="T1138" s="10" t="str">
        <f t="shared" si="114"/>
        <v>CABLE DE SUPER VIDEO DE 1 METRO</v>
      </c>
    </row>
    <row r="1139" spans="1:20" ht="27" customHeight="1" x14ac:dyDescent="0.25">
      <c r="A1139" s="8" t="s">
        <v>2512</v>
      </c>
      <c r="B1139" s="9"/>
      <c r="C1139" s="9"/>
      <c r="D1139" s="8"/>
      <c r="E1139" s="8"/>
      <c r="F1139" s="8" t="s">
        <v>22</v>
      </c>
      <c r="G1139" s="10" t="s">
        <v>2698</v>
      </c>
      <c r="H1139" s="8" t="s">
        <v>2699</v>
      </c>
      <c r="I1139" s="10" t="s">
        <v>2698</v>
      </c>
      <c r="J1139" s="11" t="s">
        <v>33</v>
      </c>
      <c r="K1139" s="18">
        <v>20000</v>
      </c>
      <c r="L1139" s="12">
        <f t="shared" si="115"/>
        <v>28600</v>
      </c>
      <c r="M1139" s="8">
        <v>1</v>
      </c>
      <c r="N1139" s="8" t="s">
        <v>27</v>
      </c>
      <c r="O1139" s="13"/>
      <c r="P1139" s="14">
        <v>0.2</v>
      </c>
      <c r="Q1139" s="15">
        <v>0.3</v>
      </c>
      <c r="R1139" s="16" t="str">
        <f t="shared" si="113"/>
        <v>GENERAL</v>
      </c>
      <c r="S1139" s="17"/>
      <c r="T1139" s="10" t="str">
        <f t="shared" si="114"/>
        <v>CABLE RCA A 3.5MM DE 3.5M</v>
      </c>
    </row>
    <row r="1140" spans="1:20" ht="27" customHeight="1" x14ac:dyDescent="0.25">
      <c r="A1140" s="8" t="s">
        <v>2512</v>
      </c>
      <c r="B1140" s="9"/>
      <c r="C1140" s="9"/>
      <c r="D1140" s="8"/>
      <c r="E1140" s="8"/>
      <c r="F1140" s="8" t="s">
        <v>22</v>
      </c>
      <c r="G1140" s="10" t="s">
        <v>2700</v>
      </c>
      <c r="H1140" s="8" t="s">
        <v>2701</v>
      </c>
      <c r="I1140" s="10" t="s">
        <v>2700</v>
      </c>
      <c r="J1140" s="11" t="s">
        <v>33</v>
      </c>
      <c r="K1140" s="18">
        <v>2600</v>
      </c>
      <c r="L1140" s="12">
        <f t="shared" si="115"/>
        <v>3800</v>
      </c>
      <c r="M1140" s="8">
        <v>1</v>
      </c>
      <c r="N1140" s="8" t="s">
        <v>27</v>
      </c>
      <c r="O1140" s="13"/>
      <c r="P1140" s="14">
        <v>0.2</v>
      </c>
      <c r="Q1140" s="15">
        <v>0.3</v>
      </c>
      <c r="R1140" s="16" t="str">
        <f t="shared" si="113"/>
        <v>GENERAL</v>
      </c>
      <c r="S1140" s="17"/>
      <c r="T1140" s="10" t="str">
        <f t="shared" si="114"/>
        <v>BORNA CALIBRE 8 PARA INSTALACIÓN EN RIEL</v>
      </c>
    </row>
    <row r="1141" spans="1:20" ht="27" customHeight="1" x14ac:dyDescent="0.25">
      <c r="A1141" s="8" t="s">
        <v>2512</v>
      </c>
      <c r="B1141" s="9"/>
      <c r="C1141" s="9"/>
      <c r="D1141" s="8"/>
      <c r="E1141" s="8"/>
      <c r="F1141" s="8" t="s">
        <v>22</v>
      </c>
      <c r="G1141" s="10" t="s">
        <v>2702</v>
      </c>
      <c r="H1141" s="8" t="s">
        <v>2703</v>
      </c>
      <c r="I1141" s="10" t="s">
        <v>2702</v>
      </c>
      <c r="J1141" s="11" t="s">
        <v>33</v>
      </c>
      <c r="K1141" s="18">
        <v>1700</v>
      </c>
      <c r="L1141" s="12">
        <f t="shared" si="115"/>
        <v>2500</v>
      </c>
      <c r="M1141" s="8">
        <v>1</v>
      </c>
      <c r="N1141" s="8" t="s">
        <v>27</v>
      </c>
      <c r="O1141" s="13"/>
      <c r="P1141" s="14">
        <v>0.2</v>
      </c>
      <c r="Q1141" s="15">
        <v>0.3</v>
      </c>
      <c r="R1141" s="16" t="str">
        <f t="shared" si="113"/>
        <v>GENERAL</v>
      </c>
      <c r="S1141" s="17"/>
      <c r="T1141" s="10" t="str">
        <f t="shared" si="114"/>
        <v>BORNA CALIBRE 10 PARA INSTALACIÓN EN RIEL</v>
      </c>
    </row>
    <row r="1142" spans="1:20" ht="27" customHeight="1" x14ac:dyDescent="0.25">
      <c r="A1142" s="8" t="s">
        <v>2512</v>
      </c>
      <c r="B1142" s="9"/>
      <c r="C1142" s="9"/>
      <c r="D1142" s="8"/>
      <c r="E1142" s="8"/>
      <c r="F1142" s="8" t="s">
        <v>22</v>
      </c>
      <c r="G1142" s="10" t="s">
        <v>2704</v>
      </c>
      <c r="H1142" s="8" t="s">
        <v>2705</v>
      </c>
      <c r="I1142" s="10" t="s">
        <v>2704</v>
      </c>
      <c r="J1142" s="11" t="s">
        <v>33</v>
      </c>
      <c r="K1142" s="18">
        <v>12000</v>
      </c>
      <c r="L1142" s="12">
        <f t="shared" si="115"/>
        <v>17200</v>
      </c>
      <c r="M1142" s="8">
        <v>1</v>
      </c>
      <c r="N1142" s="8" t="s">
        <v>27</v>
      </c>
      <c r="O1142" s="13"/>
      <c r="P1142" s="14">
        <v>0.2</v>
      </c>
      <c r="Q1142" s="15">
        <v>0.3</v>
      </c>
      <c r="R1142" s="16" t="str">
        <f t="shared" si="113"/>
        <v>GENERAL</v>
      </c>
      <c r="S1142" s="17"/>
      <c r="T1142" s="10" t="str">
        <f t="shared" si="114"/>
        <v>CABLE MULTIFILAR AWG4 EN COBRE</v>
      </c>
    </row>
    <row r="1143" spans="1:20" ht="27" customHeight="1" x14ac:dyDescent="0.25">
      <c r="A1143" s="8" t="s">
        <v>2512</v>
      </c>
      <c r="B1143" s="9"/>
      <c r="C1143" s="9"/>
      <c r="D1143" s="8"/>
      <c r="E1143" s="8"/>
      <c r="F1143" s="8" t="s">
        <v>22</v>
      </c>
      <c r="G1143" s="10" t="s">
        <v>2706</v>
      </c>
      <c r="H1143" s="8" t="s">
        <v>2707</v>
      </c>
      <c r="I1143" s="10" t="s">
        <v>2706</v>
      </c>
      <c r="J1143" s="11" t="s">
        <v>697</v>
      </c>
      <c r="K1143" s="18">
        <v>3782</v>
      </c>
      <c r="L1143" s="12">
        <f t="shared" si="115"/>
        <v>5500</v>
      </c>
      <c r="M1143" s="8">
        <v>1</v>
      </c>
      <c r="N1143" s="8" t="s">
        <v>27</v>
      </c>
      <c r="O1143" s="13"/>
      <c r="P1143" s="14">
        <v>0.2</v>
      </c>
      <c r="Q1143" s="15">
        <v>0.3</v>
      </c>
      <c r="R1143" s="16" t="str">
        <f t="shared" si="113"/>
        <v>GENERAL</v>
      </c>
      <c r="S1143" s="17"/>
      <c r="T1143" s="10" t="str">
        <f t="shared" si="114"/>
        <v>SALIDA TIPO CORDÓN</v>
      </c>
    </row>
    <row r="1144" spans="1:20" ht="27" customHeight="1" x14ac:dyDescent="0.25">
      <c r="A1144" s="8" t="s">
        <v>2512</v>
      </c>
      <c r="B1144" s="9"/>
      <c r="C1144" s="9"/>
      <c r="D1144" s="8"/>
      <c r="E1144" s="8"/>
      <c r="F1144" s="8" t="s">
        <v>22</v>
      </c>
      <c r="G1144" s="10" t="s">
        <v>2708</v>
      </c>
      <c r="H1144" s="8" t="s">
        <v>2709</v>
      </c>
      <c r="I1144" s="10" t="s">
        <v>2708</v>
      </c>
      <c r="J1144" s="11" t="s">
        <v>33</v>
      </c>
      <c r="K1144" s="18">
        <v>68000</v>
      </c>
      <c r="L1144" s="12">
        <f t="shared" si="115"/>
        <v>97200</v>
      </c>
      <c r="M1144" s="8">
        <v>1</v>
      </c>
      <c r="N1144" s="8" t="s">
        <v>27</v>
      </c>
      <c r="O1144" s="13"/>
      <c r="P1144" s="14">
        <v>0.2</v>
      </c>
      <c r="Q1144" s="15">
        <v>0.3</v>
      </c>
      <c r="R1144" s="16" t="str">
        <f t="shared" si="113"/>
        <v>GENERAL</v>
      </c>
      <c r="S1144" s="17"/>
      <c r="T1144" s="10" t="str">
        <f t="shared" si="114"/>
        <v>SOPORTE PARA MONITOR DE PARED DE 28"</v>
      </c>
    </row>
    <row r="1145" spans="1:20" ht="27" customHeight="1" x14ac:dyDescent="0.25">
      <c r="A1145" s="8" t="s">
        <v>2512</v>
      </c>
      <c r="B1145" s="9"/>
      <c r="C1145" s="9"/>
      <c r="D1145" s="8"/>
      <c r="E1145" s="8"/>
      <c r="F1145" s="8" t="s">
        <v>22</v>
      </c>
      <c r="G1145" s="10" t="s">
        <v>2710</v>
      </c>
      <c r="H1145" s="8" t="s">
        <v>2711</v>
      </c>
      <c r="I1145" s="10" t="s">
        <v>2710</v>
      </c>
      <c r="J1145" s="11" t="s">
        <v>33</v>
      </c>
      <c r="K1145" s="18">
        <v>136000</v>
      </c>
      <c r="L1145" s="12">
        <f t="shared" si="115"/>
        <v>272000</v>
      </c>
      <c r="M1145" s="8">
        <v>1</v>
      </c>
      <c r="N1145" s="8" t="s">
        <v>27</v>
      </c>
      <c r="O1145" s="13"/>
      <c r="P1145" s="14">
        <v>0.2</v>
      </c>
      <c r="Q1145" s="15">
        <v>0.5</v>
      </c>
      <c r="R1145" s="16" t="str">
        <f t="shared" si="113"/>
        <v>GENERAL</v>
      </c>
      <c r="S1145" s="17"/>
      <c r="T1145" s="10" t="str">
        <f t="shared" si="114"/>
        <v>GABINETE DE PARED DE 7 UNIDADES</v>
      </c>
    </row>
    <row r="1146" spans="1:20" ht="27" customHeight="1" x14ac:dyDescent="0.25">
      <c r="A1146" s="8" t="s">
        <v>2512</v>
      </c>
      <c r="B1146" s="9"/>
      <c r="C1146" s="9"/>
      <c r="D1146" s="8"/>
      <c r="E1146" s="8"/>
      <c r="F1146" s="8" t="s">
        <v>22</v>
      </c>
      <c r="G1146" s="10" t="s">
        <v>2712</v>
      </c>
      <c r="H1146" s="8" t="s">
        <v>2713</v>
      </c>
      <c r="I1146" s="10" t="s">
        <v>2712</v>
      </c>
      <c r="J1146" s="11" t="s">
        <v>33</v>
      </c>
      <c r="K1146" s="18">
        <v>78000</v>
      </c>
      <c r="L1146" s="12">
        <f t="shared" si="115"/>
        <v>130000</v>
      </c>
      <c r="M1146" s="8">
        <v>1</v>
      </c>
      <c r="N1146" s="8" t="s">
        <v>27</v>
      </c>
      <c r="O1146" s="13"/>
      <c r="P1146" s="14">
        <v>0.2</v>
      </c>
      <c r="Q1146" s="15">
        <v>0.4</v>
      </c>
      <c r="R1146" s="16" t="str">
        <f t="shared" si="113"/>
        <v>GENERAL</v>
      </c>
      <c r="S1146" s="17"/>
      <c r="T1146" s="10" t="str">
        <f t="shared" si="114"/>
        <v>SPLITTER HDMI 2X1</v>
      </c>
    </row>
    <row r="1147" spans="1:20" ht="27" customHeight="1" x14ac:dyDescent="0.25">
      <c r="A1147" s="8" t="s">
        <v>2512</v>
      </c>
      <c r="B1147" s="9"/>
      <c r="C1147" s="9"/>
      <c r="D1147" s="8"/>
      <c r="E1147" s="8"/>
      <c r="F1147" s="8" t="s">
        <v>22</v>
      </c>
      <c r="G1147" s="10" t="s">
        <v>2714</v>
      </c>
      <c r="H1147" s="8" t="s">
        <v>2715</v>
      </c>
      <c r="I1147" s="10" t="s">
        <v>2714</v>
      </c>
      <c r="J1147" s="11" t="s">
        <v>33</v>
      </c>
      <c r="K1147" s="18">
        <v>48000</v>
      </c>
      <c r="L1147" s="12">
        <f t="shared" si="115"/>
        <v>68600</v>
      </c>
      <c r="M1147" s="8">
        <v>1</v>
      </c>
      <c r="N1147" s="8" t="s">
        <v>27</v>
      </c>
      <c r="O1147" s="13"/>
      <c r="P1147" s="14">
        <v>0.2</v>
      </c>
      <c r="Q1147" s="15">
        <v>0.3</v>
      </c>
      <c r="R1147" s="16" t="str">
        <f t="shared" si="113"/>
        <v>GENERAL</v>
      </c>
      <c r="S1147" s="17"/>
      <c r="T1147" s="10" t="str">
        <f t="shared" si="114"/>
        <v>USB EXTENDER DE 30 PIES</v>
      </c>
    </row>
    <row r="1148" spans="1:20" ht="27" customHeight="1" x14ac:dyDescent="0.25">
      <c r="A1148" s="8" t="s">
        <v>2512</v>
      </c>
      <c r="B1148" s="9"/>
      <c r="C1148" s="9"/>
      <c r="D1148" s="8"/>
      <c r="E1148" s="8"/>
      <c r="F1148" s="8" t="s">
        <v>22</v>
      </c>
      <c r="G1148" s="10" t="s">
        <v>2716</v>
      </c>
      <c r="H1148" s="8" t="s">
        <v>2717</v>
      </c>
      <c r="I1148" s="10" t="s">
        <v>2716</v>
      </c>
      <c r="J1148" s="11" t="s">
        <v>33</v>
      </c>
      <c r="K1148" s="18">
        <v>30000</v>
      </c>
      <c r="L1148" s="12">
        <f t="shared" si="115"/>
        <v>42900</v>
      </c>
      <c r="M1148" s="8">
        <v>1</v>
      </c>
      <c r="N1148" s="8" t="s">
        <v>27</v>
      </c>
      <c r="O1148" s="13"/>
      <c r="P1148" s="14">
        <v>0.2</v>
      </c>
      <c r="Q1148" s="15">
        <v>0.3</v>
      </c>
      <c r="R1148" s="16" t="str">
        <f t="shared" si="113"/>
        <v>GENERAL</v>
      </c>
      <c r="S1148" s="17"/>
      <c r="T1148" s="10" t="str">
        <f t="shared" si="114"/>
        <v>SELECTOR HDMI DE 3 CANALES</v>
      </c>
    </row>
    <row r="1149" spans="1:20" ht="27" customHeight="1" x14ac:dyDescent="0.25">
      <c r="A1149" s="8" t="s">
        <v>2512</v>
      </c>
      <c r="B1149" s="9"/>
      <c r="C1149" s="9"/>
      <c r="D1149" s="8"/>
      <c r="E1149" s="8"/>
      <c r="F1149" s="8" t="s">
        <v>22</v>
      </c>
      <c r="G1149" s="10" t="s">
        <v>2718</v>
      </c>
      <c r="H1149" s="8" t="s">
        <v>2719</v>
      </c>
      <c r="I1149" s="10" t="s">
        <v>2718</v>
      </c>
      <c r="J1149" s="11" t="s">
        <v>33</v>
      </c>
      <c r="K1149" s="18">
        <v>25000</v>
      </c>
      <c r="L1149" s="12">
        <f t="shared" si="115"/>
        <v>35800</v>
      </c>
      <c r="M1149" s="8">
        <v>1</v>
      </c>
      <c r="N1149" s="8" t="s">
        <v>27</v>
      </c>
      <c r="O1149" s="13"/>
      <c r="P1149" s="14">
        <v>0.2</v>
      </c>
      <c r="Q1149" s="15">
        <v>0.3</v>
      </c>
      <c r="R1149" s="16" t="str">
        <f t="shared" si="113"/>
        <v>GENERAL</v>
      </c>
      <c r="S1149" s="17"/>
      <c r="T1149" s="10" t="str">
        <f t="shared" si="114"/>
        <v>CABLE USB DE 1 METRO</v>
      </c>
    </row>
    <row r="1150" spans="1:20" ht="27" customHeight="1" x14ac:dyDescent="0.25">
      <c r="A1150" s="8" t="s">
        <v>2512</v>
      </c>
      <c r="B1150" s="9"/>
      <c r="C1150" s="9"/>
      <c r="D1150" s="8"/>
      <c r="E1150" s="8"/>
      <c r="F1150" s="8" t="s">
        <v>22</v>
      </c>
      <c r="G1150" s="10" t="s">
        <v>2720</v>
      </c>
      <c r="H1150" s="8" t="s">
        <v>2721</v>
      </c>
      <c r="I1150" s="10" t="s">
        <v>2720</v>
      </c>
      <c r="J1150" s="11" t="s">
        <v>26</v>
      </c>
      <c r="K1150" s="18">
        <v>10</v>
      </c>
      <c r="L1150" s="12">
        <f t="shared" si="115"/>
        <v>15</v>
      </c>
      <c r="M1150" s="8">
        <v>1</v>
      </c>
      <c r="N1150" s="8" t="s">
        <v>27</v>
      </c>
      <c r="O1150" s="13"/>
      <c r="P1150" s="14">
        <v>0.2</v>
      </c>
      <c r="Q1150" s="15">
        <v>0.2</v>
      </c>
      <c r="R1150" s="16" t="str">
        <f t="shared" si="113"/>
        <v>GENERAL</v>
      </c>
      <c r="S1150" s="17"/>
      <c r="T1150" s="10" t="str">
        <f t="shared" si="114"/>
        <v>FACEPLATE USB</v>
      </c>
    </row>
    <row r="1151" spans="1:20" ht="27" customHeight="1" x14ac:dyDescent="0.25">
      <c r="A1151" s="8" t="s">
        <v>2512</v>
      </c>
      <c r="B1151" s="9"/>
      <c r="C1151" s="9"/>
      <c r="D1151" s="8"/>
      <c r="E1151" s="8"/>
      <c r="F1151" s="8" t="s">
        <v>22</v>
      </c>
      <c r="G1151" s="10" t="s">
        <v>2722</v>
      </c>
      <c r="H1151" s="8" t="s">
        <v>2723</v>
      </c>
      <c r="I1151" s="10" t="s">
        <v>2722</v>
      </c>
      <c r="J1151" s="11" t="s">
        <v>26</v>
      </c>
      <c r="K1151" s="18">
        <v>5</v>
      </c>
      <c r="L1151" s="12">
        <f t="shared" si="115"/>
        <v>10</v>
      </c>
      <c r="M1151" s="8">
        <v>1</v>
      </c>
      <c r="N1151" s="8" t="s">
        <v>27</v>
      </c>
      <c r="O1151" s="13"/>
      <c r="P1151" s="14">
        <v>0.2</v>
      </c>
      <c r="Q1151" s="15">
        <v>0.4</v>
      </c>
      <c r="R1151" s="16" t="str">
        <f t="shared" si="113"/>
        <v>GENERAL</v>
      </c>
      <c r="S1151" s="17"/>
      <c r="T1151" s="10" t="str">
        <f t="shared" si="114"/>
        <v>MODULO USB</v>
      </c>
    </row>
    <row r="1152" spans="1:20" ht="27" customHeight="1" x14ac:dyDescent="0.25">
      <c r="A1152" s="8" t="s">
        <v>2512</v>
      </c>
      <c r="B1152" s="9"/>
      <c r="C1152" s="9"/>
      <c r="D1152" s="8"/>
      <c r="E1152" s="8"/>
      <c r="F1152" s="8" t="s">
        <v>22</v>
      </c>
      <c r="G1152" s="10" t="s">
        <v>2724</v>
      </c>
      <c r="H1152" s="8" t="s">
        <v>2725</v>
      </c>
      <c r="I1152" s="10" t="s">
        <v>2724</v>
      </c>
      <c r="J1152" s="11" t="s">
        <v>33</v>
      </c>
      <c r="K1152" s="18">
        <v>79000</v>
      </c>
      <c r="L1152" s="12">
        <f t="shared" si="115"/>
        <v>131700</v>
      </c>
      <c r="M1152" s="8">
        <v>1</v>
      </c>
      <c r="N1152" s="8" t="s">
        <v>27</v>
      </c>
      <c r="O1152" s="13"/>
      <c r="P1152" s="14">
        <v>0.2</v>
      </c>
      <c r="Q1152" s="15">
        <v>0.4</v>
      </c>
      <c r="R1152" s="16" t="str">
        <f t="shared" si="113"/>
        <v>GENERAL</v>
      </c>
      <c r="S1152" s="17"/>
      <c r="T1152" s="10" t="str">
        <f t="shared" si="114"/>
        <v>TRANSFERENCIA TRIFÁSICA DE 63 AMPERIOS</v>
      </c>
    </row>
    <row r="1153" spans="1:20" ht="27" customHeight="1" x14ac:dyDescent="0.25">
      <c r="A1153" s="8" t="s">
        <v>2512</v>
      </c>
      <c r="B1153" s="9"/>
      <c r="C1153" s="9"/>
      <c r="D1153" s="8"/>
      <c r="E1153" s="8"/>
      <c r="F1153" s="8" t="s">
        <v>22</v>
      </c>
      <c r="G1153" s="10" t="s">
        <v>2726</v>
      </c>
      <c r="H1153" s="8" t="s">
        <v>2727</v>
      </c>
      <c r="I1153" s="10" t="s">
        <v>2726</v>
      </c>
      <c r="J1153" s="11" t="s">
        <v>33</v>
      </c>
      <c r="K1153" s="18">
        <v>11000</v>
      </c>
      <c r="L1153" s="12">
        <f t="shared" si="115"/>
        <v>18400</v>
      </c>
      <c r="M1153" s="8">
        <v>1</v>
      </c>
      <c r="N1153" s="8" t="s">
        <v>27</v>
      </c>
      <c r="O1153" s="13"/>
      <c r="P1153" s="14">
        <v>0.2</v>
      </c>
      <c r="Q1153" s="15">
        <v>0.4</v>
      </c>
      <c r="R1153" s="16" t="str">
        <f t="shared" ref="R1153:R1216" si="116">A1153</f>
        <v>GENERAL</v>
      </c>
      <c r="S1153" s="17"/>
      <c r="T1153" s="10" t="str">
        <f t="shared" si="114"/>
        <v>BREAKER UNIPOLAR DE 63 AMPERIOS</v>
      </c>
    </row>
    <row r="1154" spans="1:20" ht="27" customHeight="1" x14ac:dyDescent="0.25">
      <c r="A1154" s="8" t="s">
        <v>2512</v>
      </c>
      <c r="B1154" s="9"/>
      <c r="C1154" s="9"/>
      <c r="D1154" s="8"/>
      <c r="E1154" s="8"/>
      <c r="F1154" s="8" t="s">
        <v>22</v>
      </c>
      <c r="G1154" s="10" t="s">
        <v>2728</v>
      </c>
      <c r="H1154" s="8" t="s">
        <v>2729</v>
      </c>
      <c r="I1154" s="10" t="s">
        <v>2728</v>
      </c>
      <c r="J1154" s="11" t="s">
        <v>33</v>
      </c>
      <c r="K1154" s="18">
        <v>4500</v>
      </c>
      <c r="L1154" s="12">
        <f t="shared" si="115"/>
        <v>7500</v>
      </c>
      <c r="M1154" s="8">
        <v>1</v>
      </c>
      <c r="N1154" s="8" t="s">
        <v>27</v>
      </c>
      <c r="O1154" s="13"/>
      <c r="P1154" s="14">
        <v>0.2</v>
      </c>
      <c r="Q1154" s="15">
        <v>0.4</v>
      </c>
      <c r="R1154" s="16" t="str">
        <f t="shared" si="116"/>
        <v>GENERAL</v>
      </c>
      <c r="S1154" s="17"/>
      <c r="T1154" s="10" t="str">
        <f t="shared" si="114"/>
        <v>TOMA DE SOBRE PONER 15 AMPERIOS</v>
      </c>
    </row>
    <row r="1155" spans="1:20" ht="27" customHeight="1" x14ac:dyDescent="0.25">
      <c r="A1155" s="8" t="s">
        <v>2512</v>
      </c>
      <c r="B1155" s="9"/>
      <c r="C1155" s="9"/>
      <c r="D1155" s="8"/>
      <c r="E1155" s="8"/>
      <c r="F1155" s="8" t="s">
        <v>22</v>
      </c>
      <c r="G1155" s="10" t="s">
        <v>2730</v>
      </c>
      <c r="H1155" s="8" t="s">
        <v>2731</v>
      </c>
      <c r="I1155" s="10" t="s">
        <v>2730</v>
      </c>
      <c r="J1155" s="11" t="s">
        <v>33</v>
      </c>
      <c r="K1155" s="18">
        <v>119000</v>
      </c>
      <c r="L1155" s="12">
        <f t="shared" si="115"/>
        <v>170000</v>
      </c>
      <c r="M1155" s="8">
        <v>1</v>
      </c>
      <c r="N1155" s="8" t="s">
        <v>27</v>
      </c>
      <c r="O1155" s="13"/>
      <c r="P1155" s="14">
        <v>0.2</v>
      </c>
      <c r="Q1155" s="15">
        <v>0.3</v>
      </c>
      <c r="R1155" s="16" t="str">
        <f t="shared" si="116"/>
        <v>GENERAL</v>
      </c>
      <c r="S1155" s="17"/>
      <c r="T1155" s="10" t="str">
        <f t="shared" si="114"/>
        <v>BREAKER ENCHUFABLE DE 3X50A</v>
      </c>
    </row>
    <row r="1156" spans="1:20" ht="27" customHeight="1" x14ac:dyDescent="0.25">
      <c r="A1156" s="8" t="s">
        <v>2512</v>
      </c>
      <c r="B1156" s="9"/>
      <c r="C1156" s="9"/>
      <c r="D1156" s="8"/>
      <c r="E1156" s="8"/>
      <c r="F1156" s="8" t="s">
        <v>22</v>
      </c>
      <c r="G1156" s="10" t="s">
        <v>2732</v>
      </c>
      <c r="H1156" s="8" t="s">
        <v>2733</v>
      </c>
      <c r="I1156" s="10" t="s">
        <v>2732</v>
      </c>
      <c r="J1156" s="11" t="s">
        <v>33</v>
      </c>
      <c r="K1156" s="18">
        <v>15000</v>
      </c>
      <c r="L1156" s="12">
        <f t="shared" si="115"/>
        <v>21500</v>
      </c>
      <c r="M1156" s="8">
        <v>1</v>
      </c>
      <c r="N1156" s="8" t="s">
        <v>27</v>
      </c>
      <c r="O1156" s="13"/>
      <c r="P1156" s="14">
        <v>0.2</v>
      </c>
      <c r="Q1156" s="15">
        <v>0.3</v>
      </c>
      <c r="R1156" s="16" t="str">
        <f t="shared" si="116"/>
        <v>GENERAL</v>
      </c>
      <c r="S1156" s="17"/>
      <c r="T1156" s="10" t="str">
        <f t="shared" si="114"/>
        <v>SOPORTE EN HIERRO, LAMINA DE 5mm. 2KG.</v>
      </c>
    </row>
    <row r="1157" spans="1:20" ht="27" customHeight="1" x14ac:dyDescent="0.25">
      <c r="A1157" s="8" t="s">
        <v>2512</v>
      </c>
      <c r="B1157" s="9"/>
      <c r="C1157" s="9"/>
      <c r="D1157" s="8"/>
      <c r="E1157" s="8"/>
      <c r="F1157" s="8" t="s">
        <v>22</v>
      </c>
      <c r="G1157" s="10" t="s">
        <v>2734</v>
      </c>
      <c r="H1157" s="8" t="s">
        <v>2735</v>
      </c>
      <c r="I1157" s="10" t="s">
        <v>2734</v>
      </c>
      <c r="J1157" s="11" t="s">
        <v>26</v>
      </c>
      <c r="K1157" s="18">
        <v>2980</v>
      </c>
      <c r="L1157" s="12">
        <f t="shared" si="115"/>
        <v>4470</v>
      </c>
      <c r="M1157" s="8">
        <v>1</v>
      </c>
      <c r="N1157" s="8" t="s">
        <v>27</v>
      </c>
      <c r="O1157" s="13"/>
      <c r="P1157" s="14">
        <v>0.2</v>
      </c>
      <c r="Q1157" s="15">
        <v>0.2</v>
      </c>
      <c r="R1157" s="16" t="str">
        <f t="shared" si="116"/>
        <v>GENERAL</v>
      </c>
      <c r="S1157" s="17"/>
      <c r="T1157" s="10" t="str">
        <f t="shared" si="114"/>
        <v>SOPORTE MOTORIZADO TIPO LIBRO CON MARCO PARA TV DE HASTA 50"</v>
      </c>
    </row>
    <row r="1158" spans="1:20" ht="27" customHeight="1" x14ac:dyDescent="0.25">
      <c r="A1158" s="8" t="s">
        <v>2512</v>
      </c>
      <c r="B1158" s="9"/>
      <c r="C1158" s="9"/>
      <c r="D1158" s="8"/>
      <c r="E1158" s="8"/>
      <c r="F1158" s="8" t="s">
        <v>22</v>
      </c>
      <c r="G1158" s="10" t="s">
        <v>2736</v>
      </c>
      <c r="H1158" s="8" t="s">
        <v>2737</v>
      </c>
      <c r="I1158" s="10" t="s">
        <v>2736</v>
      </c>
      <c r="J1158" s="11" t="s">
        <v>33</v>
      </c>
      <c r="K1158" s="18">
        <v>4100</v>
      </c>
      <c r="L1158" s="12">
        <f t="shared" si="115"/>
        <v>5900</v>
      </c>
      <c r="M1158" s="8">
        <v>1</v>
      </c>
      <c r="N1158" s="8" t="s">
        <v>27</v>
      </c>
      <c r="O1158" s="13"/>
      <c r="P1158" s="14">
        <v>0.2</v>
      </c>
      <c r="Q1158" s="15">
        <v>0.3</v>
      </c>
      <c r="R1158" s="16" t="str">
        <f t="shared" si="116"/>
        <v>GENERAL</v>
      </c>
      <c r="S1158" s="17"/>
      <c r="T1158" s="10" t="str">
        <f t="shared" si="114"/>
        <v>CONVERSOR DE DB9 A RJ45 MACHO</v>
      </c>
    </row>
    <row r="1159" spans="1:20" ht="27" customHeight="1" x14ac:dyDescent="0.25">
      <c r="A1159" s="8" t="s">
        <v>2512</v>
      </c>
      <c r="B1159" s="9"/>
      <c r="C1159" s="9"/>
      <c r="D1159" s="8"/>
      <c r="E1159" s="8"/>
      <c r="F1159" s="8" t="s">
        <v>22</v>
      </c>
      <c r="G1159" s="10" t="s">
        <v>2738</v>
      </c>
      <c r="H1159" s="8" t="s">
        <v>2739</v>
      </c>
      <c r="I1159" s="10" t="s">
        <v>2738</v>
      </c>
      <c r="J1159" s="11" t="s">
        <v>33</v>
      </c>
      <c r="K1159" s="18">
        <v>4200</v>
      </c>
      <c r="L1159" s="12">
        <f t="shared" si="115"/>
        <v>10500</v>
      </c>
      <c r="M1159" s="8">
        <v>1</v>
      </c>
      <c r="N1159" s="8" t="s">
        <v>27</v>
      </c>
      <c r="O1159" s="13"/>
      <c r="P1159" s="14">
        <v>0</v>
      </c>
      <c r="Q1159" s="15">
        <v>0.6</v>
      </c>
      <c r="R1159" s="16" t="str">
        <f t="shared" si="116"/>
        <v>GENERAL</v>
      </c>
      <c r="S1159" s="17"/>
      <c r="T1159" s="10" t="str">
        <f t="shared" si="114"/>
        <v>RELEVO DE 5 PINES 12 VOLTIOS</v>
      </c>
    </row>
    <row r="1160" spans="1:20" ht="27" customHeight="1" x14ac:dyDescent="0.25">
      <c r="A1160" s="8" t="s">
        <v>2512</v>
      </c>
      <c r="B1160" s="9"/>
      <c r="C1160" s="9"/>
      <c r="D1160" s="8"/>
      <c r="E1160" s="8"/>
      <c r="F1160" s="8" t="s">
        <v>22</v>
      </c>
      <c r="G1160" s="10" t="s">
        <v>2740</v>
      </c>
      <c r="H1160" s="8" t="s">
        <v>2741</v>
      </c>
      <c r="I1160" s="10" t="s">
        <v>2740</v>
      </c>
      <c r="J1160" s="11" t="s">
        <v>33</v>
      </c>
      <c r="K1160" s="18">
        <v>4000</v>
      </c>
      <c r="L1160" s="12">
        <f t="shared" si="115"/>
        <v>5800</v>
      </c>
      <c r="M1160" s="8">
        <v>1</v>
      </c>
      <c r="N1160" s="8" t="s">
        <v>27</v>
      </c>
      <c r="O1160" s="13"/>
      <c r="P1160" s="14">
        <v>0.2</v>
      </c>
      <c r="Q1160" s="15">
        <v>0.3</v>
      </c>
      <c r="R1160" s="16" t="str">
        <f t="shared" si="116"/>
        <v>GENERAL</v>
      </c>
      <c r="S1160" s="17"/>
      <c r="T1160" s="10" t="str">
        <f t="shared" si="114"/>
        <v>CABLE USB MACHO MACHO DE 1 METRO</v>
      </c>
    </row>
    <row r="1161" spans="1:20" ht="27" customHeight="1" x14ac:dyDescent="0.25">
      <c r="A1161" s="8" t="s">
        <v>2512</v>
      </c>
      <c r="B1161" s="9"/>
      <c r="C1161" s="9"/>
      <c r="D1161" s="8"/>
      <c r="E1161" s="8"/>
      <c r="F1161" s="8" t="s">
        <v>22</v>
      </c>
      <c r="G1161" s="10" t="s">
        <v>2742</v>
      </c>
      <c r="H1161" s="8" t="s">
        <v>2743</v>
      </c>
      <c r="I1161" s="10" t="s">
        <v>2742</v>
      </c>
      <c r="J1161" s="11" t="s">
        <v>33</v>
      </c>
      <c r="K1161" s="18">
        <v>234000</v>
      </c>
      <c r="L1161" s="12">
        <f t="shared" si="115"/>
        <v>334300</v>
      </c>
      <c r="M1161" s="8">
        <v>1</v>
      </c>
      <c r="N1161" s="8" t="s">
        <v>27</v>
      </c>
      <c r="O1161" s="13"/>
      <c r="P1161" s="14">
        <v>0.2</v>
      </c>
      <c r="Q1161" s="15">
        <v>0.3</v>
      </c>
      <c r="R1161" s="16" t="str">
        <f t="shared" si="116"/>
        <v>GENERAL</v>
      </c>
      <c r="S1161" s="17"/>
      <c r="T1161" s="10" t="str">
        <f t="shared" si="114"/>
        <v>TRÍPODE PARA SUJECIÓN DE TUBERÍA</v>
      </c>
    </row>
    <row r="1162" spans="1:20" ht="27" customHeight="1" x14ac:dyDescent="0.25">
      <c r="A1162" s="8" t="s">
        <v>2512</v>
      </c>
      <c r="B1162" s="9"/>
      <c r="C1162" s="9"/>
      <c r="D1162" s="8"/>
      <c r="E1162" s="8"/>
      <c r="F1162" s="8" t="s">
        <v>22</v>
      </c>
      <c r="G1162" s="10" t="s">
        <v>2744</v>
      </c>
      <c r="H1162" s="8" t="s">
        <v>2745</v>
      </c>
      <c r="I1162" s="10" t="s">
        <v>2744</v>
      </c>
      <c r="J1162" s="11" t="s">
        <v>33</v>
      </c>
      <c r="K1162" s="18">
        <v>130252</v>
      </c>
      <c r="L1162" s="12">
        <f t="shared" si="115"/>
        <v>186100</v>
      </c>
      <c r="M1162" s="8">
        <v>1</v>
      </c>
      <c r="N1162" s="8" t="s">
        <v>27</v>
      </c>
      <c r="O1162" s="13"/>
      <c r="P1162" s="14">
        <v>0.2</v>
      </c>
      <c r="Q1162" s="15">
        <v>0.3</v>
      </c>
      <c r="R1162" s="16" t="str">
        <f t="shared" si="116"/>
        <v>GENERAL</v>
      </c>
      <c r="S1162" s="17"/>
      <c r="T1162" s="10" t="str">
        <f t="shared" si="114"/>
        <v>TRANSFORMADOR TOROIDAL DE 300W</v>
      </c>
    </row>
    <row r="1163" spans="1:20" ht="27" customHeight="1" x14ac:dyDescent="0.25">
      <c r="A1163" s="8" t="s">
        <v>2512</v>
      </c>
      <c r="B1163" s="9"/>
      <c r="C1163" s="9"/>
      <c r="D1163" s="8"/>
      <c r="E1163" s="8"/>
      <c r="F1163" s="8" t="s">
        <v>22</v>
      </c>
      <c r="G1163" s="10" t="s">
        <v>2746</v>
      </c>
      <c r="H1163" s="8" t="s">
        <v>2747</v>
      </c>
      <c r="I1163" s="10" t="s">
        <v>2746</v>
      </c>
      <c r="J1163" s="11" t="s">
        <v>33</v>
      </c>
      <c r="K1163" s="18">
        <v>27310</v>
      </c>
      <c r="L1163" s="12">
        <f t="shared" si="115"/>
        <v>39100</v>
      </c>
      <c r="M1163" s="8">
        <v>1</v>
      </c>
      <c r="N1163" s="8" t="s">
        <v>27</v>
      </c>
      <c r="O1163" s="13"/>
      <c r="P1163" s="14">
        <v>0.2</v>
      </c>
      <c r="Q1163" s="15">
        <v>0.3</v>
      </c>
      <c r="R1163" s="16" t="str">
        <f t="shared" si="116"/>
        <v>GENERAL</v>
      </c>
      <c r="S1163" s="17"/>
      <c r="T1163" s="10" t="str">
        <f t="shared" si="114"/>
        <v>CAJA DE POLIPROPILENO PARA EXTERIORES</v>
      </c>
    </row>
    <row r="1164" spans="1:20" ht="27" customHeight="1" x14ac:dyDescent="0.25">
      <c r="A1164" s="8" t="s">
        <v>2512</v>
      </c>
      <c r="B1164" s="9"/>
      <c r="C1164" s="9"/>
      <c r="D1164" s="8"/>
      <c r="E1164" s="8"/>
      <c r="F1164" s="8" t="s">
        <v>22</v>
      </c>
      <c r="G1164" s="10" t="s">
        <v>2748</v>
      </c>
      <c r="H1164" s="8" t="s">
        <v>2749</v>
      </c>
      <c r="I1164" s="10" t="s">
        <v>2748</v>
      </c>
      <c r="J1164" s="11" t="s">
        <v>33</v>
      </c>
      <c r="K1164" s="18">
        <v>38000</v>
      </c>
      <c r="L1164" s="12">
        <f t="shared" si="115"/>
        <v>54300</v>
      </c>
      <c r="M1164" s="8">
        <v>1</v>
      </c>
      <c r="N1164" s="8" t="s">
        <v>27</v>
      </c>
      <c r="O1164" s="13"/>
      <c r="P1164" s="14">
        <v>0.2</v>
      </c>
      <c r="Q1164" s="15">
        <v>0.3</v>
      </c>
      <c r="R1164" s="16" t="str">
        <f t="shared" si="116"/>
        <v>GENERAL</v>
      </c>
      <c r="S1164" s="17"/>
      <c r="T1164" s="10" t="str">
        <f t="shared" si="114"/>
        <v>CONVERSOR HDMI A VGA</v>
      </c>
    </row>
    <row r="1165" spans="1:20" ht="27" customHeight="1" x14ac:dyDescent="0.25">
      <c r="A1165" s="8" t="s">
        <v>2512</v>
      </c>
      <c r="B1165" s="9"/>
      <c r="C1165" s="9"/>
      <c r="D1165" s="8"/>
      <c r="E1165" s="8"/>
      <c r="F1165" s="8" t="s">
        <v>22</v>
      </c>
      <c r="G1165" s="10" t="s">
        <v>2750</v>
      </c>
      <c r="H1165" s="8" t="s">
        <v>2751</v>
      </c>
      <c r="I1165" s="10" t="s">
        <v>2750</v>
      </c>
      <c r="J1165" s="11" t="s">
        <v>33</v>
      </c>
      <c r="K1165" s="18">
        <v>60000</v>
      </c>
      <c r="L1165" s="12">
        <f t="shared" si="115"/>
        <v>85800</v>
      </c>
      <c r="M1165" s="8">
        <v>1</v>
      </c>
      <c r="N1165" s="8" t="s">
        <v>27</v>
      </c>
      <c r="O1165" s="13"/>
      <c r="P1165" s="14">
        <v>0.2</v>
      </c>
      <c r="Q1165" s="15">
        <v>0.3</v>
      </c>
      <c r="R1165" s="16" t="str">
        <f t="shared" si="116"/>
        <v>GENERAL</v>
      </c>
      <c r="S1165" s="17"/>
      <c r="T1165" s="10" t="str">
        <f t="shared" si="114"/>
        <v>TERMINAL EN FIBRA ÓPTICA</v>
      </c>
    </row>
    <row r="1166" spans="1:20" ht="27" customHeight="1" x14ac:dyDescent="0.25">
      <c r="A1166" s="8" t="s">
        <v>2512</v>
      </c>
      <c r="B1166" s="9"/>
      <c r="C1166" s="9"/>
      <c r="D1166" s="8"/>
      <c r="E1166" s="8"/>
      <c r="F1166" s="8" t="s">
        <v>22</v>
      </c>
      <c r="G1166" s="10" t="s">
        <v>2752</v>
      </c>
      <c r="H1166" s="8" t="s">
        <v>2753</v>
      </c>
      <c r="I1166" s="10" t="s">
        <v>2752</v>
      </c>
      <c r="J1166" s="11" t="s">
        <v>33</v>
      </c>
      <c r="K1166" s="18">
        <v>6000</v>
      </c>
      <c r="L1166" s="12">
        <f t="shared" si="115"/>
        <v>8600</v>
      </c>
      <c r="M1166" s="8">
        <v>1</v>
      </c>
      <c r="N1166" s="8" t="s">
        <v>27</v>
      </c>
      <c r="O1166" s="13"/>
      <c r="P1166" s="14">
        <v>0.2</v>
      </c>
      <c r="Q1166" s="15">
        <v>0.3</v>
      </c>
      <c r="R1166" s="16" t="str">
        <f t="shared" si="116"/>
        <v>GENERAL</v>
      </c>
      <c r="S1166" s="17"/>
      <c r="T1166" s="10" t="str">
        <f t="shared" si="114"/>
        <v>PATCH CORE CATEGORÍA 5 DE 3 METROS</v>
      </c>
    </row>
    <row r="1167" spans="1:20" ht="27" customHeight="1" x14ac:dyDescent="0.25">
      <c r="A1167" s="8" t="s">
        <v>2512</v>
      </c>
      <c r="B1167" s="9"/>
      <c r="C1167" s="9"/>
      <c r="D1167" s="8"/>
      <c r="E1167" s="8"/>
      <c r="F1167" s="8" t="s">
        <v>22</v>
      </c>
      <c r="G1167" s="10" t="s">
        <v>2754</v>
      </c>
      <c r="H1167" s="8" t="s">
        <v>2755</v>
      </c>
      <c r="I1167" s="10" t="s">
        <v>2754</v>
      </c>
      <c r="J1167" s="11" t="s">
        <v>33</v>
      </c>
      <c r="K1167" s="18">
        <v>12000</v>
      </c>
      <c r="L1167" s="12">
        <f t="shared" si="115"/>
        <v>17200</v>
      </c>
      <c r="M1167" s="8">
        <v>1</v>
      </c>
      <c r="N1167" s="8" t="s">
        <v>27</v>
      </c>
      <c r="O1167" s="13"/>
      <c r="P1167" s="14">
        <v>0.2</v>
      </c>
      <c r="Q1167" s="15">
        <v>0.3</v>
      </c>
      <c r="R1167" s="16" t="str">
        <f t="shared" si="116"/>
        <v>GENERAL</v>
      </c>
      <c r="S1167" s="17"/>
      <c r="T1167" s="10" t="str">
        <f t="shared" si="114"/>
        <v>PATCH CORE CATEGORÍA 5 DE 5 METROS</v>
      </c>
    </row>
    <row r="1168" spans="1:20" ht="27" customHeight="1" x14ac:dyDescent="0.25">
      <c r="A1168" s="8" t="s">
        <v>2512</v>
      </c>
      <c r="B1168" s="9"/>
      <c r="C1168" s="9"/>
      <c r="D1168" s="8"/>
      <c r="E1168" s="8"/>
      <c r="F1168" s="8" t="s">
        <v>22</v>
      </c>
      <c r="G1168" s="10" t="s">
        <v>2756</v>
      </c>
      <c r="H1168" s="8" t="s">
        <v>2757</v>
      </c>
      <c r="I1168" s="10" t="s">
        <v>2756</v>
      </c>
      <c r="J1168" s="11" t="s">
        <v>33</v>
      </c>
      <c r="K1168" s="18">
        <v>5000</v>
      </c>
      <c r="L1168" s="12">
        <f t="shared" si="115"/>
        <v>7200</v>
      </c>
      <c r="M1168" s="8">
        <v>1</v>
      </c>
      <c r="N1168" s="8" t="s">
        <v>27</v>
      </c>
      <c r="O1168" s="13"/>
      <c r="P1168" s="14">
        <v>0.2</v>
      </c>
      <c r="Q1168" s="15">
        <v>0.3</v>
      </c>
      <c r="R1168" s="16" t="str">
        <f t="shared" si="116"/>
        <v>GENERAL</v>
      </c>
      <c r="S1168" s="17"/>
      <c r="T1168" s="10" t="str">
        <f t="shared" si="114"/>
        <v>FACE PLATE PARA 4 JACKS</v>
      </c>
    </row>
    <row r="1169" spans="1:20" ht="27" customHeight="1" x14ac:dyDescent="0.25">
      <c r="A1169" s="8" t="s">
        <v>2512</v>
      </c>
      <c r="B1169" s="9"/>
      <c r="C1169" s="9"/>
      <c r="D1169" s="8"/>
      <c r="E1169" s="8"/>
      <c r="F1169" s="8" t="s">
        <v>22</v>
      </c>
      <c r="G1169" s="10" t="s">
        <v>2758</v>
      </c>
      <c r="H1169" s="8" t="s">
        <v>2759</v>
      </c>
      <c r="I1169" s="10" t="s">
        <v>2758</v>
      </c>
      <c r="J1169" s="11" t="s">
        <v>33</v>
      </c>
      <c r="K1169" s="18">
        <v>22500</v>
      </c>
      <c r="L1169" s="12">
        <f t="shared" si="115"/>
        <v>32200</v>
      </c>
      <c r="M1169" s="8">
        <v>1</v>
      </c>
      <c r="N1169" s="8" t="s">
        <v>27</v>
      </c>
      <c r="O1169" s="13"/>
      <c r="P1169" s="14">
        <v>0.2</v>
      </c>
      <c r="Q1169" s="15">
        <v>0.3</v>
      </c>
      <c r="R1169" s="16" t="str">
        <f t="shared" si="116"/>
        <v>GENERAL</v>
      </c>
      <c r="S1169" s="17"/>
      <c r="T1169" s="10" t="str">
        <f t="shared" si="114"/>
        <v>CAJA CON LLAVE DE GUARDA, TAMAÑO 4.5"X5"</v>
      </c>
    </row>
    <row r="1170" spans="1:20" ht="27" customHeight="1" x14ac:dyDescent="0.25">
      <c r="A1170" s="8" t="s">
        <v>2512</v>
      </c>
      <c r="B1170" s="9"/>
      <c r="C1170" s="9"/>
      <c r="D1170" s="8"/>
      <c r="E1170" s="8"/>
      <c r="F1170" s="8" t="s">
        <v>22</v>
      </c>
      <c r="G1170" s="10" t="s">
        <v>2760</v>
      </c>
      <c r="H1170" s="8" t="s">
        <v>2761</v>
      </c>
      <c r="I1170" s="10" t="s">
        <v>2760</v>
      </c>
      <c r="J1170" s="11" t="s">
        <v>33</v>
      </c>
      <c r="K1170" s="18">
        <v>40000</v>
      </c>
      <c r="L1170" s="12">
        <f t="shared" si="115"/>
        <v>57200</v>
      </c>
      <c r="M1170" s="8">
        <v>1</v>
      </c>
      <c r="N1170" s="8" t="s">
        <v>27</v>
      </c>
      <c r="O1170" s="13"/>
      <c r="P1170" s="14">
        <v>0.2</v>
      </c>
      <c r="Q1170" s="15">
        <v>0.3</v>
      </c>
      <c r="R1170" s="16" t="str">
        <f t="shared" si="116"/>
        <v>GENERAL</v>
      </c>
      <c r="S1170" s="17"/>
      <c r="T1170" s="10" t="str">
        <f t="shared" si="114"/>
        <v>TAPA PARA CONEXIONES HDMI, USB Y ESTÉREO</v>
      </c>
    </row>
    <row r="1171" spans="1:20" ht="27" customHeight="1" x14ac:dyDescent="0.25">
      <c r="A1171" s="8" t="s">
        <v>2512</v>
      </c>
      <c r="B1171" s="9"/>
      <c r="C1171" s="9"/>
      <c r="D1171" s="8"/>
      <c r="E1171" s="8"/>
      <c r="F1171" s="8" t="s">
        <v>22</v>
      </c>
      <c r="G1171" s="10" t="s">
        <v>2762</v>
      </c>
      <c r="H1171" s="8" t="s">
        <v>2763</v>
      </c>
      <c r="I1171" s="10" t="s">
        <v>2762</v>
      </c>
      <c r="J1171" s="11" t="s">
        <v>33</v>
      </c>
      <c r="K1171" s="18">
        <v>3000</v>
      </c>
      <c r="L1171" s="12">
        <f t="shared" si="115"/>
        <v>5000</v>
      </c>
      <c r="M1171" s="8">
        <v>1</v>
      </c>
      <c r="N1171" s="8" t="s">
        <v>27</v>
      </c>
      <c r="O1171" s="13"/>
      <c r="P1171" s="14">
        <v>0.2</v>
      </c>
      <c r="Q1171" s="15">
        <v>0.4</v>
      </c>
      <c r="R1171" s="16" t="str">
        <f t="shared" si="116"/>
        <v>GENERAL</v>
      </c>
      <c r="S1171" s="17"/>
      <c r="T1171" s="10" t="str">
        <f t="shared" si="114"/>
        <v>CABLE RCA A MINI JACK DE 0.9 METROS</v>
      </c>
    </row>
    <row r="1172" spans="1:20" ht="27" customHeight="1" x14ac:dyDescent="0.25">
      <c r="A1172" s="8" t="s">
        <v>2512</v>
      </c>
      <c r="B1172" s="9"/>
      <c r="C1172" s="9"/>
      <c r="D1172" s="8"/>
      <c r="E1172" s="8"/>
      <c r="F1172" s="8" t="s">
        <v>22</v>
      </c>
      <c r="G1172" s="10" t="s">
        <v>2764</v>
      </c>
      <c r="H1172" s="8" t="s">
        <v>1299</v>
      </c>
      <c r="I1172" s="10" t="s">
        <v>2764</v>
      </c>
      <c r="J1172" s="11" t="s">
        <v>33</v>
      </c>
      <c r="K1172" s="18">
        <v>9900</v>
      </c>
      <c r="L1172" s="12">
        <f t="shared" si="115"/>
        <v>14200</v>
      </c>
      <c r="M1172" s="8">
        <v>1</v>
      </c>
      <c r="N1172" s="8" t="s">
        <v>27</v>
      </c>
      <c r="O1172" s="13"/>
      <c r="P1172" s="14">
        <v>0.2</v>
      </c>
      <c r="Q1172" s="15">
        <v>0.3</v>
      </c>
      <c r="R1172" s="16" t="str">
        <f t="shared" si="116"/>
        <v>GENERAL</v>
      </c>
      <c r="S1172" s="17"/>
      <c r="T1172" s="10" t="str">
        <f t="shared" si="114"/>
        <v>MULTITOMA DE PARED DE 6 SALIDAS</v>
      </c>
    </row>
    <row r="1173" spans="1:20" ht="27" customHeight="1" x14ac:dyDescent="0.25">
      <c r="A1173" s="8" t="s">
        <v>2512</v>
      </c>
      <c r="B1173" s="9"/>
      <c r="C1173" s="9"/>
      <c r="D1173" s="8"/>
      <c r="E1173" s="8"/>
      <c r="F1173" s="8" t="s">
        <v>22</v>
      </c>
      <c r="G1173" s="10" t="s">
        <v>2765</v>
      </c>
      <c r="H1173" s="8" t="s">
        <v>2766</v>
      </c>
      <c r="I1173" s="10" t="s">
        <v>2765</v>
      </c>
      <c r="J1173" s="11" t="s">
        <v>33</v>
      </c>
      <c r="K1173" s="18">
        <v>12000</v>
      </c>
      <c r="L1173" s="12">
        <f t="shared" si="115"/>
        <v>20000</v>
      </c>
      <c r="M1173" s="8">
        <v>1</v>
      </c>
      <c r="N1173" s="8" t="s">
        <v>27</v>
      </c>
      <c r="O1173" s="13"/>
      <c r="P1173" s="14">
        <v>0.2</v>
      </c>
      <c r="Q1173" s="15">
        <v>0.4</v>
      </c>
      <c r="R1173" s="16" t="str">
        <f t="shared" si="116"/>
        <v>GENERAL</v>
      </c>
      <c r="S1173" s="17"/>
      <c r="T1173" s="10" t="str">
        <f t="shared" si="114"/>
        <v>AEROSOL NEGRO MATE</v>
      </c>
    </row>
    <row r="1174" spans="1:20" ht="27" customHeight="1" x14ac:dyDescent="0.25">
      <c r="A1174" s="8" t="s">
        <v>2512</v>
      </c>
      <c r="B1174" s="9"/>
      <c r="C1174" s="9"/>
      <c r="D1174" s="8"/>
      <c r="E1174" s="8"/>
      <c r="F1174" s="8" t="s">
        <v>22</v>
      </c>
      <c r="G1174" s="10" t="s">
        <v>2767</v>
      </c>
      <c r="H1174" s="8" t="s">
        <v>2768</v>
      </c>
      <c r="I1174" s="10" t="s">
        <v>2767</v>
      </c>
      <c r="J1174" s="11" t="s">
        <v>33</v>
      </c>
      <c r="K1174" s="18">
        <f>4800/24</f>
        <v>200</v>
      </c>
      <c r="L1174" s="12">
        <f t="shared" si="115"/>
        <v>400</v>
      </c>
      <c r="M1174" s="8">
        <v>1</v>
      </c>
      <c r="N1174" s="8" t="s">
        <v>27</v>
      </c>
      <c r="O1174" s="13"/>
      <c r="P1174" s="14">
        <v>0.2</v>
      </c>
      <c r="Q1174" s="15">
        <v>0.4</v>
      </c>
      <c r="R1174" s="16" t="str">
        <f t="shared" si="116"/>
        <v>GENERAL</v>
      </c>
      <c r="S1174" s="17"/>
      <c r="T1174" s="10" t="str">
        <f t="shared" si="114"/>
        <v>ABRAZADERA PARA CABLE ENCAUCHETADO</v>
      </c>
    </row>
    <row r="1175" spans="1:20" ht="27" customHeight="1" x14ac:dyDescent="0.25">
      <c r="A1175" s="8" t="s">
        <v>2512</v>
      </c>
      <c r="B1175" s="9"/>
      <c r="C1175" s="9"/>
      <c r="D1175" s="8"/>
      <c r="E1175" s="8"/>
      <c r="F1175" s="8" t="s">
        <v>22</v>
      </c>
      <c r="G1175" s="10" t="s">
        <v>2769</v>
      </c>
      <c r="H1175" s="8" t="s">
        <v>2770</v>
      </c>
      <c r="I1175" s="10" t="s">
        <v>2769</v>
      </c>
      <c r="J1175" s="11" t="s">
        <v>33</v>
      </c>
      <c r="K1175" s="18">
        <v>5000</v>
      </c>
      <c r="L1175" s="12">
        <f t="shared" si="115"/>
        <v>8400</v>
      </c>
      <c r="M1175" s="8">
        <v>1</v>
      </c>
      <c r="N1175" s="8" t="s">
        <v>27</v>
      </c>
      <c r="O1175" s="13"/>
      <c r="P1175" s="14">
        <v>0.2</v>
      </c>
      <c r="Q1175" s="15">
        <v>0.4</v>
      </c>
      <c r="R1175" s="16" t="str">
        <f t="shared" si="116"/>
        <v>GENERAL</v>
      </c>
      <c r="S1175" s="17"/>
      <c r="T1175" s="10" t="str">
        <f t="shared" si="114"/>
        <v>BASE PARA FOTOCELDA</v>
      </c>
    </row>
    <row r="1176" spans="1:20" ht="27" customHeight="1" x14ac:dyDescent="0.25">
      <c r="A1176" s="8" t="s">
        <v>2512</v>
      </c>
      <c r="B1176" s="9"/>
      <c r="C1176" s="9"/>
      <c r="D1176" s="8"/>
      <c r="E1176" s="8"/>
      <c r="F1176" s="8" t="s">
        <v>22</v>
      </c>
      <c r="G1176" s="10" t="s">
        <v>2771</v>
      </c>
      <c r="H1176" s="8" t="s">
        <v>2772</v>
      </c>
      <c r="I1176" s="10" t="s">
        <v>2771</v>
      </c>
      <c r="J1176" s="11" t="s">
        <v>33</v>
      </c>
      <c r="K1176" s="18">
        <v>7200</v>
      </c>
      <c r="L1176" s="12">
        <f t="shared" si="115"/>
        <v>12000</v>
      </c>
      <c r="M1176" s="8">
        <v>1</v>
      </c>
      <c r="N1176" s="8" t="s">
        <v>27</v>
      </c>
      <c r="O1176" s="13"/>
      <c r="P1176" s="14">
        <v>0.2</v>
      </c>
      <c r="Q1176" s="15">
        <v>0.4</v>
      </c>
      <c r="R1176" s="16" t="str">
        <f t="shared" si="116"/>
        <v>GENERAL</v>
      </c>
      <c r="S1176" s="17"/>
      <c r="T1176" s="10" t="str">
        <f t="shared" ref="T1176:T1239" si="117">G1176</f>
        <v>CANALETA PLÁSTICA 20X12 DE 2 METROS DE LARGO</v>
      </c>
    </row>
    <row r="1177" spans="1:20" ht="27" customHeight="1" x14ac:dyDescent="0.25">
      <c r="A1177" s="8" t="s">
        <v>2512</v>
      </c>
      <c r="B1177" s="9"/>
      <c r="C1177" s="9"/>
      <c r="D1177" s="8"/>
      <c r="E1177" s="8"/>
      <c r="F1177" s="8" t="s">
        <v>22</v>
      </c>
      <c r="G1177" s="10" t="s">
        <v>2773</v>
      </c>
      <c r="H1177" s="8" t="s">
        <v>2774</v>
      </c>
      <c r="I1177" s="10" t="s">
        <v>2773</v>
      </c>
      <c r="J1177" s="11" t="s">
        <v>33</v>
      </c>
      <c r="K1177" s="18">
        <v>2800</v>
      </c>
      <c r="L1177" s="12">
        <f t="shared" si="115"/>
        <v>4000</v>
      </c>
      <c r="M1177" s="8">
        <v>1</v>
      </c>
      <c r="N1177" s="8" t="s">
        <v>110</v>
      </c>
      <c r="O1177" s="13"/>
      <c r="P1177" s="14">
        <v>0.2</v>
      </c>
      <c r="Q1177" s="15">
        <v>0.3</v>
      </c>
      <c r="R1177" s="16" t="str">
        <f t="shared" si="116"/>
        <v>GENERAL</v>
      </c>
      <c r="S1177" s="17"/>
      <c r="T1177" s="10" t="str">
        <f t="shared" si="117"/>
        <v>METRO DE CORAZA AMERICANA DE 1/2 DE PULGADA</v>
      </c>
    </row>
    <row r="1178" spans="1:20" ht="27" customHeight="1" x14ac:dyDescent="0.25">
      <c r="A1178" s="8" t="s">
        <v>2512</v>
      </c>
      <c r="B1178" s="9"/>
      <c r="C1178" s="9"/>
      <c r="D1178" s="8"/>
      <c r="E1178" s="8"/>
      <c r="F1178" s="8" t="s">
        <v>22</v>
      </c>
      <c r="G1178" s="10" t="s">
        <v>2775</v>
      </c>
      <c r="H1178" s="8" t="s">
        <v>2776</v>
      </c>
      <c r="I1178" s="10" t="s">
        <v>2775</v>
      </c>
      <c r="J1178" s="11" t="s">
        <v>33</v>
      </c>
      <c r="K1178" s="18">
        <v>2100</v>
      </c>
      <c r="L1178" s="12">
        <f t="shared" si="115"/>
        <v>3000</v>
      </c>
      <c r="M1178" s="8">
        <v>1</v>
      </c>
      <c r="N1178" s="8" t="s">
        <v>27</v>
      </c>
      <c r="O1178" s="13"/>
      <c r="P1178" s="14">
        <v>0.2</v>
      </c>
      <c r="Q1178" s="15">
        <v>0.3</v>
      </c>
      <c r="R1178" s="16" t="str">
        <f t="shared" si="116"/>
        <v>GENERAL</v>
      </c>
      <c r="S1178" s="17"/>
      <c r="T1178" s="10" t="str">
        <f t="shared" si="117"/>
        <v>UNIÓN PARA CORAZA AMERICANA DE MEDIA PULGADA</v>
      </c>
    </row>
    <row r="1179" spans="1:20" ht="27" customHeight="1" x14ac:dyDescent="0.25">
      <c r="A1179" s="8" t="s">
        <v>2512</v>
      </c>
      <c r="B1179" s="9"/>
      <c r="C1179" s="9"/>
      <c r="D1179" s="8"/>
      <c r="E1179" s="8"/>
      <c r="F1179" s="8" t="s">
        <v>22</v>
      </c>
      <c r="G1179" s="10" t="s">
        <v>2777</v>
      </c>
      <c r="H1179" s="8" t="s">
        <v>2778</v>
      </c>
      <c r="I1179" s="10" t="s">
        <v>2779</v>
      </c>
      <c r="J1179" s="11" t="s">
        <v>33</v>
      </c>
      <c r="K1179" s="18">
        <v>75000</v>
      </c>
      <c r="L1179" s="12">
        <f t="shared" ref="L1179:L1242" si="118">IF(J1179="P",ROUNDUP(K1179/(1-Q1179),-2),K1179*(1+P1179)/(1-Q1179))</f>
        <v>150000</v>
      </c>
      <c r="M1179" s="8">
        <v>1</v>
      </c>
      <c r="N1179" s="8" t="s">
        <v>27</v>
      </c>
      <c r="O1179" s="13"/>
      <c r="P1179" s="14">
        <v>0.2</v>
      </c>
      <c r="Q1179" s="15">
        <v>0.5</v>
      </c>
      <c r="R1179" s="16" t="str">
        <f t="shared" si="116"/>
        <v>GENERAL</v>
      </c>
      <c r="S1179" s="17"/>
      <c r="T1179" s="10" t="str">
        <f t="shared" si="117"/>
        <v>RECEPTOR DE MEMORIA USB PARA REPRODUCCIÓN DE ARCHIVOS DE AUDIO.</v>
      </c>
    </row>
    <row r="1180" spans="1:20" ht="27" customHeight="1" x14ac:dyDescent="0.25">
      <c r="A1180" s="8" t="s">
        <v>2512</v>
      </c>
      <c r="B1180" s="9"/>
      <c r="C1180" s="9"/>
      <c r="D1180" s="8"/>
      <c r="E1180" s="8"/>
      <c r="F1180" s="8" t="s">
        <v>22</v>
      </c>
      <c r="G1180" s="10" t="s">
        <v>2780</v>
      </c>
      <c r="H1180" s="8" t="s">
        <v>2781</v>
      </c>
      <c r="I1180" s="10" t="s">
        <v>2780</v>
      </c>
      <c r="J1180" s="11" t="s">
        <v>26</v>
      </c>
      <c r="K1180" s="18">
        <v>65</v>
      </c>
      <c r="L1180" s="12">
        <f t="shared" si="118"/>
        <v>111.42857142857143</v>
      </c>
      <c r="M1180" s="8">
        <v>1</v>
      </c>
      <c r="N1180" s="8" t="s">
        <v>27</v>
      </c>
      <c r="O1180" s="13"/>
      <c r="P1180" s="14">
        <v>0.2</v>
      </c>
      <c r="Q1180" s="15">
        <v>0.3</v>
      </c>
      <c r="R1180" s="16" t="str">
        <f t="shared" si="116"/>
        <v>GENERAL</v>
      </c>
      <c r="S1180" s="17"/>
      <c r="T1180" s="10" t="str">
        <f t="shared" si="117"/>
        <v>EXTENDER DE AUDIO POR UTP.</v>
      </c>
    </row>
    <row r="1181" spans="1:20" ht="27" customHeight="1" x14ac:dyDescent="0.25">
      <c r="A1181" s="8" t="s">
        <v>2512</v>
      </c>
      <c r="B1181" s="9"/>
      <c r="C1181" s="9"/>
      <c r="D1181" s="8"/>
      <c r="E1181" s="8"/>
      <c r="F1181" s="8" t="s">
        <v>22</v>
      </c>
      <c r="G1181" s="10" t="s">
        <v>2782</v>
      </c>
      <c r="H1181" s="8" t="s">
        <v>2783</v>
      </c>
      <c r="I1181" s="10" t="s">
        <v>2782</v>
      </c>
      <c r="J1181" s="11" t="s">
        <v>33</v>
      </c>
      <c r="K1181" s="18">
        <v>45000</v>
      </c>
      <c r="L1181" s="12">
        <f t="shared" si="118"/>
        <v>75000</v>
      </c>
      <c r="M1181" s="8">
        <v>1</v>
      </c>
      <c r="N1181" s="8" t="s">
        <v>27</v>
      </c>
      <c r="O1181" s="13"/>
      <c r="P1181" s="14">
        <v>0.2</v>
      </c>
      <c r="Q1181" s="15">
        <v>0.4</v>
      </c>
      <c r="R1181" s="16" t="str">
        <f t="shared" si="116"/>
        <v>GENERAL</v>
      </c>
      <c r="S1181" s="17"/>
      <c r="T1181" s="10" t="str">
        <f t="shared" si="117"/>
        <v>SOPORTE PARA MONITOR HASTA DE 32", CON DOS GRADOS DE LIBERTAD.</v>
      </c>
    </row>
    <row r="1182" spans="1:20" ht="27" customHeight="1" x14ac:dyDescent="0.25">
      <c r="A1182" s="8" t="s">
        <v>2512</v>
      </c>
      <c r="B1182" s="9"/>
      <c r="C1182" s="9"/>
      <c r="D1182" s="8"/>
      <c r="E1182" s="8"/>
      <c r="F1182" s="8" t="s">
        <v>22</v>
      </c>
      <c r="G1182" s="10" t="s">
        <v>2784</v>
      </c>
      <c r="H1182" s="8" t="s">
        <v>2785</v>
      </c>
      <c r="I1182" s="10" t="s">
        <v>2784</v>
      </c>
      <c r="J1182" s="11" t="s">
        <v>33</v>
      </c>
      <c r="K1182" s="18">
        <v>15000</v>
      </c>
      <c r="L1182" s="12">
        <f t="shared" si="118"/>
        <v>25000</v>
      </c>
      <c r="M1182" s="8">
        <v>1</v>
      </c>
      <c r="N1182" s="8" t="s">
        <v>27</v>
      </c>
      <c r="O1182" s="13"/>
      <c r="P1182" s="14">
        <v>0.2</v>
      </c>
      <c r="Q1182" s="15">
        <v>0.4</v>
      </c>
      <c r="R1182" s="16" t="str">
        <f t="shared" si="116"/>
        <v>GENERAL</v>
      </c>
      <c r="S1182" s="17"/>
      <c r="T1182" s="10" t="str">
        <f t="shared" si="117"/>
        <v>PLUG DE AUDIO PARA SUPERFICIE PLANA DE 1/4</v>
      </c>
    </row>
    <row r="1183" spans="1:20" ht="27" customHeight="1" x14ac:dyDescent="0.25">
      <c r="A1183" s="8" t="s">
        <v>2512</v>
      </c>
      <c r="B1183" s="9"/>
      <c r="C1183" s="9"/>
      <c r="D1183" s="8"/>
      <c r="E1183" s="8"/>
      <c r="F1183" s="8" t="s">
        <v>22</v>
      </c>
      <c r="G1183" s="10" t="s">
        <v>2786</v>
      </c>
      <c r="H1183" s="8" t="s">
        <v>2787</v>
      </c>
      <c r="I1183" s="10" t="s">
        <v>2786</v>
      </c>
      <c r="J1183" s="11" t="s">
        <v>26</v>
      </c>
      <c r="K1183" s="18">
        <v>9</v>
      </c>
      <c r="L1183" s="12">
        <f t="shared" si="118"/>
        <v>18</v>
      </c>
      <c r="M1183" s="8">
        <v>1</v>
      </c>
      <c r="N1183" s="8" t="s">
        <v>27</v>
      </c>
      <c r="O1183" s="13"/>
      <c r="P1183" s="14">
        <v>0.2</v>
      </c>
      <c r="Q1183" s="15">
        <v>0.4</v>
      </c>
      <c r="R1183" s="16" t="str">
        <f t="shared" si="116"/>
        <v>GENERAL</v>
      </c>
      <c r="S1183" s="17"/>
      <c r="T1183" s="10" t="str">
        <f t="shared" si="117"/>
        <v>CABLE DE UN METRO CONVERTIDOR DE 3.5mm a PLUG DE 1/4 MACHO A MACHO.</v>
      </c>
    </row>
    <row r="1184" spans="1:20" ht="27" customHeight="1" x14ac:dyDescent="0.25">
      <c r="A1184" s="8" t="s">
        <v>2512</v>
      </c>
      <c r="B1184" s="9"/>
      <c r="C1184" s="9"/>
      <c r="D1184" s="8"/>
      <c r="E1184" s="8"/>
      <c r="F1184" s="8" t="s">
        <v>22</v>
      </c>
      <c r="G1184" s="10" t="s">
        <v>2788</v>
      </c>
      <c r="H1184" s="8" t="s">
        <v>2789</v>
      </c>
      <c r="I1184" s="10" t="s">
        <v>2788</v>
      </c>
      <c r="J1184" s="11" t="s">
        <v>26</v>
      </c>
      <c r="K1184" s="18">
        <v>25</v>
      </c>
      <c r="L1184" s="12">
        <f t="shared" si="118"/>
        <v>37.5</v>
      </c>
      <c r="M1184" s="8">
        <v>1</v>
      </c>
      <c r="N1184" s="8" t="s">
        <v>27</v>
      </c>
      <c r="O1184" s="13"/>
      <c r="P1184" s="14">
        <v>0.2</v>
      </c>
      <c r="Q1184" s="15">
        <v>0.2</v>
      </c>
      <c r="R1184" s="16" t="str">
        <f t="shared" si="116"/>
        <v>GENERAL</v>
      </c>
      <c r="S1184" s="17"/>
      <c r="T1184" s="10" t="str">
        <f t="shared" si="117"/>
        <v>FILTRO DE FERRITA PARA SEÑALES DESBALANCEADAS</v>
      </c>
    </row>
    <row r="1185" spans="1:20" ht="27" customHeight="1" x14ac:dyDescent="0.25">
      <c r="A1185" s="8" t="s">
        <v>2512</v>
      </c>
      <c r="B1185" s="9"/>
      <c r="C1185" s="9"/>
      <c r="D1185" s="8"/>
      <c r="E1185" s="8"/>
      <c r="F1185" s="8" t="s">
        <v>22</v>
      </c>
      <c r="G1185" s="10" t="s">
        <v>2790</v>
      </c>
      <c r="H1185" s="8" t="s">
        <v>2791</v>
      </c>
      <c r="I1185" s="10" t="s">
        <v>2790</v>
      </c>
      <c r="J1185" s="11" t="s">
        <v>33</v>
      </c>
      <c r="K1185" s="18">
        <v>13000</v>
      </c>
      <c r="L1185" s="12">
        <f t="shared" si="118"/>
        <v>21700</v>
      </c>
      <c r="M1185" s="8">
        <v>1</v>
      </c>
      <c r="N1185" s="8" t="s">
        <v>27</v>
      </c>
      <c r="O1185" s="13"/>
      <c r="P1185" s="14">
        <v>0.2</v>
      </c>
      <c r="Q1185" s="15">
        <v>0.4</v>
      </c>
      <c r="R1185" s="16" t="str">
        <f t="shared" si="116"/>
        <v>GENERAL</v>
      </c>
      <c r="S1185" s="17"/>
      <c r="T1185" s="10" t="str">
        <f t="shared" si="117"/>
        <v>CABLE CON SEÑAL ÓPTICA DE 3 METROS</v>
      </c>
    </row>
    <row r="1186" spans="1:20" ht="27" customHeight="1" x14ac:dyDescent="0.25">
      <c r="A1186" s="8" t="s">
        <v>2512</v>
      </c>
      <c r="B1186" s="9"/>
      <c r="C1186" s="9"/>
      <c r="D1186" s="8"/>
      <c r="E1186" s="8"/>
      <c r="F1186" s="8" t="s">
        <v>22</v>
      </c>
      <c r="G1186" s="10" t="s">
        <v>2792</v>
      </c>
      <c r="H1186" s="8" t="s">
        <v>2793</v>
      </c>
      <c r="I1186" s="10" t="s">
        <v>2792</v>
      </c>
      <c r="J1186" s="11" t="s">
        <v>33</v>
      </c>
      <c r="K1186" s="18">
        <v>3400</v>
      </c>
      <c r="L1186" s="12">
        <f t="shared" si="118"/>
        <v>5700</v>
      </c>
      <c r="M1186" s="8">
        <v>1</v>
      </c>
      <c r="N1186" s="8" t="s">
        <v>27</v>
      </c>
      <c r="O1186" s="13"/>
      <c r="P1186" s="14">
        <v>0.2</v>
      </c>
      <c r="Q1186" s="15">
        <v>0.4</v>
      </c>
      <c r="R1186" s="16" t="str">
        <f t="shared" si="116"/>
        <v>GENERAL</v>
      </c>
      <c r="S1186" s="17"/>
      <c r="T1186" s="10" t="str">
        <f t="shared" si="117"/>
        <v>CONECTOR TIPO XLR DE 3 PATAS</v>
      </c>
    </row>
    <row r="1187" spans="1:20" ht="27" customHeight="1" x14ac:dyDescent="0.25">
      <c r="A1187" s="8" t="s">
        <v>2512</v>
      </c>
      <c r="B1187" s="9"/>
      <c r="C1187" s="9"/>
      <c r="D1187" s="8"/>
      <c r="E1187" s="8"/>
      <c r="F1187" s="8" t="s">
        <v>22</v>
      </c>
      <c r="G1187" s="10" t="s">
        <v>2794</v>
      </c>
      <c r="H1187" s="8" t="s">
        <v>2795</v>
      </c>
      <c r="I1187" s="10" t="s">
        <v>2794</v>
      </c>
      <c r="J1187" s="11" t="s">
        <v>33</v>
      </c>
      <c r="K1187" s="18">
        <f>29000/7</f>
        <v>4142.8571428571431</v>
      </c>
      <c r="L1187" s="12">
        <f t="shared" si="118"/>
        <v>7000</v>
      </c>
      <c r="M1187" s="8">
        <v>1</v>
      </c>
      <c r="N1187" s="8" t="s">
        <v>27</v>
      </c>
      <c r="O1187" s="13"/>
      <c r="P1187" s="14">
        <v>0.2</v>
      </c>
      <c r="Q1187" s="15">
        <v>0.4</v>
      </c>
      <c r="R1187" s="16" t="str">
        <f t="shared" si="116"/>
        <v>GENERAL</v>
      </c>
      <c r="S1187" s="17"/>
      <c r="T1187" s="10" t="str">
        <f t="shared" si="117"/>
        <v>TAPA ACRÍLICA TRANSPARENTE DE 30X30</v>
      </c>
    </row>
    <row r="1188" spans="1:20" ht="27" customHeight="1" x14ac:dyDescent="0.25">
      <c r="A1188" s="8" t="s">
        <v>2512</v>
      </c>
      <c r="B1188" s="9"/>
      <c r="C1188" s="9"/>
      <c r="D1188" s="8"/>
      <c r="E1188" s="8"/>
      <c r="F1188" s="8" t="s">
        <v>22</v>
      </c>
      <c r="G1188" s="10" t="s">
        <v>2796</v>
      </c>
      <c r="H1188" s="8" t="s">
        <v>2585</v>
      </c>
      <c r="I1188" s="10" t="s">
        <v>2796</v>
      </c>
      <c r="J1188" s="11" t="s">
        <v>33</v>
      </c>
      <c r="K1188" s="18">
        <v>12000</v>
      </c>
      <c r="L1188" s="12">
        <f t="shared" si="118"/>
        <v>20000</v>
      </c>
      <c r="M1188" s="8">
        <v>1</v>
      </c>
      <c r="N1188" s="8" t="s">
        <v>27</v>
      </c>
      <c r="O1188" s="13"/>
      <c r="P1188" s="14">
        <v>0.2</v>
      </c>
      <c r="Q1188" s="15">
        <v>0.4</v>
      </c>
      <c r="R1188" s="16" t="str">
        <f t="shared" si="116"/>
        <v>GENERAL</v>
      </c>
      <c r="S1188" s="17"/>
      <c r="T1188" s="10" t="str">
        <f t="shared" si="117"/>
        <v>UNIÓN PARA CABLE HDMI</v>
      </c>
    </row>
    <row r="1189" spans="1:20" ht="27" customHeight="1" x14ac:dyDescent="0.25">
      <c r="A1189" s="8" t="s">
        <v>2512</v>
      </c>
      <c r="B1189" s="9"/>
      <c r="C1189" s="9"/>
      <c r="D1189" s="8"/>
      <c r="E1189" s="8"/>
      <c r="F1189" s="8" t="s">
        <v>22</v>
      </c>
      <c r="G1189" s="10" t="s">
        <v>2797</v>
      </c>
      <c r="H1189" s="8" t="s">
        <v>2798</v>
      </c>
      <c r="I1189" s="10" t="s">
        <v>2797</v>
      </c>
      <c r="J1189" s="11" t="s">
        <v>33</v>
      </c>
      <c r="K1189" s="18">
        <v>12000</v>
      </c>
      <c r="L1189" s="12">
        <f t="shared" si="118"/>
        <v>20000</v>
      </c>
      <c r="M1189" s="8">
        <v>1</v>
      </c>
      <c r="N1189" s="8" t="s">
        <v>27</v>
      </c>
      <c r="O1189" s="13"/>
      <c r="P1189" s="14">
        <v>0.2</v>
      </c>
      <c r="Q1189" s="15">
        <v>0.4</v>
      </c>
      <c r="R1189" s="16" t="str">
        <f t="shared" si="116"/>
        <v>GENERAL</v>
      </c>
      <c r="S1189" s="17"/>
      <c r="T1189" s="10" t="str">
        <f t="shared" si="117"/>
        <v>UNIÓN PARA CABLE VGA</v>
      </c>
    </row>
    <row r="1190" spans="1:20" ht="27" customHeight="1" x14ac:dyDescent="0.25">
      <c r="A1190" s="8" t="s">
        <v>2512</v>
      </c>
      <c r="B1190" s="9"/>
      <c r="C1190" s="9"/>
      <c r="D1190" s="8"/>
      <c r="E1190" s="8"/>
      <c r="F1190" s="8" t="s">
        <v>22</v>
      </c>
      <c r="G1190" s="10" t="s">
        <v>2799</v>
      </c>
      <c r="H1190" s="8" t="s">
        <v>2800</v>
      </c>
      <c r="I1190" s="10" t="s">
        <v>2799</v>
      </c>
      <c r="J1190" s="11" t="s">
        <v>33</v>
      </c>
      <c r="K1190" s="18">
        <v>5000</v>
      </c>
      <c r="L1190" s="12">
        <f t="shared" si="118"/>
        <v>8400</v>
      </c>
      <c r="M1190" s="8">
        <v>1</v>
      </c>
      <c r="N1190" s="8" t="s">
        <v>27</v>
      </c>
      <c r="O1190" s="13"/>
      <c r="P1190" s="14">
        <v>0.2</v>
      </c>
      <c r="Q1190" s="15">
        <v>0.4</v>
      </c>
      <c r="R1190" s="16" t="str">
        <f t="shared" si="116"/>
        <v>GENERAL</v>
      </c>
      <c r="S1190" s="17"/>
      <c r="T1190" s="10" t="str">
        <f t="shared" si="117"/>
        <v>UNIÓN PARA AUDIO 3.5mm</v>
      </c>
    </row>
    <row r="1191" spans="1:20" ht="27" customHeight="1" x14ac:dyDescent="0.25">
      <c r="A1191" s="8" t="s">
        <v>2512</v>
      </c>
      <c r="B1191" s="9"/>
      <c r="C1191" s="9"/>
      <c r="D1191" s="8"/>
      <c r="E1191" s="8"/>
      <c r="F1191" s="8" t="s">
        <v>22</v>
      </c>
      <c r="G1191" s="10" t="s">
        <v>2801</v>
      </c>
      <c r="H1191" s="8" t="s">
        <v>2802</v>
      </c>
      <c r="I1191" s="10" t="s">
        <v>2803</v>
      </c>
      <c r="J1191" s="11" t="s">
        <v>33</v>
      </c>
      <c r="K1191" s="18">
        <v>45000</v>
      </c>
      <c r="L1191" s="12">
        <f t="shared" si="118"/>
        <v>75000</v>
      </c>
      <c r="M1191" s="8">
        <v>1</v>
      </c>
      <c r="N1191" s="8" t="s">
        <v>27</v>
      </c>
      <c r="O1191" s="13"/>
      <c r="P1191" s="14">
        <v>0.2</v>
      </c>
      <c r="Q1191" s="15">
        <v>0.4</v>
      </c>
      <c r="R1191" s="16" t="str">
        <f t="shared" si="116"/>
        <v>GENERAL</v>
      </c>
      <c r="S1191" s="17"/>
      <c r="T1191" s="10" t="str">
        <f t="shared" si="117"/>
        <v>CARGADOR USB DE 3.5 AMPERIOS DE 3 SALIDAS PARA TABLETS Y TELÉFONOS.</v>
      </c>
    </row>
    <row r="1192" spans="1:20" ht="27" customHeight="1" x14ac:dyDescent="0.25">
      <c r="A1192" s="8" t="s">
        <v>2512</v>
      </c>
      <c r="B1192" s="9"/>
      <c r="C1192" s="9"/>
      <c r="D1192" s="8"/>
      <c r="E1192" s="8"/>
      <c r="F1192" s="8" t="s">
        <v>22</v>
      </c>
      <c r="G1192" s="10" t="s">
        <v>2804</v>
      </c>
      <c r="H1192" s="8" t="s">
        <v>812</v>
      </c>
      <c r="I1192" s="10" t="s">
        <v>2804</v>
      </c>
      <c r="J1192" s="11" t="s">
        <v>33</v>
      </c>
      <c r="K1192" s="18">
        <v>250000</v>
      </c>
      <c r="L1192" s="12">
        <f t="shared" si="118"/>
        <v>312500</v>
      </c>
      <c r="M1192" s="8">
        <v>1</v>
      </c>
      <c r="N1192" s="8" t="s">
        <v>27</v>
      </c>
      <c r="O1192" s="13"/>
      <c r="P1192" s="14">
        <v>0.2</v>
      </c>
      <c r="Q1192" s="15">
        <v>0.2</v>
      </c>
      <c r="R1192" s="16" t="str">
        <f t="shared" si="116"/>
        <v>GENERAL</v>
      </c>
      <c r="S1192" s="17"/>
      <c r="T1192" s="10" t="str">
        <f t="shared" si="117"/>
        <v>EXTENSIÓN PARA INSTALACIÓN EN POSTE CON ACCESORIOS</v>
      </c>
    </row>
    <row r="1193" spans="1:20" ht="27" customHeight="1" x14ac:dyDescent="0.25">
      <c r="A1193" s="8" t="s">
        <v>2512</v>
      </c>
      <c r="B1193" s="9"/>
      <c r="C1193" s="9"/>
      <c r="D1193" s="8"/>
      <c r="E1193" s="8"/>
      <c r="F1193" s="8" t="s">
        <v>22</v>
      </c>
      <c r="G1193" s="10" t="s">
        <v>2805</v>
      </c>
      <c r="H1193" s="8" t="s">
        <v>2806</v>
      </c>
      <c r="I1193" s="10" t="s">
        <v>2805</v>
      </c>
      <c r="J1193" s="11" t="s">
        <v>33</v>
      </c>
      <c r="K1193" s="18">
        <v>50000</v>
      </c>
      <c r="L1193" s="12">
        <f t="shared" si="118"/>
        <v>62500</v>
      </c>
      <c r="M1193" s="8">
        <v>1</v>
      </c>
      <c r="N1193" s="8" t="s">
        <v>27</v>
      </c>
      <c r="O1193" s="13"/>
      <c r="P1193" s="14">
        <v>0.2</v>
      </c>
      <c r="Q1193" s="15">
        <v>0.2</v>
      </c>
      <c r="R1193" s="16" t="str">
        <f t="shared" si="116"/>
        <v>GENERAL</v>
      </c>
      <c r="S1193" s="17"/>
      <c r="T1193" s="10" t="str">
        <f t="shared" si="117"/>
        <v>MONTAJE DE POSTE CON ABRAZADERA</v>
      </c>
    </row>
    <row r="1194" spans="1:20" ht="27" customHeight="1" x14ac:dyDescent="0.25">
      <c r="A1194" s="8" t="s">
        <v>2512</v>
      </c>
      <c r="B1194" s="9"/>
      <c r="C1194" s="9"/>
      <c r="D1194" s="8"/>
      <c r="E1194" s="8"/>
      <c r="F1194" s="8" t="s">
        <v>22</v>
      </c>
      <c r="G1194" s="10" t="s">
        <v>2807</v>
      </c>
      <c r="H1194" s="8" t="s">
        <v>2808</v>
      </c>
      <c r="I1194" s="10" t="s">
        <v>2807</v>
      </c>
      <c r="J1194" s="11" t="s">
        <v>33</v>
      </c>
      <c r="K1194" s="18">
        <v>201597</v>
      </c>
      <c r="L1194" s="12">
        <f t="shared" si="118"/>
        <v>252000</v>
      </c>
      <c r="M1194" s="8">
        <v>1</v>
      </c>
      <c r="N1194" s="8" t="s">
        <v>27</v>
      </c>
      <c r="O1194" s="13"/>
      <c r="P1194" s="14">
        <v>0.2</v>
      </c>
      <c r="Q1194" s="15">
        <v>0.2</v>
      </c>
      <c r="R1194" s="16" t="str">
        <f t="shared" si="116"/>
        <v>GENERAL</v>
      </c>
      <c r="S1194" s="17"/>
      <c r="T1194" s="10" t="str">
        <f t="shared" si="117"/>
        <v>SOPORTE DOBLE DE BRAZO PARA TV DE HASTA 70".</v>
      </c>
    </row>
    <row r="1195" spans="1:20" ht="27" customHeight="1" x14ac:dyDescent="0.25">
      <c r="A1195" s="8" t="s">
        <v>2512</v>
      </c>
      <c r="B1195" s="9"/>
      <c r="C1195" s="9"/>
      <c r="D1195" s="8"/>
      <c r="E1195" s="8"/>
      <c r="F1195" s="8" t="s">
        <v>22</v>
      </c>
      <c r="G1195" s="10" t="s">
        <v>2809</v>
      </c>
      <c r="H1195" s="8" t="s">
        <v>2810</v>
      </c>
      <c r="I1195" s="10" t="s">
        <v>2809</v>
      </c>
      <c r="J1195" s="11" t="s">
        <v>33</v>
      </c>
      <c r="K1195" s="18">
        <v>60000</v>
      </c>
      <c r="L1195" s="12">
        <f t="shared" si="118"/>
        <v>100000</v>
      </c>
      <c r="M1195" s="8">
        <v>1</v>
      </c>
      <c r="N1195" s="8" t="s">
        <v>27</v>
      </c>
      <c r="O1195" s="13"/>
      <c r="P1195" s="14">
        <v>0.2</v>
      </c>
      <c r="Q1195" s="15">
        <v>0.4</v>
      </c>
      <c r="R1195" s="16" t="str">
        <f t="shared" si="116"/>
        <v>GENERAL</v>
      </c>
      <c r="S1195" s="17"/>
      <c r="T1195" s="10" t="str">
        <f t="shared" si="117"/>
        <v>SPLITTER DE UNA ENTRADA DOS SALIDAS HDMI PROTOCOLO 1.4</v>
      </c>
    </row>
    <row r="1196" spans="1:20" ht="27" customHeight="1" x14ac:dyDescent="0.25">
      <c r="A1196" s="8" t="s">
        <v>2512</v>
      </c>
      <c r="B1196" s="9"/>
      <c r="C1196" s="9"/>
      <c r="D1196" s="8"/>
      <c r="E1196" s="8"/>
      <c r="F1196" s="8" t="s">
        <v>22</v>
      </c>
      <c r="G1196" s="10" t="s">
        <v>2811</v>
      </c>
      <c r="H1196" s="8" t="s">
        <v>2812</v>
      </c>
      <c r="I1196" s="10" t="s">
        <v>2811</v>
      </c>
      <c r="J1196" s="11" t="s">
        <v>33</v>
      </c>
      <c r="K1196" s="18">
        <v>175000</v>
      </c>
      <c r="L1196" s="12">
        <f t="shared" si="118"/>
        <v>291700</v>
      </c>
      <c r="M1196" s="8">
        <v>1</v>
      </c>
      <c r="N1196" s="8" t="s">
        <v>27</v>
      </c>
      <c r="O1196" s="13"/>
      <c r="P1196" s="14">
        <v>0.2</v>
      </c>
      <c r="Q1196" s="15">
        <v>0.4</v>
      </c>
      <c r="R1196" s="16" t="str">
        <f t="shared" si="116"/>
        <v>GENERAL</v>
      </c>
      <c r="S1196" s="17"/>
      <c r="T1196" s="10" t="str">
        <f t="shared" si="117"/>
        <v>METRO DE VERTEBRA ORGANIZADORA DE CABLE</v>
      </c>
    </row>
    <row r="1197" spans="1:20" ht="27" customHeight="1" x14ac:dyDescent="0.25">
      <c r="A1197" s="8" t="s">
        <v>2512</v>
      </c>
      <c r="B1197" s="9"/>
      <c r="C1197" s="9"/>
      <c r="D1197" s="8"/>
      <c r="E1197" s="8"/>
      <c r="F1197" s="8" t="s">
        <v>22</v>
      </c>
      <c r="G1197" s="10" t="s">
        <v>2813</v>
      </c>
      <c r="H1197" s="8" t="s">
        <v>2814</v>
      </c>
      <c r="I1197" s="10" t="s">
        <v>2813</v>
      </c>
      <c r="J1197" s="11" t="s">
        <v>26</v>
      </c>
      <c r="K1197" s="18">
        <f>12/5</f>
        <v>2.4</v>
      </c>
      <c r="L1197" s="12">
        <f t="shared" si="118"/>
        <v>4.8</v>
      </c>
      <c r="M1197" s="8">
        <v>1</v>
      </c>
      <c r="N1197" s="8" t="s">
        <v>27</v>
      </c>
      <c r="O1197" s="13"/>
      <c r="P1197" s="14">
        <v>0.2</v>
      </c>
      <c r="Q1197" s="15">
        <v>0.4</v>
      </c>
      <c r="R1197" s="16" t="str">
        <f t="shared" si="116"/>
        <v>GENERAL</v>
      </c>
      <c r="S1197" s="17"/>
      <c r="T1197" s="10" t="str">
        <f t="shared" si="117"/>
        <v>MASCARA PARA LENTEJA DE CONTROL INFRA ROJO</v>
      </c>
    </row>
    <row r="1198" spans="1:20" ht="27" customHeight="1" x14ac:dyDescent="0.25">
      <c r="A1198" s="8" t="s">
        <v>2512</v>
      </c>
      <c r="B1198" s="9"/>
      <c r="C1198" s="9"/>
      <c r="D1198" s="8"/>
      <c r="E1198" s="8"/>
      <c r="F1198" s="8" t="s">
        <v>22</v>
      </c>
      <c r="G1198" s="10" t="s">
        <v>2815</v>
      </c>
      <c r="H1198" s="8" t="s">
        <v>2816</v>
      </c>
      <c r="I1198" s="10" t="s">
        <v>2815</v>
      </c>
      <c r="J1198" s="11" t="s">
        <v>26</v>
      </c>
      <c r="K1198" s="18">
        <v>11</v>
      </c>
      <c r="L1198" s="12">
        <f t="shared" si="118"/>
        <v>22</v>
      </c>
      <c r="M1198" s="8">
        <v>1</v>
      </c>
      <c r="N1198" s="8" t="s">
        <v>27</v>
      </c>
      <c r="O1198" s="13"/>
      <c r="P1198" s="14">
        <v>0.2</v>
      </c>
      <c r="Q1198" s="15">
        <v>0.4</v>
      </c>
      <c r="R1198" s="16" t="str">
        <f t="shared" si="116"/>
        <v>GENERAL</v>
      </c>
      <c r="S1198" s="17"/>
      <c r="T1198" s="10" t="str">
        <f t="shared" si="117"/>
        <v>CONVERSOR DE VGA A COMPONENTES</v>
      </c>
    </row>
    <row r="1199" spans="1:20" ht="27" customHeight="1" x14ac:dyDescent="0.25">
      <c r="A1199" s="8" t="s">
        <v>2512</v>
      </c>
      <c r="B1199" s="9"/>
      <c r="C1199" s="9"/>
      <c r="D1199" s="8"/>
      <c r="E1199" s="8"/>
      <c r="F1199" s="8" t="s">
        <v>22</v>
      </c>
      <c r="G1199" s="10" t="s">
        <v>2817</v>
      </c>
      <c r="H1199" s="8" t="s">
        <v>2818</v>
      </c>
      <c r="I1199" s="10" t="s">
        <v>2819</v>
      </c>
      <c r="J1199" s="11" t="s">
        <v>33</v>
      </c>
      <c r="K1199" s="18">
        <v>150000</v>
      </c>
      <c r="L1199" s="12">
        <f t="shared" si="118"/>
        <v>250000</v>
      </c>
      <c r="M1199" s="8">
        <v>1</v>
      </c>
      <c r="N1199" s="8" t="s">
        <v>27</v>
      </c>
      <c r="O1199" s="13"/>
      <c r="P1199" s="14">
        <v>0.2</v>
      </c>
      <c r="Q1199" s="15">
        <v>0.4</v>
      </c>
      <c r="R1199" s="16" t="str">
        <f t="shared" si="116"/>
        <v>GENERAL</v>
      </c>
      <c r="S1199" s="17"/>
      <c r="T1199" s="10" t="str">
        <f t="shared" si="117"/>
        <v>CAJÓN A MEDIDA PARA  CONTENER DECODIFICADORES, CABLEADO OTROS.</v>
      </c>
    </row>
    <row r="1200" spans="1:20" ht="27" customHeight="1" x14ac:dyDescent="0.25">
      <c r="A1200" s="8" t="s">
        <v>2512</v>
      </c>
      <c r="B1200" s="9"/>
      <c r="C1200" s="9"/>
      <c r="D1200" s="8"/>
      <c r="E1200" s="8"/>
      <c r="F1200" s="8" t="s">
        <v>22</v>
      </c>
      <c r="G1200" s="10" t="s">
        <v>2820</v>
      </c>
      <c r="H1200" s="8" t="s">
        <v>2821</v>
      </c>
      <c r="I1200" s="10" t="s">
        <v>2820</v>
      </c>
      <c r="J1200" s="11" t="s">
        <v>33</v>
      </c>
      <c r="K1200" s="18">
        <v>2800</v>
      </c>
      <c r="L1200" s="12">
        <f t="shared" si="118"/>
        <v>4700</v>
      </c>
      <c r="M1200" s="8">
        <v>1</v>
      </c>
      <c r="N1200" s="8" t="s">
        <v>27</v>
      </c>
      <c r="O1200" s="13"/>
      <c r="P1200" s="14">
        <v>0.2</v>
      </c>
      <c r="Q1200" s="15">
        <v>0.4</v>
      </c>
      <c r="R1200" s="16" t="str">
        <f t="shared" si="116"/>
        <v>GENERAL</v>
      </c>
      <c r="S1200" s="17"/>
      <c r="T1200" s="10" t="str">
        <f t="shared" si="117"/>
        <v>CANALETA PLÁSTICA 10X12 DE 2 METROS DE LARGO</v>
      </c>
    </row>
    <row r="1201" spans="1:20" ht="27" customHeight="1" x14ac:dyDescent="0.25">
      <c r="A1201" s="8" t="s">
        <v>2512</v>
      </c>
      <c r="B1201" s="9"/>
      <c r="C1201" s="9"/>
      <c r="D1201" s="8"/>
      <c r="E1201" s="8"/>
      <c r="F1201" s="8" t="s">
        <v>22</v>
      </c>
      <c r="G1201" s="10" t="s">
        <v>2822</v>
      </c>
      <c r="H1201" s="8" t="s">
        <v>2823</v>
      </c>
      <c r="I1201" s="10" t="s">
        <v>2822</v>
      </c>
      <c r="J1201" s="11" t="s">
        <v>33</v>
      </c>
      <c r="K1201" s="18">
        <v>5000</v>
      </c>
      <c r="L1201" s="12">
        <f t="shared" si="118"/>
        <v>8400</v>
      </c>
      <c r="M1201" s="8">
        <v>1</v>
      </c>
      <c r="N1201" s="8" t="s">
        <v>27</v>
      </c>
      <c r="O1201" s="13"/>
      <c r="P1201" s="14">
        <v>0.2</v>
      </c>
      <c r="Q1201" s="15">
        <v>0.4</v>
      </c>
      <c r="R1201" s="16" t="str">
        <f t="shared" si="116"/>
        <v>GENERAL</v>
      </c>
      <c r="S1201" s="17"/>
      <c r="T1201" s="10" t="str">
        <f t="shared" si="117"/>
        <v>CANALETA PLÁSTICA 20X40 DE 2 METROS DE LARGO</v>
      </c>
    </row>
    <row r="1202" spans="1:20" ht="27" customHeight="1" x14ac:dyDescent="0.25">
      <c r="A1202" s="8" t="s">
        <v>2512</v>
      </c>
      <c r="B1202" s="9"/>
      <c r="C1202" s="9"/>
      <c r="D1202" s="8"/>
      <c r="E1202" s="8"/>
      <c r="F1202" s="8" t="s">
        <v>22</v>
      </c>
      <c r="G1202" s="10" t="s">
        <v>2824</v>
      </c>
      <c r="H1202" s="8" t="s">
        <v>2825</v>
      </c>
      <c r="I1202" s="10" t="s">
        <v>2824</v>
      </c>
      <c r="J1202" s="11" t="s">
        <v>33</v>
      </c>
      <c r="K1202" s="18">
        <v>88800</v>
      </c>
      <c r="L1202" s="12">
        <f t="shared" si="118"/>
        <v>148000</v>
      </c>
      <c r="M1202" s="8">
        <v>1</v>
      </c>
      <c r="N1202" s="8" t="s">
        <v>27</v>
      </c>
      <c r="O1202" s="13"/>
      <c r="P1202" s="14">
        <v>0.2</v>
      </c>
      <c r="Q1202" s="15">
        <v>0.4</v>
      </c>
      <c r="R1202" s="16" t="str">
        <f t="shared" si="116"/>
        <v>GENERAL</v>
      </c>
      <c r="S1202" s="17"/>
      <c r="T1202" s="10" t="str">
        <f t="shared" si="117"/>
        <v xml:space="preserve">CAJA ELÉCTRICA DE PASO DE 40x40cm </v>
      </c>
    </row>
    <row r="1203" spans="1:20" ht="27" customHeight="1" x14ac:dyDescent="0.25">
      <c r="A1203" s="8" t="s">
        <v>2512</v>
      </c>
      <c r="B1203" s="9"/>
      <c r="C1203" s="9"/>
      <c r="D1203" s="8"/>
      <c r="E1203" s="8"/>
      <c r="F1203" s="8" t="s">
        <v>22</v>
      </c>
      <c r="G1203" s="10" t="s">
        <v>2826</v>
      </c>
      <c r="H1203" s="8" t="s">
        <v>2827</v>
      </c>
      <c r="I1203" s="10" t="s">
        <v>2826</v>
      </c>
      <c r="J1203" s="11" t="s">
        <v>26</v>
      </c>
      <c r="K1203" s="18">
        <v>70</v>
      </c>
      <c r="L1203" s="12">
        <f t="shared" si="118"/>
        <v>140</v>
      </c>
      <c r="M1203" s="8">
        <v>1</v>
      </c>
      <c r="N1203" s="8" t="s">
        <v>27</v>
      </c>
      <c r="O1203" s="13"/>
      <c r="P1203" s="14">
        <v>0.2</v>
      </c>
      <c r="Q1203" s="15">
        <v>0.4</v>
      </c>
      <c r="R1203" s="16" t="str">
        <f t="shared" si="116"/>
        <v>GENERAL</v>
      </c>
      <c r="S1203" s="17"/>
      <c r="T1203" s="10" t="str">
        <f t="shared" si="117"/>
        <v>MEDIDOR ELECTRÓNICO DE CORRIENTE PARA 3 FASES CON PUERTO RD485. MONTAJE EN RIEL.</v>
      </c>
    </row>
    <row r="1204" spans="1:20" ht="27" customHeight="1" x14ac:dyDescent="0.25">
      <c r="A1204" s="8" t="s">
        <v>2512</v>
      </c>
      <c r="B1204" s="9"/>
      <c r="C1204" s="9"/>
      <c r="D1204" s="8"/>
      <c r="E1204" s="8"/>
      <c r="F1204" s="8" t="s">
        <v>22</v>
      </c>
      <c r="G1204" s="10" t="s">
        <v>2828</v>
      </c>
      <c r="H1204" s="8" t="s">
        <v>2829</v>
      </c>
      <c r="I1204" s="10" t="s">
        <v>2828</v>
      </c>
      <c r="J1204" s="11" t="s">
        <v>33</v>
      </c>
      <c r="K1204" s="18">
        <v>60000</v>
      </c>
      <c r="L1204" s="12">
        <f t="shared" si="118"/>
        <v>100000</v>
      </c>
      <c r="M1204" s="8">
        <v>1</v>
      </c>
      <c r="N1204" s="8" t="s">
        <v>27</v>
      </c>
      <c r="O1204" s="13"/>
      <c r="P1204" s="14">
        <v>0.2</v>
      </c>
      <c r="Q1204" s="15">
        <v>0.4</v>
      </c>
      <c r="R1204" s="16" t="str">
        <f t="shared" si="116"/>
        <v>GENERAL</v>
      </c>
      <c r="S1204" s="17"/>
      <c r="T1204" s="10" t="str">
        <f t="shared" si="117"/>
        <v>EXTENDER DE RED DE PARED</v>
      </c>
    </row>
    <row r="1205" spans="1:20" ht="27" customHeight="1" x14ac:dyDescent="0.25">
      <c r="A1205" s="8" t="s">
        <v>2512</v>
      </c>
      <c r="B1205" s="9"/>
      <c r="C1205" s="9"/>
      <c r="D1205" s="8"/>
      <c r="E1205" s="8"/>
      <c r="F1205" s="8" t="s">
        <v>22</v>
      </c>
      <c r="G1205" s="10" t="s">
        <v>2830</v>
      </c>
      <c r="H1205" s="8" t="s">
        <v>2831</v>
      </c>
      <c r="I1205" s="10" t="s">
        <v>2832</v>
      </c>
      <c r="J1205" s="11" t="s">
        <v>33</v>
      </c>
      <c r="K1205" s="18">
        <v>211000</v>
      </c>
      <c r="L1205" s="12">
        <f t="shared" si="118"/>
        <v>351700</v>
      </c>
      <c r="M1205" s="8">
        <v>1</v>
      </c>
      <c r="N1205" s="8" t="s">
        <v>27</v>
      </c>
      <c r="O1205" s="13"/>
      <c r="P1205" s="14">
        <v>0.2</v>
      </c>
      <c r="Q1205" s="15">
        <v>0.4</v>
      </c>
      <c r="R1205" s="16" t="str">
        <f t="shared" si="116"/>
        <v>GENERAL</v>
      </c>
      <c r="S1205" s="17"/>
      <c r="T1205" s="10" t="str">
        <f t="shared" si="117"/>
        <v>AMPLIFICADOR DE 100 W, LECTOR DE USB. AJUSTE DE AUDIO Y BALANCE.</v>
      </c>
    </row>
    <row r="1206" spans="1:20" ht="27" customHeight="1" x14ac:dyDescent="0.25">
      <c r="A1206" s="8" t="s">
        <v>2512</v>
      </c>
      <c r="B1206" s="9"/>
      <c r="C1206" s="9"/>
      <c r="D1206" s="8"/>
      <c r="E1206" s="8"/>
      <c r="F1206" s="8" t="s">
        <v>22</v>
      </c>
      <c r="G1206" s="10" t="s">
        <v>2833</v>
      </c>
      <c r="H1206" s="8" t="s">
        <v>2834</v>
      </c>
      <c r="I1206" s="10" t="s">
        <v>2835</v>
      </c>
      <c r="J1206" s="11" t="s">
        <v>33</v>
      </c>
      <c r="K1206" s="18">
        <v>1550000</v>
      </c>
      <c r="L1206" s="12">
        <f t="shared" si="118"/>
        <v>2583400</v>
      </c>
      <c r="M1206" s="8">
        <v>1</v>
      </c>
      <c r="N1206" s="8" t="s">
        <v>27</v>
      </c>
      <c r="O1206" s="13"/>
      <c r="P1206" s="14">
        <v>0.2</v>
      </c>
      <c r="Q1206" s="15">
        <v>0.4</v>
      </c>
      <c r="R1206" s="16" t="str">
        <f t="shared" si="116"/>
        <v>GENERAL</v>
      </c>
      <c r="S1206" s="17"/>
      <c r="T1206" s="10" t="str">
        <f t="shared" si="117"/>
        <v>SOPORTE PARA VIDEO WALL DE 2X2, CON SISTEMA DE RUEDAS PARA MOVIMIENTO.</v>
      </c>
    </row>
    <row r="1207" spans="1:20" ht="27" customHeight="1" x14ac:dyDescent="0.25">
      <c r="A1207" s="8" t="s">
        <v>2512</v>
      </c>
      <c r="B1207" s="9"/>
      <c r="C1207" s="9"/>
      <c r="D1207" s="8"/>
      <c r="E1207" s="8"/>
      <c r="F1207" s="8" t="s">
        <v>22</v>
      </c>
      <c r="G1207" s="10" t="s">
        <v>2836</v>
      </c>
      <c r="H1207" s="8" t="s">
        <v>2837</v>
      </c>
      <c r="I1207" s="10" t="s">
        <v>2836</v>
      </c>
      <c r="J1207" s="11" t="s">
        <v>33</v>
      </c>
      <c r="K1207" s="18">
        <v>4650000</v>
      </c>
      <c r="L1207" s="12">
        <f t="shared" si="118"/>
        <v>7750000</v>
      </c>
      <c r="M1207" s="8">
        <v>1</v>
      </c>
      <c r="N1207" s="8" t="s">
        <v>27</v>
      </c>
      <c r="O1207" s="13"/>
      <c r="P1207" s="14">
        <v>0.2</v>
      </c>
      <c r="Q1207" s="15">
        <v>0.4</v>
      </c>
      <c r="R1207" s="16" t="str">
        <f t="shared" si="116"/>
        <v>GENERAL</v>
      </c>
      <c r="S1207" s="17"/>
      <c r="T1207" s="10" t="str">
        <f t="shared" si="117"/>
        <v>MONITOR DE 46" RESOLUCIÓN 1920X1080 (16:9) USO 24/7 GARANTÍA  3 AÑOS.</v>
      </c>
    </row>
    <row r="1208" spans="1:20" ht="27" customHeight="1" x14ac:dyDescent="0.25">
      <c r="A1208" s="8" t="s">
        <v>2512</v>
      </c>
      <c r="B1208" s="9"/>
      <c r="C1208" s="9"/>
      <c r="D1208" s="8"/>
      <c r="E1208" s="8"/>
      <c r="F1208" s="8" t="s">
        <v>22</v>
      </c>
      <c r="G1208" s="10" t="s">
        <v>2838</v>
      </c>
      <c r="H1208" s="8" t="s">
        <v>2839</v>
      </c>
      <c r="I1208" s="10" t="s">
        <v>2838</v>
      </c>
      <c r="J1208" s="11" t="s">
        <v>33</v>
      </c>
      <c r="K1208" s="18">
        <v>8000</v>
      </c>
      <c r="L1208" s="12">
        <f t="shared" si="118"/>
        <v>11500</v>
      </c>
      <c r="M1208" s="8">
        <v>1</v>
      </c>
      <c r="N1208" s="8" t="s">
        <v>27</v>
      </c>
      <c r="O1208" s="13"/>
      <c r="P1208" s="14">
        <v>0</v>
      </c>
      <c r="Q1208" s="15">
        <v>0.3</v>
      </c>
      <c r="R1208" s="16" t="str">
        <f t="shared" si="116"/>
        <v>GENERAL</v>
      </c>
      <c r="S1208" s="17"/>
      <c r="T1208" s="10" t="str">
        <f t="shared" si="117"/>
        <v xml:space="preserve">CABLE ESTÉREO DE 15cm </v>
      </c>
    </row>
    <row r="1209" spans="1:20" ht="27" customHeight="1" x14ac:dyDescent="0.25">
      <c r="A1209" s="8" t="s">
        <v>2512</v>
      </c>
      <c r="B1209" s="9"/>
      <c r="C1209" s="9"/>
      <c r="D1209" s="8"/>
      <c r="E1209" s="8"/>
      <c r="F1209" s="8" t="s">
        <v>22</v>
      </c>
      <c r="G1209" s="10" t="s">
        <v>2840</v>
      </c>
      <c r="H1209" s="8" t="s">
        <v>2841</v>
      </c>
      <c r="I1209" s="10" t="s">
        <v>2840</v>
      </c>
      <c r="J1209" s="11" t="s">
        <v>33</v>
      </c>
      <c r="K1209" s="18">
        <v>6500</v>
      </c>
      <c r="L1209" s="12">
        <f t="shared" si="118"/>
        <v>9300</v>
      </c>
      <c r="M1209" s="8">
        <v>1</v>
      </c>
      <c r="N1209" s="8" t="s">
        <v>27</v>
      </c>
      <c r="O1209" s="13"/>
      <c r="P1209" s="14">
        <v>0</v>
      </c>
      <c r="Q1209" s="15">
        <v>0.3</v>
      </c>
      <c r="R1209" s="16" t="str">
        <f t="shared" si="116"/>
        <v>GENERAL</v>
      </c>
      <c r="S1209" s="17"/>
      <c r="T1209" s="10" t="str">
        <f t="shared" si="117"/>
        <v>INTERRUPTOR TIPO CODO</v>
      </c>
    </row>
    <row r="1210" spans="1:20" ht="27" customHeight="1" x14ac:dyDescent="0.25">
      <c r="A1210" s="8" t="s">
        <v>2512</v>
      </c>
      <c r="B1210" s="9"/>
      <c r="C1210" s="9"/>
      <c r="D1210" s="8"/>
      <c r="E1210" s="8"/>
      <c r="F1210" s="8" t="s">
        <v>22</v>
      </c>
      <c r="G1210" s="10" t="s">
        <v>2842</v>
      </c>
      <c r="H1210" s="8" t="s">
        <v>2843</v>
      </c>
      <c r="I1210" s="10" t="s">
        <v>2842</v>
      </c>
      <c r="J1210" s="11" t="s">
        <v>33</v>
      </c>
      <c r="K1210" s="18">
        <f>126000/3</f>
        <v>42000</v>
      </c>
      <c r="L1210" s="12">
        <f t="shared" si="118"/>
        <v>70000</v>
      </c>
      <c r="M1210" s="8">
        <v>1</v>
      </c>
      <c r="N1210" s="8" t="s">
        <v>27</v>
      </c>
      <c r="O1210" s="13"/>
      <c r="P1210" s="14">
        <v>0</v>
      </c>
      <c r="Q1210" s="15">
        <v>0.4</v>
      </c>
      <c r="R1210" s="16" t="str">
        <f t="shared" si="116"/>
        <v>GENERAL</v>
      </c>
      <c r="S1210" s="17"/>
      <c r="T1210" s="10" t="str">
        <f t="shared" si="117"/>
        <v>CONVERSOR DE SALIDA ÓPTICA A RCA ESTÉREO ANÁLOGA.</v>
      </c>
    </row>
    <row r="1211" spans="1:20" ht="27" customHeight="1" x14ac:dyDescent="0.25">
      <c r="A1211" s="8" t="s">
        <v>2512</v>
      </c>
      <c r="B1211" s="9"/>
      <c r="C1211" s="9"/>
      <c r="D1211" s="8"/>
      <c r="E1211" s="8"/>
      <c r="F1211" s="8" t="s">
        <v>22</v>
      </c>
      <c r="G1211" s="10" t="s">
        <v>2844</v>
      </c>
      <c r="H1211" s="8" t="s">
        <v>2845</v>
      </c>
      <c r="I1211" s="10" t="s">
        <v>2844</v>
      </c>
      <c r="J1211" s="11" t="s">
        <v>26</v>
      </c>
      <c r="K1211" s="18">
        <v>395</v>
      </c>
      <c r="L1211" s="12">
        <f t="shared" si="118"/>
        <v>592.5</v>
      </c>
      <c r="M1211" s="8">
        <v>1</v>
      </c>
      <c r="N1211" s="8" t="s">
        <v>27</v>
      </c>
      <c r="O1211" s="13"/>
      <c r="P1211" s="14">
        <v>0.2</v>
      </c>
      <c r="Q1211" s="15">
        <v>0.2</v>
      </c>
      <c r="R1211" s="16" t="str">
        <f t="shared" si="116"/>
        <v>GENERAL</v>
      </c>
      <c r="S1211" s="17" t="s">
        <v>2846</v>
      </c>
      <c r="T1211" s="10" t="str">
        <f t="shared" si="117"/>
        <v>PANTALLA TOUCH CAPACITIVA DE 10", CON SISTEMA OPERACIONAL ANDROID 6.0.</v>
      </c>
    </row>
    <row r="1212" spans="1:20" ht="27" customHeight="1" x14ac:dyDescent="0.25">
      <c r="A1212" s="8" t="s">
        <v>2512</v>
      </c>
      <c r="B1212" s="9"/>
      <c r="C1212" s="9"/>
      <c r="D1212" s="8"/>
      <c r="E1212" s="8"/>
      <c r="F1212" s="8" t="s">
        <v>22</v>
      </c>
      <c r="G1212" s="10" t="s">
        <v>2847</v>
      </c>
      <c r="H1212" s="8" t="s">
        <v>2848</v>
      </c>
      <c r="I1212" s="10" t="s">
        <v>2847</v>
      </c>
      <c r="J1212" s="11" t="s">
        <v>33</v>
      </c>
      <c r="K1212" s="18">
        <v>19000</v>
      </c>
      <c r="L1212" s="12">
        <f t="shared" si="118"/>
        <v>31700</v>
      </c>
      <c r="M1212" s="8">
        <v>1</v>
      </c>
      <c r="N1212" s="8" t="s">
        <v>27</v>
      </c>
      <c r="O1212" s="13"/>
      <c r="P1212" s="14">
        <v>0</v>
      </c>
      <c r="Q1212" s="15">
        <v>0.4</v>
      </c>
      <c r="R1212" s="16" t="str">
        <f t="shared" si="116"/>
        <v>GENERAL</v>
      </c>
      <c r="S1212" s="17"/>
      <c r="T1212" s="10" t="str">
        <f t="shared" si="117"/>
        <v>CABLE ÓPTICO DE 5.5M</v>
      </c>
    </row>
    <row r="1213" spans="1:20" ht="27" customHeight="1" x14ac:dyDescent="0.25">
      <c r="A1213" s="8" t="s">
        <v>2512</v>
      </c>
      <c r="B1213" s="9"/>
      <c r="C1213" s="9"/>
      <c r="D1213" s="8"/>
      <c r="E1213" s="8"/>
      <c r="F1213" s="8" t="s">
        <v>22</v>
      </c>
      <c r="G1213" s="10" t="s">
        <v>2849</v>
      </c>
      <c r="H1213" s="8" t="s">
        <v>2850</v>
      </c>
      <c r="I1213" s="10" t="s">
        <v>2849</v>
      </c>
      <c r="J1213" s="11" t="s">
        <v>33</v>
      </c>
      <c r="K1213" s="18">
        <v>9200</v>
      </c>
      <c r="L1213" s="12">
        <f t="shared" si="118"/>
        <v>18400</v>
      </c>
      <c r="M1213" s="8">
        <v>1</v>
      </c>
      <c r="N1213" s="8" t="s">
        <v>27</v>
      </c>
      <c r="O1213" s="13"/>
      <c r="P1213" s="14">
        <v>0</v>
      </c>
      <c r="Q1213" s="15">
        <v>0.5</v>
      </c>
      <c r="R1213" s="16" t="str">
        <f t="shared" si="116"/>
        <v>GENERAL</v>
      </c>
      <c r="S1213" s="17"/>
      <c r="T1213" s="10" t="str">
        <f t="shared" si="117"/>
        <v>CONVERSOR PASIVO DE VGA A RJ45</v>
      </c>
    </row>
    <row r="1214" spans="1:20" ht="27" customHeight="1" x14ac:dyDescent="0.25">
      <c r="A1214" s="8" t="s">
        <v>2512</v>
      </c>
      <c r="B1214" s="9"/>
      <c r="C1214" s="9"/>
      <c r="D1214" s="8"/>
      <c r="E1214" s="8"/>
      <c r="F1214" s="8" t="s">
        <v>22</v>
      </c>
      <c r="G1214" s="10" t="s">
        <v>2851</v>
      </c>
      <c r="H1214" s="8" t="s">
        <v>2852</v>
      </c>
      <c r="I1214" s="10" t="s">
        <v>2851</v>
      </c>
      <c r="J1214" s="11" t="s">
        <v>33</v>
      </c>
      <c r="K1214" s="18">
        <v>90000</v>
      </c>
      <c r="L1214" s="12">
        <f t="shared" si="118"/>
        <v>128600</v>
      </c>
      <c r="M1214" s="8">
        <v>1</v>
      </c>
      <c r="N1214" s="8" t="s">
        <v>27</v>
      </c>
      <c r="O1214" s="13"/>
      <c r="P1214" s="14">
        <v>0</v>
      </c>
      <c r="Q1214" s="15">
        <v>0.3</v>
      </c>
      <c r="R1214" s="16" t="str">
        <f t="shared" si="116"/>
        <v>GENERAL</v>
      </c>
      <c r="S1214" s="17"/>
      <c r="T1214" s="10" t="str">
        <f t="shared" si="117"/>
        <v>TAPA DE INSPECCIÓN PARA DRYWALL EN FORMATO 60X60</v>
      </c>
    </row>
    <row r="1215" spans="1:20" ht="27" customHeight="1" x14ac:dyDescent="0.25">
      <c r="A1215" s="8" t="s">
        <v>2512</v>
      </c>
      <c r="B1215" s="9"/>
      <c r="C1215" s="9"/>
      <c r="D1215" s="8"/>
      <c r="E1215" s="8"/>
      <c r="F1215" s="8" t="s">
        <v>22</v>
      </c>
      <c r="G1215" s="10" t="s">
        <v>2853</v>
      </c>
      <c r="H1215" s="8" t="s">
        <v>2854</v>
      </c>
      <c r="I1215" s="10" t="s">
        <v>2853</v>
      </c>
      <c r="J1215" s="11" t="s">
        <v>33</v>
      </c>
      <c r="K1215" s="18">
        <v>9000</v>
      </c>
      <c r="L1215" s="12">
        <f t="shared" si="118"/>
        <v>18000</v>
      </c>
      <c r="M1215" s="8">
        <v>1</v>
      </c>
      <c r="N1215" s="8" t="s">
        <v>27</v>
      </c>
      <c r="O1215" s="13"/>
      <c r="P1215" s="14">
        <v>0.2</v>
      </c>
      <c r="Q1215" s="15">
        <v>0.5</v>
      </c>
      <c r="R1215" s="16" t="str">
        <f t="shared" si="116"/>
        <v>GENERAL</v>
      </c>
      <c r="S1215" s="17"/>
      <c r="T1215" s="10" t="str">
        <f t="shared" si="117"/>
        <v>CONVERSOR DE VGA A RJ45</v>
      </c>
    </row>
    <row r="1216" spans="1:20" ht="27" customHeight="1" x14ac:dyDescent="0.25">
      <c r="A1216" s="8" t="s">
        <v>2512</v>
      </c>
      <c r="B1216" s="9"/>
      <c r="C1216" s="9"/>
      <c r="D1216" s="8"/>
      <c r="E1216" s="8"/>
      <c r="F1216" s="8" t="s">
        <v>22</v>
      </c>
      <c r="G1216" s="10" t="s">
        <v>2664</v>
      </c>
      <c r="H1216" s="8" t="s">
        <v>2855</v>
      </c>
      <c r="I1216" s="10" t="s">
        <v>2856</v>
      </c>
      <c r="J1216" s="11" t="s">
        <v>33</v>
      </c>
      <c r="K1216" s="18">
        <v>68000</v>
      </c>
      <c r="L1216" s="12">
        <f t="shared" si="118"/>
        <v>113400</v>
      </c>
      <c r="M1216" s="8">
        <v>1</v>
      </c>
      <c r="N1216" s="8" t="s">
        <v>27</v>
      </c>
      <c r="O1216" s="13"/>
      <c r="P1216" s="14">
        <v>0</v>
      </c>
      <c r="Q1216" s="15">
        <v>0.4</v>
      </c>
      <c r="R1216" s="16" t="str">
        <f t="shared" si="116"/>
        <v>GENERAL</v>
      </c>
      <c r="S1216" s="17"/>
      <c r="T1216" s="10" t="str">
        <f t="shared" si="117"/>
        <v>ELEVADOR DE VOLTAJE DE 110/V A 220V, MANEJO DE CARGAS HASTA 2 AMPERIOS.</v>
      </c>
    </row>
    <row r="1217" spans="1:20" ht="27" customHeight="1" x14ac:dyDescent="0.25">
      <c r="A1217" s="8" t="s">
        <v>2512</v>
      </c>
      <c r="B1217" s="9"/>
      <c r="C1217" s="9"/>
      <c r="D1217" s="8"/>
      <c r="E1217" s="8"/>
      <c r="F1217" s="8" t="s">
        <v>22</v>
      </c>
      <c r="G1217" s="10" t="s">
        <v>2664</v>
      </c>
      <c r="H1217" s="8" t="s">
        <v>2857</v>
      </c>
      <c r="I1217" s="10" t="s">
        <v>2858</v>
      </c>
      <c r="J1217" s="11" t="s">
        <v>33</v>
      </c>
      <c r="K1217" s="18">
        <f>110000/1.19</f>
        <v>92436.97478991597</v>
      </c>
      <c r="L1217" s="12">
        <f t="shared" si="118"/>
        <v>154100</v>
      </c>
      <c r="M1217" s="8">
        <v>1</v>
      </c>
      <c r="N1217" s="8" t="s">
        <v>27</v>
      </c>
      <c r="O1217" s="13"/>
      <c r="P1217" s="14">
        <v>0</v>
      </c>
      <c r="Q1217" s="15">
        <v>0.4</v>
      </c>
      <c r="R1217" s="16" t="str">
        <f t="shared" ref="R1217:R1280" si="119">A1217</f>
        <v>GENERAL</v>
      </c>
      <c r="S1217" s="17"/>
      <c r="T1217" s="10" t="str">
        <f t="shared" si="117"/>
        <v>ELEVADOR DE VOLTAJE DE 110/V A 220V, MANEJO DE CARGAS HASTA 2 AMPERIOS.</v>
      </c>
    </row>
    <row r="1218" spans="1:20" ht="27" customHeight="1" x14ac:dyDescent="0.25">
      <c r="A1218" s="8" t="s">
        <v>2512</v>
      </c>
      <c r="B1218" s="9"/>
      <c r="C1218" s="9"/>
      <c r="D1218" s="8"/>
      <c r="E1218" s="8"/>
      <c r="F1218" s="8" t="s">
        <v>22</v>
      </c>
      <c r="G1218" s="10" t="s">
        <v>2859</v>
      </c>
      <c r="H1218" s="8" t="s">
        <v>2860</v>
      </c>
      <c r="I1218" s="10" t="s">
        <v>2859</v>
      </c>
      <c r="J1218" s="11" t="s">
        <v>33</v>
      </c>
      <c r="K1218" s="18">
        <v>55000</v>
      </c>
      <c r="L1218" s="12">
        <f t="shared" si="118"/>
        <v>110000</v>
      </c>
      <c r="M1218" s="8">
        <v>1</v>
      </c>
      <c r="N1218" s="8" t="s">
        <v>27</v>
      </c>
      <c r="O1218" s="13"/>
      <c r="P1218" s="14">
        <v>0</v>
      </c>
      <c r="Q1218" s="15">
        <v>0.5</v>
      </c>
      <c r="R1218" s="16" t="str">
        <f t="shared" si="119"/>
        <v>GENERAL</v>
      </c>
      <c r="S1218" s="17"/>
      <c r="T1218" s="10" t="str">
        <f t="shared" si="117"/>
        <v>BLUETOOTH PARA CONEXIÓN A BASE CLÁSICA DE IPHONE/IPOD</v>
      </c>
    </row>
    <row r="1219" spans="1:20" ht="27" customHeight="1" x14ac:dyDescent="0.25">
      <c r="A1219" s="8" t="s">
        <v>2512</v>
      </c>
      <c r="B1219" s="9"/>
      <c r="C1219" s="9"/>
      <c r="D1219" s="8"/>
      <c r="E1219" s="8"/>
      <c r="F1219" s="8" t="s">
        <v>22</v>
      </c>
      <c r="G1219" s="10" t="s">
        <v>2861</v>
      </c>
      <c r="H1219" s="8" t="s">
        <v>2862</v>
      </c>
      <c r="I1219" s="10" t="s">
        <v>2861</v>
      </c>
      <c r="J1219" s="11" t="s">
        <v>33</v>
      </c>
      <c r="K1219" s="18">
        <v>68000</v>
      </c>
      <c r="L1219" s="12">
        <f t="shared" si="118"/>
        <v>113400</v>
      </c>
      <c r="M1219" s="8">
        <v>1</v>
      </c>
      <c r="N1219" s="8" t="s">
        <v>27</v>
      </c>
      <c r="O1219" s="13"/>
      <c r="P1219" s="14">
        <v>0</v>
      </c>
      <c r="Q1219" s="15">
        <v>0.4</v>
      </c>
      <c r="R1219" s="16" t="str">
        <f t="shared" si="119"/>
        <v>GENERAL</v>
      </c>
      <c r="S1219" s="17"/>
      <c r="T1219" s="10" t="str">
        <f t="shared" si="117"/>
        <v>BATERÍA PARA ALARMA DE 12V, 9 AMPERIOS</v>
      </c>
    </row>
    <row r="1220" spans="1:20" ht="27" customHeight="1" x14ac:dyDescent="0.25">
      <c r="A1220" s="8" t="s">
        <v>2512</v>
      </c>
      <c r="B1220" s="9"/>
      <c r="C1220" s="9"/>
      <c r="D1220" s="8"/>
      <c r="E1220" s="8"/>
      <c r="F1220" s="8" t="s">
        <v>22</v>
      </c>
      <c r="G1220" s="10" t="s">
        <v>2863</v>
      </c>
      <c r="H1220" s="8" t="s">
        <v>2864</v>
      </c>
      <c r="I1220" s="10" t="s">
        <v>2863</v>
      </c>
      <c r="J1220" s="11" t="s">
        <v>33</v>
      </c>
      <c r="K1220" s="18">
        <v>364871.53790763789</v>
      </c>
      <c r="L1220" s="12">
        <f t="shared" si="118"/>
        <v>521300</v>
      </c>
      <c r="M1220" s="8">
        <v>1</v>
      </c>
      <c r="N1220" s="8" t="s">
        <v>27</v>
      </c>
      <c r="O1220" s="13"/>
      <c r="P1220" s="14">
        <v>0.2</v>
      </c>
      <c r="Q1220" s="15">
        <v>0.3</v>
      </c>
      <c r="R1220" s="16" t="str">
        <f t="shared" si="119"/>
        <v>GENERAL</v>
      </c>
      <c r="S1220" s="17"/>
      <c r="T1220" s="10" t="str">
        <f t="shared" si="117"/>
        <v>BARRAJE EN COBRE PARA 200 AMPERIOS</v>
      </c>
    </row>
    <row r="1221" spans="1:20" ht="27" customHeight="1" x14ac:dyDescent="0.25">
      <c r="A1221" s="8" t="s">
        <v>2512</v>
      </c>
      <c r="B1221" s="9"/>
      <c r="C1221" s="9"/>
      <c r="D1221" s="8"/>
      <c r="E1221" s="8"/>
      <c r="F1221" s="8" t="s">
        <v>22</v>
      </c>
      <c r="G1221" s="10" t="s">
        <v>2865</v>
      </c>
      <c r="H1221" s="8" t="s">
        <v>2866</v>
      </c>
      <c r="I1221" s="10" t="s">
        <v>2865</v>
      </c>
      <c r="J1221" s="11" t="s">
        <v>33</v>
      </c>
      <c r="K1221" s="18">
        <v>187716.79859714059</v>
      </c>
      <c r="L1221" s="12">
        <f t="shared" si="118"/>
        <v>268200</v>
      </c>
      <c r="M1221" s="8">
        <v>1</v>
      </c>
      <c r="N1221" s="8" t="s">
        <v>27</v>
      </c>
      <c r="O1221" s="13"/>
      <c r="P1221" s="14">
        <v>0.2</v>
      </c>
      <c r="Q1221" s="15">
        <v>0.3</v>
      </c>
      <c r="R1221" s="16" t="str">
        <f t="shared" si="119"/>
        <v>GENERAL</v>
      </c>
      <c r="S1221" s="17"/>
      <c r="T1221" s="10" t="str">
        <f t="shared" si="117"/>
        <v>FRENTE MUERTO PARA TABLERO</v>
      </c>
    </row>
    <row r="1222" spans="1:20" ht="27" customHeight="1" x14ac:dyDescent="0.25">
      <c r="A1222" s="8" t="s">
        <v>2512</v>
      </c>
      <c r="B1222" s="9"/>
      <c r="C1222" s="9"/>
      <c r="D1222" s="8"/>
      <c r="E1222" s="8"/>
      <c r="F1222" s="8" t="s">
        <v>22</v>
      </c>
      <c r="G1222" s="10" t="s">
        <v>2867</v>
      </c>
      <c r="H1222" s="8" t="s">
        <v>2868</v>
      </c>
      <c r="I1222" s="10" t="s">
        <v>2869</v>
      </c>
      <c r="J1222" s="11" t="s">
        <v>33</v>
      </c>
      <c r="K1222" s="18">
        <v>125098.5622506456</v>
      </c>
      <c r="L1222" s="12">
        <f t="shared" si="118"/>
        <v>178800</v>
      </c>
      <c r="M1222" s="8">
        <v>1</v>
      </c>
      <c r="N1222" s="8" t="s">
        <v>27</v>
      </c>
      <c r="O1222" s="13"/>
      <c r="P1222" s="14">
        <v>0.2</v>
      </c>
      <c r="Q1222" s="15">
        <v>0.3</v>
      </c>
      <c r="R1222" s="16" t="str">
        <f t="shared" si="119"/>
        <v>GENERAL</v>
      </c>
      <c r="S1222" s="17"/>
      <c r="T1222" s="10" t="str">
        <f t="shared" si="117"/>
        <v>KIT DE ACCESORIOS, PEINAZOS, CONECTORES, BORNERAS, TORNILLERÍA, OTROS.</v>
      </c>
    </row>
    <row r="1223" spans="1:20" ht="27" customHeight="1" x14ac:dyDescent="0.25">
      <c r="A1223" s="8" t="s">
        <v>2512</v>
      </c>
      <c r="B1223" s="9"/>
      <c r="C1223" s="9"/>
      <c r="D1223" s="8"/>
      <c r="E1223" s="8"/>
      <c r="F1223" s="8" t="s">
        <v>22</v>
      </c>
      <c r="G1223" s="10" t="s">
        <v>2870</v>
      </c>
      <c r="H1223" s="8" t="s">
        <v>2871</v>
      </c>
      <c r="I1223" s="10" t="s">
        <v>2870</v>
      </c>
      <c r="J1223" s="11" t="s">
        <v>33</v>
      </c>
      <c r="K1223" s="18">
        <v>99036.622975780701</v>
      </c>
      <c r="L1223" s="12">
        <f t="shared" si="118"/>
        <v>141500</v>
      </c>
      <c r="M1223" s="8">
        <v>1</v>
      </c>
      <c r="N1223" s="8" t="s">
        <v>27</v>
      </c>
      <c r="O1223" s="13"/>
      <c r="P1223" s="14">
        <v>0.2</v>
      </c>
      <c r="Q1223" s="15">
        <v>0.3</v>
      </c>
      <c r="R1223" s="16" t="str">
        <f t="shared" si="119"/>
        <v>GENERAL</v>
      </c>
      <c r="S1223" s="17"/>
      <c r="T1223" s="10" t="str">
        <f t="shared" si="117"/>
        <v>BYPASS DE 4 PUNTOS PARA UPS</v>
      </c>
    </row>
    <row r="1224" spans="1:20" ht="27" customHeight="1" x14ac:dyDescent="0.25">
      <c r="A1224" s="8" t="s">
        <v>2512</v>
      </c>
      <c r="B1224" s="9"/>
      <c r="C1224" s="9"/>
      <c r="D1224" s="8"/>
      <c r="E1224" s="8"/>
      <c r="F1224" s="8" t="s">
        <v>22</v>
      </c>
      <c r="G1224" s="10" t="s">
        <v>2872</v>
      </c>
      <c r="H1224" s="8" t="s">
        <v>2873</v>
      </c>
      <c r="I1224" s="10" t="s">
        <v>2872</v>
      </c>
      <c r="J1224" s="11" t="s">
        <v>33</v>
      </c>
      <c r="K1224" s="18">
        <v>198073.2459515614</v>
      </c>
      <c r="L1224" s="12">
        <f t="shared" si="118"/>
        <v>283000</v>
      </c>
      <c r="M1224" s="8">
        <v>1</v>
      </c>
      <c r="N1224" s="8" t="s">
        <v>27</v>
      </c>
      <c r="O1224" s="13"/>
      <c r="P1224" s="14">
        <v>0.2</v>
      </c>
      <c r="Q1224" s="15">
        <v>0.3</v>
      </c>
      <c r="R1224" s="16" t="str">
        <f t="shared" si="119"/>
        <v>GENERAL</v>
      </c>
      <c r="S1224" s="17"/>
      <c r="T1224" s="10" t="str">
        <f t="shared" si="117"/>
        <v>ARMADO DE TABLERO</v>
      </c>
    </row>
    <row r="1225" spans="1:20" ht="27" customHeight="1" x14ac:dyDescent="0.25">
      <c r="A1225" s="8" t="s">
        <v>2512</v>
      </c>
      <c r="B1225" s="9"/>
      <c r="C1225" s="9"/>
      <c r="D1225" s="8"/>
      <c r="E1225" s="8"/>
      <c r="F1225" s="8" t="s">
        <v>22</v>
      </c>
      <c r="G1225" s="10" t="s">
        <v>2874</v>
      </c>
      <c r="H1225" s="8" t="s">
        <v>2875</v>
      </c>
      <c r="I1225" s="10" t="s">
        <v>2874</v>
      </c>
      <c r="J1225" s="11" t="s">
        <v>33</v>
      </c>
      <c r="K1225" s="18">
        <v>4200</v>
      </c>
      <c r="L1225" s="12">
        <f t="shared" si="118"/>
        <v>6000</v>
      </c>
      <c r="M1225" s="8">
        <v>1</v>
      </c>
      <c r="N1225" s="8" t="s">
        <v>27</v>
      </c>
      <c r="O1225" s="13"/>
      <c r="P1225" s="14">
        <v>0.2</v>
      </c>
      <c r="Q1225" s="15">
        <v>0.3</v>
      </c>
      <c r="R1225" s="16" t="str">
        <f t="shared" si="119"/>
        <v>GENERAL</v>
      </c>
      <c r="S1225" s="17"/>
      <c r="T1225" s="10" t="str">
        <f t="shared" si="117"/>
        <v>TUBO DE 1/2", DE 3 METROS EN PVC CERTIFICADO.</v>
      </c>
    </row>
    <row r="1226" spans="1:20" ht="27" customHeight="1" x14ac:dyDescent="0.25">
      <c r="A1226" s="8" t="s">
        <v>2512</v>
      </c>
      <c r="B1226" s="9"/>
      <c r="C1226" s="9"/>
      <c r="D1226" s="8"/>
      <c r="E1226" s="8"/>
      <c r="F1226" s="8" t="s">
        <v>22</v>
      </c>
      <c r="G1226" s="10" t="s">
        <v>2876</v>
      </c>
      <c r="H1226" s="8" t="s">
        <v>2877</v>
      </c>
      <c r="I1226" s="10" t="s">
        <v>2876</v>
      </c>
      <c r="J1226" s="11" t="s">
        <v>33</v>
      </c>
      <c r="K1226" s="18">
        <v>320</v>
      </c>
      <c r="L1226" s="12">
        <f t="shared" si="118"/>
        <v>600</v>
      </c>
      <c r="M1226" s="8">
        <v>1</v>
      </c>
      <c r="N1226" s="8" t="s">
        <v>27</v>
      </c>
      <c r="O1226" s="13"/>
      <c r="P1226" s="14">
        <v>0.2</v>
      </c>
      <c r="Q1226" s="15">
        <v>0.4</v>
      </c>
      <c r="R1226" s="16" t="str">
        <f t="shared" si="119"/>
        <v>GENERAL</v>
      </c>
      <c r="S1226" s="17"/>
      <c r="T1226" s="10" t="str">
        <f t="shared" si="117"/>
        <v>TERMINAL DE 1/2" EN PVC</v>
      </c>
    </row>
    <row r="1227" spans="1:20" ht="27" customHeight="1" x14ac:dyDescent="0.25">
      <c r="A1227" s="8" t="s">
        <v>2512</v>
      </c>
      <c r="B1227" s="9"/>
      <c r="C1227" s="9"/>
      <c r="D1227" s="8"/>
      <c r="E1227" s="8"/>
      <c r="F1227" s="8" t="s">
        <v>22</v>
      </c>
      <c r="G1227" s="10" t="s">
        <v>2878</v>
      </c>
      <c r="H1227" s="8" t="s">
        <v>2879</v>
      </c>
      <c r="I1227" s="10" t="s">
        <v>2878</v>
      </c>
      <c r="J1227" s="11" t="s">
        <v>33</v>
      </c>
      <c r="K1227" s="18">
        <v>150</v>
      </c>
      <c r="L1227" s="12">
        <f t="shared" si="118"/>
        <v>300</v>
      </c>
      <c r="M1227" s="8">
        <v>1</v>
      </c>
      <c r="N1227" s="8" t="s">
        <v>27</v>
      </c>
      <c r="O1227" s="13"/>
      <c r="P1227" s="14">
        <v>0.2</v>
      </c>
      <c r="Q1227" s="15">
        <v>0.4</v>
      </c>
      <c r="R1227" s="16" t="str">
        <f t="shared" si="119"/>
        <v>GENERAL</v>
      </c>
      <c r="S1227" s="17"/>
      <c r="T1227" s="10" t="str">
        <f t="shared" si="117"/>
        <v>UNIÓN DE 1/2" EN PVC</v>
      </c>
    </row>
    <row r="1228" spans="1:20" ht="27" customHeight="1" x14ac:dyDescent="0.25">
      <c r="A1228" s="8" t="s">
        <v>2512</v>
      </c>
      <c r="B1228" s="9"/>
      <c r="C1228" s="9"/>
      <c r="D1228" s="8"/>
      <c r="E1228" s="8"/>
      <c r="F1228" s="8" t="s">
        <v>22</v>
      </c>
      <c r="G1228" s="10" t="s">
        <v>2880</v>
      </c>
      <c r="H1228" s="8" t="s">
        <v>2881</v>
      </c>
      <c r="I1228" s="10" t="s">
        <v>2880</v>
      </c>
      <c r="J1228" s="11" t="s">
        <v>33</v>
      </c>
      <c r="K1228" s="18">
        <v>5800</v>
      </c>
      <c r="L1228" s="12">
        <f t="shared" si="118"/>
        <v>8300</v>
      </c>
      <c r="M1228" s="8">
        <v>1</v>
      </c>
      <c r="N1228" s="8" t="s">
        <v>27</v>
      </c>
      <c r="O1228" s="13"/>
      <c r="P1228" s="14">
        <v>0.2</v>
      </c>
      <c r="Q1228" s="15">
        <v>0.3</v>
      </c>
      <c r="R1228" s="16" t="str">
        <f t="shared" si="119"/>
        <v>GENERAL</v>
      </c>
      <c r="S1228" s="17"/>
      <c r="T1228" s="10" t="str">
        <f t="shared" si="117"/>
        <v>TUBO DE 3/4", DE 3 METROS EN PVC CERTIFICADO.</v>
      </c>
    </row>
    <row r="1229" spans="1:20" ht="27" customHeight="1" x14ac:dyDescent="0.25">
      <c r="A1229" s="8" t="s">
        <v>2512</v>
      </c>
      <c r="B1229" s="9"/>
      <c r="C1229" s="9"/>
      <c r="D1229" s="8"/>
      <c r="E1229" s="8"/>
      <c r="F1229" s="8" t="s">
        <v>22</v>
      </c>
      <c r="G1229" s="10" t="s">
        <v>2882</v>
      </c>
      <c r="H1229" s="8" t="s">
        <v>2883</v>
      </c>
      <c r="I1229" s="10" t="s">
        <v>2882</v>
      </c>
      <c r="J1229" s="11" t="s">
        <v>33</v>
      </c>
      <c r="K1229" s="18">
        <v>450</v>
      </c>
      <c r="L1229" s="12">
        <f t="shared" si="118"/>
        <v>800</v>
      </c>
      <c r="M1229" s="8">
        <v>1</v>
      </c>
      <c r="N1229" s="8" t="s">
        <v>27</v>
      </c>
      <c r="O1229" s="13"/>
      <c r="P1229" s="14">
        <v>0.2</v>
      </c>
      <c r="Q1229" s="15">
        <v>0.4</v>
      </c>
      <c r="R1229" s="16" t="str">
        <f t="shared" si="119"/>
        <v>GENERAL</v>
      </c>
      <c r="S1229" s="17"/>
      <c r="T1229" s="10" t="str">
        <f t="shared" si="117"/>
        <v>TERMINAL DE 3/4" EN PVC</v>
      </c>
    </row>
    <row r="1230" spans="1:20" ht="27" customHeight="1" x14ac:dyDescent="0.25">
      <c r="A1230" s="8" t="s">
        <v>2512</v>
      </c>
      <c r="B1230" s="9"/>
      <c r="C1230" s="9"/>
      <c r="D1230" s="8"/>
      <c r="E1230" s="8"/>
      <c r="F1230" s="8" t="s">
        <v>22</v>
      </c>
      <c r="G1230" s="10" t="s">
        <v>2884</v>
      </c>
      <c r="H1230" s="8" t="s">
        <v>2885</v>
      </c>
      <c r="I1230" s="10" t="s">
        <v>2884</v>
      </c>
      <c r="J1230" s="11" t="s">
        <v>33</v>
      </c>
      <c r="K1230" s="18">
        <v>360</v>
      </c>
      <c r="L1230" s="12">
        <f t="shared" si="118"/>
        <v>600</v>
      </c>
      <c r="M1230" s="8">
        <v>1</v>
      </c>
      <c r="N1230" s="8" t="s">
        <v>27</v>
      </c>
      <c r="O1230" s="13"/>
      <c r="P1230" s="14">
        <v>0.2</v>
      </c>
      <c r="Q1230" s="15">
        <v>0.4</v>
      </c>
      <c r="R1230" s="16" t="str">
        <f t="shared" si="119"/>
        <v>GENERAL</v>
      </c>
      <c r="S1230" s="17"/>
      <c r="T1230" s="10" t="str">
        <f t="shared" si="117"/>
        <v>UNIÓN DE 3/4" EN PVC</v>
      </c>
    </row>
    <row r="1231" spans="1:20" ht="27" customHeight="1" x14ac:dyDescent="0.25">
      <c r="A1231" s="8" t="s">
        <v>2512</v>
      </c>
      <c r="B1231" s="9"/>
      <c r="C1231" s="9"/>
      <c r="D1231" s="8"/>
      <c r="E1231" s="8"/>
      <c r="F1231" s="8" t="s">
        <v>22</v>
      </c>
      <c r="G1231" s="10" t="s">
        <v>2886</v>
      </c>
      <c r="H1231" s="8" t="s">
        <v>2887</v>
      </c>
      <c r="I1231" s="10" t="s">
        <v>2886</v>
      </c>
      <c r="J1231" s="11" t="s">
        <v>33</v>
      </c>
      <c r="K1231" s="18">
        <v>22700</v>
      </c>
      <c r="L1231" s="12">
        <f t="shared" si="118"/>
        <v>37900</v>
      </c>
      <c r="M1231" s="8">
        <v>1</v>
      </c>
      <c r="N1231" s="8" t="s">
        <v>27</v>
      </c>
      <c r="O1231" s="13"/>
      <c r="P1231" s="14">
        <v>0.2</v>
      </c>
      <c r="Q1231" s="15">
        <v>0.4</v>
      </c>
      <c r="R1231" s="16" t="str">
        <f t="shared" si="119"/>
        <v>GENERAL</v>
      </c>
      <c r="S1231" s="17"/>
      <c r="T1231" s="10" t="str">
        <f t="shared" si="117"/>
        <v>TRAMO DE 3 METROS DE Riel CHANEL</v>
      </c>
    </row>
    <row r="1232" spans="1:20" ht="27" customHeight="1" x14ac:dyDescent="0.25">
      <c r="A1232" s="8" t="s">
        <v>2512</v>
      </c>
      <c r="B1232" s="9"/>
      <c r="C1232" s="9"/>
      <c r="D1232" s="8"/>
      <c r="E1232" s="8"/>
      <c r="F1232" s="8" t="s">
        <v>22</v>
      </c>
      <c r="G1232" s="10" t="s">
        <v>2888</v>
      </c>
      <c r="H1232" s="8" t="s">
        <v>2889</v>
      </c>
      <c r="I1232" s="10" t="s">
        <v>2888</v>
      </c>
      <c r="J1232" s="11" t="s">
        <v>33</v>
      </c>
      <c r="K1232" s="18">
        <v>850</v>
      </c>
      <c r="L1232" s="12">
        <f t="shared" si="118"/>
        <v>1500</v>
      </c>
      <c r="M1232" s="8">
        <v>1</v>
      </c>
      <c r="N1232" s="8" t="s">
        <v>27</v>
      </c>
      <c r="O1232" s="13"/>
      <c r="P1232" s="14">
        <v>0.2</v>
      </c>
      <c r="Q1232" s="15">
        <v>0.4</v>
      </c>
      <c r="R1232" s="16" t="str">
        <f t="shared" si="119"/>
        <v>GENERAL</v>
      </c>
      <c r="S1232" s="17"/>
      <c r="T1232" s="10" t="str">
        <f t="shared" si="117"/>
        <v>ANCLAJE PARA VARILLA ROSCADA 3/8"</v>
      </c>
    </row>
    <row r="1233" spans="1:20" ht="27" customHeight="1" x14ac:dyDescent="0.25">
      <c r="A1233" s="8" t="s">
        <v>2512</v>
      </c>
      <c r="B1233" s="9"/>
      <c r="C1233" s="9"/>
      <c r="D1233" s="8"/>
      <c r="E1233" s="8"/>
      <c r="F1233" s="8" t="s">
        <v>22</v>
      </c>
      <c r="G1233" s="10" t="s">
        <v>2890</v>
      </c>
      <c r="H1233" s="8" t="s">
        <v>2891</v>
      </c>
      <c r="I1233" s="10" t="s">
        <v>2890</v>
      </c>
      <c r="J1233" s="11" t="s">
        <v>33</v>
      </c>
      <c r="K1233" s="18">
        <v>194</v>
      </c>
      <c r="L1233" s="12">
        <f t="shared" si="118"/>
        <v>400</v>
      </c>
      <c r="M1233" s="8">
        <v>1</v>
      </c>
      <c r="N1233" s="8" t="s">
        <v>27</v>
      </c>
      <c r="O1233" s="13"/>
      <c r="P1233" s="14">
        <v>0.2</v>
      </c>
      <c r="Q1233" s="15">
        <v>0.4</v>
      </c>
      <c r="R1233" s="16" t="str">
        <f t="shared" si="119"/>
        <v>GENERAL</v>
      </c>
      <c r="S1233" s="17"/>
      <c r="T1233" s="10" t="str">
        <f t="shared" si="117"/>
        <v>ANCLAJE PARA VARILLA ROSCADA 5/16"</v>
      </c>
    </row>
    <row r="1234" spans="1:20" ht="27" customHeight="1" x14ac:dyDescent="0.25">
      <c r="A1234" s="8" t="s">
        <v>2512</v>
      </c>
      <c r="B1234" s="9"/>
      <c r="C1234" s="9"/>
      <c r="D1234" s="8"/>
      <c r="E1234" s="8"/>
      <c r="F1234" s="8" t="s">
        <v>22</v>
      </c>
      <c r="G1234" s="10" t="s">
        <v>2892</v>
      </c>
      <c r="H1234" s="8" t="s">
        <v>2893</v>
      </c>
      <c r="I1234" s="10" t="s">
        <v>2892</v>
      </c>
      <c r="J1234" s="11" t="s">
        <v>33</v>
      </c>
      <c r="K1234" s="18">
        <v>2000</v>
      </c>
      <c r="L1234" s="12">
        <f t="shared" si="118"/>
        <v>2500</v>
      </c>
      <c r="M1234" s="8">
        <v>1</v>
      </c>
      <c r="N1234" s="8" t="s">
        <v>110</v>
      </c>
      <c r="O1234" s="13"/>
      <c r="P1234" s="14">
        <v>0</v>
      </c>
      <c r="Q1234" s="15">
        <v>0.2</v>
      </c>
      <c r="R1234" s="16" t="str">
        <f t="shared" si="119"/>
        <v>GENERAL</v>
      </c>
      <c r="S1234" s="17"/>
      <c r="T1234" s="10" t="str">
        <f t="shared" si="117"/>
        <v>METRO DE CORAZA PLÁSTICA DE 1/2".</v>
      </c>
    </row>
    <row r="1235" spans="1:20" ht="27" customHeight="1" x14ac:dyDescent="0.25">
      <c r="A1235" s="8" t="s">
        <v>2512</v>
      </c>
      <c r="B1235" s="9"/>
      <c r="C1235" s="9"/>
      <c r="D1235" s="8"/>
      <c r="E1235" s="8"/>
      <c r="F1235" s="8" t="s">
        <v>22</v>
      </c>
      <c r="G1235" s="10" t="s">
        <v>2894</v>
      </c>
      <c r="H1235" s="8" t="s">
        <v>2895</v>
      </c>
      <c r="I1235" s="10" t="s">
        <v>2894</v>
      </c>
      <c r="J1235" s="11" t="s">
        <v>33</v>
      </c>
      <c r="K1235" s="18">
        <v>1176</v>
      </c>
      <c r="L1235" s="12">
        <f t="shared" si="118"/>
        <v>2000</v>
      </c>
      <c r="M1235" s="8">
        <v>1</v>
      </c>
      <c r="N1235" s="8" t="s">
        <v>110</v>
      </c>
      <c r="O1235" s="13"/>
      <c r="P1235" s="14">
        <v>0.2</v>
      </c>
      <c r="Q1235" s="15">
        <v>0.4</v>
      </c>
      <c r="R1235" s="16" t="str">
        <f t="shared" si="119"/>
        <v>GENERAL</v>
      </c>
      <c r="S1235" s="17"/>
      <c r="T1235" s="10" t="str">
        <f t="shared" si="117"/>
        <v>METRO DE CORAZA PLÁSTICA DE 3/4".</v>
      </c>
    </row>
    <row r="1236" spans="1:20" ht="27" customHeight="1" x14ac:dyDescent="0.25">
      <c r="A1236" s="8" t="s">
        <v>2512</v>
      </c>
      <c r="B1236" s="9"/>
      <c r="C1236" s="9"/>
      <c r="D1236" s="8"/>
      <c r="E1236" s="8"/>
      <c r="F1236" s="8" t="s">
        <v>22</v>
      </c>
      <c r="G1236" s="10" t="s">
        <v>2896</v>
      </c>
      <c r="H1236" s="8" t="s">
        <v>2897</v>
      </c>
      <c r="I1236" s="10" t="s">
        <v>2896</v>
      </c>
      <c r="J1236" s="11" t="s">
        <v>33</v>
      </c>
      <c r="K1236" s="18">
        <v>6298</v>
      </c>
      <c r="L1236" s="12">
        <f t="shared" si="118"/>
        <v>10500</v>
      </c>
      <c r="M1236" s="8">
        <v>1</v>
      </c>
      <c r="N1236" s="8" t="s">
        <v>27</v>
      </c>
      <c r="O1236" s="13"/>
      <c r="P1236" s="14">
        <v>0.2</v>
      </c>
      <c r="Q1236" s="15">
        <v>0.4</v>
      </c>
      <c r="R1236" s="16" t="str">
        <f t="shared" si="119"/>
        <v>GENERAL</v>
      </c>
      <c r="S1236" s="17"/>
      <c r="T1236" s="10" t="str">
        <f t="shared" si="117"/>
        <v>CURVA PARA TUBO PVC DE 1 Y 1/4 DE PULGADA</v>
      </c>
    </row>
    <row r="1237" spans="1:20" ht="27" customHeight="1" x14ac:dyDescent="0.25">
      <c r="A1237" s="8" t="s">
        <v>2512</v>
      </c>
      <c r="B1237" s="9"/>
      <c r="C1237" s="9"/>
      <c r="D1237" s="8"/>
      <c r="E1237" s="8"/>
      <c r="F1237" s="8" t="s">
        <v>22</v>
      </c>
      <c r="G1237" s="10" t="s">
        <v>2898</v>
      </c>
      <c r="H1237" s="8" t="s">
        <v>2899</v>
      </c>
      <c r="I1237" s="10" t="s">
        <v>2898</v>
      </c>
      <c r="J1237" s="11" t="s">
        <v>33</v>
      </c>
      <c r="K1237" s="18">
        <v>6800</v>
      </c>
      <c r="L1237" s="12">
        <f t="shared" si="118"/>
        <v>9800</v>
      </c>
      <c r="M1237" s="8">
        <v>1</v>
      </c>
      <c r="N1237" s="8" t="s">
        <v>27</v>
      </c>
      <c r="O1237" s="13"/>
      <c r="P1237" s="14">
        <v>0.2</v>
      </c>
      <c r="Q1237" s="15">
        <v>0.3</v>
      </c>
      <c r="R1237" s="16" t="str">
        <f t="shared" si="119"/>
        <v>GENERAL</v>
      </c>
      <c r="S1237" s="17"/>
      <c r="T1237" s="10" t="str">
        <f t="shared" si="117"/>
        <v>TUBO DE 1 Y 1/4", DE 3 METROS EN PVC CERTIFICADO.</v>
      </c>
    </row>
    <row r="1238" spans="1:20" ht="27" customHeight="1" x14ac:dyDescent="0.25">
      <c r="A1238" s="8" t="s">
        <v>2512</v>
      </c>
      <c r="B1238" s="9"/>
      <c r="C1238" s="9"/>
      <c r="D1238" s="8"/>
      <c r="E1238" s="8"/>
      <c r="F1238" s="8" t="s">
        <v>22</v>
      </c>
      <c r="G1238" s="10" t="s">
        <v>2900</v>
      </c>
      <c r="H1238" s="8" t="s">
        <v>2901</v>
      </c>
      <c r="I1238" s="10" t="s">
        <v>2900</v>
      </c>
      <c r="J1238" s="11" t="s">
        <v>33</v>
      </c>
      <c r="K1238" s="18">
        <v>1000</v>
      </c>
      <c r="L1238" s="12">
        <f t="shared" si="118"/>
        <v>1700</v>
      </c>
      <c r="M1238" s="8">
        <v>1</v>
      </c>
      <c r="N1238" s="8" t="s">
        <v>27</v>
      </c>
      <c r="O1238" s="13"/>
      <c r="P1238" s="14">
        <v>0.2</v>
      </c>
      <c r="Q1238" s="15">
        <v>0.4</v>
      </c>
      <c r="R1238" s="16" t="str">
        <f t="shared" si="119"/>
        <v>GENERAL</v>
      </c>
      <c r="S1238" s="17"/>
      <c r="T1238" s="10" t="str">
        <f t="shared" si="117"/>
        <v>CAJA PLÁSTICA 5800</v>
      </c>
    </row>
    <row r="1239" spans="1:20" ht="27" customHeight="1" x14ac:dyDescent="0.25">
      <c r="A1239" s="8" t="s">
        <v>2512</v>
      </c>
      <c r="B1239" s="9"/>
      <c r="C1239" s="9"/>
      <c r="D1239" s="8"/>
      <c r="E1239" s="8"/>
      <c r="F1239" s="8" t="s">
        <v>22</v>
      </c>
      <c r="G1239" s="10" t="s">
        <v>2902</v>
      </c>
      <c r="H1239" s="8" t="s">
        <v>2903</v>
      </c>
      <c r="I1239" s="10" t="s">
        <v>2902</v>
      </c>
      <c r="J1239" s="11" t="s">
        <v>33</v>
      </c>
      <c r="K1239" s="18">
        <v>800</v>
      </c>
      <c r="L1239" s="12">
        <f t="shared" si="118"/>
        <v>1400</v>
      </c>
      <c r="M1239" s="8">
        <v>1</v>
      </c>
      <c r="N1239" s="8" t="s">
        <v>27</v>
      </c>
      <c r="O1239" s="13"/>
      <c r="P1239" s="14">
        <v>0.2</v>
      </c>
      <c r="Q1239" s="15">
        <v>0.4</v>
      </c>
      <c r="R1239" s="16" t="str">
        <f t="shared" si="119"/>
        <v>GENERAL</v>
      </c>
      <c r="S1239" s="17"/>
      <c r="T1239" s="10" t="str">
        <f t="shared" si="117"/>
        <v>TERMINAL DE 1" EN PVC</v>
      </c>
    </row>
    <row r="1240" spans="1:20" ht="27" customHeight="1" x14ac:dyDescent="0.25">
      <c r="A1240" s="8" t="s">
        <v>2512</v>
      </c>
      <c r="B1240" s="9"/>
      <c r="C1240" s="9"/>
      <c r="D1240" s="8"/>
      <c r="E1240" s="8"/>
      <c r="F1240" s="8" t="s">
        <v>22</v>
      </c>
      <c r="G1240" s="10" t="s">
        <v>2904</v>
      </c>
      <c r="H1240" s="8" t="s">
        <v>2905</v>
      </c>
      <c r="I1240" s="10" t="s">
        <v>2904</v>
      </c>
      <c r="J1240" s="11" t="s">
        <v>33</v>
      </c>
      <c r="K1240" s="18">
        <v>900</v>
      </c>
      <c r="L1240" s="12">
        <f t="shared" si="118"/>
        <v>1500</v>
      </c>
      <c r="M1240" s="8">
        <v>1</v>
      </c>
      <c r="N1240" s="8" t="s">
        <v>27</v>
      </c>
      <c r="O1240" s="13"/>
      <c r="P1240" s="14">
        <v>0.2</v>
      </c>
      <c r="Q1240" s="15">
        <v>0.4</v>
      </c>
      <c r="R1240" s="16" t="str">
        <f t="shared" si="119"/>
        <v>GENERAL</v>
      </c>
      <c r="S1240" s="17"/>
      <c r="T1240" s="10" t="str">
        <f t="shared" ref="T1240:T1303" si="120">G1240</f>
        <v>TERMINAL PARA TUBO PVC DE PULGADA Y CUARTO</v>
      </c>
    </row>
    <row r="1241" spans="1:20" ht="27" customHeight="1" x14ac:dyDescent="0.25">
      <c r="A1241" s="8" t="s">
        <v>2512</v>
      </c>
      <c r="B1241" s="9"/>
      <c r="C1241" s="9"/>
      <c r="D1241" s="8"/>
      <c r="E1241" s="8"/>
      <c r="F1241" s="8" t="s">
        <v>22</v>
      </c>
      <c r="G1241" s="10" t="s">
        <v>2906</v>
      </c>
      <c r="H1241" s="8" t="s">
        <v>2907</v>
      </c>
      <c r="I1241" s="10" t="s">
        <v>2906</v>
      </c>
      <c r="J1241" s="11" t="s">
        <v>33</v>
      </c>
      <c r="K1241" s="18">
        <v>5000</v>
      </c>
      <c r="L1241" s="12">
        <f t="shared" si="118"/>
        <v>7200</v>
      </c>
      <c r="M1241" s="8">
        <v>1</v>
      </c>
      <c r="N1241" s="8" t="s">
        <v>27</v>
      </c>
      <c r="O1241" s="13"/>
      <c r="P1241" s="14">
        <v>0.2</v>
      </c>
      <c r="Q1241" s="15">
        <v>0.3</v>
      </c>
      <c r="R1241" s="16" t="str">
        <f t="shared" si="119"/>
        <v>GENERAL</v>
      </c>
      <c r="S1241" s="17"/>
      <c r="T1241" s="10" t="str">
        <f t="shared" si="120"/>
        <v>TUBO DE 1", DE 3 METROS EN PVC CERTIFICADO.</v>
      </c>
    </row>
    <row r="1242" spans="1:20" ht="27" customHeight="1" x14ac:dyDescent="0.25">
      <c r="A1242" s="8" t="s">
        <v>2512</v>
      </c>
      <c r="B1242" s="9"/>
      <c r="C1242" s="9"/>
      <c r="D1242" s="8"/>
      <c r="E1242" s="8"/>
      <c r="F1242" s="8" t="s">
        <v>22</v>
      </c>
      <c r="G1242" s="10" t="s">
        <v>2908</v>
      </c>
      <c r="H1242" s="8" t="s">
        <v>2909</v>
      </c>
      <c r="I1242" s="10" t="s">
        <v>2908</v>
      </c>
      <c r="J1242" s="11" t="s">
        <v>33</v>
      </c>
      <c r="K1242" s="18">
        <v>1700</v>
      </c>
      <c r="L1242" s="12">
        <f t="shared" si="118"/>
        <v>2900</v>
      </c>
      <c r="M1242" s="8">
        <v>1</v>
      </c>
      <c r="N1242" s="8" t="s">
        <v>27</v>
      </c>
      <c r="O1242" s="13"/>
      <c r="P1242" s="14">
        <v>0.2</v>
      </c>
      <c r="Q1242" s="15">
        <v>0.4</v>
      </c>
      <c r="R1242" s="16" t="str">
        <f t="shared" si="119"/>
        <v>GENERAL</v>
      </c>
      <c r="S1242" s="17"/>
      <c r="T1242" s="10" t="str">
        <f t="shared" si="120"/>
        <v>TERMINAL DE 1.5 PULGADAS PARA TUBO EMT</v>
      </c>
    </row>
    <row r="1243" spans="1:20" ht="27" customHeight="1" x14ac:dyDescent="0.25">
      <c r="A1243" s="8" t="s">
        <v>2512</v>
      </c>
      <c r="B1243" s="9"/>
      <c r="C1243" s="9"/>
      <c r="D1243" s="8"/>
      <c r="E1243" s="8"/>
      <c r="F1243" s="8" t="s">
        <v>22</v>
      </c>
      <c r="G1243" s="10" t="s">
        <v>1428</v>
      </c>
      <c r="H1243" s="8" t="s">
        <v>2910</v>
      </c>
      <c r="I1243" s="10" t="s">
        <v>1428</v>
      </c>
      <c r="J1243" s="11" t="s">
        <v>33</v>
      </c>
      <c r="K1243" s="18">
        <v>2600</v>
      </c>
      <c r="L1243" s="12">
        <f t="shared" ref="L1243:L1306" si="121">IF(J1243="P",ROUNDUP(K1243/(1-Q1243),-2),K1243*(1+P1243)/(1-Q1243))</f>
        <v>4400</v>
      </c>
      <c r="M1243" s="8">
        <v>1</v>
      </c>
      <c r="N1243" s="8" t="s">
        <v>27</v>
      </c>
      <c r="O1243" s="13"/>
      <c r="P1243" s="14">
        <v>0.2</v>
      </c>
      <c r="Q1243" s="15">
        <v>0.4</v>
      </c>
      <c r="R1243" s="16" t="str">
        <f t="shared" si="119"/>
        <v>GENERAL</v>
      </c>
      <c r="S1243" s="17"/>
      <c r="T1243" s="10" t="str">
        <f t="shared" si="120"/>
        <v>TERMINAL DE 2 PULGADAS PARA TUBO EMT</v>
      </c>
    </row>
    <row r="1244" spans="1:20" ht="27" customHeight="1" x14ac:dyDescent="0.25">
      <c r="A1244" s="8" t="s">
        <v>2512</v>
      </c>
      <c r="B1244" s="9"/>
      <c r="C1244" s="9"/>
      <c r="D1244" s="8"/>
      <c r="E1244" s="8"/>
      <c r="F1244" s="8" t="s">
        <v>22</v>
      </c>
      <c r="G1244" s="10" t="s">
        <v>2911</v>
      </c>
      <c r="H1244" s="8" t="s">
        <v>2912</v>
      </c>
      <c r="I1244" s="10" t="s">
        <v>2911</v>
      </c>
      <c r="J1244" s="11" t="s">
        <v>33</v>
      </c>
      <c r="K1244" s="18">
        <v>8800</v>
      </c>
      <c r="L1244" s="12">
        <f t="shared" si="121"/>
        <v>12600</v>
      </c>
      <c r="M1244" s="8">
        <v>1</v>
      </c>
      <c r="N1244" s="8" t="s">
        <v>27</v>
      </c>
      <c r="O1244" s="13"/>
      <c r="P1244" s="14">
        <v>0.2</v>
      </c>
      <c r="Q1244" s="15">
        <v>0.3</v>
      </c>
      <c r="R1244" s="16" t="str">
        <f t="shared" si="119"/>
        <v>GENERAL</v>
      </c>
      <c r="S1244" s="17"/>
      <c r="T1244" s="10" t="str">
        <f t="shared" si="120"/>
        <v>TUBO DE 1 Y 1/2", DE 3 METROS EN PVC CERTIFICADO.</v>
      </c>
    </row>
    <row r="1245" spans="1:20" ht="27" customHeight="1" x14ac:dyDescent="0.25">
      <c r="A1245" s="8" t="s">
        <v>2512</v>
      </c>
      <c r="B1245" s="9"/>
      <c r="C1245" s="9"/>
      <c r="D1245" s="8"/>
      <c r="E1245" s="8"/>
      <c r="F1245" s="8" t="s">
        <v>22</v>
      </c>
      <c r="G1245" s="10" t="s">
        <v>2913</v>
      </c>
      <c r="H1245" s="8" t="s">
        <v>2914</v>
      </c>
      <c r="I1245" s="10" t="s">
        <v>2913</v>
      </c>
      <c r="J1245" s="11" t="s">
        <v>33</v>
      </c>
      <c r="K1245" s="18">
        <v>12000</v>
      </c>
      <c r="L1245" s="12">
        <f t="shared" si="121"/>
        <v>17200</v>
      </c>
      <c r="M1245" s="8">
        <v>1</v>
      </c>
      <c r="N1245" s="8" t="s">
        <v>27</v>
      </c>
      <c r="O1245" s="13"/>
      <c r="P1245" s="14">
        <v>0.2</v>
      </c>
      <c r="Q1245" s="15">
        <v>0.3</v>
      </c>
      <c r="R1245" s="16" t="str">
        <f t="shared" si="119"/>
        <v>GENERAL</v>
      </c>
      <c r="S1245" s="17"/>
      <c r="T1245" s="10" t="str">
        <f t="shared" si="120"/>
        <v>TUBO DE 2", DE 3 METROS EN PVC CERTIFICADO.</v>
      </c>
    </row>
    <row r="1246" spans="1:20" ht="27" customHeight="1" x14ac:dyDescent="0.25">
      <c r="A1246" s="8" t="s">
        <v>2512</v>
      </c>
      <c r="B1246" s="9"/>
      <c r="C1246" s="9"/>
      <c r="D1246" s="8"/>
      <c r="E1246" s="8"/>
      <c r="F1246" s="8" t="s">
        <v>22</v>
      </c>
      <c r="G1246" s="10" t="s">
        <v>2915</v>
      </c>
      <c r="H1246" s="8" t="s">
        <v>2916</v>
      </c>
      <c r="I1246" s="10" t="s">
        <v>2915</v>
      </c>
      <c r="J1246" s="11" t="s">
        <v>33</v>
      </c>
      <c r="K1246" s="18">
        <v>600</v>
      </c>
      <c r="L1246" s="12">
        <f t="shared" si="121"/>
        <v>900</v>
      </c>
      <c r="M1246" s="8">
        <v>1</v>
      </c>
      <c r="N1246" s="8" t="s">
        <v>27</v>
      </c>
      <c r="O1246" s="13"/>
      <c r="P1246" s="14">
        <v>0.2</v>
      </c>
      <c r="Q1246" s="15">
        <v>0.3</v>
      </c>
      <c r="R1246" s="16" t="str">
        <f t="shared" si="119"/>
        <v>GENERAL</v>
      </c>
      <c r="S1246" s="17"/>
      <c r="T1246" s="10" t="str">
        <f t="shared" si="120"/>
        <v>CURVA PARA TUBO PVC DE 1/2 DE PULGADA</v>
      </c>
    </row>
    <row r="1247" spans="1:20" ht="27" customHeight="1" x14ac:dyDescent="0.25">
      <c r="A1247" s="8" t="s">
        <v>2512</v>
      </c>
      <c r="B1247" s="9"/>
      <c r="C1247" s="9"/>
      <c r="D1247" s="8"/>
      <c r="E1247" s="8"/>
      <c r="F1247" s="8" t="s">
        <v>22</v>
      </c>
      <c r="G1247" s="10" t="s">
        <v>2917</v>
      </c>
      <c r="H1247" s="8" t="s">
        <v>2918</v>
      </c>
      <c r="I1247" s="10" t="s">
        <v>2917</v>
      </c>
      <c r="J1247" s="11" t="s">
        <v>33</v>
      </c>
      <c r="K1247" s="18">
        <v>5500</v>
      </c>
      <c r="L1247" s="12">
        <f t="shared" si="121"/>
        <v>7900</v>
      </c>
      <c r="M1247" s="8">
        <v>1</v>
      </c>
      <c r="N1247" s="8" t="s">
        <v>27</v>
      </c>
      <c r="O1247" s="13" t="e">
        <f>#REF!</f>
        <v>#REF!</v>
      </c>
      <c r="P1247" s="14">
        <v>0.2</v>
      </c>
      <c r="Q1247" s="15">
        <v>0.3</v>
      </c>
      <c r="R1247" s="16" t="str">
        <f t="shared" si="119"/>
        <v>GENERAL</v>
      </c>
      <c r="S1247" s="17"/>
      <c r="T1247" s="10" t="str">
        <f t="shared" si="120"/>
        <v>LONA DE ARENA DE PENA</v>
      </c>
    </row>
    <row r="1248" spans="1:20" ht="27" customHeight="1" x14ac:dyDescent="0.25">
      <c r="A1248" s="8" t="s">
        <v>2512</v>
      </c>
      <c r="B1248" s="9"/>
      <c r="C1248" s="9"/>
      <c r="D1248" s="8"/>
      <c r="E1248" s="8"/>
      <c r="F1248" s="8" t="s">
        <v>22</v>
      </c>
      <c r="G1248" s="10" t="s">
        <v>2919</v>
      </c>
      <c r="H1248" s="8" t="s">
        <v>2920</v>
      </c>
      <c r="I1248" s="10" t="s">
        <v>2919</v>
      </c>
      <c r="J1248" s="11" t="s">
        <v>33</v>
      </c>
      <c r="K1248" s="18">
        <v>168</v>
      </c>
      <c r="L1248" s="12">
        <f t="shared" si="121"/>
        <v>300</v>
      </c>
      <c r="M1248" s="8">
        <v>1</v>
      </c>
      <c r="N1248" s="8" t="s">
        <v>27</v>
      </c>
      <c r="O1248" s="13" t="e">
        <f>#REF!</f>
        <v>#REF!</v>
      </c>
      <c r="P1248" s="14">
        <v>0.2</v>
      </c>
      <c r="Q1248" s="15">
        <v>0.2</v>
      </c>
      <c r="R1248" s="16" t="str">
        <f t="shared" si="119"/>
        <v>GENERAL</v>
      </c>
      <c r="S1248" s="17"/>
      <c r="T1248" s="10" t="str">
        <f t="shared" si="120"/>
        <v xml:space="preserve">TORNILLO 3/8 </v>
      </c>
    </row>
    <row r="1249" spans="1:20" ht="27" customHeight="1" x14ac:dyDescent="0.25">
      <c r="A1249" s="8" t="s">
        <v>2512</v>
      </c>
      <c r="B1249" s="9"/>
      <c r="C1249" s="9"/>
      <c r="D1249" s="8"/>
      <c r="E1249" s="8"/>
      <c r="F1249" s="8" t="s">
        <v>22</v>
      </c>
      <c r="G1249" s="10" t="s">
        <v>2921</v>
      </c>
      <c r="H1249" s="8" t="s">
        <v>2922</v>
      </c>
      <c r="I1249" s="10" t="s">
        <v>2921</v>
      </c>
      <c r="J1249" s="11" t="s">
        <v>33</v>
      </c>
      <c r="K1249" s="18">
        <v>560</v>
      </c>
      <c r="L1249" s="12">
        <f t="shared" si="121"/>
        <v>1000</v>
      </c>
      <c r="M1249" s="8">
        <v>1</v>
      </c>
      <c r="N1249" s="8" t="s">
        <v>2923</v>
      </c>
      <c r="O1249" s="13" t="e">
        <f>#REF!</f>
        <v>#REF!</v>
      </c>
      <c r="P1249" s="14">
        <v>0.2</v>
      </c>
      <c r="Q1249" s="15">
        <v>0.4</v>
      </c>
      <c r="R1249" s="16" t="str">
        <f t="shared" si="119"/>
        <v>GENERAL</v>
      </c>
      <c r="S1249" s="17"/>
      <c r="T1249" s="10" t="str">
        <f t="shared" si="120"/>
        <v>BOLSA TORNILLO AUTOPERFORANTE X10</v>
      </c>
    </row>
    <row r="1250" spans="1:20" ht="27" customHeight="1" x14ac:dyDescent="0.25">
      <c r="A1250" s="8" t="s">
        <v>2512</v>
      </c>
      <c r="B1250" s="9"/>
      <c r="C1250" s="9"/>
      <c r="D1250" s="8"/>
      <c r="E1250" s="8"/>
      <c r="F1250" s="8" t="s">
        <v>22</v>
      </c>
      <c r="G1250" s="10" t="s">
        <v>2924</v>
      </c>
      <c r="H1250" s="8" t="s">
        <v>2925</v>
      </c>
      <c r="I1250" s="10" t="s">
        <v>2924</v>
      </c>
      <c r="J1250" s="11" t="s">
        <v>33</v>
      </c>
      <c r="K1250" s="18">
        <v>2700000</v>
      </c>
      <c r="L1250" s="12">
        <f t="shared" si="121"/>
        <v>4500000</v>
      </c>
      <c r="M1250" s="8">
        <v>1</v>
      </c>
      <c r="N1250" s="8" t="s">
        <v>27</v>
      </c>
      <c r="O1250" s="13"/>
      <c r="P1250" s="14">
        <v>0.2</v>
      </c>
      <c r="Q1250" s="15">
        <v>0.4</v>
      </c>
      <c r="R1250" s="16" t="str">
        <f t="shared" si="119"/>
        <v>GENERAL</v>
      </c>
      <c r="S1250" s="17"/>
      <c r="T1250" s="10" t="str">
        <f t="shared" si="120"/>
        <v>POSTE PARA EXTENSIÓN DE POSICIONAMIENTO DE EQUIPOS.</v>
      </c>
    </row>
    <row r="1251" spans="1:20" ht="27" customHeight="1" x14ac:dyDescent="0.25">
      <c r="A1251" s="8" t="s">
        <v>2512</v>
      </c>
      <c r="B1251" s="9"/>
      <c r="C1251" s="9"/>
      <c r="D1251" s="8"/>
      <c r="E1251" s="8"/>
      <c r="F1251" s="8" t="s">
        <v>22</v>
      </c>
      <c r="G1251" s="10" t="s">
        <v>2926</v>
      </c>
      <c r="H1251" s="8" t="s">
        <v>2927</v>
      </c>
      <c r="I1251" s="10" t="s">
        <v>2926</v>
      </c>
      <c r="J1251" s="11" t="s">
        <v>33</v>
      </c>
      <c r="K1251" s="18">
        <v>95600</v>
      </c>
      <c r="L1251" s="12">
        <f t="shared" si="121"/>
        <v>159400</v>
      </c>
      <c r="M1251" s="8">
        <v>1</v>
      </c>
      <c r="N1251" s="8" t="s">
        <v>27</v>
      </c>
      <c r="O1251" s="13"/>
      <c r="P1251" s="14">
        <v>0.2</v>
      </c>
      <c r="Q1251" s="15">
        <v>0.4</v>
      </c>
      <c r="R1251" s="16" t="str">
        <f t="shared" si="119"/>
        <v>GENERAL</v>
      </c>
      <c r="S1251" s="17"/>
      <c r="T1251" s="10" t="str">
        <f t="shared" si="120"/>
        <v>MONTAJE DE EQUIPOS EN POSTE</v>
      </c>
    </row>
    <row r="1252" spans="1:20" ht="27" customHeight="1" x14ac:dyDescent="0.25">
      <c r="A1252" s="8" t="s">
        <v>2512</v>
      </c>
      <c r="B1252" s="9"/>
      <c r="C1252" s="9"/>
      <c r="D1252" s="8"/>
      <c r="E1252" s="8"/>
      <c r="F1252" s="8" t="s">
        <v>22</v>
      </c>
      <c r="G1252" s="10" t="s">
        <v>2928</v>
      </c>
      <c r="H1252" s="8" t="s">
        <v>2929</v>
      </c>
      <c r="I1252" s="10" t="s">
        <v>2928</v>
      </c>
      <c r="J1252" s="11" t="s">
        <v>33</v>
      </c>
      <c r="K1252" s="18">
        <v>5500000</v>
      </c>
      <c r="L1252" s="12">
        <f t="shared" si="121"/>
        <v>9166700</v>
      </c>
      <c r="M1252" s="8">
        <v>1</v>
      </c>
      <c r="N1252" s="8" t="s">
        <v>27</v>
      </c>
      <c r="O1252" s="13"/>
      <c r="P1252" s="14">
        <v>0.2</v>
      </c>
      <c r="Q1252" s="15">
        <v>0.4</v>
      </c>
      <c r="R1252" s="16" t="str">
        <f t="shared" si="119"/>
        <v>GENERAL</v>
      </c>
      <c r="S1252" s="17"/>
      <c r="T1252" s="10" t="str">
        <f t="shared" si="120"/>
        <v>CONFIGURACIÓN, PUESTA A PUNTO Y CONFIGURACIÓN DE LOS SISTEMAS</v>
      </c>
    </row>
    <row r="1253" spans="1:20" ht="27" customHeight="1" x14ac:dyDescent="0.25">
      <c r="A1253" s="8" t="s">
        <v>2512</v>
      </c>
      <c r="B1253" s="9" t="s">
        <v>93</v>
      </c>
      <c r="C1253" s="9"/>
      <c r="D1253" s="8" t="s">
        <v>93</v>
      </c>
      <c r="E1253" s="8"/>
      <c r="F1253" s="8" t="s">
        <v>22</v>
      </c>
      <c r="G1253" s="10" t="s">
        <v>2930</v>
      </c>
      <c r="H1253" s="8" t="s">
        <v>2931</v>
      </c>
      <c r="I1253" s="10" t="s">
        <v>2930</v>
      </c>
      <c r="J1253" s="11" t="s">
        <v>33</v>
      </c>
      <c r="K1253" s="18">
        <v>13000</v>
      </c>
      <c r="L1253" s="12">
        <f t="shared" si="121"/>
        <v>18600</v>
      </c>
      <c r="M1253" s="8">
        <v>1</v>
      </c>
      <c r="N1253" s="8" t="s">
        <v>27</v>
      </c>
      <c r="O1253" s="13"/>
      <c r="P1253" s="14">
        <v>0.2</v>
      </c>
      <c r="Q1253" s="15">
        <v>0.3</v>
      </c>
      <c r="R1253" s="16" t="str">
        <f t="shared" si="119"/>
        <v>GENERAL</v>
      </c>
      <c r="S1253" s="17"/>
      <c r="T1253" s="10" t="str">
        <f t="shared" si="120"/>
        <v>METRO DE RIEL PARA CINTA LED</v>
      </c>
    </row>
    <row r="1254" spans="1:20" ht="27" customHeight="1" x14ac:dyDescent="0.25">
      <c r="A1254" s="8" t="s">
        <v>2512</v>
      </c>
      <c r="B1254" s="9"/>
      <c r="C1254" s="9"/>
      <c r="D1254" s="8"/>
      <c r="E1254" s="8"/>
      <c r="F1254" s="8" t="s">
        <v>22</v>
      </c>
      <c r="G1254" s="10" t="s">
        <v>2932</v>
      </c>
      <c r="H1254" s="8" t="s">
        <v>2933</v>
      </c>
      <c r="I1254" s="10" t="s">
        <v>2932</v>
      </c>
      <c r="J1254" s="11" t="s">
        <v>33</v>
      </c>
      <c r="K1254" s="18">
        <v>11207</v>
      </c>
      <c r="L1254" s="12">
        <f t="shared" si="121"/>
        <v>18700</v>
      </c>
      <c r="M1254" s="8">
        <v>1</v>
      </c>
      <c r="N1254" s="8" t="s">
        <v>27</v>
      </c>
      <c r="O1254" s="13"/>
      <c r="P1254" s="14">
        <v>0.2</v>
      </c>
      <c r="Q1254" s="15">
        <v>0.4</v>
      </c>
      <c r="R1254" s="16" t="str">
        <f t="shared" si="119"/>
        <v>GENERAL</v>
      </c>
      <c r="S1254" s="17"/>
      <c r="T1254" s="10" t="str">
        <f t="shared" si="120"/>
        <v>BALA MÓVIL PARA LUMINARIA MR16 EN COLOR BLANCO.</v>
      </c>
    </row>
    <row r="1255" spans="1:20" ht="27" customHeight="1" x14ac:dyDescent="0.25">
      <c r="A1255" s="8" t="s">
        <v>2512</v>
      </c>
      <c r="B1255" s="9"/>
      <c r="C1255" s="9"/>
      <c r="D1255" s="8"/>
      <c r="E1255" s="8"/>
      <c r="F1255" s="8" t="s">
        <v>22</v>
      </c>
      <c r="G1255" s="10" t="s">
        <v>2934</v>
      </c>
      <c r="H1255" s="8" t="s">
        <v>2935</v>
      </c>
      <c r="I1255" s="10" t="s">
        <v>2934</v>
      </c>
      <c r="J1255" s="11" t="s">
        <v>33</v>
      </c>
      <c r="K1255" s="18">
        <v>40000</v>
      </c>
      <c r="L1255" s="12">
        <f t="shared" si="121"/>
        <v>66700</v>
      </c>
      <c r="M1255" s="8">
        <v>1</v>
      </c>
      <c r="N1255" s="8" t="s">
        <v>27</v>
      </c>
      <c r="O1255" s="13"/>
      <c r="P1255" s="14">
        <v>0.2</v>
      </c>
      <c r="Q1255" s="15">
        <v>0.4</v>
      </c>
      <c r="R1255" s="16" t="str">
        <f t="shared" si="119"/>
        <v>GENERAL</v>
      </c>
      <c r="S1255" s="17"/>
      <c r="T1255" s="10" t="str">
        <f t="shared" si="120"/>
        <v>CINTA LED RGB CON FUENTE DE 5 METROS</v>
      </c>
    </row>
    <row r="1256" spans="1:20" ht="27" customHeight="1" x14ac:dyDescent="0.25">
      <c r="A1256" s="8" t="s">
        <v>2512</v>
      </c>
      <c r="B1256" s="9"/>
      <c r="C1256" s="9"/>
      <c r="D1256" s="8"/>
      <c r="E1256" s="8"/>
      <c r="F1256" s="8" t="s">
        <v>22</v>
      </c>
      <c r="G1256" s="10" t="s">
        <v>2936</v>
      </c>
      <c r="H1256" s="8" t="s">
        <v>2937</v>
      </c>
      <c r="I1256" s="10" t="s">
        <v>2936</v>
      </c>
      <c r="J1256" s="11" t="s">
        <v>33</v>
      </c>
      <c r="K1256" s="18">
        <v>17000</v>
      </c>
      <c r="L1256" s="12">
        <f t="shared" si="121"/>
        <v>28400</v>
      </c>
      <c r="M1256" s="8">
        <v>1</v>
      </c>
      <c r="N1256" s="8" t="s">
        <v>27</v>
      </c>
      <c r="O1256" s="13"/>
      <c r="P1256" s="14">
        <v>0.2</v>
      </c>
      <c r="Q1256" s="15">
        <v>0.4</v>
      </c>
      <c r="R1256" s="16" t="str">
        <f t="shared" si="119"/>
        <v>GENERAL</v>
      </c>
      <c r="S1256" s="17"/>
      <c r="T1256" s="10" t="str">
        <f t="shared" si="120"/>
        <v>PERFIL BLANCO PARA LED DE SOBREPONER</v>
      </c>
    </row>
    <row r="1257" spans="1:20" ht="27" customHeight="1" x14ac:dyDescent="0.25">
      <c r="A1257" s="8" t="s">
        <v>2512</v>
      </c>
      <c r="B1257" s="9"/>
      <c r="C1257" s="9"/>
      <c r="D1257" s="8"/>
      <c r="E1257" s="8"/>
      <c r="F1257" s="8" t="s">
        <v>22</v>
      </c>
      <c r="G1257" s="10" t="s">
        <v>2938</v>
      </c>
      <c r="H1257" s="8" t="s">
        <v>2939</v>
      </c>
      <c r="I1257" s="10" t="s">
        <v>2938</v>
      </c>
      <c r="J1257" s="11" t="s">
        <v>33</v>
      </c>
      <c r="K1257" s="18">
        <v>15000</v>
      </c>
      <c r="L1257" s="12">
        <f t="shared" si="121"/>
        <v>25000</v>
      </c>
      <c r="M1257" s="8">
        <v>1</v>
      </c>
      <c r="N1257" s="8" t="s">
        <v>27</v>
      </c>
      <c r="O1257" s="13"/>
      <c r="P1257" s="14">
        <v>0.2</v>
      </c>
      <c r="Q1257" s="15">
        <v>0.4</v>
      </c>
      <c r="R1257" s="16" t="str">
        <f t="shared" si="119"/>
        <v>GENERAL</v>
      </c>
      <c r="S1257" s="17"/>
      <c r="T1257" s="10" t="str">
        <f t="shared" si="120"/>
        <v>METRO DE CINTA LED CÁLIDA DE 6 VATIOS</v>
      </c>
    </row>
    <row r="1258" spans="1:20" ht="27" customHeight="1" x14ac:dyDescent="0.25">
      <c r="A1258" s="8" t="s">
        <v>2512</v>
      </c>
      <c r="B1258" s="9"/>
      <c r="C1258" s="9"/>
      <c r="D1258" s="8"/>
      <c r="E1258" s="8"/>
      <c r="F1258" s="8" t="s">
        <v>22</v>
      </c>
      <c r="G1258" s="10" t="s">
        <v>2940</v>
      </c>
      <c r="H1258" s="8" t="s">
        <v>2941</v>
      </c>
      <c r="I1258" s="10" t="s">
        <v>2940</v>
      </c>
      <c r="J1258" s="11" t="s">
        <v>33</v>
      </c>
      <c r="K1258" s="18">
        <v>60000</v>
      </c>
      <c r="L1258" s="12">
        <f t="shared" si="121"/>
        <v>100000</v>
      </c>
      <c r="M1258" s="8">
        <v>1</v>
      </c>
      <c r="N1258" s="8" t="s">
        <v>27</v>
      </c>
      <c r="O1258" s="13"/>
      <c r="P1258" s="14">
        <v>0.2</v>
      </c>
      <c r="Q1258" s="15">
        <v>0.4</v>
      </c>
      <c r="R1258" s="16" t="str">
        <f t="shared" si="119"/>
        <v>GENERAL</v>
      </c>
      <c r="S1258" s="17"/>
      <c r="T1258" s="10" t="str">
        <f t="shared" si="120"/>
        <v>FUENTE PARA CINTA LED DE 35 VATIOS</v>
      </c>
    </row>
    <row r="1259" spans="1:20" ht="27" customHeight="1" x14ac:dyDescent="0.25">
      <c r="A1259" s="8" t="s">
        <v>2512</v>
      </c>
      <c r="B1259" s="9"/>
      <c r="C1259" s="9"/>
      <c r="D1259" s="8"/>
      <c r="E1259" s="8"/>
      <c r="F1259" s="8" t="s">
        <v>22</v>
      </c>
      <c r="G1259" s="10" t="s">
        <v>2942</v>
      </c>
      <c r="H1259" s="8" t="s">
        <v>2943</v>
      </c>
      <c r="I1259" s="10" t="s">
        <v>2942</v>
      </c>
      <c r="J1259" s="11" t="s">
        <v>33</v>
      </c>
      <c r="K1259" s="18">
        <v>1021500</v>
      </c>
      <c r="L1259" s="12">
        <f t="shared" si="121"/>
        <v>1702500</v>
      </c>
      <c r="M1259" s="8">
        <v>1</v>
      </c>
      <c r="N1259" s="8" t="s">
        <v>27</v>
      </c>
      <c r="O1259" s="13"/>
      <c r="P1259" s="14">
        <v>0.2</v>
      </c>
      <c r="Q1259" s="15">
        <v>0.4</v>
      </c>
      <c r="R1259" s="16" t="str">
        <f t="shared" si="119"/>
        <v>GENERAL</v>
      </c>
      <c r="S1259" s="17"/>
      <c r="T1259" s="10" t="str">
        <f t="shared" si="120"/>
        <v>DRIVER PARA LED ATENUABLE DE 0-10 VOLTIOS.</v>
      </c>
    </row>
    <row r="1260" spans="1:20" ht="27" customHeight="1" x14ac:dyDescent="0.25">
      <c r="A1260" s="8" t="s">
        <v>2512</v>
      </c>
      <c r="B1260" s="9"/>
      <c r="C1260" s="9"/>
      <c r="D1260" s="8"/>
      <c r="E1260" s="8"/>
      <c r="F1260" s="8" t="s">
        <v>22</v>
      </c>
      <c r="G1260" s="10" t="s">
        <v>2944</v>
      </c>
      <c r="H1260" s="8" t="s">
        <v>2945</v>
      </c>
      <c r="I1260" s="10" t="s">
        <v>2944</v>
      </c>
      <c r="J1260" s="11" t="s">
        <v>33</v>
      </c>
      <c r="K1260" s="18">
        <v>40000</v>
      </c>
      <c r="L1260" s="12">
        <f t="shared" si="121"/>
        <v>66700</v>
      </c>
      <c r="M1260" s="8">
        <v>1</v>
      </c>
      <c r="N1260" s="8" t="s">
        <v>27</v>
      </c>
      <c r="O1260" s="13"/>
      <c r="P1260" s="14">
        <v>0.2</v>
      </c>
      <c r="Q1260" s="15">
        <v>0.4</v>
      </c>
      <c r="R1260" s="16" t="str">
        <f t="shared" si="119"/>
        <v>GENERAL</v>
      </c>
      <c r="S1260" s="17"/>
      <c r="T1260" s="10" t="str">
        <f t="shared" si="120"/>
        <v>CINTA LED DE 3 METROS RGB CON CONTROL REMOTO Y FUENTE</v>
      </c>
    </row>
    <row r="1261" spans="1:20" ht="27" customHeight="1" x14ac:dyDescent="0.25">
      <c r="A1261" s="8" t="s">
        <v>2512</v>
      </c>
      <c r="B1261" s="9"/>
      <c r="C1261" s="9"/>
      <c r="D1261" s="8"/>
      <c r="E1261" s="8"/>
      <c r="F1261" s="8" t="s">
        <v>22</v>
      </c>
      <c r="G1261" s="10" t="s">
        <v>2946</v>
      </c>
      <c r="H1261" s="8" t="s">
        <v>2947</v>
      </c>
      <c r="I1261" s="10" t="s">
        <v>2946</v>
      </c>
      <c r="J1261" s="11" t="s">
        <v>33</v>
      </c>
      <c r="K1261" s="18">
        <v>30000</v>
      </c>
      <c r="L1261" s="12">
        <f t="shared" si="121"/>
        <v>50000</v>
      </c>
      <c r="M1261" s="8">
        <v>1</v>
      </c>
      <c r="N1261" s="8" t="s">
        <v>27</v>
      </c>
      <c r="O1261" s="13"/>
      <c r="P1261" s="14">
        <v>0.2</v>
      </c>
      <c r="Q1261" s="15">
        <v>0.4</v>
      </c>
      <c r="R1261" s="16" t="str">
        <f t="shared" si="119"/>
        <v>GENERAL</v>
      </c>
      <c r="S1261" s="17"/>
      <c r="T1261" s="10" t="str">
        <f t="shared" si="120"/>
        <v>SOPORTE EN RIEL PARA BOMBILLA E27</v>
      </c>
    </row>
    <row r="1262" spans="1:20" ht="27" customHeight="1" x14ac:dyDescent="0.25">
      <c r="A1262" s="8" t="s">
        <v>2512</v>
      </c>
      <c r="B1262" s="9"/>
      <c r="C1262" s="9"/>
      <c r="D1262" s="8"/>
      <c r="E1262" s="8"/>
      <c r="F1262" s="8" t="s">
        <v>22</v>
      </c>
      <c r="G1262" s="10" t="s">
        <v>2948</v>
      </c>
      <c r="H1262" s="8" t="s">
        <v>2949</v>
      </c>
      <c r="I1262" s="10" t="s">
        <v>2948</v>
      </c>
      <c r="J1262" s="11" t="s">
        <v>33</v>
      </c>
      <c r="K1262" s="18">
        <v>100000</v>
      </c>
      <c r="L1262" s="12">
        <f t="shared" si="121"/>
        <v>166700</v>
      </c>
      <c r="M1262" s="8">
        <v>1</v>
      </c>
      <c r="N1262" s="8" t="s">
        <v>27</v>
      </c>
      <c r="O1262" s="13"/>
      <c r="P1262" s="14">
        <v>0.2</v>
      </c>
      <c r="Q1262" s="15">
        <v>0.4</v>
      </c>
      <c r="R1262" s="16" t="str">
        <f t="shared" si="119"/>
        <v>GENERAL</v>
      </c>
      <c r="S1262" s="17"/>
      <c r="T1262" s="10" t="str">
        <f t="shared" si="120"/>
        <v>BOMBILLO PAR 30 DE 3000K LED</v>
      </c>
    </row>
    <row r="1263" spans="1:20" ht="27" customHeight="1" x14ac:dyDescent="0.25">
      <c r="A1263" s="8" t="s">
        <v>2512</v>
      </c>
      <c r="B1263" s="9"/>
      <c r="C1263" s="9"/>
      <c r="D1263" s="8"/>
      <c r="E1263" s="8"/>
      <c r="F1263" s="8" t="s">
        <v>22</v>
      </c>
      <c r="G1263" s="10" t="s">
        <v>2950</v>
      </c>
      <c r="H1263" s="8" t="s">
        <v>2951</v>
      </c>
      <c r="I1263" s="10" t="s">
        <v>2950</v>
      </c>
      <c r="J1263" s="11" t="s">
        <v>33</v>
      </c>
      <c r="K1263" s="18">
        <v>28000</v>
      </c>
      <c r="L1263" s="12">
        <f t="shared" si="121"/>
        <v>46700</v>
      </c>
      <c r="M1263" s="8">
        <v>1</v>
      </c>
      <c r="N1263" s="8" t="s">
        <v>27</v>
      </c>
      <c r="O1263" s="13"/>
      <c r="P1263" s="14">
        <v>0.2</v>
      </c>
      <c r="Q1263" s="15">
        <v>0.4</v>
      </c>
      <c r="R1263" s="16" t="str">
        <f t="shared" si="119"/>
        <v>GENERAL</v>
      </c>
      <c r="S1263" s="17"/>
      <c r="T1263" s="10" t="str">
        <f t="shared" si="120"/>
        <v>RIEL DE UN METRO EN COLOR BLANCO</v>
      </c>
    </row>
    <row r="1264" spans="1:20" ht="27" customHeight="1" x14ac:dyDescent="0.25">
      <c r="A1264" s="8" t="s">
        <v>2512</v>
      </c>
      <c r="B1264" s="9"/>
      <c r="C1264" s="9"/>
      <c r="D1264" s="8"/>
      <c r="E1264" s="8"/>
      <c r="F1264" s="8" t="s">
        <v>22</v>
      </c>
      <c r="G1264" s="10" t="s">
        <v>2952</v>
      </c>
      <c r="H1264" s="8" t="s">
        <v>2953</v>
      </c>
      <c r="I1264" s="10" t="s">
        <v>2952</v>
      </c>
      <c r="J1264" s="11" t="s">
        <v>33</v>
      </c>
      <c r="K1264" s="18">
        <v>48000</v>
      </c>
      <c r="L1264" s="12">
        <f t="shared" si="121"/>
        <v>80000</v>
      </c>
      <c r="M1264" s="8">
        <v>1</v>
      </c>
      <c r="N1264" s="8" t="s">
        <v>27</v>
      </c>
      <c r="O1264" s="13"/>
      <c r="P1264" s="14">
        <v>0.2</v>
      </c>
      <c r="Q1264" s="15">
        <v>0.4</v>
      </c>
      <c r="R1264" s="16" t="str">
        <f t="shared" si="119"/>
        <v>GENERAL</v>
      </c>
      <c r="S1264" s="17"/>
      <c r="T1264" s="10" t="str">
        <f t="shared" si="120"/>
        <v>RIEL DE DOS METROS EN COLOR BLANCO</v>
      </c>
    </row>
    <row r="1265" spans="1:20" ht="27" customHeight="1" x14ac:dyDescent="0.25">
      <c r="A1265" s="8" t="s">
        <v>2512</v>
      </c>
      <c r="B1265" s="9"/>
      <c r="C1265" s="9"/>
      <c r="D1265" s="8"/>
      <c r="E1265" s="8"/>
      <c r="F1265" s="8" t="s">
        <v>22</v>
      </c>
      <c r="G1265" s="10" t="s">
        <v>2954</v>
      </c>
      <c r="H1265" s="8" t="s">
        <v>2955</v>
      </c>
      <c r="I1265" s="10" t="s">
        <v>2954</v>
      </c>
      <c r="J1265" s="11" t="s">
        <v>33</v>
      </c>
      <c r="K1265" s="18">
        <v>10000</v>
      </c>
      <c r="L1265" s="12">
        <f t="shared" si="121"/>
        <v>16700</v>
      </c>
      <c r="M1265" s="8">
        <v>1</v>
      </c>
      <c r="N1265" s="8" t="s">
        <v>27</v>
      </c>
      <c r="O1265" s="13"/>
      <c r="P1265" s="14">
        <v>0.2</v>
      </c>
      <c r="Q1265" s="15">
        <v>0.4</v>
      </c>
      <c r="R1265" s="16" t="str">
        <f t="shared" si="119"/>
        <v>GENERAL</v>
      </c>
      <c r="S1265" s="17"/>
      <c r="T1265" s="10" t="str">
        <f t="shared" si="120"/>
        <v>UNIÓN LINEAL PARA LED</v>
      </c>
    </row>
    <row r="1266" spans="1:20" ht="27" customHeight="1" x14ac:dyDescent="0.25">
      <c r="A1266" s="8" t="s">
        <v>2512</v>
      </c>
      <c r="B1266" s="9"/>
      <c r="C1266" s="9"/>
      <c r="D1266" s="8"/>
      <c r="E1266" s="8"/>
      <c r="F1266" s="8" t="s">
        <v>22</v>
      </c>
      <c r="G1266" s="10" t="s">
        <v>2956</v>
      </c>
      <c r="H1266" s="8" t="s">
        <v>2957</v>
      </c>
      <c r="I1266" s="10" t="s">
        <v>2956</v>
      </c>
      <c r="J1266" s="11" t="s">
        <v>33</v>
      </c>
      <c r="K1266" s="18">
        <v>19000</v>
      </c>
      <c r="L1266" s="12">
        <f t="shared" si="121"/>
        <v>31700</v>
      </c>
      <c r="M1266" s="8">
        <v>1</v>
      </c>
      <c r="N1266" s="8" t="s">
        <v>27</v>
      </c>
      <c r="O1266" s="13"/>
      <c r="P1266" s="14">
        <v>0.2</v>
      </c>
      <c r="Q1266" s="15">
        <v>0.4</v>
      </c>
      <c r="R1266" s="16" t="str">
        <f t="shared" si="119"/>
        <v>GENERAL</v>
      </c>
      <c r="S1266" s="17"/>
      <c r="T1266" s="10" t="str">
        <f t="shared" si="120"/>
        <v>MARCO PARA PANEL LED DE 30X120</v>
      </c>
    </row>
    <row r="1267" spans="1:20" ht="27" customHeight="1" x14ac:dyDescent="0.25">
      <c r="A1267" s="8" t="s">
        <v>2512</v>
      </c>
      <c r="B1267" s="9"/>
      <c r="C1267" s="9"/>
      <c r="D1267" s="8"/>
      <c r="E1267" s="8"/>
      <c r="F1267" s="8" t="s">
        <v>22</v>
      </c>
      <c r="G1267" s="10" t="s">
        <v>2958</v>
      </c>
      <c r="H1267" s="8" t="s">
        <v>2959</v>
      </c>
      <c r="I1267" s="10" t="s">
        <v>2958</v>
      </c>
      <c r="J1267" s="11" t="s">
        <v>33</v>
      </c>
      <c r="K1267" s="18">
        <v>11000</v>
      </c>
      <c r="L1267" s="12">
        <f t="shared" si="121"/>
        <v>15800</v>
      </c>
      <c r="M1267" s="8">
        <v>1</v>
      </c>
      <c r="N1267" s="8" t="s">
        <v>27</v>
      </c>
      <c r="O1267" s="13"/>
      <c r="P1267" s="14">
        <v>0.2</v>
      </c>
      <c r="Q1267" s="15">
        <v>0.3</v>
      </c>
      <c r="R1267" s="16" t="str">
        <f t="shared" si="119"/>
        <v>GENERAL</v>
      </c>
      <c r="S1267" s="17"/>
      <c r="T1267" s="10" t="str">
        <f t="shared" si="120"/>
        <v>TRANSFORMADOR ELECTRÓNICO DE 60 VATIOS</v>
      </c>
    </row>
    <row r="1268" spans="1:20" ht="27" customHeight="1" x14ac:dyDescent="0.25">
      <c r="A1268" s="8" t="s">
        <v>2512</v>
      </c>
      <c r="B1268" s="9"/>
      <c r="C1268" s="9"/>
      <c r="D1268" s="8"/>
      <c r="E1268" s="8"/>
      <c r="F1268" s="8" t="s">
        <v>22</v>
      </c>
      <c r="G1268" s="10" t="s">
        <v>2960</v>
      </c>
      <c r="H1268" s="8" t="s">
        <v>2961</v>
      </c>
      <c r="I1268" s="10" t="s">
        <v>2960</v>
      </c>
      <c r="J1268" s="11" t="s">
        <v>33</v>
      </c>
      <c r="K1268" s="18">
        <v>11000</v>
      </c>
      <c r="L1268" s="12">
        <f t="shared" si="121"/>
        <v>18400</v>
      </c>
      <c r="M1268" s="8">
        <v>1</v>
      </c>
      <c r="N1268" s="8" t="s">
        <v>27</v>
      </c>
      <c r="O1268" s="13"/>
      <c r="P1268" s="14">
        <v>0.2</v>
      </c>
      <c r="Q1268" s="15">
        <v>0.4</v>
      </c>
      <c r="R1268" s="16" t="str">
        <f t="shared" si="119"/>
        <v>GENERAL</v>
      </c>
      <c r="S1268" s="17"/>
      <c r="T1268" s="10" t="str">
        <f t="shared" si="120"/>
        <v>KIT DE GUAYA AUTO AJUSTABLE PARA PANEL LED</v>
      </c>
    </row>
    <row r="1269" spans="1:20" ht="27" customHeight="1" x14ac:dyDescent="0.25">
      <c r="A1269" s="8" t="s">
        <v>2512</v>
      </c>
      <c r="B1269" s="9"/>
      <c r="C1269" s="9"/>
      <c r="D1269" s="8"/>
      <c r="E1269" s="8"/>
      <c r="F1269" s="8" t="s">
        <v>22</v>
      </c>
      <c r="G1269" s="10" t="s">
        <v>2962</v>
      </c>
      <c r="H1269" s="8" t="s">
        <v>2963</v>
      </c>
      <c r="I1269" s="10" t="s">
        <v>2962</v>
      </c>
      <c r="J1269" s="11" t="s">
        <v>33</v>
      </c>
      <c r="K1269" s="18">
        <v>6900</v>
      </c>
      <c r="L1269" s="12">
        <f t="shared" si="121"/>
        <v>13800</v>
      </c>
      <c r="M1269" s="8">
        <v>1</v>
      </c>
      <c r="N1269" s="8" t="s">
        <v>27</v>
      </c>
      <c r="O1269" s="13"/>
      <c r="P1269" s="14">
        <v>0.2</v>
      </c>
      <c r="Q1269" s="15">
        <v>0.5</v>
      </c>
      <c r="R1269" s="16" t="str">
        <f t="shared" si="119"/>
        <v>GENERAL</v>
      </c>
      <c r="S1269" s="17"/>
      <c r="T1269" s="10" t="str">
        <f t="shared" si="120"/>
        <v>BALA INYECTADA EN COLOR NEGRO PARA LUMINARIA MR16</v>
      </c>
    </row>
    <row r="1270" spans="1:20" ht="27" customHeight="1" x14ac:dyDescent="0.25">
      <c r="A1270" s="8" t="s">
        <v>2512</v>
      </c>
      <c r="B1270" s="9"/>
      <c r="C1270" s="9"/>
      <c r="D1270" s="8"/>
      <c r="E1270" s="8"/>
      <c r="F1270" s="8" t="s">
        <v>22</v>
      </c>
      <c r="G1270" s="10" t="s">
        <v>2964</v>
      </c>
      <c r="H1270" s="8" t="s">
        <v>2965</v>
      </c>
      <c r="I1270" s="10" t="s">
        <v>2964</v>
      </c>
      <c r="J1270" s="11" t="s">
        <v>33</v>
      </c>
      <c r="K1270" s="18">
        <v>11500</v>
      </c>
      <c r="L1270" s="12">
        <f t="shared" si="121"/>
        <v>19200</v>
      </c>
      <c r="M1270" s="8">
        <v>1</v>
      </c>
      <c r="N1270" s="8" t="s">
        <v>27</v>
      </c>
      <c r="O1270" s="13"/>
      <c r="P1270" s="14">
        <v>0.2</v>
      </c>
      <c r="Q1270" s="15">
        <v>0.4</v>
      </c>
      <c r="R1270" s="16" t="str">
        <f t="shared" si="119"/>
        <v>GENERAL</v>
      </c>
      <c r="S1270" s="17"/>
      <c r="T1270" s="10" t="str">
        <f t="shared" si="120"/>
        <v>LUMINARIA RECESADA NEGRA PARA BALA GU10 MR16.</v>
      </c>
    </row>
    <row r="1271" spans="1:20" ht="27" customHeight="1" x14ac:dyDescent="0.25">
      <c r="A1271" s="8" t="s">
        <v>2512</v>
      </c>
      <c r="B1271" s="9"/>
      <c r="C1271" s="9"/>
      <c r="D1271" s="8"/>
      <c r="E1271" s="8"/>
      <c r="F1271" s="8" t="s">
        <v>22</v>
      </c>
      <c r="G1271" s="10" t="s">
        <v>2966</v>
      </c>
      <c r="H1271" s="8" t="s">
        <v>2967</v>
      </c>
      <c r="I1271" s="10" t="s">
        <v>2966</v>
      </c>
      <c r="J1271" s="11" t="s">
        <v>33</v>
      </c>
      <c r="K1271" s="18">
        <v>40000</v>
      </c>
      <c r="L1271" s="12">
        <f t="shared" si="121"/>
        <v>66700</v>
      </c>
      <c r="M1271" s="8">
        <v>1</v>
      </c>
      <c r="N1271" s="8" t="s">
        <v>27</v>
      </c>
      <c r="O1271" s="13"/>
      <c r="P1271" s="14">
        <v>0.2</v>
      </c>
      <c r="Q1271" s="15">
        <v>0.4</v>
      </c>
      <c r="R1271" s="16" t="str">
        <f t="shared" si="119"/>
        <v>GENERAL</v>
      </c>
      <c r="S1271" s="17"/>
      <c r="T1271" s="10" t="str">
        <f t="shared" si="120"/>
        <v>CINTA LED RGB DE 3 METROS CON CONTROL REMOTO Y FUENTE.</v>
      </c>
    </row>
    <row r="1272" spans="1:20" ht="27" customHeight="1" x14ac:dyDescent="0.25">
      <c r="A1272" s="8" t="s">
        <v>2512</v>
      </c>
      <c r="B1272" s="9"/>
      <c r="C1272" s="9"/>
      <c r="D1272" s="8"/>
      <c r="E1272" s="8"/>
      <c r="F1272" s="8" t="s">
        <v>22</v>
      </c>
      <c r="G1272" s="10" t="s">
        <v>2968</v>
      </c>
      <c r="H1272" s="8" t="s">
        <v>2969</v>
      </c>
      <c r="I1272" s="10" t="s">
        <v>2968</v>
      </c>
      <c r="J1272" s="11" t="s">
        <v>33</v>
      </c>
      <c r="K1272" s="18">
        <v>20000</v>
      </c>
      <c r="L1272" s="12">
        <f t="shared" si="121"/>
        <v>33400</v>
      </c>
      <c r="M1272" s="8">
        <v>1</v>
      </c>
      <c r="N1272" s="8" t="s">
        <v>27</v>
      </c>
      <c r="O1272" s="13"/>
      <c r="P1272" s="14">
        <v>0.2</v>
      </c>
      <c r="Q1272" s="15">
        <v>0.4</v>
      </c>
      <c r="R1272" s="16" t="str">
        <f t="shared" si="119"/>
        <v>GENERAL</v>
      </c>
      <c r="S1272" s="17"/>
      <c r="T1272" s="10" t="str">
        <f t="shared" si="120"/>
        <v>TUBO EN LED DE 10 VATIOS, COLOR CÁLIDO</v>
      </c>
    </row>
    <row r="1273" spans="1:20" ht="27" customHeight="1" x14ac:dyDescent="0.25">
      <c r="A1273" s="8" t="s">
        <v>2512</v>
      </c>
      <c r="B1273" s="9"/>
      <c r="C1273" s="9"/>
      <c r="D1273" s="8"/>
      <c r="E1273" s="8"/>
      <c r="F1273" s="8" t="s">
        <v>22</v>
      </c>
      <c r="G1273" s="10" t="s">
        <v>2970</v>
      </c>
      <c r="H1273" s="8" t="s">
        <v>2971</v>
      </c>
      <c r="I1273" s="10" t="s">
        <v>2972</v>
      </c>
      <c r="J1273" s="11" t="s">
        <v>33</v>
      </c>
      <c r="K1273" s="18">
        <v>36000</v>
      </c>
      <c r="L1273" s="12">
        <f t="shared" si="121"/>
        <v>60000</v>
      </c>
      <c r="M1273" s="8">
        <v>1</v>
      </c>
      <c r="N1273" s="8" t="s">
        <v>27</v>
      </c>
      <c r="O1273" s="13"/>
      <c r="P1273" s="14">
        <v>0.2</v>
      </c>
      <c r="Q1273" s="15">
        <v>0.4</v>
      </c>
      <c r="R1273" s="16" t="str">
        <f t="shared" si="119"/>
        <v>GENERAL</v>
      </c>
      <c r="S1273" s="17"/>
      <c r="T1273" s="10" t="str">
        <f t="shared" si="120"/>
        <v>CINTA LED EN TRAMO DE 1.5 METROS EN COLOR CÁLIDO.</v>
      </c>
    </row>
    <row r="1274" spans="1:20" ht="27" customHeight="1" x14ac:dyDescent="0.25">
      <c r="A1274" s="8" t="s">
        <v>2512</v>
      </c>
      <c r="B1274" s="9"/>
      <c r="C1274" s="9"/>
      <c r="D1274" s="8"/>
      <c r="E1274" s="8"/>
      <c r="F1274" s="8" t="s">
        <v>22</v>
      </c>
      <c r="G1274" s="10" t="s">
        <v>2973</v>
      </c>
      <c r="H1274" s="8" t="s">
        <v>2974</v>
      </c>
      <c r="I1274" s="10" t="s">
        <v>2973</v>
      </c>
      <c r="J1274" s="11" t="s">
        <v>33</v>
      </c>
      <c r="K1274" s="18">
        <v>7300</v>
      </c>
      <c r="L1274" s="12">
        <f t="shared" si="121"/>
        <v>12200</v>
      </c>
      <c r="M1274" s="8">
        <v>1</v>
      </c>
      <c r="N1274" s="8" t="s">
        <v>27</v>
      </c>
      <c r="O1274" s="13"/>
      <c r="P1274" s="14">
        <v>0.2</v>
      </c>
      <c r="Q1274" s="15">
        <v>0.4</v>
      </c>
      <c r="R1274" s="16" t="str">
        <f t="shared" si="119"/>
        <v>GENERAL</v>
      </c>
      <c r="S1274" s="17"/>
      <c r="T1274" s="10" t="str">
        <f t="shared" si="120"/>
        <v>ROSETA PLÁSTICA PARA BOMBILLA E27</v>
      </c>
    </row>
    <row r="1275" spans="1:20" ht="27" customHeight="1" x14ac:dyDescent="0.25">
      <c r="A1275" s="8" t="s">
        <v>2512</v>
      </c>
      <c r="B1275" s="9"/>
      <c r="C1275" s="9"/>
      <c r="D1275" s="8"/>
      <c r="E1275" s="8"/>
      <c r="F1275" s="8" t="s">
        <v>22</v>
      </c>
      <c r="G1275" s="10" t="s">
        <v>2975</v>
      </c>
      <c r="H1275" s="8" t="s">
        <v>2976</v>
      </c>
      <c r="I1275" s="10" t="s">
        <v>2975</v>
      </c>
      <c r="J1275" s="11" t="s">
        <v>33</v>
      </c>
      <c r="K1275" s="18">
        <v>20000</v>
      </c>
      <c r="L1275" s="12">
        <f t="shared" si="121"/>
        <v>33400</v>
      </c>
      <c r="M1275" s="8">
        <v>1</v>
      </c>
      <c r="N1275" s="8" t="s">
        <v>27</v>
      </c>
      <c r="O1275" s="13"/>
      <c r="P1275" s="14">
        <v>0.2</v>
      </c>
      <c r="Q1275" s="15">
        <v>0.4</v>
      </c>
      <c r="R1275" s="16" t="str">
        <f t="shared" si="119"/>
        <v>GENERAL</v>
      </c>
      <c r="S1275" s="17"/>
      <c r="T1275" s="10" t="str">
        <f t="shared" si="120"/>
        <v>TUBO EN LED DE 18 VATIOS, COLOR CÁLIDO</v>
      </c>
    </row>
    <row r="1276" spans="1:20" ht="27" customHeight="1" x14ac:dyDescent="0.25">
      <c r="A1276" s="8" t="s">
        <v>2512</v>
      </c>
      <c r="B1276" s="9"/>
      <c r="C1276" s="9"/>
      <c r="D1276" s="8"/>
      <c r="E1276" s="8"/>
      <c r="F1276" s="8" t="s">
        <v>22</v>
      </c>
      <c r="G1276" s="10" t="s">
        <v>2977</v>
      </c>
      <c r="H1276" s="8" t="s">
        <v>2978</v>
      </c>
      <c r="I1276" s="10" t="s">
        <v>2977</v>
      </c>
      <c r="J1276" s="11" t="s">
        <v>33</v>
      </c>
      <c r="K1276" s="18">
        <v>13000</v>
      </c>
      <c r="L1276" s="12">
        <f t="shared" si="121"/>
        <v>21700</v>
      </c>
      <c r="M1276" s="8">
        <v>1</v>
      </c>
      <c r="N1276" s="8" t="s">
        <v>27</v>
      </c>
      <c r="O1276" s="13"/>
      <c r="P1276" s="14">
        <v>0.2</v>
      </c>
      <c r="Q1276" s="15">
        <v>0.4</v>
      </c>
      <c r="R1276" s="16" t="str">
        <f t="shared" si="119"/>
        <v>GENERAL</v>
      </c>
      <c r="S1276" s="17"/>
      <c r="T1276" s="10" t="str">
        <f t="shared" si="120"/>
        <v>BALA CUADRADA PARA LUMINARIA MR16 MÓVIL.</v>
      </c>
    </row>
    <row r="1277" spans="1:20" ht="27" customHeight="1" x14ac:dyDescent="0.25">
      <c r="A1277" s="8" t="s">
        <v>2512</v>
      </c>
      <c r="B1277" s="9"/>
      <c r="C1277" s="9"/>
      <c r="D1277" s="8"/>
      <c r="E1277" s="8"/>
      <c r="F1277" s="8" t="s">
        <v>22</v>
      </c>
      <c r="G1277" s="10" t="s">
        <v>2979</v>
      </c>
      <c r="H1277" s="8" t="s">
        <v>2980</v>
      </c>
      <c r="I1277" s="10" t="s">
        <v>2979</v>
      </c>
      <c r="J1277" s="11" t="s">
        <v>33</v>
      </c>
      <c r="K1277" s="18">
        <v>300000</v>
      </c>
      <c r="L1277" s="12">
        <f t="shared" si="121"/>
        <v>500000</v>
      </c>
      <c r="M1277" s="8">
        <v>1</v>
      </c>
      <c r="N1277" s="8" t="s">
        <v>27</v>
      </c>
      <c r="O1277" s="13"/>
      <c r="P1277" s="14">
        <v>0.2</v>
      </c>
      <c r="Q1277" s="15">
        <v>0.4</v>
      </c>
      <c r="R1277" s="16" t="str">
        <f t="shared" si="119"/>
        <v>GENERAL</v>
      </c>
      <c r="S1277" s="17"/>
      <c r="T1277" s="10" t="str">
        <f t="shared" si="120"/>
        <v>ROLLO DE 100 METROS DE MANGUERA LED EN COLOR AMARILLO</v>
      </c>
    </row>
    <row r="1278" spans="1:20" ht="27" customHeight="1" x14ac:dyDescent="0.25">
      <c r="A1278" s="8" t="s">
        <v>2512</v>
      </c>
      <c r="B1278" s="9"/>
      <c r="C1278" s="9"/>
      <c r="D1278" s="8"/>
      <c r="E1278" s="8"/>
      <c r="F1278" s="8" t="s">
        <v>22</v>
      </c>
      <c r="G1278" s="10" t="s">
        <v>2981</v>
      </c>
      <c r="H1278" s="8" t="s">
        <v>2982</v>
      </c>
      <c r="I1278" s="10" t="s">
        <v>2981</v>
      </c>
      <c r="J1278" s="11" t="s">
        <v>33</v>
      </c>
      <c r="K1278" s="18">
        <v>28000</v>
      </c>
      <c r="L1278" s="12">
        <f t="shared" si="121"/>
        <v>46700</v>
      </c>
      <c r="M1278" s="8">
        <v>1</v>
      </c>
      <c r="N1278" s="8" t="s">
        <v>27</v>
      </c>
      <c r="O1278" s="13"/>
      <c r="P1278" s="14">
        <v>0.2</v>
      </c>
      <c r="Q1278" s="15">
        <v>0.4</v>
      </c>
      <c r="R1278" s="16" t="str">
        <f t="shared" si="119"/>
        <v>GENERAL</v>
      </c>
      <c r="S1278" s="17"/>
      <c r="T1278" s="10" t="str">
        <f t="shared" si="120"/>
        <v>BOMBILLA INCANDESCENTE VINTAGE DE 60 VATIOS</v>
      </c>
    </row>
    <row r="1279" spans="1:20" ht="27" customHeight="1" x14ac:dyDescent="0.25">
      <c r="A1279" s="8" t="s">
        <v>2512</v>
      </c>
      <c r="B1279" s="9"/>
      <c r="C1279" s="9"/>
      <c r="D1279" s="8"/>
      <c r="E1279" s="8"/>
      <c r="F1279" s="8" t="s">
        <v>22</v>
      </c>
      <c r="G1279" s="10" t="s">
        <v>2983</v>
      </c>
      <c r="H1279" s="8" t="s">
        <v>2984</v>
      </c>
      <c r="I1279" s="10" t="s">
        <v>2983</v>
      </c>
      <c r="J1279" s="11" t="s">
        <v>33</v>
      </c>
      <c r="K1279" s="18">
        <v>2437</v>
      </c>
      <c r="L1279" s="12">
        <f t="shared" si="121"/>
        <v>4100</v>
      </c>
      <c r="M1279" s="8">
        <v>1</v>
      </c>
      <c r="N1279" s="8" t="s">
        <v>27</v>
      </c>
      <c r="O1279" s="13"/>
      <c r="P1279" s="14">
        <v>0.2</v>
      </c>
      <c r="Q1279" s="15">
        <v>0.4</v>
      </c>
      <c r="R1279" s="16" t="str">
        <f t="shared" si="119"/>
        <v>GENERAL</v>
      </c>
      <c r="S1279" s="17"/>
      <c r="T1279" s="10" t="str">
        <f t="shared" si="120"/>
        <v>MÓDULO LED CUADRADO TIPO NODO</v>
      </c>
    </row>
    <row r="1280" spans="1:20" ht="27" customHeight="1" x14ac:dyDescent="0.25">
      <c r="A1280" s="8" t="s">
        <v>2512</v>
      </c>
      <c r="B1280" s="9"/>
      <c r="C1280" s="9"/>
      <c r="D1280" s="8"/>
      <c r="E1280" s="8"/>
      <c r="F1280" s="8" t="s">
        <v>22</v>
      </c>
      <c r="G1280" s="10" t="s">
        <v>2985</v>
      </c>
      <c r="H1280" s="8" t="s">
        <v>2986</v>
      </c>
      <c r="I1280" s="10" t="s">
        <v>2985</v>
      </c>
      <c r="J1280" s="11" t="s">
        <v>33</v>
      </c>
      <c r="K1280" s="18">
        <v>65546</v>
      </c>
      <c r="L1280" s="12">
        <f t="shared" si="121"/>
        <v>109300</v>
      </c>
      <c r="M1280" s="8">
        <v>1</v>
      </c>
      <c r="N1280" s="8" t="s">
        <v>27</v>
      </c>
      <c r="O1280" s="13"/>
      <c r="P1280" s="14">
        <v>0.2</v>
      </c>
      <c r="Q1280" s="15">
        <v>0.4</v>
      </c>
      <c r="R1280" s="16" t="str">
        <f t="shared" si="119"/>
        <v>GENERAL</v>
      </c>
      <c r="S1280" s="17"/>
      <c r="T1280" s="10" t="str">
        <f t="shared" si="120"/>
        <v>FUENTE LED IP65 12V 8.5 AMPERIOS</v>
      </c>
    </row>
    <row r="1281" spans="1:20" ht="27" customHeight="1" x14ac:dyDescent="0.25">
      <c r="A1281" s="8" t="s">
        <v>2512</v>
      </c>
      <c r="B1281" s="9"/>
      <c r="C1281" s="9"/>
      <c r="D1281" s="8"/>
      <c r="E1281" s="8"/>
      <c r="F1281" s="8" t="s">
        <v>22</v>
      </c>
      <c r="G1281" s="10" t="s">
        <v>2987</v>
      </c>
      <c r="H1281" s="8" t="s">
        <v>2988</v>
      </c>
      <c r="I1281" s="10" t="s">
        <v>2987</v>
      </c>
      <c r="J1281" s="11" t="s">
        <v>33</v>
      </c>
      <c r="K1281" s="18">
        <v>8500</v>
      </c>
      <c r="L1281" s="12">
        <f t="shared" si="121"/>
        <v>14200</v>
      </c>
      <c r="M1281" s="8">
        <v>1</v>
      </c>
      <c r="N1281" s="8" t="s">
        <v>27</v>
      </c>
      <c r="O1281" s="13"/>
      <c r="P1281" s="14">
        <v>0.2</v>
      </c>
      <c r="Q1281" s="15">
        <v>0.4</v>
      </c>
      <c r="R1281" s="16" t="str">
        <f t="shared" ref="R1281:R1344" si="122">A1281</f>
        <v>GENERAL</v>
      </c>
      <c r="S1281" s="17"/>
      <c r="T1281" s="10" t="str">
        <f t="shared" si="120"/>
        <v>TUBO FLUORESCENTE DE 17W, T8 LUZ BLANCA.</v>
      </c>
    </row>
    <row r="1282" spans="1:20" ht="27" customHeight="1" x14ac:dyDescent="0.25">
      <c r="A1282" s="8" t="s">
        <v>2512</v>
      </c>
      <c r="B1282" s="9"/>
      <c r="C1282" s="9"/>
      <c r="D1282" s="8"/>
      <c r="E1282" s="8"/>
      <c r="F1282" s="8" t="s">
        <v>22</v>
      </c>
      <c r="G1282" s="10" t="s">
        <v>2989</v>
      </c>
      <c r="H1282" s="8" t="s">
        <v>2990</v>
      </c>
      <c r="I1282" s="10" t="s">
        <v>2989</v>
      </c>
      <c r="J1282" s="11" t="s">
        <v>33</v>
      </c>
      <c r="K1282" s="18">
        <v>10924</v>
      </c>
      <c r="L1282" s="12">
        <f t="shared" si="121"/>
        <v>18300</v>
      </c>
      <c r="M1282" s="8">
        <v>1</v>
      </c>
      <c r="N1282" s="8" t="s">
        <v>27</v>
      </c>
      <c r="O1282" s="13"/>
      <c r="P1282" s="14">
        <v>0.2</v>
      </c>
      <c r="Q1282" s="15">
        <v>0.4</v>
      </c>
      <c r="R1282" s="16" t="str">
        <f t="shared" si="122"/>
        <v>GENERAL</v>
      </c>
      <c r="S1282" s="17"/>
      <c r="T1282" s="10" t="str">
        <f t="shared" si="120"/>
        <v>BOMBILLA G9 DE 5 VATIOS EN COLOR CÁLIDO</v>
      </c>
    </row>
    <row r="1283" spans="1:20" ht="27" customHeight="1" x14ac:dyDescent="0.25">
      <c r="A1283" s="8" t="s">
        <v>2512</v>
      </c>
      <c r="B1283" s="9"/>
      <c r="C1283" s="9"/>
      <c r="D1283" s="8"/>
      <c r="E1283" s="8"/>
      <c r="F1283" s="8" t="s">
        <v>22</v>
      </c>
      <c r="G1283" s="10" t="s">
        <v>2991</v>
      </c>
      <c r="H1283" s="8" t="s">
        <v>2992</v>
      </c>
      <c r="I1283" s="10" t="s">
        <v>2991</v>
      </c>
      <c r="J1283" s="11" t="s">
        <v>33</v>
      </c>
      <c r="K1283" s="18">
        <v>11500</v>
      </c>
      <c r="L1283" s="12">
        <f t="shared" si="121"/>
        <v>19200</v>
      </c>
      <c r="M1283" s="8">
        <v>1</v>
      </c>
      <c r="N1283" s="8" t="s">
        <v>27</v>
      </c>
      <c r="O1283" s="13"/>
      <c r="P1283" s="14">
        <v>0.2</v>
      </c>
      <c r="Q1283" s="15">
        <v>0.4</v>
      </c>
      <c r="R1283" s="16" t="str">
        <f t="shared" si="122"/>
        <v>GENERAL</v>
      </c>
      <c r="S1283" s="17"/>
      <c r="T1283" s="10" t="str">
        <f t="shared" si="120"/>
        <v>BOMBILLA HALÓGENA DE 20W A 110V, 2700K.</v>
      </c>
    </row>
    <row r="1284" spans="1:20" ht="27" customHeight="1" x14ac:dyDescent="0.25">
      <c r="A1284" s="8" t="s">
        <v>2512</v>
      </c>
      <c r="B1284" s="9"/>
      <c r="C1284" s="9"/>
      <c r="D1284" s="8"/>
      <c r="E1284" s="8"/>
      <c r="F1284" s="8" t="s">
        <v>22</v>
      </c>
      <c r="G1284" s="10" t="s">
        <v>2993</v>
      </c>
      <c r="H1284" s="8" t="s">
        <v>2994</v>
      </c>
      <c r="I1284" s="10" t="s">
        <v>2993</v>
      </c>
      <c r="J1284" s="11" t="s">
        <v>33</v>
      </c>
      <c r="K1284" s="18">
        <v>20000</v>
      </c>
      <c r="L1284" s="12">
        <f t="shared" si="121"/>
        <v>33400</v>
      </c>
      <c r="M1284" s="8">
        <v>1</v>
      </c>
      <c r="N1284" s="8" t="s">
        <v>27</v>
      </c>
      <c r="O1284" s="13"/>
      <c r="P1284" s="14">
        <v>0.2</v>
      </c>
      <c r="Q1284" s="15">
        <v>0.4</v>
      </c>
      <c r="R1284" s="16" t="str">
        <f t="shared" si="122"/>
        <v>GENERAL</v>
      </c>
      <c r="S1284" s="17"/>
      <c r="T1284" s="10" t="str">
        <f t="shared" si="120"/>
        <v>BALA HERMÉTICA INYECTADA PARA ZONA HÚMEDA</v>
      </c>
    </row>
    <row r="1285" spans="1:20" ht="27" customHeight="1" x14ac:dyDescent="0.25">
      <c r="A1285" s="8" t="s">
        <v>2512</v>
      </c>
      <c r="B1285" s="9"/>
      <c r="C1285" s="9"/>
      <c r="D1285" s="8"/>
      <c r="E1285" s="8"/>
      <c r="F1285" s="8" t="s">
        <v>22</v>
      </c>
      <c r="G1285" s="10" t="s">
        <v>2995</v>
      </c>
      <c r="H1285" s="8" t="s">
        <v>2996</v>
      </c>
      <c r="I1285" s="10" t="s">
        <v>2995</v>
      </c>
      <c r="J1285" s="11" t="s">
        <v>33</v>
      </c>
      <c r="K1285" s="18">
        <v>68000</v>
      </c>
      <c r="L1285" s="12">
        <f t="shared" si="121"/>
        <v>113400</v>
      </c>
      <c r="M1285" s="8">
        <v>1</v>
      </c>
      <c r="N1285" s="8" t="s">
        <v>27</v>
      </c>
      <c r="O1285" s="13"/>
      <c r="P1285" s="14">
        <v>0.2</v>
      </c>
      <c r="Q1285" s="15">
        <v>0.4</v>
      </c>
      <c r="R1285" s="16" t="str">
        <f t="shared" si="122"/>
        <v>GENERAL</v>
      </c>
      <c r="S1285" s="17"/>
      <c r="T1285" s="10" t="str">
        <f t="shared" si="120"/>
        <v>LUMINARIA TIPO TABACO</v>
      </c>
    </row>
    <row r="1286" spans="1:20" ht="27" customHeight="1" x14ac:dyDescent="0.25">
      <c r="A1286" s="8" t="s">
        <v>2512</v>
      </c>
      <c r="B1286" s="9"/>
      <c r="C1286" s="9"/>
      <c r="D1286" s="8"/>
      <c r="E1286" s="8"/>
      <c r="F1286" s="8" t="s">
        <v>22</v>
      </c>
      <c r="G1286" s="10" t="s">
        <v>2997</v>
      </c>
      <c r="H1286" s="8" t="s">
        <v>2998</v>
      </c>
      <c r="I1286" s="10" t="s">
        <v>2999</v>
      </c>
      <c r="J1286" s="11" t="s">
        <v>33</v>
      </c>
      <c r="K1286" s="18">
        <v>596000</v>
      </c>
      <c r="L1286" s="12">
        <f t="shared" si="121"/>
        <v>993400</v>
      </c>
      <c r="M1286" s="8">
        <v>1</v>
      </c>
      <c r="N1286" s="8" t="s">
        <v>27</v>
      </c>
      <c r="O1286" s="13"/>
      <c r="P1286" s="14">
        <v>0.2</v>
      </c>
      <c r="Q1286" s="15">
        <v>0.4</v>
      </c>
      <c r="R1286" s="16" t="str">
        <f t="shared" si="122"/>
        <v>GENERAL</v>
      </c>
      <c r="S1286" s="17"/>
      <c r="T1286" s="10" t="str">
        <f t="shared" si="120"/>
        <v>LUMINARIA SUSPENDIDA EN ALUMINIO, DE LARGO 4.4 METROS.</v>
      </c>
    </row>
    <row r="1287" spans="1:20" ht="27" customHeight="1" x14ac:dyDescent="0.25">
      <c r="A1287" s="8" t="s">
        <v>2512</v>
      </c>
      <c r="B1287" s="9"/>
      <c r="C1287" s="9"/>
      <c r="D1287" s="8"/>
      <c r="E1287" s="8"/>
      <c r="F1287" s="8" t="s">
        <v>22</v>
      </c>
      <c r="G1287" s="10" t="s">
        <v>3000</v>
      </c>
      <c r="H1287" s="8" t="s">
        <v>3001</v>
      </c>
      <c r="I1287" s="10" t="s">
        <v>3002</v>
      </c>
      <c r="J1287" s="11" t="s">
        <v>33</v>
      </c>
      <c r="K1287" s="18">
        <f>156000+440000/4*3</f>
        <v>486000</v>
      </c>
      <c r="L1287" s="12">
        <f t="shared" si="121"/>
        <v>810000</v>
      </c>
      <c r="M1287" s="8">
        <v>1</v>
      </c>
      <c r="N1287" s="8" t="s">
        <v>27</v>
      </c>
      <c r="O1287" s="13"/>
      <c r="P1287" s="14">
        <v>0.2</v>
      </c>
      <c r="Q1287" s="15">
        <v>0.4</v>
      </c>
      <c r="R1287" s="16" t="str">
        <f t="shared" si="122"/>
        <v>GENERAL</v>
      </c>
      <c r="S1287" s="17"/>
      <c r="T1287" s="10" t="str">
        <f t="shared" si="120"/>
        <v>LUMINARIA SUSPENDIDA EN ALUMINIO, DE LARGO 3.3 METROS.</v>
      </c>
    </row>
    <row r="1288" spans="1:20" ht="27" customHeight="1" x14ac:dyDescent="0.25">
      <c r="A1288" s="8" t="s">
        <v>2512</v>
      </c>
      <c r="B1288" s="9"/>
      <c r="C1288" s="9"/>
      <c r="D1288" s="8"/>
      <c r="E1288" s="8"/>
      <c r="F1288" s="8" t="s">
        <v>22</v>
      </c>
      <c r="G1288" s="10" t="s">
        <v>3003</v>
      </c>
      <c r="H1288" s="8" t="s">
        <v>3004</v>
      </c>
      <c r="I1288" s="10" t="s">
        <v>3005</v>
      </c>
      <c r="J1288" s="11" t="s">
        <v>33</v>
      </c>
      <c r="K1288" s="18">
        <f>156000+440000/4*2</f>
        <v>376000</v>
      </c>
      <c r="L1288" s="12">
        <f t="shared" si="121"/>
        <v>626700</v>
      </c>
      <c r="M1288" s="8">
        <v>1</v>
      </c>
      <c r="N1288" s="8" t="s">
        <v>27</v>
      </c>
      <c r="O1288" s="13"/>
      <c r="P1288" s="14">
        <v>0.2</v>
      </c>
      <c r="Q1288" s="15">
        <v>0.4</v>
      </c>
      <c r="R1288" s="16" t="str">
        <f t="shared" si="122"/>
        <v>GENERAL</v>
      </c>
      <c r="S1288" s="17"/>
      <c r="T1288" s="10" t="str">
        <f t="shared" si="120"/>
        <v>LUMINARIA SUSPENDIDA EN ALUMINIO, DE LARGO 2.2 METROS.</v>
      </c>
    </row>
    <row r="1289" spans="1:20" ht="27" customHeight="1" x14ac:dyDescent="0.25">
      <c r="A1289" s="8" t="s">
        <v>2512</v>
      </c>
      <c r="B1289" s="9"/>
      <c r="C1289" s="9"/>
      <c r="D1289" s="8"/>
      <c r="E1289" s="8"/>
      <c r="F1289" s="8" t="s">
        <v>22</v>
      </c>
      <c r="G1289" s="10" t="s">
        <v>3006</v>
      </c>
      <c r="H1289" s="8" t="s">
        <v>3007</v>
      </c>
      <c r="I1289" s="10" t="s">
        <v>3008</v>
      </c>
      <c r="J1289" s="11" t="s">
        <v>33</v>
      </c>
      <c r="K1289" s="18">
        <f>156000+440000/4</f>
        <v>266000</v>
      </c>
      <c r="L1289" s="12">
        <f t="shared" si="121"/>
        <v>443400</v>
      </c>
      <c r="M1289" s="8">
        <v>1</v>
      </c>
      <c r="N1289" s="8" t="s">
        <v>27</v>
      </c>
      <c r="O1289" s="13"/>
      <c r="P1289" s="14">
        <v>0.2</v>
      </c>
      <c r="Q1289" s="15">
        <v>0.4</v>
      </c>
      <c r="R1289" s="16" t="str">
        <f t="shared" si="122"/>
        <v>GENERAL</v>
      </c>
      <c r="S1289" s="17"/>
      <c r="T1289" s="10" t="str">
        <f t="shared" si="120"/>
        <v>LUMINARIA SUSPENDIDA EN ALUMINIO, DE LARGO 1.1 METROS.</v>
      </c>
    </row>
    <row r="1290" spans="1:20" ht="27" customHeight="1" x14ac:dyDescent="0.25">
      <c r="A1290" s="8" t="s">
        <v>2512</v>
      </c>
      <c r="B1290" s="9"/>
      <c r="C1290" s="9"/>
      <c r="D1290" s="8"/>
      <c r="E1290" s="8"/>
      <c r="F1290" s="8" t="s">
        <v>22</v>
      </c>
      <c r="G1290" s="10" t="s">
        <v>3009</v>
      </c>
      <c r="H1290" s="8" t="s">
        <v>3010</v>
      </c>
      <c r="I1290" s="10" t="s">
        <v>3009</v>
      </c>
      <c r="J1290" s="11" t="s">
        <v>33</v>
      </c>
      <c r="K1290" s="18">
        <v>6300</v>
      </c>
      <c r="L1290" s="12">
        <f t="shared" si="121"/>
        <v>10500</v>
      </c>
      <c r="M1290" s="8">
        <v>1</v>
      </c>
      <c r="N1290" s="8" t="s">
        <v>27</v>
      </c>
      <c r="O1290" s="13"/>
      <c r="P1290" s="14">
        <v>0.2</v>
      </c>
      <c r="Q1290" s="15">
        <v>0.4</v>
      </c>
      <c r="R1290" s="16" t="str">
        <f t="shared" si="122"/>
        <v>GENERAL</v>
      </c>
      <c r="S1290" s="17"/>
      <c r="T1290" s="10" t="str">
        <f t="shared" si="120"/>
        <v>BOMBILLA LED NEUTRA CON ROSCA E27 A 5W.</v>
      </c>
    </row>
    <row r="1291" spans="1:20" ht="27" customHeight="1" x14ac:dyDescent="0.25">
      <c r="A1291" s="8" t="s">
        <v>2512</v>
      </c>
      <c r="B1291" s="9"/>
      <c r="C1291" s="9"/>
      <c r="D1291" s="8"/>
      <c r="E1291" s="8"/>
      <c r="F1291" s="8" t="s">
        <v>22</v>
      </c>
      <c r="G1291" s="10" t="s">
        <v>3011</v>
      </c>
      <c r="H1291" s="8" t="s">
        <v>3012</v>
      </c>
      <c r="I1291" s="10" t="s">
        <v>3011</v>
      </c>
      <c r="J1291" s="11" t="s">
        <v>33</v>
      </c>
      <c r="K1291" s="18">
        <v>10185</v>
      </c>
      <c r="L1291" s="12">
        <f t="shared" si="121"/>
        <v>14600</v>
      </c>
      <c r="M1291" s="8">
        <v>1</v>
      </c>
      <c r="N1291" s="8" t="s">
        <v>27</v>
      </c>
      <c r="O1291" s="13"/>
      <c r="P1291" s="14">
        <v>0.2</v>
      </c>
      <c r="Q1291" s="15">
        <v>0.3</v>
      </c>
      <c r="R1291" s="16" t="str">
        <f t="shared" si="122"/>
        <v>GENERAL</v>
      </c>
      <c r="S1291" s="17"/>
      <c r="T1291" s="10" t="str">
        <f t="shared" si="120"/>
        <v>BALA HALÓGENA INYECTADA RECESADA CUADRADA.</v>
      </c>
    </row>
    <row r="1292" spans="1:20" ht="27" customHeight="1" x14ac:dyDescent="0.25">
      <c r="A1292" s="8" t="s">
        <v>2512</v>
      </c>
      <c r="B1292" s="9"/>
      <c r="C1292" s="9"/>
      <c r="D1292" s="8"/>
      <c r="E1292" s="8"/>
      <c r="F1292" s="8" t="s">
        <v>22</v>
      </c>
      <c r="G1292" s="10" t="s">
        <v>3013</v>
      </c>
      <c r="H1292" s="8" t="s">
        <v>3014</v>
      </c>
      <c r="I1292" s="10" t="s">
        <v>3013</v>
      </c>
      <c r="J1292" s="11" t="s">
        <v>33</v>
      </c>
      <c r="K1292" s="18">
        <v>14000</v>
      </c>
      <c r="L1292" s="12">
        <f t="shared" si="121"/>
        <v>18700</v>
      </c>
      <c r="M1292" s="8">
        <v>1</v>
      </c>
      <c r="N1292" s="8" t="s">
        <v>27</v>
      </c>
      <c r="O1292" s="13"/>
      <c r="P1292" s="14">
        <v>0.4</v>
      </c>
      <c r="Q1292" s="15">
        <v>0.25</v>
      </c>
      <c r="R1292" s="16" t="str">
        <f t="shared" si="122"/>
        <v>GENERAL</v>
      </c>
      <c r="S1292" s="17"/>
      <c r="T1292" s="10" t="str">
        <f t="shared" si="120"/>
        <v>METRO LINEAL DE NODOS LED 8 VATIOS. ALIMENTACIÓN 12V.</v>
      </c>
    </row>
    <row r="1293" spans="1:20" ht="27" customHeight="1" x14ac:dyDescent="0.25">
      <c r="A1293" s="8" t="s">
        <v>2512</v>
      </c>
      <c r="B1293" s="9"/>
      <c r="C1293" s="9"/>
      <c r="D1293" s="8"/>
      <c r="E1293" s="8"/>
      <c r="F1293" s="8" t="s">
        <v>22</v>
      </c>
      <c r="G1293" s="10" t="s">
        <v>3015</v>
      </c>
      <c r="H1293" s="8" t="s">
        <v>3016</v>
      </c>
      <c r="I1293" s="10" t="s">
        <v>3015</v>
      </c>
      <c r="J1293" s="11" t="s">
        <v>33</v>
      </c>
      <c r="K1293" s="18">
        <v>35000</v>
      </c>
      <c r="L1293" s="12">
        <f t="shared" si="121"/>
        <v>43800</v>
      </c>
      <c r="M1293" s="8">
        <v>1</v>
      </c>
      <c r="N1293" s="8" t="s">
        <v>27</v>
      </c>
      <c r="O1293" s="13"/>
      <c r="P1293" s="14">
        <v>0.25</v>
      </c>
      <c r="Q1293" s="15">
        <v>0.2</v>
      </c>
      <c r="R1293" s="16" t="str">
        <f t="shared" si="122"/>
        <v>GENERAL</v>
      </c>
      <c r="S1293" s="17"/>
      <c r="T1293" s="10" t="str">
        <f t="shared" si="120"/>
        <v>UPGRADE A DRIVER DIMERIZABLE 010</v>
      </c>
    </row>
    <row r="1294" spans="1:20" ht="27" customHeight="1" x14ac:dyDescent="0.25">
      <c r="A1294" s="8" t="s">
        <v>2512</v>
      </c>
      <c r="B1294" s="9"/>
      <c r="C1294" s="9"/>
      <c r="D1294" s="8"/>
      <c r="E1294" s="8"/>
      <c r="F1294" s="8" t="s">
        <v>22</v>
      </c>
      <c r="G1294" s="10" t="s">
        <v>3017</v>
      </c>
      <c r="H1294" s="8" t="s">
        <v>3018</v>
      </c>
      <c r="I1294" s="10" t="s">
        <v>3017</v>
      </c>
      <c r="J1294" s="11" t="s">
        <v>33</v>
      </c>
      <c r="K1294" s="18">
        <v>1200</v>
      </c>
      <c r="L1294" s="12">
        <f t="shared" si="121"/>
        <v>1600</v>
      </c>
      <c r="M1294" s="8">
        <v>1</v>
      </c>
      <c r="N1294" s="8" t="s">
        <v>27</v>
      </c>
      <c r="O1294" s="13"/>
      <c r="P1294" s="14">
        <v>0.4</v>
      </c>
      <c r="Q1294" s="15">
        <v>0.25</v>
      </c>
      <c r="R1294" s="16" t="str">
        <f t="shared" si="122"/>
        <v>GENERAL</v>
      </c>
      <c r="S1294" s="17"/>
      <c r="T1294" s="10" t="str">
        <f t="shared" si="120"/>
        <v>SOPORTE PARA TUBO T8</v>
      </c>
    </row>
    <row r="1295" spans="1:20" ht="27" customHeight="1" x14ac:dyDescent="0.25">
      <c r="A1295" s="8" t="s">
        <v>2512</v>
      </c>
      <c r="B1295" s="9"/>
      <c r="C1295" s="9"/>
      <c r="D1295" s="8"/>
      <c r="E1295" s="8"/>
      <c r="F1295" s="8" t="s">
        <v>22</v>
      </c>
      <c r="G1295" s="10" t="s">
        <v>3019</v>
      </c>
      <c r="H1295" s="8" t="s">
        <v>3020</v>
      </c>
      <c r="I1295" s="10" t="s">
        <v>3019</v>
      </c>
      <c r="J1295" s="11" t="s">
        <v>33</v>
      </c>
      <c r="K1295" s="18">
        <v>230000</v>
      </c>
      <c r="L1295" s="12">
        <f t="shared" si="121"/>
        <v>460000</v>
      </c>
      <c r="M1295" s="8">
        <v>1</v>
      </c>
      <c r="N1295" s="8" t="s">
        <v>27</v>
      </c>
      <c r="O1295" s="13"/>
      <c r="P1295" s="14">
        <v>0</v>
      </c>
      <c r="Q1295" s="15">
        <v>0.5</v>
      </c>
      <c r="R1295" s="16" t="str">
        <f t="shared" si="122"/>
        <v>GENERAL</v>
      </c>
      <c r="S1295" s="17"/>
      <c r="T1295" s="10" t="str">
        <f t="shared" si="120"/>
        <v>LUMINARIA LINEAL DE SOBRE PONER DE 3 METROS. 4000K.</v>
      </c>
    </row>
    <row r="1296" spans="1:20" ht="27" customHeight="1" x14ac:dyDescent="0.25">
      <c r="A1296" s="8" t="s">
        <v>2512</v>
      </c>
      <c r="B1296" s="9"/>
      <c r="C1296" s="9"/>
      <c r="D1296" s="8"/>
      <c r="E1296" s="8"/>
      <c r="F1296" s="8" t="s">
        <v>22</v>
      </c>
      <c r="G1296" s="10" t="s">
        <v>3021</v>
      </c>
      <c r="H1296" s="8" t="s">
        <v>3022</v>
      </c>
      <c r="I1296" s="10" t="s">
        <v>3021</v>
      </c>
      <c r="J1296" s="11" t="s">
        <v>33</v>
      </c>
      <c r="K1296" s="18">
        <f>68000/9</f>
        <v>7555.5555555555557</v>
      </c>
      <c r="L1296" s="12">
        <f t="shared" si="121"/>
        <v>15200</v>
      </c>
      <c r="M1296" s="8">
        <v>1</v>
      </c>
      <c r="N1296" s="8" t="s">
        <v>27</v>
      </c>
      <c r="O1296" s="13"/>
      <c r="P1296" s="14">
        <v>0</v>
      </c>
      <c r="Q1296" s="15">
        <v>0.5</v>
      </c>
      <c r="R1296" s="16" t="str">
        <f t="shared" si="122"/>
        <v>GENERAL</v>
      </c>
      <c r="S1296" s="17"/>
      <c r="T1296" s="10" t="str">
        <f t="shared" si="120"/>
        <v>AMPOLLETA EN FORMATO LED BIPIN DE 5W, CÁLIDO.</v>
      </c>
    </row>
    <row r="1297" spans="1:28" ht="27" customHeight="1" x14ac:dyDescent="0.25">
      <c r="A1297" s="8" t="s">
        <v>2512</v>
      </c>
      <c r="B1297" s="9"/>
      <c r="C1297" s="9"/>
      <c r="D1297" s="8"/>
      <c r="E1297" s="8"/>
      <c r="F1297" s="8" t="s">
        <v>22</v>
      </c>
      <c r="G1297" s="10" t="s">
        <v>3023</v>
      </c>
      <c r="H1297" s="8" t="s">
        <v>3024</v>
      </c>
      <c r="I1297" s="10" t="s">
        <v>3023</v>
      </c>
      <c r="J1297" s="11" t="s">
        <v>33</v>
      </c>
      <c r="K1297" s="18">
        <f>14000/9</f>
        <v>1555.5555555555557</v>
      </c>
      <c r="L1297" s="12">
        <f t="shared" si="121"/>
        <v>3200</v>
      </c>
      <c r="M1297" s="8">
        <v>1</v>
      </c>
      <c r="N1297" s="8" t="s">
        <v>27</v>
      </c>
      <c r="O1297" s="13"/>
      <c r="P1297" s="14">
        <v>0</v>
      </c>
      <c r="Q1297" s="15">
        <v>0.5</v>
      </c>
      <c r="R1297" s="16" t="str">
        <f t="shared" si="122"/>
        <v>GENERAL</v>
      </c>
      <c r="S1297" s="17"/>
      <c r="T1297" s="10" t="str">
        <f t="shared" si="120"/>
        <v>SOCKET BIPIN PARA FORMATO G9</v>
      </c>
    </row>
    <row r="1298" spans="1:28" ht="27" customHeight="1" x14ac:dyDescent="0.25">
      <c r="A1298" s="8" t="s">
        <v>2512</v>
      </c>
      <c r="B1298" s="9"/>
      <c r="C1298" s="9"/>
      <c r="D1298" s="8"/>
      <c r="E1298" s="8"/>
      <c r="F1298" s="8" t="s">
        <v>22</v>
      </c>
      <c r="G1298" s="10" t="s">
        <v>3025</v>
      </c>
      <c r="H1298" s="8" t="s">
        <v>3026</v>
      </c>
      <c r="I1298" s="10" t="s">
        <v>3025</v>
      </c>
      <c r="J1298" s="11" t="s">
        <v>33</v>
      </c>
      <c r="K1298" s="18">
        <f>84000/2</f>
        <v>42000</v>
      </c>
      <c r="L1298" s="12">
        <f t="shared" si="121"/>
        <v>60000</v>
      </c>
      <c r="M1298" s="8">
        <v>1</v>
      </c>
      <c r="N1298" s="8" t="s">
        <v>27</v>
      </c>
      <c r="O1298" s="13"/>
      <c r="P1298" s="14">
        <v>0</v>
      </c>
      <c r="Q1298" s="15">
        <v>0.3</v>
      </c>
      <c r="R1298" s="16" t="str">
        <f t="shared" si="122"/>
        <v>GENERAL</v>
      </c>
      <c r="S1298" s="17"/>
      <c r="T1298" s="10" t="str">
        <f t="shared" si="120"/>
        <v>METRO DE PERFIL EN U COLOR BLANCO CON DIFUSOR PARA CINTA LED.</v>
      </c>
    </row>
    <row r="1299" spans="1:28" ht="27" customHeight="1" x14ac:dyDescent="0.25">
      <c r="A1299" s="8" t="s">
        <v>2512</v>
      </c>
      <c r="B1299" s="9" t="s">
        <v>683</v>
      </c>
      <c r="C1299" s="9"/>
      <c r="D1299" s="8" t="s">
        <v>602</v>
      </c>
      <c r="E1299" s="8">
        <v>1</v>
      </c>
      <c r="F1299" s="8" t="s">
        <v>22</v>
      </c>
      <c r="G1299" s="10" t="s">
        <v>3027</v>
      </c>
      <c r="H1299" s="8" t="s">
        <v>3028</v>
      </c>
      <c r="I1299" s="10" t="s">
        <v>3027</v>
      </c>
      <c r="J1299" s="11" t="s">
        <v>26</v>
      </c>
      <c r="K1299" s="18">
        <v>12</v>
      </c>
      <c r="L1299" s="12">
        <f t="shared" si="121"/>
        <v>24</v>
      </c>
      <c r="M1299" s="8">
        <v>1</v>
      </c>
      <c r="N1299" s="8" t="s">
        <v>27</v>
      </c>
      <c r="O1299" s="13"/>
      <c r="P1299" s="14">
        <v>0.2</v>
      </c>
      <c r="Q1299" s="15">
        <v>0.4</v>
      </c>
      <c r="R1299" s="16" t="str">
        <f t="shared" si="122"/>
        <v>GENERAL</v>
      </c>
      <c r="S1299" s="17"/>
      <c r="T1299" s="10" t="str">
        <f t="shared" si="120"/>
        <v>CAJA METÁLICA 30X30 PARA INSTALACIÓN ELÉCTRICA. MEDIDAS: 30X3012CM</v>
      </c>
      <c r="AB1299" s="112">
        <v>1</v>
      </c>
    </row>
    <row r="1300" spans="1:28" ht="27" customHeight="1" x14ac:dyDescent="0.25">
      <c r="A1300" s="8" t="s">
        <v>2512</v>
      </c>
      <c r="B1300" s="9" t="s">
        <v>683</v>
      </c>
      <c r="C1300" s="9"/>
      <c r="D1300" s="8" t="s">
        <v>602</v>
      </c>
      <c r="E1300" s="8">
        <v>2</v>
      </c>
      <c r="F1300" s="8" t="s">
        <v>22</v>
      </c>
      <c r="G1300" s="10" t="s">
        <v>3029</v>
      </c>
      <c r="H1300" s="8" t="s">
        <v>3030</v>
      </c>
      <c r="I1300" s="10" t="s">
        <v>3029</v>
      </c>
      <c r="J1300" s="11" t="s">
        <v>26</v>
      </c>
      <c r="K1300" s="18">
        <v>22</v>
      </c>
      <c r="L1300" s="12">
        <f t="shared" si="121"/>
        <v>44</v>
      </c>
      <c r="M1300" s="8">
        <v>1</v>
      </c>
      <c r="N1300" s="8" t="s">
        <v>27</v>
      </c>
      <c r="O1300" s="13"/>
      <c r="P1300" s="14">
        <v>0.2</v>
      </c>
      <c r="Q1300" s="15">
        <v>0.4</v>
      </c>
      <c r="R1300" s="16" t="str">
        <f t="shared" si="122"/>
        <v>GENERAL</v>
      </c>
      <c r="S1300" s="17"/>
      <c r="T1300" s="10" t="str">
        <f t="shared" si="120"/>
        <v>CONTACTOR A 16 AMPERIOS Y BOBINA A 110V. MARCA: CHINT.</v>
      </c>
    </row>
    <row r="1301" spans="1:28" ht="27" customHeight="1" x14ac:dyDescent="0.25">
      <c r="A1301" s="8" t="s">
        <v>2512</v>
      </c>
      <c r="B1301" s="9"/>
      <c r="C1301" s="9"/>
      <c r="D1301" s="8"/>
      <c r="E1301" s="8"/>
      <c r="F1301" s="8" t="s">
        <v>22</v>
      </c>
      <c r="G1301" s="10" t="s">
        <v>3031</v>
      </c>
      <c r="H1301" s="8" t="s">
        <v>3032</v>
      </c>
      <c r="I1301" s="10" t="s">
        <v>3031</v>
      </c>
      <c r="J1301" s="11" t="s">
        <v>33</v>
      </c>
      <c r="K1301" s="18">
        <v>589500</v>
      </c>
      <c r="L1301" s="12">
        <f t="shared" si="121"/>
        <v>842200</v>
      </c>
      <c r="M1301" s="8">
        <v>1</v>
      </c>
      <c r="N1301" s="8" t="s">
        <v>27</v>
      </c>
      <c r="O1301" s="13"/>
      <c r="P1301" s="14">
        <v>0.2</v>
      </c>
      <c r="Q1301" s="15">
        <v>0.3</v>
      </c>
      <c r="R1301" s="16" t="str">
        <f t="shared" si="122"/>
        <v>GENERAL</v>
      </c>
      <c r="S1301" s="17"/>
      <c r="T1301" s="10" t="str">
        <f t="shared" si="120"/>
        <v>ROLLO DE 305 METROS DE CABLE DESOXIGENADO TRANSPARENTE AWG2X16 PARA ALTAVOZ.</v>
      </c>
    </row>
    <row r="1302" spans="1:28" ht="27" customHeight="1" x14ac:dyDescent="0.25">
      <c r="A1302" s="8" t="s">
        <v>2512</v>
      </c>
      <c r="B1302" s="9" t="s">
        <v>208</v>
      </c>
      <c r="C1302" s="9"/>
      <c r="D1302" s="8" t="s">
        <v>208</v>
      </c>
      <c r="E1302" s="8"/>
      <c r="F1302" s="8" t="s">
        <v>22</v>
      </c>
      <c r="G1302" s="10" t="s">
        <v>3033</v>
      </c>
      <c r="H1302" s="8" t="s">
        <v>3034</v>
      </c>
      <c r="I1302" s="10" t="s">
        <v>3033</v>
      </c>
      <c r="J1302" s="11" t="s">
        <v>33</v>
      </c>
      <c r="K1302" s="18">
        <v>120000</v>
      </c>
      <c r="L1302" s="12">
        <f t="shared" si="121"/>
        <v>200000</v>
      </c>
      <c r="M1302" s="8">
        <v>1</v>
      </c>
      <c r="N1302" s="8" t="s">
        <v>27</v>
      </c>
      <c r="O1302" s="13"/>
      <c r="P1302" s="14">
        <v>0</v>
      </c>
      <c r="Q1302" s="15">
        <v>0.4</v>
      </c>
      <c r="R1302" s="16" t="str">
        <f t="shared" si="122"/>
        <v>GENERAL</v>
      </c>
      <c r="S1302" s="17"/>
      <c r="T1302" s="10" t="str">
        <f t="shared" si="120"/>
        <v>ROLLO DE 100 METROS DE CABLE DESOXIGENADO TRANSPARENTE AWG2X18 PARA ALTAVOZ.</v>
      </c>
    </row>
    <row r="1303" spans="1:28" ht="27" customHeight="1" x14ac:dyDescent="0.25">
      <c r="A1303" s="8" t="s">
        <v>2512</v>
      </c>
      <c r="B1303" s="9" t="s">
        <v>208</v>
      </c>
      <c r="C1303" s="9"/>
      <c r="D1303" s="8" t="s">
        <v>208</v>
      </c>
      <c r="E1303" s="8"/>
      <c r="F1303" s="8" t="s">
        <v>22</v>
      </c>
      <c r="G1303" s="10" t="s">
        <v>3033</v>
      </c>
      <c r="H1303" s="8" t="s">
        <v>3035</v>
      </c>
      <c r="I1303" s="10" t="s">
        <v>3036</v>
      </c>
      <c r="J1303" s="11" t="s">
        <v>33</v>
      </c>
      <c r="K1303" s="18">
        <v>193200</v>
      </c>
      <c r="L1303" s="12">
        <f t="shared" si="121"/>
        <v>276000</v>
      </c>
      <c r="M1303" s="8">
        <v>1</v>
      </c>
      <c r="N1303" s="8" t="s">
        <v>27</v>
      </c>
      <c r="O1303" s="13"/>
      <c r="P1303" s="14">
        <v>0.2</v>
      </c>
      <c r="Q1303" s="15">
        <v>0.3</v>
      </c>
      <c r="R1303" s="16" t="str">
        <f t="shared" si="122"/>
        <v>GENERAL</v>
      </c>
      <c r="S1303" s="17"/>
      <c r="T1303" s="10" t="str">
        <f t="shared" si="120"/>
        <v>ROLLO DE 100 METROS DE CABLE DESOXIGENADO TRANSPARENTE AWG2X18 PARA ALTAVOZ.</v>
      </c>
    </row>
    <row r="1304" spans="1:28" ht="27" customHeight="1" x14ac:dyDescent="0.25">
      <c r="A1304" s="8" t="s">
        <v>2512</v>
      </c>
      <c r="B1304" s="9" t="s">
        <v>208</v>
      </c>
      <c r="C1304" s="9"/>
      <c r="D1304" s="8" t="s">
        <v>208</v>
      </c>
      <c r="E1304" s="8"/>
      <c r="F1304" s="8" t="s">
        <v>22</v>
      </c>
      <c r="G1304" s="10" t="s">
        <v>3033</v>
      </c>
      <c r="H1304" s="8" t="s">
        <v>3037</v>
      </c>
      <c r="I1304" s="10" t="s">
        <v>3038</v>
      </c>
      <c r="J1304" s="11" t="s">
        <v>33</v>
      </c>
      <c r="K1304" s="18">
        <v>179800</v>
      </c>
      <c r="L1304" s="12">
        <f t="shared" si="121"/>
        <v>256900</v>
      </c>
      <c r="M1304" s="8">
        <v>1</v>
      </c>
      <c r="N1304" s="8" t="s">
        <v>27</v>
      </c>
      <c r="O1304" s="13"/>
      <c r="P1304" s="14">
        <v>0.2</v>
      </c>
      <c r="Q1304" s="15">
        <v>0.3</v>
      </c>
      <c r="R1304" s="16" t="str">
        <f t="shared" si="122"/>
        <v>GENERAL</v>
      </c>
      <c r="S1304" s="17"/>
      <c r="T1304" s="10" t="str">
        <f t="shared" ref="T1304:T1367" si="123">G1304</f>
        <v>ROLLO DE 100 METROS DE CABLE DESOXIGENADO TRANSPARENTE AWG2X18 PARA ALTAVOZ.</v>
      </c>
    </row>
    <row r="1305" spans="1:28" ht="27" customHeight="1" x14ac:dyDescent="0.25">
      <c r="A1305" s="8" t="s">
        <v>2512</v>
      </c>
      <c r="B1305" s="9" t="s">
        <v>208</v>
      </c>
      <c r="C1305" s="9"/>
      <c r="D1305" s="8" t="s">
        <v>208</v>
      </c>
      <c r="E1305" s="8"/>
      <c r="F1305" s="8" t="s">
        <v>22</v>
      </c>
      <c r="G1305" s="10" t="s">
        <v>3039</v>
      </c>
      <c r="H1305" s="8" t="s">
        <v>3040</v>
      </c>
      <c r="I1305" s="10" t="s">
        <v>3039</v>
      </c>
      <c r="J1305" s="11" t="s">
        <v>33</v>
      </c>
      <c r="K1305" s="18">
        <v>2900</v>
      </c>
      <c r="L1305" s="12">
        <f t="shared" si="121"/>
        <v>4200</v>
      </c>
      <c r="M1305" s="8">
        <v>1</v>
      </c>
      <c r="N1305" s="8" t="s">
        <v>110</v>
      </c>
      <c r="O1305" s="13"/>
      <c r="P1305" s="14">
        <v>0</v>
      </c>
      <c r="Q1305" s="15">
        <v>0.3</v>
      </c>
      <c r="R1305" s="16" t="str">
        <f t="shared" si="122"/>
        <v>GENERAL</v>
      </c>
      <c r="S1305" s="17"/>
      <c r="T1305" s="10" t="str">
        <f t="shared" si="123"/>
        <v>METRO DE CABLE ENCAUCHETADO 2X16. MARCA PROCABLE.</v>
      </c>
    </row>
    <row r="1306" spans="1:28" ht="27" customHeight="1" x14ac:dyDescent="0.25">
      <c r="A1306" s="8" t="s">
        <v>2512</v>
      </c>
      <c r="B1306" s="9" t="s">
        <v>208</v>
      </c>
      <c r="C1306" s="9"/>
      <c r="D1306" s="8" t="s">
        <v>208</v>
      </c>
      <c r="E1306" s="8"/>
      <c r="F1306" s="8" t="s">
        <v>22</v>
      </c>
      <c r="G1306" s="10" t="s">
        <v>3041</v>
      </c>
      <c r="H1306" s="8" t="s">
        <v>3042</v>
      </c>
      <c r="I1306" s="10" t="s">
        <v>3041</v>
      </c>
      <c r="J1306" s="11" t="s">
        <v>33</v>
      </c>
      <c r="K1306" s="18">
        <f>K1307*100*0.95</f>
        <v>408500</v>
      </c>
      <c r="L1306" s="12">
        <f t="shared" si="121"/>
        <v>680900</v>
      </c>
      <c r="M1306" s="8">
        <v>1</v>
      </c>
      <c r="N1306" s="8" t="s">
        <v>27</v>
      </c>
      <c r="O1306" s="13"/>
      <c r="P1306" s="14">
        <v>0</v>
      </c>
      <c r="Q1306" s="15">
        <v>0.4</v>
      </c>
      <c r="R1306" s="16" t="str">
        <f t="shared" si="122"/>
        <v>GENERAL</v>
      </c>
      <c r="S1306" s="17"/>
      <c r="T1306" s="10" t="str">
        <f t="shared" si="123"/>
        <v>ROLLO DE CABLE DÚPLEX 2X12.</v>
      </c>
    </row>
    <row r="1307" spans="1:28" ht="27" customHeight="1" x14ac:dyDescent="0.25">
      <c r="A1307" s="8" t="s">
        <v>2512</v>
      </c>
      <c r="B1307" s="9" t="s">
        <v>208</v>
      </c>
      <c r="C1307" s="9"/>
      <c r="D1307" s="8" t="s">
        <v>208</v>
      </c>
      <c r="E1307" s="8"/>
      <c r="F1307" s="8" t="s">
        <v>22</v>
      </c>
      <c r="G1307" s="10" t="s">
        <v>1177</v>
      </c>
      <c r="H1307" s="8" t="s">
        <v>3043</v>
      </c>
      <c r="I1307" s="10" t="s">
        <v>3044</v>
      </c>
      <c r="J1307" s="11" t="s">
        <v>33</v>
      </c>
      <c r="K1307" s="18">
        <v>4300</v>
      </c>
      <c r="L1307" s="12">
        <f t="shared" ref="L1307:L1319" si="124">IF(J1307="P",ROUNDUP(K1307/(1-Q1307),-2),K1307*(1+P1307)/(1-Q1307))</f>
        <v>7200</v>
      </c>
      <c r="M1307" s="8">
        <v>1</v>
      </c>
      <c r="N1307" s="8" t="s">
        <v>110</v>
      </c>
      <c r="O1307" s="13"/>
      <c r="P1307" s="14">
        <v>0</v>
      </c>
      <c r="Q1307" s="15">
        <v>0.4</v>
      </c>
      <c r="R1307" s="16" t="str">
        <f t="shared" si="122"/>
        <v>GENERAL</v>
      </c>
      <c r="S1307" s="17"/>
      <c r="T1307" s="10" t="str">
        <f t="shared" si="123"/>
        <v>METRO DE CABLE DÚPLEX AWG 2X16</v>
      </c>
    </row>
    <row r="1308" spans="1:28" ht="27" customHeight="1" x14ac:dyDescent="0.25">
      <c r="A1308" s="8" t="s">
        <v>2512</v>
      </c>
      <c r="B1308" s="9" t="s">
        <v>208</v>
      </c>
      <c r="C1308" s="9"/>
      <c r="D1308" s="8" t="s">
        <v>208</v>
      </c>
      <c r="E1308" s="8"/>
      <c r="F1308" s="8" t="s">
        <v>22</v>
      </c>
      <c r="G1308" s="10" t="s">
        <v>3045</v>
      </c>
      <c r="H1308" s="8" t="s">
        <v>3046</v>
      </c>
      <c r="I1308" s="10" t="s">
        <v>3045</v>
      </c>
      <c r="J1308" s="11" t="s">
        <v>33</v>
      </c>
      <c r="K1308" s="18">
        <v>1000</v>
      </c>
      <c r="L1308" s="12">
        <f t="shared" si="124"/>
        <v>1700</v>
      </c>
      <c r="M1308" s="8">
        <v>1</v>
      </c>
      <c r="N1308" s="8" t="s">
        <v>27</v>
      </c>
      <c r="O1308" s="13"/>
      <c r="P1308" s="14">
        <v>0.2</v>
      </c>
      <c r="Q1308" s="15">
        <v>0.4</v>
      </c>
      <c r="R1308" s="16" t="str">
        <f t="shared" si="122"/>
        <v>GENERAL</v>
      </c>
      <c r="S1308" s="17"/>
      <c r="T1308" s="10" t="str">
        <f t="shared" si="123"/>
        <v>METRO DE CABLE DESOXIGENADO TRANSPARENTE AWG2X16 PARA ALTAVOZ.</v>
      </c>
    </row>
    <row r="1309" spans="1:28" ht="27" customHeight="1" x14ac:dyDescent="0.25">
      <c r="A1309" s="8" t="s">
        <v>2512</v>
      </c>
      <c r="B1309" s="9"/>
      <c r="C1309" s="9"/>
      <c r="D1309" s="8"/>
      <c r="E1309" s="8"/>
      <c r="F1309" s="8" t="s">
        <v>22</v>
      </c>
      <c r="G1309" s="10" t="s">
        <v>3047</v>
      </c>
      <c r="H1309" s="8" t="s">
        <v>3048</v>
      </c>
      <c r="I1309" s="10" t="s">
        <v>3047</v>
      </c>
      <c r="J1309" s="11" t="s">
        <v>33</v>
      </c>
      <c r="K1309" s="18">
        <v>55000</v>
      </c>
      <c r="L1309" s="12">
        <f t="shared" si="124"/>
        <v>91700</v>
      </c>
      <c r="M1309" s="8">
        <v>1</v>
      </c>
      <c r="N1309" s="8" t="s">
        <v>27</v>
      </c>
      <c r="O1309" s="13" t="s">
        <v>588</v>
      </c>
      <c r="P1309" s="14">
        <v>0</v>
      </c>
      <c r="Q1309" s="15">
        <v>0.4</v>
      </c>
      <c r="R1309" s="16" t="str">
        <f t="shared" si="122"/>
        <v>GENERAL</v>
      </c>
      <c r="S1309" s="17"/>
      <c r="T1309" s="10" t="str">
        <f t="shared" si="123"/>
        <v>DRIVER PARA CARGAS HASTA 50W DE 480MA ATENUABLE 0/1-10. MULTIVOLTAJE.</v>
      </c>
    </row>
    <row r="1310" spans="1:28" ht="27" customHeight="1" x14ac:dyDescent="0.25">
      <c r="A1310" s="8" t="s">
        <v>2512</v>
      </c>
      <c r="B1310" s="9"/>
      <c r="C1310" s="9"/>
      <c r="D1310" s="8"/>
      <c r="E1310" s="8"/>
      <c r="F1310" s="8" t="s">
        <v>22</v>
      </c>
      <c r="G1310" s="10" t="s">
        <v>3049</v>
      </c>
      <c r="H1310" s="8" t="s">
        <v>3050</v>
      </c>
      <c r="I1310" s="10" t="s">
        <v>3049</v>
      </c>
      <c r="J1310" s="11" t="s">
        <v>33</v>
      </c>
      <c r="K1310" s="18">
        <v>5000</v>
      </c>
      <c r="L1310" s="12">
        <f t="shared" si="124"/>
        <v>10000</v>
      </c>
      <c r="M1310" s="8">
        <v>1</v>
      </c>
      <c r="N1310" s="8" t="s">
        <v>27</v>
      </c>
      <c r="O1310" s="13" t="s">
        <v>588</v>
      </c>
      <c r="P1310" s="14">
        <v>0</v>
      </c>
      <c r="Q1310" s="15">
        <v>0.5</v>
      </c>
      <c r="R1310" s="16" t="str">
        <f t="shared" si="122"/>
        <v>GENERAL</v>
      </c>
      <c r="S1310" s="17"/>
      <c r="T1310" s="10" t="str">
        <f t="shared" si="123"/>
        <v>DRIVER DE 3W PARA PASTILLA LED.</v>
      </c>
    </row>
    <row r="1311" spans="1:28" ht="27" customHeight="1" x14ac:dyDescent="0.25">
      <c r="A1311" s="8" t="s">
        <v>2512</v>
      </c>
      <c r="B1311" s="9"/>
      <c r="C1311" s="9"/>
      <c r="D1311" s="8"/>
      <c r="E1311" s="8"/>
      <c r="F1311" s="8" t="s">
        <v>22</v>
      </c>
      <c r="G1311" s="10" t="s">
        <v>3051</v>
      </c>
      <c r="H1311" s="8" t="s">
        <v>3052</v>
      </c>
      <c r="I1311" s="10" t="s">
        <v>3051</v>
      </c>
      <c r="J1311" s="11" t="s">
        <v>33</v>
      </c>
      <c r="K1311" s="18">
        <v>3000</v>
      </c>
      <c r="L1311" s="12">
        <f t="shared" si="124"/>
        <v>5000</v>
      </c>
      <c r="M1311" s="8">
        <v>1</v>
      </c>
      <c r="N1311" s="8" t="s">
        <v>27</v>
      </c>
      <c r="O1311" s="13" t="s">
        <v>588</v>
      </c>
      <c r="P1311" s="14">
        <v>0</v>
      </c>
      <c r="Q1311" s="15">
        <v>0.4</v>
      </c>
      <c r="R1311" s="16" t="str">
        <f t="shared" si="122"/>
        <v>GENERAL</v>
      </c>
      <c r="S1311" s="17"/>
      <c r="T1311" s="10" t="str">
        <f t="shared" si="123"/>
        <v>TERMINAL AMERICANA PARA CABLE COAXIAL RG6</v>
      </c>
    </row>
    <row r="1312" spans="1:28" ht="27" customHeight="1" x14ac:dyDescent="0.25">
      <c r="A1312" s="8" t="s">
        <v>2512</v>
      </c>
      <c r="B1312" s="9"/>
      <c r="C1312" s="9"/>
      <c r="D1312" s="8"/>
      <c r="E1312" s="8"/>
      <c r="F1312" s="8" t="s">
        <v>22</v>
      </c>
      <c r="G1312" s="10" t="s">
        <v>3053</v>
      </c>
      <c r="H1312" s="8" t="s">
        <v>3054</v>
      </c>
      <c r="I1312" s="10" t="s">
        <v>3053</v>
      </c>
      <c r="J1312" s="11" t="s">
        <v>33</v>
      </c>
      <c r="K1312" s="18">
        <v>29000</v>
      </c>
      <c r="L1312" s="12">
        <f t="shared" si="124"/>
        <v>58000</v>
      </c>
      <c r="M1312" s="8">
        <v>1</v>
      </c>
      <c r="N1312" s="8" t="s">
        <v>27</v>
      </c>
      <c r="O1312" s="13" t="s">
        <v>588</v>
      </c>
      <c r="P1312" s="14">
        <v>0</v>
      </c>
      <c r="Q1312" s="15">
        <v>0.5</v>
      </c>
      <c r="R1312" s="16" t="str">
        <f t="shared" si="122"/>
        <v>GENERAL</v>
      </c>
      <c r="S1312" s="17"/>
      <c r="T1312" s="10" t="str">
        <f t="shared" si="123"/>
        <v>SPOR PARA BOMBILLA PAR 30 EN COLOR NEGRO</v>
      </c>
    </row>
    <row r="1313" spans="1:20" ht="27" customHeight="1" x14ac:dyDescent="0.25">
      <c r="A1313" s="8" t="s">
        <v>2512</v>
      </c>
      <c r="B1313" s="9"/>
      <c r="C1313" s="9"/>
      <c r="D1313" s="8"/>
      <c r="E1313" s="8"/>
      <c r="F1313" s="8" t="s">
        <v>22</v>
      </c>
      <c r="G1313" s="10" t="s">
        <v>3055</v>
      </c>
      <c r="H1313" s="8" t="s">
        <v>3056</v>
      </c>
      <c r="I1313" s="10" t="s">
        <v>3055</v>
      </c>
      <c r="J1313" s="11" t="s">
        <v>33</v>
      </c>
      <c r="K1313" s="18">
        <v>883000</v>
      </c>
      <c r="L1313" s="12">
        <f t="shared" si="124"/>
        <v>1103800</v>
      </c>
      <c r="M1313" s="8">
        <v>1</v>
      </c>
      <c r="N1313" s="8" t="s">
        <v>27</v>
      </c>
      <c r="O1313" s="13"/>
      <c r="P1313" s="14">
        <v>0</v>
      </c>
      <c r="Q1313" s="15">
        <v>0.2</v>
      </c>
      <c r="R1313" s="16" t="str">
        <f t="shared" si="122"/>
        <v>GENERAL</v>
      </c>
      <c r="S1313" s="17"/>
      <c r="T1313" s="10" t="str">
        <f t="shared" si="123"/>
        <v>FIBRA ÓPTICA MULTI O MONO MODO DE 150 METROS</v>
      </c>
    </row>
    <row r="1314" spans="1:20" ht="27" customHeight="1" x14ac:dyDescent="0.25">
      <c r="A1314" s="8" t="s">
        <v>2512</v>
      </c>
      <c r="B1314" s="9"/>
      <c r="C1314" s="9"/>
      <c r="D1314" s="8"/>
      <c r="E1314" s="8"/>
      <c r="F1314" s="8" t="s">
        <v>22</v>
      </c>
      <c r="G1314" s="10" t="s">
        <v>3055</v>
      </c>
      <c r="H1314" s="8" t="s">
        <v>3056</v>
      </c>
      <c r="I1314" s="10" t="s">
        <v>3055</v>
      </c>
      <c r="J1314" s="11" t="s">
        <v>33</v>
      </c>
      <c r="K1314" s="18">
        <v>883000</v>
      </c>
      <c r="L1314" s="12">
        <f t="shared" si="124"/>
        <v>1103800</v>
      </c>
      <c r="M1314" s="8">
        <v>1</v>
      </c>
      <c r="N1314" s="8" t="s">
        <v>27</v>
      </c>
      <c r="O1314" s="13"/>
      <c r="P1314" s="14">
        <v>0</v>
      </c>
      <c r="Q1314" s="15">
        <v>0.2</v>
      </c>
      <c r="R1314" s="16" t="str">
        <f t="shared" si="122"/>
        <v>GENERAL</v>
      </c>
      <c r="S1314" s="17"/>
      <c r="T1314" s="10" t="str">
        <f t="shared" si="123"/>
        <v>FIBRA ÓPTICA MULTI O MONO MODO DE 150 METROS</v>
      </c>
    </row>
    <row r="1315" spans="1:20" ht="27" customHeight="1" x14ac:dyDescent="0.25">
      <c r="A1315" s="8" t="s">
        <v>2512</v>
      </c>
      <c r="B1315" s="9"/>
      <c r="C1315" s="9"/>
      <c r="D1315" s="8"/>
      <c r="E1315" s="8"/>
      <c r="F1315" s="8" t="s">
        <v>22</v>
      </c>
      <c r="G1315" s="10" t="s">
        <v>716</v>
      </c>
      <c r="H1315" s="8" t="s">
        <v>3057</v>
      </c>
      <c r="I1315" s="10" t="s">
        <v>716</v>
      </c>
      <c r="J1315" s="11" t="s">
        <v>33</v>
      </c>
      <c r="K1315" s="18">
        <v>58000</v>
      </c>
      <c r="L1315" s="12">
        <f t="shared" si="124"/>
        <v>96700</v>
      </c>
      <c r="M1315" s="8">
        <v>1</v>
      </c>
      <c r="N1315" s="8" t="s">
        <v>27</v>
      </c>
      <c r="O1315" s="13"/>
      <c r="P1315" s="14">
        <v>0</v>
      </c>
      <c r="Q1315" s="15">
        <v>0.4</v>
      </c>
      <c r="R1315" s="16" t="str">
        <f t="shared" si="122"/>
        <v>GENERAL</v>
      </c>
      <c r="S1315" s="17"/>
      <c r="T1315" s="10" t="str">
        <f t="shared" si="123"/>
        <v>ELECTRO IMÁN DE 350 LIBRAS</v>
      </c>
    </row>
    <row r="1316" spans="1:20" ht="27" customHeight="1" x14ac:dyDescent="0.25">
      <c r="A1316" s="8" t="s">
        <v>2512</v>
      </c>
      <c r="B1316" s="9"/>
      <c r="C1316" s="9"/>
      <c r="D1316" s="8"/>
      <c r="E1316" s="8"/>
      <c r="F1316" s="8" t="s">
        <v>22</v>
      </c>
      <c r="G1316" s="10" t="s">
        <v>3058</v>
      </c>
      <c r="H1316" s="8" t="s">
        <v>3059</v>
      </c>
      <c r="I1316" s="10" t="s">
        <v>3058</v>
      </c>
      <c r="J1316" s="11" t="s">
        <v>33</v>
      </c>
      <c r="K1316" s="18">
        <v>27400</v>
      </c>
      <c r="L1316" s="12">
        <f t="shared" si="124"/>
        <v>45700</v>
      </c>
      <c r="M1316" s="8">
        <v>1</v>
      </c>
      <c r="N1316" s="8" t="s">
        <v>27</v>
      </c>
      <c r="O1316" s="13"/>
      <c r="P1316" s="14">
        <v>0</v>
      </c>
      <c r="Q1316" s="15">
        <v>0.4</v>
      </c>
      <c r="R1316" s="16" t="str">
        <f t="shared" si="122"/>
        <v>GENERAL</v>
      </c>
      <c r="S1316" s="17"/>
      <c r="T1316" s="10" t="str">
        <f t="shared" si="123"/>
        <v>SOPORTE PARA ELECTRO IMÁN DE 150 LIBRAS</v>
      </c>
    </row>
    <row r="1317" spans="1:20" ht="27" customHeight="1" x14ac:dyDescent="0.25">
      <c r="A1317" s="8" t="s">
        <v>2512</v>
      </c>
      <c r="B1317" s="9"/>
      <c r="C1317" s="9"/>
      <c r="D1317" s="8"/>
      <c r="E1317" s="8"/>
      <c r="F1317" s="8" t="s">
        <v>22</v>
      </c>
      <c r="G1317" s="10" t="s">
        <v>3060</v>
      </c>
      <c r="H1317" s="8" t="s">
        <v>3061</v>
      </c>
      <c r="I1317" s="10" t="s">
        <v>3060</v>
      </c>
      <c r="J1317" s="11" t="s">
        <v>33</v>
      </c>
      <c r="K1317" s="18">
        <v>12500</v>
      </c>
      <c r="L1317" s="12">
        <f t="shared" si="124"/>
        <v>20900</v>
      </c>
      <c r="M1317" s="8">
        <v>1</v>
      </c>
      <c r="N1317" s="8" t="s">
        <v>27</v>
      </c>
      <c r="O1317" s="13"/>
      <c r="P1317" s="14">
        <v>0</v>
      </c>
      <c r="Q1317" s="15">
        <v>0.4</v>
      </c>
      <c r="R1317" s="16" t="str">
        <f t="shared" si="122"/>
        <v>GENERAL</v>
      </c>
      <c r="S1317" s="17"/>
      <c r="T1317" s="10" t="str">
        <f t="shared" si="123"/>
        <v>SOPORTE ELECTROIMÁN DE 350 LIBRAS DE PUERTA DE VIDRIO</v>
      </c>
    </row>
    <row r="1318" spans="1:20" ht="27" customHeight="1" x14ac:dyDescent="0.25">
      <c r="A1318" s="8" t="s">
        <v>2512</v>
      </c>
      <c r="B1318" s="9"/>
      <c r="C1318" s="9"/>
      <c r="D1318" s="8"/>
      <c r="E1318" s="8"/>
      <c r="F1318" s="8" t="s">
        <v>22</v>
      </c>
      <c r="G1318" s="10" t="s">
        <v>3062</v>
      </c>
      <c r="H1318" s="8" t="s">
        <v>3063</v>
      </c>
      <c r="I1318" s="10" t="s">
        <v>3062</v>
      </c>
      <c r="J1318" s="11" t="s">
        <v>33</v>
      </c>
      <c r="K1318" s="18">
        <v>53200</v>
      </c>
      <c r="L1318" s="12">
        <f t="shared" si="124"/>
        <v>88700</v>
      </c>
      <c r="M1318" s="8">
        <v>1</v>
      </c>
      <c r="N1318" s="8" t="s">
        <v>27</v>
      </c>
      <c r="O1318" s="13"/>
      <c r="P1318" s="14">
        <v>0</v>
      </c>
      <c r="Q1318" s="15">
        <v>0.4</v>
      </c>
      <c r="R1318" s="16" t="str">
        <f t="shared" si="122"/>
        <v>GENERAL</v>
      </c>
      <c r="S1318" s="17"/>
      <c r="T1318" s="10" t="str">
        <f t="shared" si="123"/>
        <v>BOTÓN NO TOUCH CON CONTROL INALÁMBRICO</v>
      </c>
    </row>
    <row r="1319" spans="1:20" ht="27" customHeight="1" x14ac:dyDescent="0.25">
      <c r="A1319" s="8" t="s">
        <v>2512</v>
      </c>
      <c r="B1319" s="9"/>
      <c r="C1319" s="9"/>
      <c r="D1319" s="8"/>
      <c r="E1319" s="8"/>
      <c r="F1319" s="8" t="s">
        <v>22</v>
      </c>
      <c r="G1319" s="10" t="s">
        <v>3064</v>
      </c>
      <c r="H1319" s="8" t="s">
        <v>3065</v>
      </c>
      <c r="I1319" s="10" t="s">
        <v>3064</v>
      </c>
      <c r="J1319" s="11" t="s">
        <v>33</v>
      </c>
      <c r="K1319" s="18">
        <v>10500</v>
      </c>
      <c r="L1319" s="12">
        <f t="shared" si="124"/>
        <v>17500</v>
      </c>
      <c r="M1319" s="8">
        <v>1</v>
      </c>
      <c r="N1319" s="8" t="s">
        <v>27</v>
      </c>
      <c r="O1319" s="13"/>
      <c r="P1319" s="14">
        <v>0</v>
      </c>
      <c r="Q1319" s="15">
        <v>0.4</v>
      </c>
      <c r="R1319" s="16" t="str">
        <f t="shared" si="122"/>
        <v>GENERAL</v>
      </c>
      <c r="S1319" s="17"/>
      <c r="T1319" s="10" t="str">
        <f t="shared" si="123"/>
        <v>FUENTE DE ALIMENTACIÓN PARA ELECTROIMÁN</v>
      </c>
    </row>
    <row r="1320" spans="1:20" ht="27" customHeight="1" x14ac:dyDescent="0.25">
      <c r="A1320" s="8" t="s">
        <v>2512</v>
      </c>
      <c r="B1320" s="9"/>
      <c r="C1320" s="9"/>
      <c r="D1320" s="8" t="s">
        <v>45</v>
      </c>
      <c r="E1320" s="8"/>
      <c r="F1320" s="8" t="s">
        <v>22</v>
      </c>
      <c r="G1320" s="10" t="s">
        <v>3066</v>
      </c>
      <c r="H1320" s="8" t="s">
        <v>3067</v>
      </c>
      <c r="I1320" s="10" t="s">
        <v>3066</v>
      </c>
      <c r="J1320" s="11" t="s">
        <v>33</v>
      </c>
      <c r="K1320" s="18">
        <v>18000</v>
      </c>
      <c r="L1320" s="12">
        <f>ROUNDUP(K1320*(1+P1320)/(1-Q1320),0)</f>
        <v>25715</v>
      </c>
      <c r="M1320" s="8">
        <v>1</v>
      </c>
      <c r="N1320" s="8" t="s">
        <v>27</v>
      </c>
      <c r="O1320" s="13"/>
      <c r="P1320" s="14">
        <v>0</v>
      </c>
      <c r="Q1320" s="15">
        <v>0.3</v>
      </c>
      <c r="R1320" s="16" t="str">
        <f t="shared" si="122"/>
        <v>GENERAL</v>
      </c>
      <c r="S1320" s="17"/>
      <c r="T1320" s="10" t="str">
        <f t="shared" si="123"/>
        <v>PLATINA DE SOPORTE EN L</v>
      </c>
    </row>
    <row r="1321" spans="1:20" ht="27" customHeight="1" x14ac:dyDescent="0.25">
      <c r="A1321" s="8" t="s">
        <v>2512</v>
      </c>
      <c r="B1321" s="9"/>
      <c r="C1321" s="9"/>
      <c r="D1321" s="8" t="s">
        <v>45</v>
      </c>
      <c r="E1321" s="8"/>
      <c r="F1321" s="8" t="s">
        <v>22</v>
      </c>
      <c r="G1321" s="10" t="s">
        <v>3068</v>
      </c>
      <c r="H1321" s="8" t="s">
        <v>3069</v>
      </c>
      <c r="I1321" s="10" t="s">
        <v>3068</v>
      </c>
      <c r="J1321" s="11" t="s">
        <v>33</v>
      </c>
      <c r="K1321" s="18">
        <v>56000</v>
      </c>
      <c r="L1321" s="12">
        <f>ROUNDUP(K1321*(1+P1321)/(1-Q1321),0)</f>
        <v>93334</v>
      </c>
      <c r="M1321" s="8">
        <v>1</v>
      </c>
      <c r="N1321" s="8" t="s">
        <v>27</v>
      </c>
      <c r="O1321" s="13"/>
      <c r="P1321" s="14">
        <v>0</v>
      </c>
      <c r="Q1321" s="15">
        <v>0.4</v>
      </c>
      <c r="R1321" s="16" t="str">
        <f t="shared" si="122"/>
        <v>GENERAL</v>
      </c>
      <c r="S1321" s="17"/>
      <c r="T1321" s="10" t="str">
        <f t="shared" si="123"/>
        <v>ANTI REMANENTE PARA ELECTRO IMÁN</v>
      </c>
    </row>
    <row r="1322" spans="1:20" ht="27" customHeight="1" x14ac:dyDescent="0.25">
      <c r="A1322" s="8" t="s">
        <v>2512</v>
      </c>
      <c r="B1322" s="9"/>
      <c r="C1322" s="9"/>
      <c r="D1322" s="8" t="s">
        <v>45</v>
      </c>
      <c r="E1322" s="8"/>
      <c r="F1322" s="8" t="s">
        <v>22</v>
      </c>
      <c r="G1322" s="10" t="s">
        <v>3070</v>
      </c>
      <c r="H1322" s="8" t="s">
        <v>3071</v>
      </c>
      <c r="I1322" s="10" t="s">
        <v>3070</v>
      </c>
      <c r="J1322" s="11" t="s">
        <v>33</v>
      </c>
      <c r="K1322" s="18">
        <v>1500</v>
      </c>
      <c r="L1322" s="12">
        <f>IF(J1322="P",ROUNDUP(K1322/(1-Q1322),-2),K1322*(1+P1322)/(1-Q1322))</f>
        <v>3000</v>
      </c>
      <c r="M1322" s="8">
        <v>1</v>
      </c>
      <c r="N1322" s="8" t="s">
        <v>27</v>
      </c>
      <c r="O1322" s="13"/>
      <c r="P1322" s="14">
        <v>0</v>
      </c>
      <c r="Q1322" s="15">
        <v>0.5</v>
      </c>
      <c r="R1322" s="16" t="str">
        <f t="shared" si="122"/>
        <v>GENERAL</v>
      </c>
      <c r="S1322" s="17"/>
      <c r="T1322" s="10" t="str">
        <f t="shared" si="123"/>
        <v>POTENCIÓMETRO DE 100K</v>
      </c>
    </row>
    <row r="1323" spans="1:20" ht="27" customHeight="1" x14ac:dyDescent="0.25">
      <c r="A1323" s="8" t="s">
        <v>2512</v>
      </c>
      <c r="B1323" s="9"/>
      <c r="C1323" s="9"/>
      <c r="D1323" s="8" t="s">
        <v>45</v>
      </c>
      <c r="E1323" s="8"/>
      <c r="F1323" s="8" t="s">
        <v>22</v>
      </c>
      <c r="G1323" s="10" t="s">
        <v>3072</v>
      </c>
      <c r="H1323" s="8" t="s">
        <v>3073</v>
      </c>
      <c r="I1323" s="10" t="s">
        <v>3072</v>
      </c>
      <c r="J1323" s="11" t="s">
        <v>33</v>
      </c>
      <c r="K1323" s="18">
        <v>9000</v>
      </c>
      <c r="L1323" s="12">
        <f>ROUNDUP(K1323*(1+P1323)/(1-Q1323),0)</f>
        <v>17648</v>
      </c>
      <c r="M1323" s="8">
        <v>1</v>
      </c>
      <c r="N1323" s="8" t="s">
        <v>27</v>
      </c>
      <c r="O1323" s="13"/>
      <c r="P1323" s="14">
        <v>0</v>
      </c>
      <c r="Q1323" s="15">
        <v>0.49</v>
      </c>
      <c r="R1323" s="16" t="str">
        <f t="shared" si="122"/>
        <v>GENERAL</v>
      </c>
      <c r="S1323" s="17"/>
      <c r="T1323" s="10" t="str">
        <f t="shared" si="123"/>
        <v>FUENTE PARA REGLETA LED DE 4W, 4 PASILLAS.</v>
      </c>
    </row>
    <row r="1324" spans="1:20" ht="27" customHeight="1" x14ac:dyDescent="0.25">
      <c r="A1324" s="8" t="s">
        <v>2512</v>
      </c>
      <c r="B1324" s="9"/>
      <c r="C1324" s="9"/>
      <c r="D1324" s="8" t="s">
        <v>45</v>
      </c>
      <c r="E1324" s="8"/>
      <c r="F1324" s="8" t="s">
        <v>22</v>
      </c>
      <c r="G1324" s="10" t="s">
        <v>3074</v>
      </c>
      <c r="H1324" s="8" t="s">
        <v>3075</v>
      </c>
      <c r="I1324" s="10" t="s">
        <v>3074</v>
      </c>
      <c r="J1324" s="11" t="s">
        <v>33</v>
      </c>
      <c r="K1324" s="18">
        <v>9000</v>
      </c>
      <c r="L1324" s="12">
        <f>ROUNDUP(K1324*(1+P1324)/(1-Q1324),0)</f>
        <v>17648</v>
      </c>
      <c r="M1324" s="8">
        <v>1</v>
      </c>
      <c r="N1324" s="8" t="s">
        <v>27</v>
      </c>
      <c r="O1324" s="13"/>
      <c r="P1324" s="14">
        <v>0</v>
      </c>
      <c r="Q1324" s="15">
        <v>0.49</v>
      </c>
      <c r="R1324" s="16" t="str">
        <f t="shared" si="122"/>
        <v>GENERAL</v>
      </c>
      <c r="S1324" s="17"/>
      <c r="T1324" s="10" t="str">
        <f t="shared" si="123"/>
        <v>REGLETA LED DE 4 PASILLAS 1CM DE ANCHO</v>
      </c>
    </row>
    <row r="1325" spans="1:20" ht="27" customHeight="1" x14ac:dyDescent="0.25">
      <c r="A1325" s="8" t="s">
        <v>2512</v>
      </c>
      <c r="B1325" s="9"/>
      <c r="C1325" s="9"/>
      <c r="D1325" s="8" t="s">
        <v>45</v>
      </c>
      <c r="E1325" s="8"/>
      <c r="F1325" s="8" t="s">
        <v>22</v>
      </c>
      <c r="G1325" s="10" t="s">
        <v>3076</v>
      </c>
      <c r="H1325" s="8" t="s">
        <v>3077</v>
      </c>
      <c r="I1325" s="10" t="s">
        <v>3076</v>
      </c>
      <c r="J1325" s="11" t="s">
        <v>33</v>
      </c>
      <c r="K1325" s="18">
        <v>3400</v>
      </c>
      <c r="L1325" s="12">
        <f>IF(J1325="P",ROUNDUP(K1325/(1-Q1325),-2),K1325*(1+P1325)/(1-Q1325))</f>
        <v>5700</v>
      </c>
      <c r="M1325" s="8">
        <v>1</v>
      </c>
      <c r="N1325" s="8" t="s">
        <v>27</v>
      </c>
      <c r="O1325" s="13"/>
      <c r="P1325" s="14">
        <v>0</v>
      </c>
      <c r="Q1325" s="15">
        <v>0.4</v>
      </c>
      <c r="R1325" s="16" t="str">
        <f t="shared" si="122"/>
        <v>GENERAL</v>
      </c>
      <c r="S1325" s="17"/>
      <c r="T1325" s="10" t="str">
        <f t="shared" si="123"/>
        <v>BORNERA DE CONEXIÓN DE BAJO VOLTAJE</v>
      </c>
    </row>
    <row r="1326" spans="1:20" ht="27" customHeight="1" x14ac:dyDescent="0.25">
      <c r="A1326" s="8" t="s">
        <v>2512</v>
      </c>
      <c r="B1326" s="9"/>
      <c r="C1326" s="9"/>
      <c r="D1326" s="8" t="s">
        <v>45</v>
      </c>
      <c r="E1326" s="8"/>
      <c r="F1326" s="8" t="s">
        <v>22</v>
      </c>
      <c r="G1326" s="10" t="s">
        <v>3078</v>
      </c>
      <c r="H1326" s="8" t="s">
        <v>3079</v>
      </c>
      <c r="I1326" s="10" t="s">
        <v>3078</v>
      </c>
      <c r="J1326" s="11" t="s">
        <v>33</v>
      </c>
      <c r="K1326" s="18">
        <v>20000</v>
      </c>
      <c r="L1326" s="12">
        <f>IF(J1326="P",ROUNDUP(K1326/(1-Q1326),-2),K1326*(1+P1326)/(1-Q1326))</f>
        <v>33400</v>
      </c>
      <c r="M1326" s="8">
        <v>1</v>
      </c>
      <c r="N1326" s="8" t="s">
        <v>27</v>
      </c>
      <c r="O1326" s="13"/>
      <c r="P1326" s="14">
        <v>0</v>
      </c>
      <c r="Q1326" s="15">
        <v>0.4</v>
      </c>
      <c r="R1326" s="16" t="str">
        <f t="shared" si="122"/>
        <v>GENERAL</v>
      </c>
      <c r="S1326" s="17"/>
      <c r="T1326" s="10" t="str">
        <f t="shared" si="123"/>
        <v>CONECTOR DE 30 PINES GENÉRICO</v>
      </c>
    </row>
    <row r="1327" spans="1:20" ht="27" customHeight="1" x14ac:dyDescent="0.25">
      <c r="A1327" s="8" t="s">
        <v>2512</v>
      </c>
      <c r="B1327" s="9"/>
      <c r="C1327" s="9"/>
      <c r="D1327" s="8" t="s">
        <v>45</v>
      </c>
      <c r="E1327" s="8"/>
      <c r="F1327" s="8" t="s">
        <v>22</v>
      </c>
      <c r="G1327" s="10" t="s">
        <v>3080</v>
      </c>
      <c r="H1327" s="8" t="s">
        <v>3081</v>
      </c>
      <c r="I1327" s="10" t="s">
        <v>3080</v>
      </c>
      <c r="J1327" s="11" t="s">
        <v>33</v>
      </c>
      <c r="K1327" s="18">
        <v>3800000</v>
      </c>
      <c r="L1327" s="12">
        <f>IF(J1327="P",ROUNDUP(K1327/(1-Q1327),-2),K1327*(1+P1327)/(1-Q1327))</f>
        <v>6909100</v>
      </c>
      <c r="M1327" s="8">
        <v>1</v>
      </c>
      <c r="N1327" s="8" t="s">
        <v>27</v>
      </c>
      <c r="O1327" s="13"/>
      <c r="P1327" s="14">
        <v>0</v>
      </c>
      <c r="Q1327" s="15">
        <v>0.45</v>
      </c>
      <c r="R1327" s="16" t="str">
        <f t="shared" si="122"/>
        <v>GENERAL</v>
      </c>
      <c r="S1327" s="17"/>
      <c r="T1327" s="10" t="str">
        <f t="shared" si="123"/>
        <v>TRANSFORMADOR DE 25KVA PARA INSTALACIÓN INTEMPERIE,  240-120V.</v>
      </c>
    </row>
    <row r="1328" spans="1:20" ht="27" customHeight="1" x14ac:dyDescent="0.25">
      <c r="A1328" s="8" t="s">
        <v>2512</v>
      </c>
      <c r="B1328" s="9"/>
      <c r="C1328" s="9"/>
      <c r="D1328" s="8" t="s">
        <v>45</v>
      </c>
      <c r="E1328" s="8"/>
      <c r="F1328" s="8" t="s">
        <v>22</v>
      </c>
      <c r="G1328" s="10" t="s">
        <v>3082</v>
      </c>
      <c r="H1328" s="8" t="s">
        <v>3083</v>
      </c>
      <c r="I1328" s="10" t="s">
        <v>3082</v>
      </c>
      <c r="J1328" s="11" t="s">
        <v>33</v>
      </c>
      <c r="K1328" s="18"/>
      <c r="L1328" s="12"/>
      <c r="M1328" s="8">
        <v>1</v>
      </c>
      <c r="N1328" s="8"/>
      <c r="O1328" s="13"/>
      <c r="P1328" s="14"/>
      <c r="Q1328" s="15"/>
      <c r="R1328" s="16" t="str">
        <f t="shared" si="122"/>
        <v>GENERAL</v>
      </c>
      <c r="S1328" s="17"/>
      <c r="T1328" s="10" t="str">
        <f t="shared" si="123"/>
        <v>ACCESORIOS DE FIJACIÓN PARA TRANSFORMADOR</v>
      </c>
    </row>
    <row r="1329" spans="1:20" ht="27" customHeight="1" x14ac:dyDescent="0.25">
      <c r="A1329" s="8" t="s">
        <v>2512</v>
      </c>
      <c r="B1329" s="9"/>
      <c r="C1329" s="9"/>
      <c r="D1329" s="8" t="s">
        <v>45</v>
      </c>
      <c r="E1329" s="8"/>
      <c r="F1329" s="8" t="s">
        <v>22</v>
      </c>
      <c r="G1329" s="10" t="s">
        <v>3084</v>
      </c>
      <c r="H1329" s="8" t="s">
        <v>3085</v>
      </c>
      <c r="I1329" s="10" t="s">
        <v>3084</v>
      </c>
      <c r="J1329" s="11" t="s">
        <v>33</v>
      </c>
      <c r="K1329" s="18"/>
      <c r="L1329" s="12"/>
      <c r="M1329" s="8">
        <v>1</v>
      </c>
      <c r="N1329" s="8"/>
      <c r="O1329" s="13"/>
      <c r="P1329" s="14"/>
      <c r="Q1329" s="15"/>
      <c r="R1329" s="16" t="str">
        <f t="shared" si="122"/>
        <v>GENERAL</v>
      </c>
      <c r="S1329" s="17"/>
      <c r="T1329" s="10" t="str">
        <f t="shared" si="123"/>
        <v>PROTECCIONES DE MEDIA TENSIÓN PARA PARA RAYOS</v>
      </c>
    </row>
    <row r="1330" spans="1:20" ht="27" customHeight="1" x14ac:dyDescent="0.25">
      <c r="A1330" s="8" t="s">
        <v>2512</v>
      </c>
      <c r="B1330" s="9"/>
      <c r="C1330" s="9"/>
      <c r="D1330" s="8" t="s">
        <v>45</v>
      </c>
      <c r="E1330" s="8"/>
      <c r="F1330" s="8" t="s">
        <v>22</v>
      </c>
      <c r="G1330" s="10" t="s">
        <v>3086</v>
      </c>
      <c r="H1330" s="8" t="s">
        <v>3087</v>
      </c>
      <c r="I1330" s="10" t="s">
        <v>3086</v>
      </c>
      <c r="J1330" s="11" t="s">
        <v>33</v>
      </c>
      <c r="K1330" s="18"/>
      <c r="L1330" s="12"/>
      <c r="M1330" s="8">
        <v>1</v>
      </c>
      <c r="N1330" s="8"/>
      <c r="O1330" s="13"/>
      <c r="P1330" s="14"/>
      <c r="Q1330" s="15"/>
      <c r="R1330" s="16" t="str">
        <f t="shared" si="122"/>
        <v>GENERAL</v>
      </c>
      <c r="S1330" s="17"/>
      <c r="T1330" s="10" t="str">
        <f t="shared" si="123"/>
        <v>KIT DE PROTECTORES DE CAÑUELA</v>
      </c>
    </row>
    <row r="1331" spans="1:20" ht="27" customHeight="1" x14ac:dyDescent="0.25">
      <c r="A1331" s="8" t="s">
        <v>2512</v>
      </c>
      <c r="B1331" s="9"/>
      <c r="C1331" s="9"/>
      <c r="D1331" s="8" t="s">
        <v>45</v>
      </c>
      <c r="E1331" s="8"/>
      <c r="F1331" s="8" t="s">
        <v>22</v>
      </c>
      <c r="G1331" s="10" t="s">
        <v>3088</v>
      </c>
      <c r="H1331" s="8" t="s">
        <v>3089</v>
      </c>
      <c r="I1331" s="10" t="s">
        <v>3088</v>
      </c>
      <c r="J1331" s="11" t="s">
        <v>33</v>
      </c>
      <c r="K1331" s="18"/>
      <c r="L1331" s="12"/>
      <c r="M1331" s="8">
        <v>1</v>
      </c>
      <c r="N1331" s="8"/>
      <c r="O1331" s="13"/>
      <c r="P1331" s="14"/>
      <c r="Q1331" s="15"/>
      <c r="R1331" s="16" t="str">
        <f t="shared" si="122"/>
        <v>GENERAL</v>
      </c>
      <c r="S1331" s="17"/>
      <c r="T1331" s="10" t="str">
        <f t="shared" si="123"/>
        <v>MEDIDOR DE ENERGÍA DE 2X120V A 15 AMPERIOS.</v>
      </c>
    </row>
    <row r="1332" spans="1:20" ht="27" customHeight="1" x14ac:dyDescent="0.25">
      <c r="A1332" s="8" t="s">
        <v>2512</v>
      </c>
      <c r="B1332" s="9"/>
      <c r="C1332" s="9"/>
      <c r="D1332" s="8" t="s">
        <v>45</v>
      </c>
      <c r="E1332" s="8"/>
      <c r="F1332" s="8" t="s">
        <v>22</v>
      </c>
      <c r="G1332" s="10" t="s">
        <v>3090</v>
      </c>
      <c r="H1332" s="8" t="s">
        <v>3091</v>
      </c>
      <c r="I1332" s="10" t="s">
        <v>3090</v>
      </c>
      <c r="J1332" s="11" t="s">
        <v>33</v>
      </c>
      <c r="K1332" s="18"/>
      <c r="L1332" s="12"/>
      <c r="M1332" s="8">
        <v>1</v>
      </c>
      <c r="N1332" s="8"/>
      <c r="O1332" s="13"/>
      <c r="P1332" s="14"/>
      <c r="Q1332" s="15"/>
      <c r="R1332" s="16" t="str">
        <f t="shared" si="122"/>
        <v>GENERAL</v>
      </c>
      <c r="S1332" s="17"/>
      <c r="T1332" s="10" t="str">
        <f t="shared" si="123"/>
        <v>CAJA MEDIDOS DE ENERGÍA</v>
      </c>
    </row>
    <row r="1333" spans="1:20" ht="27" customHeight="1" x14ac:dyDescent="0.25">
      <c r="A1333" s="8" t="s">
        <v>2512</v>
      </c>
      <c r="B1333" s="9"/>
      <c r="C1333" s="9"/>
      <c r="D1333" s="8" t="s">
        <v>45</v>
      </c>
      <c r="E1333" s="8"/>
      <c r="F1333" s="8" t="s">
        <v>22</v>
      </c>
      <c r="G1333" s="10" t="s">
        <v>3092</v>
      </c>
      <c r="H1333" s="8" t="s">
        <v>3093</v>
      </c>
      <c r="I1333" s="10" t="s">
        <v>3092</v>
      </c>
      <c r="J1333" s="11" t="s">
        <v>33</v>
      </c>
      <c r="K1333" s="18"/>
      <c r="L1333" s="12"/>
      <c r="M1333" s="8">
        <v>1</v>
      </c>
      <c r="N1333" s="8"/>
      <c r="O1333" s="13"/>
      <c r="P1333" s="14"/>
      <c r="Q1333" s="15"/>
      <c r="R1333" s="16" t="str">
        <f t="shared" si="122"/>
        <v>GENERAL</v>
      </c>
      <c r="S1333" s="17"/>
      <c r="T1333" s="10" t="str">
        <f t="shared" si="123"/>
        <v>CAJA SUBTERRÁNEA PARA ACOMETIDAS ELÉCTRICAS</v>
      </c>
    </row>
    <row r="1334" spans="1:20" ht="27" customHeight="1" x14ac:dyDescent="0.25">
      <c r="A1334" s="8" t="s">
        <v>2512</v>
      </c>
      <c r="B1334" s="9"/>
      <c r="C1334" s="9"/>
      <c r="D1334" s="8" t="s">
        <v>45</v>
      </c>
      <c r="E1334" s="8"/>
      <c r="F1334" s="8" t="s">
        <v>22</v>
      </c>
      <c r="G1334" s="10" t="s">
        <v>3094</v>
      </c>
      <c r="H1334" s="8" t="s">
        <v>3095</v>
      </c>
      <c r="I1334" s="10" t="s">
        <v>3094</v>
      </c>
      <c r="J1334" s="11" t="s">
        <v>33</v>
      </c>
      <c r="K1334" s="18"/>
      <c r="L1334" s="12"/>
      <c r="M1334" s="8">
        <v>1</v>
      </c>
      <c r="N1334" s="8"/>
      <c r="O1334" s="13"/>
      <c r="P1334" s="14"/>
      <c r="Q1334" s="15"/>
      <c r="R1334" s="16" t="str">
        <f t="shared" si="122"/>
        <v>GENERAL</v>
      </c>
      <c r="S1334" s="17"/>
      <c r="T1334" s="10" t="str">
        <f t="shared" si="123"/>
        <v>VARILLA DE PUESTA A TIERRA DE 2.44M</v>
      </c>
    </row>
    <row r="1335" spans="1:20" ht="27" customHeight="1" x14ac:dyDescent="0.25">
      <c r="A1335" s="8" t="s">
        <v>2512</v>
      </c>
      <c r="B1335" s="9"/>
      <c r="C1335" s="9"/>
      <c r="D1335" s="8" t="s">
        <v>45</v>
      </c>
      <c r="E1335" s="8"/>
      <c r="F1335" s="8" t="s">
        <v>22</v>
      </c>
      <c r="G1335" s="10" t="s">
        <v>3096</v>
      </c>
      <c r="H1335" s="8" t="s">
        <v>3097</v>
      </c>
      <c r="I1335" s="10" t="s">
        <v>3096</v>
      </c>
      <c r="J1335" s="11" t="s">
        <v>33</v>
      </c>
      <c r="K1335" s="18"/>
      <c r="L1335" s="12"/>
      <c r="M1335" s="8">
        <v>1</v>
      </c>
      <c r="N1335" s="8"/>
      <c r="O1335" s="13"/>
      <c r="P1335" s="14"/>
      <c r="Q1335" s="15"/>
      <c r="R1335" s="16" t="str">
        <f t="shared" si="122"/>
        <v>GENERAL</v>
      </c>
      <c r="S1335" s="17"/>
      <c r="T1335" s="10" t="str">
        <f t="shared" si="123"/>
        <v>SOLDADURA EXOTÉRMICA PARA VARILLA</v>
      </c>
    </row>
    <row r="1336" spans="1:20" ht="27" customHeight="1" x14ac:dyDescent="0.25">
      <c r="A1336" s="8" t="s">
        <v>2512</v>
      </c>
      <c r="B1336" s="9"/>
      <c r="C1336" s="9"/>
      <c r="D1336" s="8" t="s">
        <v>45</v>
      </c>
      <c r="E1336" s="8"/>
      <c r="F1336" s="8" t="s">
        <v>22</v>
      </c>
      <c r="G1336" s="10" t="s">
        <v>3098</v>
      </c>
      <c r="H1336" s="8" t="s">
        <v>3099</v>
      </c>
      <c r="I1336" s="10" t="s">
        <v>3098</v>
      </c>
      <c r="J1336" s="11" t="s">
        <v>33</v>
      </c>
      <c r="K1336" s="18"/>
      <c r="L1336" s="12"/>
      <c r="M1336" s="8">
        <v>1</v>
      </c>
      <c r="N1336" s="8"/>
      <c r="O1336" s="13"/>
      <c r="P1336" s="14"/>
      <c r="Q1336" s="15"/>
      <c r="R1336" s="16" t="str">
        <f t="shared" si="122"/>
        <v>GENERAL</v>
      </c>
      <c r="S1336" s="17"/>
      <c r="T1336" s="10" t="str">
        <f t="shared" si="123"/>
        <v>REGISTRO SUBTERRÁNEO PARA MANTENIMIENTO DE ACOMETIDA A TIERRA</v>
      </c>
    </row>
    <row r="1337" spans="1:20" ht="27" customHeight="1" x14ac:dyDescent="0.25">
      <c r="A1337" s="8" t="s">
        <v>2512</v>
      </c>
      <c r="B1337" s="9"/>
      <c r="C1337" s="9"/>
      <c r="D1337" s="8" t="s">
        <v>45</v>
      </c>
      <c r="E1337" s="8"/>
      <c r="F1337" s="8" t="s">
        <v>22</v>
      </c>
      <c r="G1337" s="10" t="s">
        <v>3100</v>
      </c>
      <c r="H1337" s="8" t="s">
        <v>3101</v>
      </c>
      <c r="I1337" s="10" t="s">
        <v>3100</v>
      </c>
      <c r="J1337" s="11" t="s">
        <v>33</v>
      </c>
      <c r="K1337" s="18">
        <v>2900000</v>
      </c>
      <c r="L1337" s="12">
        <f t="shared" ref="L1337:L1356" si="125">IF(J1337="P",ROUNDUP(K1337/(1-Q1337),-2),K1337*(1+P1337)/(1-Q1337))</f>
        <v>4833400</v>
      </c>
      <c r="M1337" s="8">
        <v>1</v>
      </c>
      <c r="N1337" s="8" t="s">
        <v>27</v>
      </c>
      <c r="O1337" s="13"/>
      <c r="P1337" s="14">
        <v>0</v>
      </c>
      <c r="Q1337" s="15">
        <v>0.4</v>
      </c>
      <c r="R1337" s="16" t="str">
        <f t="shared" si="122"/>
        <v>GENERAL</v>
      </c>
      <c r="S1337" s="17"/>
      <c r="T1337" s="10" t="str">
        <f t="shared" si="123"/>
        <v>POSTE METÁLICO DE 510Kg, POSTADO E HINCADO, NORMA ENEL CODENSA.</v>
      </c>
    </row>
    <row r="1338" spans="1:20" ht="27" customHeight="1" x14ac:dyDescent="0.25">
      <c r="A1338" s="8" t="s">
        <v>2512</v>
      </c>
      <c r="B1338" s="9"/>
      <c r="C1338" s="9"/>
      <c r="D1338" s="8" t="s">
        <v>45</v>
      </c>
      <c r="E1338" s="8"/>
      <c r="F1338" s="8" t="s">
        <v>22</v>
      </c>
      <c r="G1338" s="10" t="s">
        <v>3102</v>
      </c>
      <c r="H1338" s="8" t="s">
        <v>3103</v>
      </c>
      <c r="I1338" s="10" t="s">
        <v>3102</v>
      </c>
      <c r="J1338" s="11" t="s">
        <v>33</v>
      </c>
      <c r="K1338" s="18">
        <v>4800000</v>
      </c>
      <c r="L1338" s="12">
        <f t="shared" si="125"/>
        <v>8000000</v>
      </c>
      <c r="M1338" s="8">
        <v>1</v>
      </c>
      <c r="N1338" s="8" t="s">
        <v>27</v>
      </c>
      <c r="O1338" s="13"/>
      <c r="P1338" s="14">
        <v>0</v>
      </c>
      <c r="Q1338" s="15">
        <v>0.4</v>
      </c>
      <c r="R1338" s="16" t="str">
        <f t="shared" si="122"/>
        <v>GENERAL</v>
      </c>
      <c r="S1338" s="17"/>
      <c r="T1338" s="10" t="str">
        <f t="shared" si="123"/>
        <v>POSTE METÁLICO DE 1050Kg, POSTADO E HINCADO, NORMA ENEL CODENSA.</v>
      </c>
    </row>
    <row r="1339" spans="1:20" ht="27" customHeight="1" x14ac:dyDescent="0.25">
      <c r="A1339" s="8" t="s">
        <v>2512</v>
      </c>
      <c r="B1339" s="9"/>
      <c r="C1339" s="9"/>
      <c r="D1339" s="8" t="s">
        <v>45</v>
      </c>
      <c r="E1339" s="8"/>
      <c r="F1339" s="8" t="s">
        <v>22</v>
      </c>
      <c r="G1339" s="10" t="s">
        <v>3104</v>
      </c>
      <c r="H1339" s="8" t="s">
        <v>3105</v>
      </c>
      <c r="I1339" s="10" t="s">
        <v>3104</v>
      </c>
      <c r="J1339" s="11" t="s">
        <v>33</v>
      </c>
      <c r="K1339" s="18">
        <v>4427542</v>
      </c>
      <c r="L1339" s="12">
        <f t="shared" si="125"/>
        <v>7379300</v>
      </c>
      <c r="M1339" s="8">
        <v>1</v>
      </c>
      <c r="N1339" s="8" t="s">
        <v>27</v>
      </c>
      <c r="O1339" s="13"/>
      <c r="P1339" s="14">
        <v>0</v>
      </c>
      <c r="Q1339" s="15">
        <v>0.4</v>
      </c>
      <c r="R1339" s="16" t="str">
        <f t="shared" si="122"/>
        <v>GENERAL</v>
      </c>
      <c r="S1339" s="17"/>
      <c r="T1339" s="10" t="str">
        <f t="shared" si="123"/>
        <v>POSTE METÁLICO REFERENCIA LAR123 PARA DERIVACIÓN NORMAL.</v>
      </c>
    </row>
    <row r="1340" spans="1:20" ht="27" customHeight="1" x14ac:dyDescent="0.25">
      <c r="A1340" s="8" t="s">
        <v>2512</v>
      </c>
      <c r="B1340" s="9"/>
      <c r="C1340" s="9"/>
      <c r="D1340" s="8" t="s">
        <v>45</v>
      </c>
      <c r="E1340" s="8"/>
      <c r="F1340" s="8" t="s">
        <v>22</v>
      </c>
      <c r="G1340" s="10" t="s">
        <v>3106</v>
      </c>
      <c r="H1340" s="8" t="s">
        <v>3107</v>
      </c>
      <c r="I1340" s="10" t="s">
        <v>3108</v>
      </c>
      <c r="J1340" s="11" t="s">
        <v>33</v>
      </c>
      <c r="K1340" s="18">
        <v>620360</v>
      </c>
      <c r="L1340" s="12">
        <f t="shared" si="125"/>
        <v>1034000</v>
      </c>
      <c r="M1340" s="8">
        <v>1</v>
      </c>
      <c r="N1340" s="8" t="s">
        <v>27</v>
      </c>
      <c r="O1340" s="13"/>
      <c r="P1340" s="14">
        <v>0</v>
      </c>
      <c r="Q1340" s="15">
        <v>0.4</v>
      </c>
      <c r="R1340" s="16" t="str">
        <f t="shared" si="122"/>
        <v>GENERAL</v>
      </c>
      <c r="S1340" s="17"/>
      <c r="T1340" s="10" t="str">
        <f t="shared" si="123"/>
        <v>VESTIDA DE POSTE EXISTENTE, ACCESORIOS PARA FIJACIÓN Y DERIVACIÓN DE LÍNEA.</v>
      </c>
    </row>
    <row r="1341" spans="1:20" ht="27" customHeight="1" x14ac:dyDescent="0.25">
      <c r="A1341" s="8" t="s">
        <v>2512</v>
      </c>
      <c r="B1341" s="9"/>
      <c r="C1341" s="9"/>
      <c r="D1341" s="8" t="s">
        <v>45</v>
      </c>
      <c r="E1341" s="8"/>
      <c r="F1341" s="8" t="s">
        <v>22</v>
      </c>
      <c r="G1341" s="10" t="s">
        <v>3109</v>
      </c>
      <c r="H1341" s="8" t="s">
        <v>3110</v>
      </c>
      <c r="I1341" s="10" t="s">
        <v>3109</v>
      </c>
      <c r="J1341" s="11" t="s">
        <v>33</v>
      </c>
      <c r="K1341" s="18">
        <f>4040000/180</f>
        <v>22444.444444444445</v>
      </c>
      <c r="L1341" s="12">
        <f t="shared" si="125"/>
        <v>37500</v>
      </c>
      <c r="M1341" s="8">
        <v>1</v>
      </c>
      <c r="N1341" s="8" t="s">
        <v>27</v>
      </c>
      <c r="O1341" s="13"/>
      <c r="P1341" s="14">
        <v>0</v>
      </c>
      <c r="Q1341" s="15">
        <v>0.4</v>
      </c>
      <c r="R1341" s="16" t="str">
        <f t="shared" si="122"/>
        <v>GENERAL</v>
      </c>
      <c r="S1341" s="17"/>
      <c r="T1341" s="10" t="str">
        <f t="shared" si="123"/>
        <v>METRO DE CABLE ECOLÓGICO 2X2/0 TENDIDO</v>
      </c>
    </row>
    <row r="1342" spans="1:20" ht="27" customHeight="1" x14ac:dyDescent="0.25">
      <c r="A1342" s="8" t="s">
        <v>2512</v>
      </c>
      <c r="B1342" s="9"/>
      <c r="C1342" s="9"/>
      <c r="D1342" s="8" t="s">
        <v>45</v>
      </c>
      <c r="E1342" s="8"/>
      <c r="F1342" s="8" t="s">
        <v>22</v>
      </c>
      <c r="G1342" s="10" t="s">
        <v>3111</v>
      </c>
      <c r="H1342" s="8" t="s">
        <v>3112</v>
      </c>
      <c r="I1342" s="10" t="s">
        <v>3111</v>
      </c>
      <c r="J1342" s="11" t="s">
        <v>33</v>
      </c>
      <c r="K1342" s="18">
        <v>355000</v>
      </c>
      <c r="L1342" s="12">
        <f t="shared" si="125"/>
        <v>591700</v>
      </c>
      <c r="M1342" s="8">
        <v>1</v>
      </c>
      <c r="N1342" s="8" t="s">
        <v>27</v>
      </c>
      <c r="O1342" s="13"/>
      <c r="P1342" s="14">
        <v>0</v>
      </c>
      <c r="Q1342" s="15">
        <v>0.4</v>
      </c>
      <c r="R1342" s="16" t="str">
        <f t="shared" si="122"/>
        <v>GENERAL</v>
      </c>
      <c r="S1342" s="17"/>
      <c r="T1342" s="10" t="str">
        <f t="shared" si="123"/>
        <v>VARILLA 5/8 CON TUBERÍA GALVANIZADA EN 1/2"</v>
      </c>
    </row>
    <row r="1343" spans="1:20" ht="27" customHeight="1" x14ac:dyDescent="0.25">
      <c r="A1343" s="8" t="s">
        <v>2512</v>
      </c>
      <c r="B1343" s="9"/>
      <c r="C1343" s="9"/>
      <c r="D1343" s="8" t="s">
        <v>45</v>
      </c>
      <c r="E1343" s="8"/>
      <c r="F1343" s="8" t="s">
        <v>22</v>
      </c>
      <c r="G1343" s="10" t="s">
        <v>3113</v>
      </c>
      <c r="H1343" s="8" t="s">
        <v>3114</v>
      </c>
      <c r="I1343" s="10" t="s">
        <v>3115</v>
      </c>
      <c r="J1343" s="11" t="s">
        <v>33</v>
      </c>
      <c r="K1343" s="18">
        <v>1090000</v>
      </c>
      <c r="L1343" s="12">
        <f t="shared" si="125"/>
        <v>1816700</v>
      </c>
      <c r="M1343" s="8">
        <v>1</v>
      </c>
      <c r="N1343" s="8" t="s">
        <v>27</v>
      </c>
      <c r="O1343" s="13"/>
      <c r="P1343" s="14">
        <v>0</v>
      </c>
      <c r="Q1343" s="15">
        <v>0.4</v>
      </c>
      <c r="R1343" s="16" t="str">
        <f t="shared" si="122"/>
        <v>GENERAL</v>
      </c>
      <c r="S1343" s="17"/>
      <c r="T1343" s="10" t="str">
        <f t="shared" si="123"/>
        <v>CAJA DE DERIVACIÓN DE 60X60 EN MOCHETA PARA MEDIDOR DE CORRIENTE.</v>
      </c>
    </row>
    <row r="1344" spans="1:20" ht="27" customHeight="1" x14ac:dyDescent="0.25">
      <c r="A1344" s="8" t="s">
        <v>2512</v>
      </c>
      <c r="B1344" s="9"/>
      <c r="C1344" s="9"/>
      <c r="D1344" s="8" t="s">
        <v>45</v>
      </c>
      <c r="E1344" s="8"/>
      <c r="F1344" s="8" t="s">
        <v>22</v>
      </c>
      <c r="G1344" s="10" t="s">
        <v>3116</v>
      </c>
      <c r="H1344" s="8" t="s">
        <v>3117</v>
      </c>
      <c r="I1344" s="10" t="s">
        <v>3116</v>
      </c>
      <c r="J1344" s="11" t="s">
        <v>33</v>
      </c>
      <c r="K1344" s="18">
        <v>140000</v>
      </c>
      <c r="L1344" s="12">
        <f t="shared" si="125"/>
        <v>233400</v>
      </c>
      <c r="M1344" s="8">
        <v>1</v>
      </c>
      <c r="N1344" s="8" t="s">
        <v>27</v>
      </c>
      <c r="O1344" s="13"/>
      <c r="P1344" s="14">
        <v>0</v>
      </c>
      <c r="Q1344" s="15">
        <v>0.4</v>
      </c>
      <c r="R1344" s="16" t="str">
        <f t="shared" si="122"/>
        <v>GENERAL</v>
      </c>
      <c r="S1344" s="17"/>
      <c r="T1344" s="10" t="str">
        <f t="shared" si="123"/>
        <v>VARILLA DE PUESTA A TIERRA DE 2.44M EN CALIBRE 8</v>
      </c>
    </row>
    <row r="1345" spans="1:20" ht="27" customHeight="1" x14ac:dyDescent="0.25">
      <c r="A1345" s="8" t="s">
        <v>2512</v>
      </c>
      <c r="B1345" s="9"/>
      <c r="C1345" s="9"/>
      <c r="D1345" s="8" t="s">
        <v>45</v>
      </c>
      <c r="E1345" s="8"/>
      <c r="F1345" s="8" t="s">
        <v>22</v>
      </c>
      <c r="G1345" s="10" t="s">
        <v>3118</v>
      </c>
      <c r="H1345" s="8" t="s">
        <v>3119</v>
      </c>
      <c r="I1345" s="10" t="s">
        <v>3120</v>
      </c>
      <c r="J1345" s="11" t="s">
        <v>33</v>
      </c>
      <c r="K1345" s="18">
        <v>7080000</v>
      </c>
      <c r="L1345" s="12">
        <f t="shared" si="125"/>
        <v>11800000</v>
      </c>
      <c r="M1345" s="8">
        <v>1</v>
      </c>
      <c r="N1345" s="8" t="s">
        <v>27</v>
      </c>
      <c r="O1345" s="13"/>
      <c r="P1345" s="14">
        <v>0</v>
      </c>
      <c r="Q1345" s="15">
        <v>0.4</v>
      </c>
      <c r="R1345" s="16" t="str">
        <f t="shared" ref="R1345:R1408" si="126">A1345</f>
        <v>GENERAL</v>
      </c>
      <c r="S1345" s="17"/>
      <c r="T1345" s="10" t="str">
        <f t="shared" si="123"/>
        <v>CANALIZACIÓN EN DOS DUCTOS DE PVC DE 2" PARA ACOMETIDAS Y SALIDAS DE BAJA.</v>
      </c>
    </row>
    <row r="1346" spans="1:20" ht="27" customHeight="1" x14ac:dyDescent="0.25">
      <c r="A1346" s="8" t="s">
        <v>2512</v>
      </c>
      <c r="B1346" s="9"/>
      <c r="C1346" s="9"/>
      <c r="D1346" s="8" t="s">
        <v>45</v>
      </c>
      <c r="E1346" s="8"/>
      <c r="F1346" s="8" t="s">
        <v>22</v>
      </c>
      <c r="G1346" s="10" t="s">
        <v>3121</v>
      </c>
      <c r="H1346" s="8" t="s">
        <v>3122</v>
      </c>
      <c r="I1346" s="10" t="s">
        <v>3121</v>
      </c>
      <c r="J1346" s="11" t="s">
        <v>33</v>
      </c>
      <c r="K1346" s="18">
        <v>4285000</v>
      </c>
      <c r="L1346" s="12">
        <f t="shared" si="125"/>
        <v>7141700</v>
      </c>
      <c r="M1346" s="8">
        <v>1</v>
      </c>
      <c r="N1346" s="8" t="s">
        <v>27</v>
      </c>
      <c r="O1346" s="13"/>
      <c r="P1346" s="14">
        <v>0</v>
      </c>
      <c r="Q1346" s="15">
        <v>0.4</v>
      </c>
      <c r="R1346" s="16" t="str">
        <f t="shared" si="126"/>
        <v>GENERAL</v>
      </c>
      <c r="S1346" s="17"/>
      <c r="T1346" s="10" t="str">
        <f t="shared" si="123"/>
        <v>ACOMETIDA PARCIAL CON CUATRO CABLES #2 MAS CABLE NUMERO 8 EN TIERRA.</v>
      </c>
    </row>
    <row r="1347" spans="1:20" ht="27" customHeight="1" x14ac:dyDescent="0.25">
      <c r="A1347" s="8" t="s">
        <v>2512</v>
      </c>
      <c r="B1347" s="9"/>
      <c r="C1347" s="9"/>
      <c r="D1347" s="8" t="s">
        <v>45</v>
      </c>
      <c r="E1347" s="8"/>
      <c r="F1347" s="8" t="s">
        <v>22</v>
      </c>
      <c r="G1347" s="10" t="s">
        <v>3123</v>
      </c>
      <c r="H1347" s="8" t="s">
        <v>3124</v>
      </c>
      <c r="I1347" s="10" t="s">
        <v>3123</v>
      </c>
      <c r="J1347" s="11" t="s">
        <v>33</v>
      </c>
      <c r="K1347" s="18">
        <v>150000</v>
      </c>
      <c r="L1347" s="12">
        <f t="shared" si="125"/>
        <v>250000</v>
      </c>
      <c r="M1347" s="8">
        <v>1</v>
      </c>
      <c r="N1347" s="8" t="s">
        <v>27</v>
      </c>
      <c r="O1347" s="13" t="s">
        <v>588</v>
      </c>
      <c r="P1347" s="14">
        <v>0</v>
      </c>
      <c r="Q1347" s="15">
        <v>0.4</v>
      </c>
      <c r="R1347" s="16" t="str">
        <f t="shared" si="126"/>
        <v>GENERAL</v>
      </c>
      <c r="S1347" s="17"/>
      <c r="T1347" s="10" t="str">
        <f t="shared" si="123"/>
        <v>TEMPLETE DE SUJECIÓN INSTALADO EN POSTE</v>
      </c>
    </row>
    <row r="1348" spans="1:20" ht="27" customHeight="1" x14ac:dyDescent="0.25">
      <c r="A1348" s="8" t="s">
        <v>2512</v>
      </c>
      <c r="B1348" s="9"/>
      <c r="C1348" s="9"/>
      <c r="D1348" s="8" t="s">
        <v>45</v>
      </c>
      <c r="E1348" s="8"/>
      <c r="F1348" s="8" t="s">
        <v>22</v>
      </c>
      <c r="G1348" s="10" t="s">
        <v>3125</v>
      </c>
      <c r="H1348" s="8" t="s">
        <v>3126</v>
      </c>
      <c r="I1348" s="10" t="s">
        <v>3127</v>
      </c>
      <c r="J1348" s="11" t="s">
        <v>33</v>
      </c>
      <c r="K1348" s="18">
        <v>313000</v>
      </c>
      <c r="L1348" s="12">
        <f t="shared" si="125"/>
        <v>521700</v>
      </c>
      <c r="M1348" s="8">
        <v>1</v>
      </c>
      <c r="N1348" s="8" t="s">
        <v>27</v>
      </c>
      <c r="O1348" s="13" t="s">
        <v>588</v>
      </c>
      <c r="P1348" s="14">
        <v>0</v>
      </c>
      <c r="Q1348" s="15">
        <v>0.4</v>
      </c>
      <c r="R1348" s="16" t="str">
        <f t="shared" si="126"/>
        <v>GENERAL</v>
      </c>
      <c r="S1348" s="17"/>
      <c r="T1348" s="10" t="str">
        <f t="shared" si="123"/>
        <v>PUESTA A TIERRA PARA ATERRIZAJE EN CABLE #8, TUBERÍA EMT Y CAJA 30x30.</v>
      </c>
    </row>
    <row r="1349" spans="1:20" ht="27" customHeight="1" x14ac:dyDescent="0.25">
      <c r="A1349" s="8" t="s">
        <v>2512</v>
      </c>
      <c r="B1349" s="9"/>
      <c r="C1349" s="9"/>
      <c r="D1349" s="8" t="s">
        <v>45</v>
      </c>
      <c r="E1349" s="8"/>
      <c r="F1349" s="8" t="s">
        <v>22</v>
      </c>
      <c r="G1349" s="10" t="s">
        <v>3128</v>
      </c>
      <c r="H1349" s="8" t="s">
        <v>3129</v>
      </c>
      <c r="I1349" s="10" t="s">
        <v>3130</v>
      </c>
      <c r="J1349" s="11" t="s">
        <v>33</v>
      </c>
      <c r="K1349" s="18">
        <v>355000</v>
      </c>
      <c r="L1349" s="12">
        <f t="shared" si="125"/>
        <v>591700</v>
      </c>
      <c r="M1349" s="8">
        <v>1</v>
      </c>
      <c r="N1349" s="8" t="s">
        <v>27</v>
      </c>
      <c r="O1349" s="13" t="s">
        <v>588</v>
      </c>
      <c r="P1349" s="14">
        <v>0</v>
      </c>
      <c r="Q1349" s="15">
        <v>0.4</v>
      </c>
      <c r="R1349" s="16" t="str">
        <f t="shared" si="126"/>
        <v>GENERAL</v>
      </c>
      <c r="S1349" s="17"/>
      <c r="T1349" s="10" t="str">
        <f t="shared" si="123"/>
        <v>PUESTA A TIERRA PARA ATERRIZAJE DE TRANSFORMADOR EN CABLE #2, TUBERÍA 1/2".</v>
      </c>
    </row>
    <row r="1350" spans="1:20" ht="27" customHeight="1" x14ac:dyDescent="0.25">
      <c r="A1350" s="8" t="s">
        <v>2512</v>
      </c>
      <c r="B1350" s="9"/>
      <c r="C1350" s="9"/>
      <c r="D1350" s="8" t="s">
        <v>45</v>
      </c>
      <c r="E1350" s="8"/>
      <c r="F1350" s="8" t="s">
        <v>22</v>
      </c>
      <c r="G1350" s="10" t="s">
        <v>3131</v>
      </c>
      <c r="H1350" s="8" t="s">
        <v>3132</v>
      </c>
      <c r="I1350" s="10" t="s">
        <v>3133</v>
      </c>
      <c r="J1350" s="11" t="s">
        <v>33</v>
      </c>
      <c r="K1350" s="18">
        <v>298400</v>
      </c>
      <c r="L1350" s="12">
        <f t="shared" si="125"/>
        <v>497400</v>
      </c>
      <c r="M1350" s="8">
        <v>1</v>
      </c>
      <c r="N1350" s="8" t="s">
        <v>27</v>
      </c>
      <c r="O1350" s="13" t="s">
        <v>588</v>
      </c>
      <c r="P1350" s="14">
        <v>0</v>
      </c>
      <c r="Q1350" s="15">
        <v>0.4</v>
      </c>
      <c r="R1350" s="16" t="str">
        <f t="shared" si="126"/>
        <v>GENERAL</v>
      </c>
      <c r="S1350" s="17"/>
      <c r="T1350" s="10" t="str">
        <f t="shared" si="123"/>
        <v>PUESTA A TIERRA PARA ATERRIZAJE DE MEDIDOR EN CABLE #8, VARILLA DE COBRE 5/8.</v>
      </c>
    </row>
    <row r="1351" spans="1:20" ht="27" customHeight="1" x14ac:dyDescent="0.25">
      <c r="A1351" s="8" t="s">
        <v>2512</v>
      </c>
      <c r="B1351" s="9"/>
      <c r="C1351" s="9"/>
      <c r="D1351" s="8" t="s">
        <v>45</v>
      </c>
      <c r="E1351" s="8"/>
      <c r="F1351" s="8" t="s">
        <v>22</v>
      </c>
      <c r="G1351" s="10" t="s">
        <v>3134</v>
      </c>
      <c r="H1351" s="8" t="s">
        <v>3119</v>
      </c>
      <c r="I1351" s="10" t="s">
        <v>3135</v>
      </c>
      <c r="J1351" s="11" t="s">
        <v>33</v>
      </c>
      <c r="K1351" s="18">
        <v>1542000</v>
      </c>
      <c r="L1351" s="12">
        <f t="shared" si="125"/>
        <v>2570000</v>
      </c>
      <c r="M1351" s="8">
        <v>1</v>
      </c>
      <c r="N1351" s="8" t="s">
        <v>27</v>
      </c>
      <c r="O1351" s="13"/>
      <c r="P1351" s="14">
        <v>0</v>
      </c>
      <c r="Q1351" s="15">
        <v>0.4</v>
      </c>
      <c r="R1351" s="16" t="str">
        <f t="shared" si="126"/>
        <v>GENERAL</v>
      </c>
      <c r="S1351" s="17"/>
      <c r="T1351" s="10" t="str">
        <f t="shared" si="123"/>
        <v>CANALIZACIÓN EN DOS DUCTOS DE PVC DE 1.5" PARA ACOMETIDAS Y SALIDAS DE BAJA.</v>
      </c>
    </row>
    <row r="1352" spans="1:20" ht="27" customHeight="1" x14ac:dyDescent="0.25">
      <c r="A1352" s="8" t="s">
        <v>2512</v>
      </c>
      <c r="B1352" s="9"/>
      <c r="C1352" s="9"/>
      <c r="D1352" s="8" t="s">
        <v>45</v>
      </c>
      <c r="E1352" s="8"/>
      <c r="F1352" s="8" t="s">
        <v>22</v>
      </c>
      <c r="G1352" s="10" t="s">
        <v>3136</v>
      </c>
      <c r="H1352" s="8" t="s">
        <v>3137</v>
      </c>
      <c r="I1352" s="10" t="s">
        <v>3138</v>
      </c>
      <c r="J1352" s="11" t="s">
        <v>33</v>
      </c>
      <c r="K1352" s="18">
        <v>2347600</v>
      </c>
      <c r="L1352" s="12">
        <f t="shared" si="125"/>
        <v>3912700</v>
      </c>
      <c r="M1352" s="8">
        <v>1</v>
      </c>
      <c r="N1352" s="8" t="s">
        <v>27</v>
      </c>
      <c r="O1352" s="13"/>
      <c r="P1352" s="14">
        <v>0</v>
      </c>
      <c r="Q1352" s="15">
        <v>0.4</v>
      </c>
      <c r="R1352" s="16" t="str">
        <f t="shared" si="126"/>
        <v>GENERAL</v>
      </c>
      <c r="S1352" s="17"/>
      <c r="T1352" s="10" t="str">
        <f t="shared" si="123"/>
        <v>ACOMETIDA PARCIAL CON CUATRO CABLES #2 MAS CABLE NUMERO 4 PARA TIERRA.</v>
      </c>
    </row>
    <row r="1353" spans="1:20" ht="27" customHeight="1" x14ac:dyDescent="0.25">
      <c r="A1353" s="8" t="s">
        <v>2512</v>
      </c>
      <c r="B1353" s="9"/>
      <c r="C1353" s="9"/>
      <c r="D1353" s="8" t="s">
        <v>45</v>
      </c>
      <c r="E1353" s="8"/>
      <c r="F1353" s="8" t="s">
        <v>22</v>
      </c>
      <c r="G1353" s="10" t="s">
        <v>3136</v>
      </c>
      <c r="H1353" s="8" t="s">
        <v>3139</v>
      </c>
      <c r="I1353" s="10" t="s">
        <v>3140</v>
      </c>
      <c r="J1353" s="11" t="s">
        <v>33</v>
      </c>
      <c r="K1353" s="18">
        <v>2347600</v>
      </c>
      <c r="L1353" s="12">
        <f t="shared" si="125"/>
        <v>3912700</v>
      </c>
      <c r="M1353" s="8">
        <v>1</v>
      </c>
      <c r="N1353" s="8" t="s">
        <v>27</v>
      </c>
      <c r="O1353" s="13"/>
      <c r="P1353" s="14">
        <v>0</v>
      </c>
      <c r="Q1353" s="15">
        <v>0.4</v>
      </c>
      <c r="R1353" s="16" t="str">
        <f t="shared" si="126"/>
        <v>GENERAL</v>
      </c>
      <c r="S1353" s="17"/>
      <c r="T1353" s="10" t="str">
        <f t="shared" si="123"/>
        <v>ACOMETIDA PARCIAL CON CUATRO CABLES #2 MAS CABLE NUMERO 4 PARA TIERRA.</v>
      </c>
    </row>
    <row r="1354" spans="1:20" ht="27" customHeight="1" x14ac:dyDescent="0.25">
      <c r="A1354" s="8" t="s">
        <v>2512</v>
      </c>
      <c r="B1354" s="9"/>
      <c r="C1354" s="9"/>
      <c r="D1354" s="8" t="s">
        <v>45</v>
      </c>
      <c r="E1354" s="8"/>
      <c r="F1354" s="8" t="s">
        <v>22</v>
      </c>
      <c r="G1354" s="10" t="s">
        <v>3141</v>
      </c>
      <c r="H1354" s="8" t="s">
        <v>3142</v>
      </c>
      <c r="I1354" s="10" t="s">
        <v>3141</v>
      </c>
      <c r="J1354" s="11" t="s">
        <v>33</v>
      </c>
      <c r="K1354" s="18">
        <v>8900</v>
      </c>
      <c r="L1354" s="12">
        <f t="shared" si="125"/>
        <v>12800</v>
      </c>
      <c r="M1354" s="8">
        <v>1</v>
      </c>
      <c r="N1354" s="8" t="s">
        <v>27</v>
      </c>
      <c r="O1354" s="13"/>
      <c r="P1354" s="14">
        <v>0</v>
      </c>
      <c r="Q1354" s="15">
        <v>0.3</v>
      </c>
      <c r="R1354" s="16" t="str">
        <f t="shared" si="126"/>
        <v>GENERAL</v>
      </c>
      <c r="S1354" s="17"/>
      <c r="T1354" s="10" t="str">
        <f t="shared" si="123"/>
        <v>INTERRUPTOR PEQUEÑO DE SOLDAR NEGRO PARA 2 AMPERIOS</v>
      </c>
    </row>
    <row r="1355" spans="1:20" ht="27" customHeight="1" x14ac:dyDescent="0.25">
      <c r="A1355" s="8" t="s">
        <v>2512</v>
      </c>
      <c r="B1355" s="9"/>
      <c r="C1355" s="9"/>
      <c r="D1355" s="8" t="s">
        <v>45</v>
      </c>
      <c r="E1355" s="8"/>
      <c r="F1355" s="8" t="s">
        <v>22</v>
      </c>
      <c r="G1355" s="10" t="s">
        <v>3143</v>
      </c>
      <c r="H1355" s="8" t="s">
        <v>3144</v>
      </c>
      <c r="I1355" s="10" t="s">
        <v>3143</v>
      </c>
      <c r="J1355" s="11" t="s">
        <v>33</v>
      </c>
      <c r="K1355" s="18">
        <v>30000</v>
      </c>
      <c r="L1355" s="12">
        <f t="shared" si="125"/>
        <v>42900</v>
      </c>
      <c r="M1355" s="8">
        <v>1</v>
      </c>
      <c r="N1355" s="8" t="s">
        <v>27</v>
      </c>
      <c r="O1355" s="13"/>
      <c r="P1355" s="14">
        <v>0</v>
      </c>
      <c r="Q1355" s="15">
        <v>0.3</v>
      </c>
      <c r="R1355" s="16" t="str">
        <f t="shared" si="126"/>
        <v>GENERAL</v>
      </c>
      <c r="S1355" s="17"/>
      <c r="T1355" s="10" t="str">
        <f t="shared" si="123"/>
        <v>REPARACIÓN DE FUENTE</v>
      </c>
    </row>
    <row r="1356" spans="1:20" ht="27" customHeight="1" x14ac:dyDescent="0.25">
      <c r="A1356" s="8" t="s">
        <v>2512</v>
      </c>
      <c r="B1356" s="9"/>
      <c r="C1356" s="9"/>
      <c r="D1356" s="8" t="s">
        <v>45</v>
      </c>
      <c r="E1356" s="8"/>
      <c r="F1356" s="8" t="s">
        <v>22</v>
      </c>
      <c r="G1356" s="10" t="s">
        <v>3145</v>
      </c>
      <c r="H1356" s="8" t="s">
        <v>3146</v>
      </c>
      <c r="I1356" s="10" t="s">
        <v>3145</v>
      </c>
      <c r="J1356" s="11" t="s">
        <v>33</v>
      </c>
      <c r="K1356" s="18">
        <v>270000</v>
      </c>
      <c r="L1356" s="12">
        <f t="shared" si="125"/>
        <v>385800</v>
      </c>
      <c r="M1356" s="8">
        <v>1</v>
      </c>
      <c r="N1356" s="8" t="s">
        <v>27</v>
      </c>
      <c r="O1356" s="13"/>
      <c r="P1356" s="14">
        <v>0</v>
      </c>
      <c r="Q1356" s="15">
        <v>0.3</v>
      </c>
      <c r="R1356" s="16" t="str">
        <f t="shared" si="126"/>
        <v>GENERAL</v>
      </c>
      <c r="S1356" s="17"/>
      <c r="T1356" s="10" t="str">
        <f t="shared" si="123"/>
        <v>GROMMET COMPACTO EN COLOR NEGRO CON PUERTO HDMI, VGA, USB Y TOMA CORRIENTE</v>
      </c>
    </row>
    <row r="1357" spans="1:20" ht="27" customHeight="1" x14ac:dyDescent="0.25">
      <c r="A1357" s="8" t="s">
        <v>2512</v>
      </c>
      <c r="B1357" s="9"/>
      <c r="C1357" s="9"/>
      <c r="D1357" s="8" t="s">
        <v>45</v>
      </c>
      <c r="E1357" s="8"/>
      <c r="F1357" s="8" t="s">
        <v>22</v>
      </c>
      <c r="G1357" s="10" t="s">
        <v>3147</v>
      </c>
      <c r="H1357" s="8" t="s">
        <v>3148</v>
      </c>
      <c r="I1357" s="10" t="s">
        <v>3147</v>
      </c>
      <c r="J1357" s="11" t="s">
        <v>33</v>
      </c>
      <c r="K1357" s="18">
        <v>15000</v>
      </c>
      <c r="L1357" s="12">
        <f>ROUNDUP(K1357*(1+P1357)/(1-Q1357),0)</f>
        <v>25000</v>
      </c>
      <c r="M1357" s="8">
        <v>1</v>
      </c>
      <c r="N1357" s="8" t="s">
        <v>27</v>
      </c>
      <c r="O1357" s="13"/>
      <c r="P1357" s="14">
        <v>0</v>
      </c>
      <c r="Q1357" s="15">
        <v>0.4</v>
      </c>
      <c r="R1357" s="16" t="str">
        <f t="shared" si="126"/>
        <v>GENERAL</v>
      </c>
      <c r="S1357" s="17"/>
      <c r="T1357" s="10" t="str">
        <f t="shared" si="123"/>
        <v>PROTECTOR DE PICOS DE 10 AMPERIOS</v>
      </c>
    </row>
    <row r="1358" spans="1:20" ht="27" customHeight="1" x14ac:dyDescent="0.25">
      <c r="A1358" s="8" t="s">
        <v>2512</v>
      </c>
      <c r="B1358" s="9"/>
      <c r="C1358" s="9"/>
      <c r="D1358" s="8" t="s">
        <v>45</v>
      </c>
      <c r="E1358" s="8"/>
      <c r="F1358" s="8" t="s">
        <v>22</v>
      </c>
      <c r="G1358" s="10" t="s">
        <v>3149</v>
      </c>
      <c r="H1358" s="8" t="s">
        <v>3150</v>
      </c>
      <c r="I1358" s="10" t="s">
        <v>3149</v>
      </c>
      <c r="J1358" s="11" t="s">
        <v>33</v>
      </c>
      <c r="K1358" s="18">
        <v>18000</v>
      </c>
      <c r="L1358" s="12">
        <f>ROUNDUP(K1358*(1+P1358)/(1-Q1358),0)</f>
        <v>36000</v>
      </c>
      <c r="M1358" s="8">
        <v>1</v>
      </c>
      <c r="N1358" s="8" t="s">
        <v>27</v>
      </c>
      <c r="O1358" s="13"/>
      <c r="P1358" s="14">
        <v>0</v>
      </c>
      <c r="Q1358" s="15">
        <v>0.5</v>
      </c>
      <c r="R1358" s="16" t="str">
        <f t="shared" si="126"/>
        <v>GENERAL</v>
      </c>
      <c r="S1358" s="17"/>
      <c r="T1358" s="10" t="str">
        <f t="shared" si="123"/>
        <v>INTERRUPTOR AUTOMÁTICO PARA PUERTA</v>
      </c>
    </row>
    <row r="1359" spans="1:20" ht="27" customHeight="1" x14ac:dyDescent="0.25">
      <c r="A1359" s="8" t="s">
        <v>2512</v>
      </c>
      <c r="B1359" s="9"/>
      <c r="C1359" s="9"/>
      <c r="D1359" s="8" t="s">
        <v>45</v>
      </c>
      <c r="E1359" s="8"/>
      <c r="F1359" s="8" t="s">
        <v>22</v>
      </c>
      <c r="G1359" s="10" t="s">
        <v>3151</v>
      </c>
      <c r="H1359" s="8" t="s">
        <v>3152</v>
      </c>
      <c r="I1359" s="10" t="s">
        <v>3151</v>
      </c>
      <c r="J1359" s="11" t="s">
        <v>33</v>
      </c>
      <c r="K1359" s="18">
        <v>800</v>
      </c>
      <c r="L1359" s="12">
        <f>ROUNDUP(K1359*(1+P1359)/(1-Q1359),0)</f>
        <v>1600</v>
      </c>
      <c r="M1359" s="8">
        <v>1</v>
      </c>
      <c r="N1359" s="8" t="s">
        <v>27</v>
      </c>
      <c r="O1359" s="13"/>
      <c r="P1359" s="14">
        <v>0</v>
      </c>
      <c r="Q1359" s="15">
        <v>0.5</v>
      </c>
      <c r="R1359" s="16" t="str">
        <f t="shared" si="126"/>
        <v>GENERAL</v>
      </c>
      <c r="S1359" s="17"/>
      <c r="T1359" s="10" t="str">
        <f t="shared" si="123"/>
        <v>SOCKET PARA ILUMINACION BIPIN</v>
      </c>
    </row>
    <row r="1360" spans="1:20" ht="27" customHeight="1" x14ac:dyDescent="0.25">
      <c r="A1360" s="8" t="s">
        <v>2512</v>
      </c>
      <c r="B1360" s="9"/>
      <c r="C1360" s="9"/>
      <c r="D1360" s="8" t="s">
        <v>45</v>
      </c>
      <c r="E1360" s="8"/>
      <c r="F1360" s="8" t="s">
        <v>22</v>
      </c>
      <c r="G1360" s="10" t="s">
        <v>3153</v>
      </c>
      <c r="H1360" s="8" t="s">
        <v>3154</v>
      </c>
      <c r="I1360" s="10" t="s">
        <v>3153</v>
      </c>
      <c r="J1360" s="11" t="s">
        <v>26</v>
      </c>
      <c r="K1360" s="18">
        <v>10</v>
      </c>
      <c r="L1360" s="12">
        <f>ROUNDUP(K1360*(1+P1360)/(1-Q1360),0)</f>
        <v>20</v>
      </c>
      <c r="M1360" s="8">
        <v>1</v>
      </c>
      <c r="N1360" s="8" t="s">
        <v>27</v>
      </c>
      <c r="O1360" s="13"/>
      <c r="P1360" s="14">
        <v>0</v>
      </c>
      <c r="Q1360" s="15">
        <v>0.5</v>
      </c>
      <c r="R1360" s="16" t="str">
        <f t="shared" si="126"/>
        <v>GENERAL</v>
      </c>
      <c r="S1360" s="17"/>
      <c r="T1360" s="10" t="str">
        <f t="shared" si="123"/>
        <v>DIMMER DE ROTACIÓN</v>
      </c>
    </row>
    <row r="1361" spans="1:20" ht="27" customHeight="1" x14ac:dyDescent="0.25">
      <c r="A1361" s="8" t="s">
        <v>2512</v>
      </c>
      <c r="B1361" s="9"/>
      <c r="C1361" s="9"/>
      <c r="D1361" s="8" t="s">
        <v>45</v>
      </c>
      <c r="E1361" s="8"/>
      <c r="F1361" s="8" t="s">
        <v>22</v>
      </c>
      <c r="G1361" s="10" t="s">
        <v>3155</v>
      </c>
      <c r="H1361" s="8" t="s">
        <v>3156</v>
      </c>
      <c r="I1361" s="10" t="s">
        <v>3155</v>
      </c>
      <c r="J1361" s="11" t="s">
        <v>33</v>
      </c>
      <c r="K1361" s="18">
        <v>420</v>
      </c>
      <c r="L1361" s="12">
        <f>IF(J1361="P",ROUNDUP(K1361/(1-Q1361),-2),K1361*(1+P1361)/(1-Q1361))</f>
        <v>900</v>
      </c>
      <c r="M1361" s="8">
        <v>1</v>
      </c>
      <c r="N1361" s="8" t="s">
        <v>27</v>
      </c>
      <c r="O1361" s="13"/>
      <c r="P1361" s="14">
        <v>0</v>
      </c>
      <c r="Q1361" s="15">
        <v>0.5</v>
      </c>
      <c r="R1361" s="16" t="str">
        <f t="shared" si="126"/>
        <v>GENERAL</v>
      </c>
      <c r="S1361" s="17"/>
      <c r="T1361" s="10" t="str">
        <f t="shared" si="123"/>
        <v>CONECTOR BIPIN PARA CINTA LED</v>
      </c>
    </row>
    <row r="1362" spans="1:20" ht="27" customHeight="1" x14ac:dyDescent="0.25">
      <c r="A1362" s="8" t="s">
        <v>2512</v>
      </c>
      <c r="B1362" s="9"/>
      <c r="C1362" s="9"/>
      <c r="D1362" s="8"/>
      <c r="E1362" s="8"/>
      <c r="F1362" s="8" t="s">
        <v>22</v>
      </c>
      <c r="G1362" s="10" t="s">
        <v>3157</v>
      </c>
      <c r="H1362" s="8" t="s">
        <v>3158</v>
      </c>
      <c r="I1362" s="10" t="s">
        <v>3157</v>
      </c>
      <c r="J1362" s="11" t="s">
        <v>33</v>
      </c>
      <c r="K1362" s="18">
        <v>300</v>
      </c>
      <c r="L1362" s="12">
        <f>IF(J1362="P",ROUNDUP(K1362/(1-Q1362),-2),K1362*(1+P1362)/(1-Q1362))</f>
        <v>500</v>
      </c>
      <c r="M1362" s="8">
        <v>1</v>
      </c>
      <c r="N1362" s="8" t="s">
        <v>27</v>
      </c>
      <c r="O1362" s="13"/>
      <c r="P1362" s="14">
        <v>0</v>
      </c>
      <c r="Q1362" s="15">
        <v>0.4</v>
      </c>
      <c r="R1362" s="16" t="str">
        <f t="shared" si="126"/>
        <v>GENERAL</v>
      </c>
      <c r="S1362" s="17"/>
      <c r="T1362" s="10" t="str">
        <f t="shared" si="123"/>
        <v>TERMINAL ESTAÑADA AWG12</v>
      </c>
    </row>
    <row r="1363" spans="1:20" ht="27" customHeight="1" x14ac:dyDescent="0.25">
      <c r="A1363" s="8" t="s">
        <v>2512</v>
      </c>
      <c r="B1363" s="9"/>
      <c r="C1363" s="9"/>
      <c r="D1363" s="8"/>
      <c r="E1363" s="8"/>
      <c r="F1363" s="8" t="s">
        <v>22</v>
      </c>
      <c r="G1363" s="10" t="s">
        <v>3159</v>
      </c>
      <c r="H1363" s="8" t="s">
        <v>3160</v>
      </c>
      <c r="I1363" s="10" t="s">
        <v>3159</v>
      </c>
      <c r="J1363" s="11" t="s">
        <v>33</v>
      </c>
      <c r="K1363" s="18">
        <v>200</v>
      </c>
      <c r="L1363" s="12">
        <f t="shared" ref="L1363:L1389" si="127">ROUNDUP(K1363*(1+P1363)/(1-Q1363),0)</f>
        <v>343</v>
      </c>
      <c r="M1363" s="8">
        <v>1</v>
      </c>
      <c r="N1363" s="8" t="s">
        <v>27</v>
      </c>
      <c r="O1363" s="13"/>
      <c r="P1363" s="14">
        <v>0.2</v>
      </c>
      <c r="Q1363" s="15">
        <v>0.3</v>
      </c>
      <c r="R1363" s="16" t="str">
        <f t="shared" si="126"/>
        <v>GENERAL</v>
      </c>
      <c r="S1363" s="17"/>
      <c r="T1363" s="10" t="str">
        <f t="shared" si="123"/>
        <v>TERMINAL ESTAÑADA AWG10</v>
      </c>
    </row>
    <row r="1364" spans="1:20" ht="27" customHeight="1" x14ac:dyDescent="0.25">
      <c r="A1364" s="8" t="s">
        <v>2512</v>
      </c>
      <c r="B1364" s="9"/>
      <c r="C1364" s="9"/>
      <c r="D1364" s="8" t="s">
        <v>45</v>
      </c>
      <c r="E1364" s="8"/>
      <c r="F1364" s="8" t="s">
        <v>22</v>
      </c>
      <c r="G1364" s="10" t="s">
        <v>3161</v>
      </c>
      <c r="H1364" s="8" t="s">
        <v>3162</v>
      </c>
      <c r="I1364" s="10" t="s">
        <v>3161</v>
      </c>
      <c r="J1364" s="11" t="s">
        <v>33</v>
      </c>
      <c r="K1364" s="18">
        <v>3802</v>
      </c>
      <c r="L1364" s="12">
        <f t="shared" si="127"/>
        <v>6518</v>
      </c>
      <c r="M1364" s="8">
        <v>1</v>
      </c>
      <c r="N1364" s="8" t="s">
        <v>27</v>
      </c>
      <c r="O1364" s="13"/>
      <c r="P1364" s="14">
        <v>0.2</v>
      </c>
      <c r="Q1364" s="15">
        <v>0.3</v>
      </c>
      <c r="R1364" s="16" t="str">
        <f t="shared" si="126"/>
        <v>GENERAL</v>
      </c>
      <c r="S1364" s="17"/>
      <c r="T1364" s="10" t="str">
        <f t="shared" si="123"/>
        <v>METRO DE CABLE APANTALLADO DE INSTRUMENTACIÓN 2X16</v>
      </c>
    </row>
    <row r="1365" spans="1:20" ht="27" customHeight="1" x14ac:dyDescent="0.25">
      <c r="A1365" s="8" t="s">
        <v>2512</v>
      </c>
      <c r="B1365" s="9"/>
      <c r="C1365" s="9"/>
      <c r="D1365" s="8" t="s">
        <v>45</v>
      </c>
      <c r="E1365" s="8"/>
      <c r="F1365" s="8" t="s">
        <v>22</v>
      </c>
      <c r="G1365" s="10" t="s">
        <v>3163</v>
      </c>
      <c r="H1365" s="8" t="s">
        <v>3164</v>
      </c>
      <c r="I1365" s="10" t="s">
        <v>3163</v>
      </c>
      <c r="J1365" s="11" t="s">
        <v>33</v>
      </c>
      <c r="K1365" s="18">
        <v>10900</v>
      </c>
      <c r="L1365" s="12">
        <f t="shared" si="127"/>
        <v>18167</v>
      </c>
      <c r="M1365" s="8">
        <v>1</v>
      </c>
      <c r="N1365" s="8" t="s">
        <v>27</v>
      </c>
      <c r="O1365" s="13"/>
      <c r="P1365" s="14">
        <v>0</v>
      </c>
      <c r="Q1365" s="15">
        <v>0.4</v>
      </c>
      <c r="R1365" s="16" t="str">
        <f t="shared" si="126"/>
        <v>GENERAL</v>
      </c>
      <c r="S1365" s="17"/>
      <c r="T1365" s="10" t="str">
        <f t="shared" si="123"/>
        <v>50 METROS DE CINTA DE PRECAUCIÓN PARA MARCACIÓN DE ÁREAS</v>
      </c>
    </row>
    <row r="1366" spans="1:20" ht="27" customHeight="1" x14ac:dyDescent="0.25">
      <c r="A1366" s="8" t="s">
        <v>2512</v>
      </c>
      <c r="B1366" s="9"/>
      <c r="C1366" s="9"/>
      <c r="D1366" s="8" t="s">
        <v>45</v>
      </c>
      <c r="E1366" s="8"/>
      <c r="F1366" s="8" t="s">
        <v>22</v>
      </c>
      <c r="G1366" s="10" t="s">
        <v>3165</v>
      </c>
      <c r="H1366" s="8" t="s">
        <v>3166</v>
      </c>
      <c r="I1366" s="10" t="s">
        <v>3165</v>
      </c>
      <c r="J1366" s="11" t="s">
        <v>33</v>
      </c>
      <c r="K1366" s="18">
        <f>1000</f>
        <v>1000</v>
      </c>
      <c r="L1366" s="12">
        <f t="shared" si="127"/>
        <v>1667</v>
      </c>
      <c r="M1366" s="8">
        <v>1</v>
      </c>
      <c r="N1366" s="8" t="s">
        <v>27</v>
      </c>
      <c r="O1366" s="13"/>
      <c r="P1366" s="14">
        <v>0</v>
      </c>
      <c r="Q1366" s="15">
        <v>0.4</v>
      </c>
      <c r="R1366" s="16" t="str">
        <f t="shared" si="126"/>
        <v>GENERAL</v>
      </c>
      <c r="S1366" s="17"/>
      <c r="T1366" s="10" t="str">
        <f t="shared" si="123"/>
        <v>CHAZO MARIPOSA DE 1/4</v>
      </c>
    </row>
    <row r="1367" spans="1:20" ht="27" customHeight="1" x14ac:dyDescent="0.25">
      <c r="A1367" s="8" t="s">
        <v>2512</v>
      </c>
      <c r="B1367" s="9"/>
      <c r="C1367" s="9"/>
      <c r="D1367" s="8" t="s">
        <v>45</v>
      </c>
      <c r="E1367" s="8"/>
      <c r="F1367" s="8" t="s">
        <v>22</v>
      </c>
      <c r="G1367" s="10" t="s">
        <v>3167</v>
      </c>
      <c r="H1367" s="8" t="s">
        <v>3168</v>
      </c>
      <c r="I1367" s="10" t="s">
        <v>3167</v>
      </c>
      <c r="J1367" s="11" t="s">
        <v>33</v>
      </c>
      <c r="K1367" s="18">
        <v>380000</v>
      </c>
      <c r="L1367" s="12">
        <f t="shared" si="127"/>
        <v>542858</v>
      </c>
      <c r="M1367" s="8">
        <v>1</v>
      </c>
      <c r="N1367" s="8" t="s">
        <v>27</v>
      </c>
      <c r="O1367" s="13"/>
      <c r="P1367" s="14">
        <v>0</v>
      </c>
      <c r="Q1367" s="15">
        <v>0.3</v>
      </c>
      <c r="R1367" s="16" t="str">
        <f t="shared" si="126"/>
        <v>GENERAL</v>
      </c>
      <c r="S1367" s="17"/>
      <c r="T1367" s="10" t="str">
        <f t="shared" si="123"/>
        <v>SOPORTE CROMADO DOBLE PARA TV DE HASTA 55"</v>
      </c>
    </row>
    <row r="1368" spans="1:20" ht="27" customHeight="1" x14ac:dyDescent="0.25">
      <c r="A1368" s="8" t="s">
        <v>2512</v>
      </c>
      <c r="B1368" s="9"/>
      <c r="C1368" s="9"/>
      <c r="D1368" s="8" t="s">
        <v>45</v>
      </c>
      <c r="E1368" s="8"/>
      <c r="F1368" s="8" t="s">
        <v>22</v>
      </c>
      <c r="G1368" s="10" t="s">
        <v>3169</v>
      </c>
      <c r="H1368" s="8" t="s">
        <v>3170</v>
      </c>
      <c r="I1368" s="10" t="s">
        <v>3169</v>
      </c>
      <c r="J1368" s="11" t="s">
        <v>33</v>
      </c>
      <c r="K1368" s="18">
        <v>6200</v>
      </c>
      <c r="L1368" s="12">
        <f t="shared" si="127"/>
        <v>10334</v>
      </c>
      <c r="M1368" s="8">
        <v>1</v>
      </c>
      <c r="N1368" s="8" t="s">
        <v>27</v>
      </c>
      <c r="O1368" s="13"/>
      <c r="P1368" s="14">
        <v>0</v>
      </c>
      <c r="Q1368" s="15">
        <v>0.4</v>
      </c>
      <c r="R1368" s="16" t="str">
        <f t="shared" si="126"/>
        <v>GENERAL</v>
      </c>
      <c r="S1368" s="17"/>
      <c r="T1368" s="10" t="str">
        <f t="shared" ref="T1368:T1403" si="128">G1368</f>
        <v>METRO DE CORAZA AMERICANA DE 1 y 1/4 DE PULGADA</v>
      </c>
    </row>
    <row r="1369" spans="1:20" ht="27" customHeight="1" x14ac:dyDescent="0.25">
      <c r="A1369" s="8" t="s">
        <v>2512</v>
      </c>
      <c r="B1369" s="9"/>
      <c r="C1369" s="9"/>
      <c r="D1369" s="8" t="s">
        <v>45</v>
      </c>
      <c r="E1369" s="8"/>
      <c r="F1369" s="8" t="s">
        <v>22</v>
      </c>
      <c r="G1369" s="10" t="s">
        <v>3171</v>
      </c>
      <c r="H1369" s="8" t="s">
        <v>3172</v>
      </c>
      <c r="I1369" s="10" t="s">
        <v>3171</v>
      </c>
      <c r="J1369" s="11" t="s">
        <v>33</v>
      </c>
      <c r="K1369" s="18">
        <v>5800</v>
      </c>
      <c r="L1369" s="12">
        <f t="shared" si="127"/>
        <v>9667</v>
      </c>
      <c r="M1369" s="8">
        <v>1</v>
      </c>
      <c r="N1369" s="8" t="s">
        <v>27</v>
      </c>
      <c r="O1369" s="13"/>
      <c r="P1369" s="14">
        <v>0</v>
      </c>
      <c r="Q1369" s="15">
        <v>0.4</v>
      </c>
      <c r="R1369" s="16" t="str">
        <f t="shared" si="126"/>
        <v>GENERAL</v>
      </c>
      <c r="S1369" s="17"/>
      <c r="T1369" s="10" t="str">
        <f t="shared" si="128"/>
        <v>TERMINAR DE 1 y 1/4" PARA CORAZA AMERICANA</v>
      </c>
    </row>
    <row r="1370" spans="1:20" ht="27" customHeight="1" x14ac:dyDescent="0.25">
      <c r="A1370" s="8" t="s">
        <v>2512</v>
      </c>
      <c r="B1370" s="9"/>
      <c r="C1370" s="9"/>
      <c r="D1370" s="8" t="s">
        <v>45</v>
      </c>
      <c r="E1370" s="8"/>
      <c r="F1370" s="8" t="s">
        <v>22</v>
      </c>
      <c r="G1370" s="10" t="s">
        <v>2674</v>
      </c>
      <c r="H1370" s="8" t="s">
        <v>3173</v>
      </c>
      <c r="I1370" s="10" t="s">
        <v>2674</v>
      </c>
      <c r="J1370" s="11" t="s">
        <v>33</v>
      </c>
      <c r="K1370" s="18">
        <v>2300</v>
      </c>
      <c r="L1370" s="12">
        <f t="shared" si="127"/>
        <v>3834</v>
      </c>
      <c r="M1370" s="8">
        <v>1</v>
      </c>
      <c r="N1370" s="8" t="s">
        <v>27</v>
      </c>
      <c r="O1370" s="13"/>
      <c r="P1370" s="14">
        <v>0</v>
      </c>
      <c r="Q1370" s="15">
        <v>0.4</v>
      </c>
      <c r="R1370" s="16" t="str">
        <f t="shared" si="126"/>
        <v>GENERAL</v>
      </c>
      <c r="S1370" s="17"/>
      <c r="T1370" s="10" t="str">
        <f t="shared" si="128"/>
        <v>METRO DE CORAZA AMERICANA DE 3/4 DE PULGADA</v>
      </c>
    </row>
    <row r="1371" spans="1:20" ht="27" customHeight="1" x14ac:dyDescent="0.25">
      <c r="A1371" s="8" t="s">
        <v>2512</v>
      </c>
      <c r="B1371" s="9"/>
      <c r="C1371" s="9"/>
      <c r="D1371" s="8" t="s">
        <v>45</v>
      </c>
      <c r="E1371" s="8"/>
      <c r="F1371" s="8" t="s">
        <v>22</v>
      </c>
      <c r="G1371" s="10" t="s">
        <v>3174</v>
      </c>
      <c r="H1371" s="8" t="s">
        <v>3175</v>
      </c>
      <c r="I1371" s="10" t="s">
        <v>3174</v>
      </c>
      <c r="J1371" s="11" t="s">
        <v>33</v>
      </c>
      <c r="K1371" s="18">
        <v>2500</v>
      </c>
      <c r="L1371" s="12">
        <f t="shared" si="127"/>
        <v>4167</v>
      </c>
      <c r="M1371" s="8">
        <v>1</v>
      </c>
      <c r="N1371" s="8" t="s">
        <v>27</v>
      </c>
      <c r="O1371" s="13"/>
      <c r="P1371" s="14">
        <v>0</v>
      </c>
      <c r="Q1371" s="15">
        <v>0.4</v>
      </c>
      <c r="R1371" s="16" t="str">
        <f t="shared" si="126"/>
        <v>GENERAL</v>
      </c>
      <c r="S1371" s="17"/>
      <c r="T1371" s="10" t="str">
        <f t="shared" si="128"/>
        <v>TERMINAR DE 3/4" PARA CORAZA AMERICANA</v>
      </c>
    </row>
    <row r="1372" spans="1:20" ht="27" customHeight="1" x14ac:dyDescent="0.25">
      <c r="A1372" s="8" t="s">
        <v>2512</v>
      </c>
      <c r="B1372" s="9"/>
      <c r="C1372" s="9"/>
      <c r="D1372" s="8" t="s">
        <v>45</v>
      </c>
      <c r="E1372" s="8"/>
      <c r="F1372" s="8" t="s">
        <v>22</v>
      </c>
      <c r="G1372" s="10" t="s">
        <v>3176</v>
      </c>
      <c r="H1372" s="8" t="s">
        <v>3177</v>
      </c>
      <c r="I1372" s="10" t="s">
        <v>3176</v>
      </c>
      <c r="J1372" s="11" t="s">
        <v>33</v>
      </c>
      <c r="K1372" s="18">
        <v>55000</v>
      </c>
      <c r="L1372" s="12">
        <f t="shared" si="127"/>
        <v>91667</v>
      </c>
      <c r="M1372" s="8">
        <v>1</v>
      </c>
      <c r="N1372" s="8" t="s">
        <v>27</v>
      </c>
      <c r="O1372" s="13"/>
      <c r="P1372" s="14">
        <v>0</v>
      </c>
      <c r="Q1372" s="15">
        <v>0.4</v>
      </c>
      <c r="R1372" s="16" t="str">
        <f t="shared" si="126"/>
        <v>GENERAL</v>
      </c>
      <c r="S1372" s="17"/>
      <c r="T1372" s="10" t="str">
        <f t="shared" si="128"/>
        <v>LAMINILLA PINTADA EN VINILO PARA TAPA DE TECHO EN MDF O MADERA</v>
      </c>
    </row>
    <row r="1373" spans="1:20" ht="27" customHeight="1" x14ac:dyDescent="0.25">
      <c r="A1373" s="8" t="s">
        <v>2512</v>
      </c>
      <c r="B1373" s="9"/>
      <c r="C1373" s="9"/>
      <c r="D1373" s="8" t="s">
        <v>45</v>
      </c>
      <c r="E1373" s="8"/>
      <c r="F1373" s="8" t="s">
        <v>22</v>
      </c>
      <c r="G1373" s="10" t="s">
        <v>3178</v>
      </c>
      <c r="H1373" s="8" t="s">
        <v>3179</v>
      </c>
      <c r="I1373" s="10" t="s">
        <v>3180</v>
      </c>
      <c r="J1373" s="11" t="s">
        <v>33</v>
      </c>
      <c r="K1373" s="18">
        <v>1380000</v>
      </c>
      <c r="L1373" s="12">
        <f t="shared" si="127"/>
        <v>1971429</v>
      </c>
      <c r="M1373" s="8">
        <v>1</v>
      </c>
      <c r="N1373" s="8" t="s">
        <v>27</v>
      </c>
      <c r="O1373" s="13"/>
      <c r="P1373" s="14">
        <v>0</v>
      </c>
      <c r="Q1373" s="15">
        <v>0.3</v>
      </c>
      <c r="R1373" s="16" t="str">
        <f t="shared" si="126"/>
        <v>GENERAL</v>
      </c>
      <c r="S1373" s="17"/>
      <c r="T1373" s="10" t="str">
        <f t="shared" si="128"/>
        <v>COSTO ESTIMADO PARA DINTEL EN DRYWALL, INCLUYE MATERIALES.</v>
      </c>
    </row>
    <row r="1374" spans="1:20" ht="27" customHeight="1" x14ac:dyDescent="0.25">
      <c r="A1374" s="8" t="s">
        <v>2512</v>
      </c>
      <c r="B1374" s="9"/>
      <c r="C1374" s="9"/>
      <c r="D1374" s="8" t="s">
        <v>45</v>
      </c>
      <c r="E1374" s="8"/>
      <c r="F1374" s="8" t="s">
        <v>22</v>
      </c>
      <c r="G1374" s="10" t="s">
        <v>3181</v>
      </c>
      <c r="H1374" s="8" t="s">
        <v>3182</v>
      </c>
      <c r="I1374" s="10" t="s">
        <v>3183</v>
      </c>
      <c r="J1374" s="11" t="s">
        <v>33</v>
      </c>
      <c r="K1374" s="18">
        <v>6000</v>
      </c>
      <c r="L1374" s="12">
        <f t="shared" si="127"/>
        <v>12000</v>
      </c>
      <c r="M1374" s="8">
        <v>5</v>
      </c>
      <c r="N1374" s="8" t="s">
        <v>27</v>
      </c>
      <c r="O1374" s="13"/>
      <c r="P1374" s="14">
        <v>0.2</v>
      </c>
      <c r="Q1374" s="15">
        <v>0.4</v>
      </c>
      <c r="R1374" s="16" t="str">
        <f t="shared" si="126"/>
        <v>GENERAL</v>
      </c>
      <c r="S1374" s="17"/>
      <c r="T1374" s="10" t="str">
        <f t="shared" si="128"/>
        <v>BORNERA PARA RIEL DIM PACA CABLE CALIBRE #4</v>
      </c>
    </row>
    <row r="1375" spans="1:20" ht="27" customHeight="1" x14ac:dyDescent="0.25">
      <c r="A1375" s="8" t="s">
        <v>2512</v>
      </c>
      <c r="B1375" s="9"/>
      <c r="C1375" s="9"/>
      <c r="D1375" s="8" t="s">
        <v>45</v>
      </c>
      <c r="E1375" s="8"/>
      <c r="F1375" s="8" t="s">
        <v>22</v>
      </c>
      <c r="G1375" s="10" t="s">
        <v>3184</v>
      </c>
      <c r="H1375" s="8" t="s">
        <v>3185</v>
      </c>
      <c r="I1375" s="10" t="s">
        <v>3186</v>
      </c>
      <c r="J1375" s="11" t="s">
        <v>33</v>
      </c>
      <c r="K1375" s="18">
        <v>5000</v>
      </c>
      <c r="L1375" s="12">
        <f t="shared" si="127"/>
        <v>10000</v>
      </c>
      <c r="M1375" s="8">
        <v>5</v>
      </c>
      <c r="N1375" s="8" t="s">
        <v>27</v>
      </c>
      <c r="O1375" s="13"/>
      <c r="P1375" s="14">
        <v>0.2</v>
      </c>
      <c r="Q1375" s="15">
        <v>0.4</v>
      </c>
      <c r="R1375" s="16" t="str">
        <f t="shared" si="126"/>
        <v>GENERAL</v>
      </c>
      <c r="S1375" s="17"/>
      <c r="T1375" s="10" t="str">
        <f t="shared" si="128"/>
        <v>BORNERA PARA RIEL DIM PACA CABLE CALIBRE #6</v>
      </c>
    </row>
    <row r="1376" spans="1:20" ht="27" customHeight="1" x14ac:dyDescent="0.25">
      <c r="A1376" s="8" t="s">
        <v>2512</v>
      </c>
      <c r="B1376" s="9"/>
      <c r="C1376" s="9"/>
      <c r="D1376" s="8" t="s">
        <v>45</v>
      </c>
      <c r="E1376" s="8"/>
      <c r="F1376" s="8" t="s">
        <v>22</v>
      </c>
      <c r="G1376" s="10" t="s">
        <v>3187</v>
      </c>
      <c r="H1376" s="8" t="s">
        <v>3188</v>
      </c>
      <c r="I1376" s="10" t="s">
        <v>3189</v>
      </c>
      <c r="J1376" s="11" t="s">
        <v>33</v>
      </c>
      <c r="K1376" s="18">
        <v>4000</v>
      </c>
      <c r="L1376" s="12">
        <f t="shared" si="127"/>
        <v>8000</v>
      </c>
      <c r="M1376" s="8">
        <v>5</v>
      </c>
      <c r="N1376" s="8" t="s">
        <v>27</v>
      </c>
      <c r="O1376" s="13"/>
      <c r="P1376" s="14">
        <v>0.2</v>
      </c>
      <c r="Q1376" s="15">
        <v>0.4</v>
      </c>
      <c r="R1376" s="16" t="str">
        <f t="shared" si="126"/>
        <v>GENERAL</v>
      </c>
      <c r="S1376" s="17"/>
      <c r="T1376" s="10" t="str">
        <f t="shared" si="128"/>
        <v>BORNERA PARA RIEL DIM PACA CABLE CALIBRE #8</v>
      </c>
    </row>
    <row r="1377" spans="1:21" ht="27" customHeight="1" x14ac:dyDescent="0.25">
      <c r="A1377" s="8" t="s">
        <v>2512</v>
      </c>
      <c r="B1377" s="9"/>
      <c r="C1377" s="9"/>
      <c r="D1377" s="8" t="s">
        <v>45</v>
      </c>
      <c r="E1377" s="8"/>
      <c r="F1377" s="8" t="s">
        <v>22</v>
      </c>
      <c r="G1377" s="10" t="s">
        <v>3190</v>
      </c>
      <c r="H1377" s="8" t="s">
        <v>3191</v>
      </c>
      <c r="I1377" s="10" t="s">
        <v>3192</v>
      </c>
      <c r="J1377" s="11" t="s">
        <v>33</v>
      </c>
      <c r="K1377" s="18">
        <v>3000</v>
      </c>
      <c r="L1377" s="12">
        <f t="shared" si="127"/>
        <v>6000</v>
      </c>
      <c r="M1377" s="8">
        <v>5</v>
      </c>
      <c r="N1377" s="8" t="s">
        <v>27</v>
      </c>
      <c r="O1377" s="13"/>
      <c r="P1377" s="14">
        <v>0.2</v>
      </c>
      <c r="Q1377" s="15">
        <v>0.4</v>
      </c>
      <c r="R1377" s="16" t="str">
        <f t="shared" si="126"/>
        <v>GENERAL</v>
      </c>
      <c r="S1377" s="17"/>
      <c r="T1377" s="10" t="str">
        <f t="shared" si="128"/>
        <v>BORNERA PARA RIEL DIM PACA CABLE CALIBRE #10</v>
      </c>
    </row>
    <row r="1378" spans="1:21" ht="27" customHeight="1" x14ac:dyDescent="0.25">
      <c r="A1378" s="8" t="s">
        <v>2512</v>
      </c>
      <c r="B1378" s="9"/>
      <c r="C1378" s="9"/>
      <c r="D1378" s="8" t="s">
        <v>45</v>
      </c>
      <c r="E1378" s="8"/>
      <c r="F1378" s="8" t="s">
        <v>22</v>
      </c>
      <c r="G1378" s="10" t="s">
        <v>3193</v>
      </c>
      <c r="H1378" s="8" t="s">
        <v>3194</v>
      </c>
      <c r="I1378" s="10" t="s">
        <v>3195</v>
      </c>
      <c r="J1378" s="11" t="s">
        <v>33</v>
      </c>
      <c r="K1378" s="18">
        <v>2000</v>
      </c>
      <c r="L1378" s="12">
        <f t="shared" si="127"/>
        <v>4000</v>
      </c>
      <c r="M1378" s="8">
        <v>5</v>
      </c>
      <c r="N1378" s="8" t="s">
        <v>27</v>
      </c>
      <c r="O1378" s="13"/>
      <c r="P1378" s="14">
        <v>0.2</v>
      </c>
      <c r="Q1378" s="15">
        <v>0.4</v>
      </c>
      <c r="R1378" s="16" t="str">
        <f t="shared" si="126"/>
        <v>GENERAL</v>
      </c>
      <c r="S1378" s="17"/>
      <c r="T1378" s="10" t="str">
        <f t="shared" si="128"/>
        <v>BORNERA PARA RIEL DIM PACA CABLE CALIBRE #12</v>
      </c>
      <c r="U1378" s="39" t="s">
        <v>3196</v>
      </c>
    </row>
    <row r="1379" spans="1:21" ht="27" customHeight="1" x14ac:dyDescent="0.25">
      <c r="A1379" s="8" t="s">
        <v>2512</v>
      </c>
      <c r="B1379" s="9"/>
      <c r="C1379" s="9"/>
      <c r="D1379" s="8" t="s">
        <v>45</v>
      </c>
      <c r="E1379" s="8"/>
      <c r="F1379" s="8" t="s">
        <v>22</v>
      </c>
      <c r="G1379" s="10" t="s">
        <v>3197</v>
      </c>
      <c r="H1379" s="8" t="s">
        <v>3198</v>
      </c>
      <c r="I1379" s="10" t="s">
        <v>3197</v>
      </c>
      <c r="J1379" s="11" t="s">
        <v>33</v>
      </c>
      <c r="K1379" s="18">
        <v>12000</v>
      </c>
      <c r="L1379" s="12">
        <f t="shared" si="127"/>
        <v>24000</v>
      </c>
      <c r="M1379" s="8">
        <v>5</v>
      </c>
      <c r="N1379" s="8" t="s">
        <v>27</v>
      </c>
      <c r="O1379" s="13"/>
      <c r="P1379" s="14">
        <v>0</v>
      </c>
      <c r="Q1379" s="15">
        <v>0.5</v>
      </c>
      <c r="R1379" s="16" t="str">
        <f t="shared" si="126"/>
        <v>GENERAL</v>
      </c>
      <c r="S1379" s="17"/>
      <c r="T1379" s="10" t="str">
        <f t="shared" si="128"/>
        <v>INTERRUPTOR DE PASO TIPO MULETILLA</v>
      </c>
    </row>
    <row r="1380" spans="1:21" ht="27" customHeight="1" x14ac:dyDescent="0.25">
      <c r="A1380" s="8" t="s">
        <v>2512</v>
      </c>
      <c r="B1380" s="9"/>
      <c r="C1380" s="9"/>
      <c r="D1380" s="8" t="s">
        <v>45</v>
      </c>
      <c r="E1380" s="8"/>
      <c r="F1380" s="8" t="s">
        <v>22</v>
      </c>
      <c r="G1380" s="10" t="s">
        <v>3199</v>
      </c>
      <c r="H1380" s="8" t="s">
        <v>3168</v>
      </c>
      <c r="I1380" s="10" t="s">
        <v>3199</v>
      </c>
      <c r="J1380" s="11" t="s">
        <v>33</v>
      </c>
      <c r="K1380" s="18">
        <v>380000</v>
      </c>
      <c r="L1380" s="12">
        <f t="shared" si="127"/>
        <v>760000</v>
      </c>
      <c r="M1380" s="8">
        <v>1</v>
      </c>
      <c r="N1380" s="8" t="s">
        <v>27</v>
      </c>
      <c r="O1380" s="13"/>
      <c r="P1380" s="14">
        <v>0.2</v>
      </c>
      <c r="Q1380" s="15">
        <v>0.4</v>
      </c>
      <c r="R1380" s="16" t="str">
        <f t="shared" si="126"/>
        <v>GENERAL</v>
      </c>
      <c r="S1380" s="17"/>
      <c r="T1380" s="10" t="str">
        <f t="shared" si="128"/>
        <v>SOPORTE PARA DOS TV DE HASTA 55" CON BRAZO A MEDIDA ANODIZADO.</v>
      </c>
    </row>
    <row r="1381" spans="1:21" ht="27" customHeight="1" x14ac:dyDescent="0.25">
      <c r="A1381" s="8" t="s">
        <v>2512</v>
      </c>
      <c r="B1381" s="9"/>
      <c r="C1381" s="9"/>
      <c r="D1381" s="8" t="s">
        <v>45</v>
      </c>
      <c r="E1381" s="8"/>
      <c r="F1381" s="8" t="s">
        <v>22</v>
      </c>
      <c r="G1381" s="10" t="s">
        <v>3200</v>
      </c>
      <c r="H1381" s="8" t="s">
        <v>3201</v>
      </c>
      <c r="I1381" s="10" t="s">
        <v>3200</v>
      </c>
      <c r="J1381" s="11" t="s">
        <v>33</v>
      </c>
      <c r="K1381" s="18">
        <v>270000</v>
      </c>
      <c r="L1381" s="12">
        <f t="shared" si="127"/>
        <v>385715</v>
      </c>
      <c r="M1381" s="8">
        <v>1</v>
      </c>
      <c r="N1381" s="8" t="s">
        <v>27</v>
      </c>
      <c r="O1381" s="13"/>
      <c r="P1381" s="14">
        <v>0</v>
      </c>
      <c r="Q1381" s="15">
        <v>0.3</v>
      </c>
      <c r="R1381" s="16" t="str">
        <f t="shared" si="126"/>
        <v>GENERAL</v>
      </c>
      <c r="S1381" s="17"/>
      <c r="T1381" s="10" t="str">
        <f t="shared" si="128"/>
        <v>SOPORTE A MEDIDA CON CORTE LASER EN ALUMINIO</v>
      </c>
    </row>
    <row r="1382" spans="1:21" ht="27" customHeight="1" x14ac:dyDescent="0.25">
      <c r="A1382" s="8" t="s">
        <v>2512</v>
      </c>
      <c r="B1382" s="9"/>
      <c r="C1382" s="9"/>
      <c r="D1382" s="8" t="s">
        <v>45</v>
      </c>
      <c r="E1382" s="8"/>
      <c r="F1382" s="8" t="s">
        <v>22</v>
      </c>
      <c r="G1382" s="10" t="s">
        <v>3202</v>
      </c>
      <c r="H1382" s="8" t="s">
        <v>3203</v>
      </c>
      <c r="I1382" s="10" t="s">
        <v>3202</v>
      </c>
      <c r="J1382" s="11" t="s">
        <v>33</v>
      </c>
      <c r="K1382" s="18">
        <v>1500000</v>
      </c>
      <c r="L1382" s="12">
        <f t="shared" si="127"/>
        <v>2500000</v>
      </c>
      <c r="M1382" s="8">
        <v>1</v>
      </c>
      <c r="N1382" s="8" t="s">
        <v>27</v>
      </c>
      <c r="O1382" s="13"/>
      <c r="P1382" s="14">
        <v>0</v>
      </c>
      <c r="Q1382" s="15">
        <v>0.4</v>
      </c>
      <c r="R1382" s="16" t="str">
        <f t="shared" si="126"/>
        <v>GENERAL</v>
      </c>
      <c r="S1382" s="17"/>
      <c r="T1382" s="10" t="str">
        <f t="shared" si="128"/>
        <v>LICENCIA INSTALADA PARA SISTEMA DE CONTROL DE ACCESO</v>
      </c>
    </row>
    <row r="1383" spans="1:21" ht="27" customHeight="1" x14ac:dyDescent="0.25">
      <c r="A1383" s="8" t="s">
        <v>2512</v>
      </c>
      <c r="B1383" s="9"/>
      <c r="C1383" s="9"/>
      <c r="D1383" s="8" t="s">
        <v>45</v>
      </c>
      <c r="E1383" s="8"/>
      <c r="F1383" s="8" t="s">
        <v>22</v>
      </c>
      <c r="G1383" s="10" t="s">
        <v>3204</v>
      </c>
      <c r="H1383" s="8" t="s">
        <v>3205</v>
      </c>
      <c r="I1383" s="10" t="s">
        <v>3204</v>
      </c>
      <c r="J1383" s="11" t="s">
        <v>33</v>
      </c>
      <c r="K1383" s="18">
        <v>25000</v>
      </c>
      <c r="L1383" s="12">
        <f t="shared" si="127"/>
        <v>41667</v>
      </c>
      <c r="M1383" s="8">
        <v>1</v>
      </c>
      <c r="N1383" s="8" t="s">
        <v>27</v>
      </c>
      <c r="O1383" s="13"/>
      <c r="P1383" s="14">
        <v>0</v>
      </c>
      <c r="Q1383" s="15">
        <v>0.4</v>
      </c>
      <c r="R1383" s="16" t="str">
        <f t="shared" si="126"/>
        <v>GENERAL</v>
      </c>
      <c r="S1383" s="17"/>
      <c r="T1383" s="10" t="str">
        <f t="shared" si="128"/>
        <v>ROLLO DE ETIQUETAS PARA 500 INGRESOS</v>
      </c>
    </row>
    <row r="1384" spans="1:21" ht="27" customHeight="1" x14ac:dyDescent="0.25">
      <c r="A1384" s="8" t="s">
        <v>2512</v>
      </c>
      <c r="B1384" s="9"/>
      <c r="C1384" s="9"/>
      <c r="D1384" s="8" t="s">
        <v>45</v>
      </c>
      <c r="E1384" s="8"/>
      <c r="F1384" s="8" t="s">
        <v>22</v>
      </c>
      <c r="G1384" s="10" t="s">
        <v>3206</v>
      </c>
      <c r="H1384" s="8" t="s">
        <v>3207</v>
      </c>
      <c r="I1384" s="10" t="s">
        <v>3206</v>
      </c>
      <c r="J1384" s="11" t="s">
        <v>33</v>
      </c>
      <c r="K1384" s="18">
        <v>15000</v>
      </c>
      <c r="L1384" s="12">
        <f t="shared" si="127"/>
        <v>25000</v>
      </c>
      <c r="M1384" s="8">
        <v>1</v>
      </c>
      <c r="N1384" s="8" t="s">
        <v>27</v>
      </c>
      <c r="O1384" s="13"/>
      <c r="P1384" s="14">
        <v>0</v>
      </c>
      <c r="Q1384" s="15">
        <v>0.4</v>
      </c>
      <c r="R1384" s="16" t="str">
        <f t="shared" si="126"/>
        <v>GENERAL</v>
      </c>
      <c r="S1384" s="17"/>
      <c r="T1384" s="10" t="str">
        <f t="shared" si="128"/>
        <v>CINTA TIPO CERA, PARA 2000 ETIQUETAS</v>
      </c>
    </row>
    <row r="1385" spans="1:21" ht="27" customHeight="1" x14ac:dyDescent="0.25">
      <c r="A1385" s="8" t="s">
        <v>2512</v>
      </c>
      <c r="B1385" s="9"/>
      <c r="C1385" s="9"/>
      <c r="D1385" s="8" t="s">
        <v>45</v>
      </c>
      <c r="E1385" s="8"/>
      <c r="F1385" s="8" t="s">
        <v>22</v>
      </c>
      <c r="G1385" s="10" t="s">
        <v>3208</v>
      </c>
      <c r="H1385" s="8" t="s">
        <v>3209</v>
      </c>
      <c r="I1385" s="10" t="s">
        <v>3210</v>
      </c>
      <c r="J1385" s="11" t="s">
        <v>33</v>
      </c>
      <c r="K1385" s="18">
        <v>284000</v>
      </c>
      <c r="L1385" s="12">
        <f t="shared" si="127"/>
        <v>405715</v>
      </c>
      <c r="M1385" s="8">
        <v>1</v>
      </c>
      <c r="N1385" s="8" t="s">
        <v>27</v>
      </c>
      <c r="O1385" s="13"/>
      <c r="P1385" s="14">
        <v>0</v>
      </c>
      <c r="Q1385" s="15">
        <v>0.3</v>
      </c>
      <c r="R1385" s="16" t="str">
        <f t="shared" si="126"/>
        <v>GENERAL</v>
      </c>
      <c r="S1385" s="17"/>
      <c r="T1385" s="10" t="str">
        <f t="shared" si="128"/>
        <v>LUMINARIA LED DE 80W PARA POSTE, 4000K, PANEL SOLAR DE 25 AÑOS DE VIDA ÚTIL.</v>
      </c>
    </row>
    <row r="1386" spans="1:21" ht="27" customHeight="1" x14ac:dyDescent="0.25">
      <c r="A1386" s="8" t="s">
        <v>2512</v>
      </c>
      <c r="B1386" s="9"/>
      <c r="C1386" s="9"/>
      <c r="D1386" s="8" t="s">
        <v>45</v>
      </c>
      <c r="E1386" s="8"/>
      <c r="F1386" s="8" t="s">
        <v>22</v>
      </c>
      <c r="G1386" s="10" t="s">
        <v>3211</v>
      </c>
      <c r="H1386" s="8" t="s">
        <v>3212</v>
      </c>
      <c r="I1386" s="10" t="s">
        <v>3213</v>
      </c>
      <c r="J1386" s="11" t="s">
        <v>33</v>
      </c>
      <c r="K1386" s="18">
        <v>410000</v>
      </c>
      <c r="L1386" s="12">
        <f t="shared" si="127"/>
        <v>585715</v>
      </c>
      <c r="M1386" s="8">
        <v>1</v>
      </c>
      <c r="N1386" s="8" t="s">
        <v>27</v>
      </c>
      <c r="O1386" s="13"/>
      <c r="P1386" s="14">
        <v>0</v>
      </c>
      <c r="Q1386" s="15">
        <v>0.3</v>
      </c>
      <c r="R1386" s="16" t="str">
        <f t="shared" si="126"/>
        <v>GENERAL</v>
      </c>
      <c r="S1386" s="17"/>
      <c r="T1386" s="10" t="str">
        <f t="shared" si="128"/>
        <v>LUMINARIA LED DE 100W PARA POSTE, 4000K, PANEL SOLAR DE 25 AÑOS DE VIDA ÚTIL.</v>
      </c>
    </row>
    <row r="1387" spans="1:21" ht="27" customHeight="1" x14ac:dyDescent="0.25">
      <c r="A1387" s="8" t="s">
        <v>2512</v>
      </c>
      <c r="B1387" s="9"/>
      <c r="C1387" s="9"/>
      <c r="D1387" s="8" t="s">
        <v>45</v>
      </c>
      <c r="E1387" s="8"/>
      <c r="F1387" s="8" t="s">
        <v>22</v>
      </c>
      <c r="G1387" s="10" t="s">
        <v>3214</v>
      </c>
      <c r="H1387" s="8" t="s">
        <v>3215</v>
      </c>
      <c r="I1387" s="10" t="s">
        <v>3216</v>
      </c>
      <c r="J1387" s="11" t="s">
        <v>33</v>
      </c>
      <c r="K1387" s="18">
        <v>455000</v>
      </c>
      <c r="L1387" s="12">
        <f t="shared" si="127"/>
        <v>650000</v>
      </c>
      <c r="M1387" s="8">
        <v>1</v>
      </c>
      <c r="N1387" s="8" t="s">
        <v>27</v>
      </c>
      <c r="O1387" s="13"/>
      <c r="P1387" s="14">
        <v>0</v>
      </c>
      <c r="Q1387" s="15">
        <v>0.3</v>
      </c>
      <c r="R1387" s="16" t="str">
        <f t="shared" si="126"/>
        <v>GENERAL</v>
      </c>
      <c r="S1387" s="17"/>
      <c r="T1387" s="10" t="str">
        <f t="shared" si="128"/>
        <v>LUMINARIA LED DE 1200W PARA POSTE, 4000K, PANEL SOLAR DE 25 AÑOS DE VIDA ÚTIL.</v>
      </c>
    </row>
    <row r="1388" spans="1:21" ht="27" customHeight="1" x14ac:dyDescent="0.25">
      <c r="A1388" s="8" t="s">
        <v>2512</v>
      </c>
      <c r="B1388" s="9"/>
      <c r="C1388" s="9"/>
      <c r="D1388" s="8" t="s">
        <v>45</v>
      </c>
      <c r="E1388" s="8"/>
      <c r="F1388" s="8" t="s">
        <v>22</v>
      </c>
      <c r="G1388" s="10" t="s">
        <v>3217</v>
      </c>
      <c r="H1388" s="8" t="s">
        <v>3218</v>
      </c>
      <c r="I1388" s="10" t="s">
        <v>3217</v>
      </c>
      <c r="J1388" s="11" t="s">
        <v>33</v>
      </c>
      <c r="K1388" s="18">
        <v>8000</v>
      </c>
      <c r="L1388" s="12">
        <f t="shared" si="127"/>
        <v>20000</v>
      </c>
      <c r="M1388" s="8">
        <v>1</v>
      </c>
      <c r="N1388" s="8" t="s">
        <v>27</v>
      </c>
      <c r="O1388" s="13"/>
      <c r="P1388" s="14">
        <v>0</v>
      </c>
      <c r="Q1388" s="15">
        <v>0.6</v>
      </c>
      <c r="R1388" s="16" t="str">
        <f t="shared" si="126"/>
        <v>GENERAL</v>
      </c>
      <c r="S1388" s="17"/>
      <c r="T1388" s="10" t="str">
        <f t="shared" si="128"/>
        <v>SOPORTE CILÍNDRICO EN MDF PINTADO DE COLOR BLANCO</v>
      </c>
    </row>
    <row r="1389" spans="1:21" ht="27" customHeight="1" x14ac:dyDescent="0.25">
      <c r="A1389" s="8" t="s">
        <v>2512</v>
      </c>
      <c r="B1389" s="9"/>
      <c r="C1389" s="9"/>
      <c r="D1389" s="8" t="s">
        <v>45</v>
      </c>
      <c r="E1389" s="8"/>
      <c r="F1389" s="8" t="s">
        <v>22</v>
      </c>
      <c r="G1389" s="10" t="s">
        <v>3219</v>
      </c>
      <c r="H1389" s="8" t="s">
        <v>3220</v>
      </c>
      <c r="I1389" s="10" t="s">
        <v>3219</v>
      </c>
      <c r="J1389" s="11" t="s">
        <v>33</v>
      </c>
      <c r="K1389" s="18">
        <v>77000</v>
      </c>
      <c r="L1389" s="12">
        <f t="shared" si="127"/>
        <v>110000</v>
      </c>
      <c r="M1389" s="8">
        <v>1</v>
      </c>
      <c r="N1389" s="8" t="s">
        <v>27</v>
      </c>
      <c r="O1389" s="13"/>
      <c r="P1389" s="14">
        <v>0</v>
      </c>
      <c r="Q1389" s="15">
        <v>0.3</v>
      </c>
      <c r="R1389" s="16" t="str">
        <f t="shared" si="126"/>
        <v>GENERAL</v>
      </c>
      <c r="S1389" s="17"/>
      <c r="T1389" s="10" t="str">
        <f t="shared" si="128"/>
        <v>SOPORTE CILÍNDRICO METÁLICO CON BRAZO EXTENSIVO Y APLIQUE EN COLOR BLANCO.</v>
      </c>
    </row>
    <row r="1390" spans="1:21" ht="27" customHeight="1" x14ac:dyDescent="0.25">
      <c r="A1390" s="8" t="s">
        <v>2512</v>
      </c>
      <c r="B1390" s="9"/>
      <c r="C1390" s="9"/>
      <c r="D1390" s="8" t="s">
        <v>45</v>
      </c>
      <c r="E1390" s="8"/>
      <c r="F1390" s="8" t="s">
        <v>22</v>
      </c>
      <c r="G1390" s="10" t="s">
        <v>3221</v>
      </c>
      <c r="H1390" s="8" t="s">
        <v>3222</v>
      </c>
      <c r="I1390" s="10" t="s">
        <v>3221</v>
      </c>
      <c r="J1390" s="11" t="s">
        <v>33</v>
      </c>
      <c r="K1390" s="18">
        <v>19900</v>
      </c>
      <c r="L1390" s="12">
        <f t="shared" ref="L1390:L1399" si="129">IF(J1390="P",ROUNDUP(K1390/(1-Q1390),-2),K1390*(1+P1390)/(1-Q1390))</f>
        <v>28500</v>
      </c>
      <c r="M1390" s="8">
        <v>1</v>
      </c>
      <c r="N1390" s="8" t="s">
        <v>27</v>
      </c>
      <c r="O1390" s="13" t="s">
        <v>588</v>
      </c>
      <c r="P1390" s="14">
        <v>0</v>
      </c>
      <c r="Q1390" s="15">
        <v>0.3</v>
      </c>
      <c r="R1390" s="16" t="str">
        <f t="shared" si="126"/>
        <v>GENERAL</v>
      </c>
      <c r="S1390" s="17"/>
      <c r="T1390" s="10" t="str">
        <f t="shared" si="128"/>
        <v>EXTENSIÓN ELÉCTRICA DE 2M</v>
      </c>
    </row>
    <row r="1391" spans="1:21" ht="27" customHeight="1" x14ac:dyDescent="0.25">
      <c r="A1391" s="8" t="s">
        <v>2512</v>
      </c>
      <c r="B1391" s="9"/>
      <c r="C1391" s="9"/>
      <c r="D1391" s="8" t="s">
        <v>45</v>
      </c>
      <c r="E1391" s="8"/>
      <c r="F1391" s="8" t="s">
        <v>22</v>
      </c>
      <c r="G1391" s="10" t="s">
        <v>3223</v>
      </c>
      <c r="H1391" s="8" t="s">
        <v>3224</v>
      </c>
      <c r="I1391" s="10" t="s">
        <v>3223</v>
      </c>
      <c r="J1391" s="11" t="s">
        <v>33</v>
      </c>
      <c r="K1391" s="18">
        <v>9900</v>
      </c>
      <c r="L1391" s="12">
        <f t="shared" si="129"/>
        <v>14200</v>
      </c>
      <c r="M1391" s="8">
        <v>1</v>
      </c>
      <c r="N1391" s="8" t="s">
        <v>27</v>
      </c>
      <c r="O1391" s="13" t="s">
        <v>588</v>
      </c>
      <c r="P1391" s="14">
        <v>0</v>
      </c>
      <c r="Q1391" s="15">
        <v>0.3</v>
      </c>
      <c r="R1391" s="16" t="str">
        <f t="shared" si="126"/>
        <v>GENERAL</v>
      </c>
      <c r="S1391" s="17"/>
      <c r="T1391" s="10" t="str">
        <f t="shared" si="128"/>
        <v>MULTITOMA DE PARED DE 6 SALIDAS CON POLO A TIERRA</v>
      </c>
    </row>
    <row r="1392" spans="1:21" ht="27" customHeight="1" x14ac:dyDescent="0.25">
      <c r="A1392" s="8" t="s">
        <v>2512</v>
      </c>
      <c r="B1392" s="9"/>
      <c r="C1392" s="9"/>
      <c r="D1392" s="8" t="s">
        <v>45</v>
      </c>
      <c r="E1392" s="8"/>
      <c r="F1392" s="8" t="s">
        <v>22</v>
      </c>
      <c r="G1392" s="10" t="s">
        <v>3225</v>
      </c>
      <c r="H1392" s="8" t="s">
        <v>3226</v>
      </c>
      <c r="I1392" s="10" t="s">
        <v>3225</v>
      </c>
      <c r="J1392" s="11" t="s">
        <v>33</v>
      </c>
      <c r="K1392" s="18">
        <v>26890</v>
      </c>
      <c r="L1392" s="12">
        <f t="shared" si="129"/>
        <v>38500</v>
      </c>
      <c r="M1392" s="8">
        <v>1</v>
      </c>
      <c r="N1392" s="8" t="s">
        <v>27</v>
      </c>
      <c r="O1392" s="13"/>
      <c r="P1392" s="14">
        <v>0</v>
      </c>
      <c r="Q1392" s="15">
        <v>0.3</v>
      </c>
      <c r="R1392" s="16" t="str">
        <f t="shared" si="126"/>
        <v>GENERAL</v>
      </c>
      <c r="S1392" s="17"/>
      <c r="T1392" s="10" t="str">
        <f t="shared" si="128"/>
        <v>DRIVER LED PARA PASTILLA DE 50W</v>
      </c>
    </row>
    <row r="1393" spans="1:20" ht="27" customHeight="1" x14ac:dyDescent="0.25">
      <c r="A1393" s="8" t="s">
        <v>2512</v>
      </c>
      <c r="B1393" s="9"/>
      <c r="C1393" s="9"/>
      <c r="D1393" s="8" t="s">
        <v>45</v>
      </c>
      <c r="E1393" s="8"/>
      <c r="F1393" s="8" t="s">
        <v>22</v>
      </c>
      <c r="G1393" s="10" t="s">
        <v>3227</v>
      </c>
      <c r="H1393" s="8" t="s">
        <v>3228</v>
      </c>
      <c r="I1393" s="10" t="s">
        <v>3227</v>
      </c>
      <c r="J1393" s="11" t="s">
        <v>33</v>
      </c>
      <c r="K1393" s="18">
        <v>19328</v>
      </c>
      <c r="L1393" s="12">
        <f t="shared" si="129"/>
        <v>27700</v>
      </c>
      <c r="M1393" s="8">
        <v>1</v>
      </c>
      <c r="N1393" s="8" t="s">
        <v>27</v>
      </c>
      <c r="O1393" s="13"/>
      <c r="P1393" s="14">
        <v>0</v>
      </c>
      <c r="Q1393" s="15">
        <v>0.3</v>
      </c>
      <c r="R1393" s="16" t="str">
        <f t="shared" si="126"/>
        <v>GENERAL</v>
      </c>
      <c r="S1393" s="17"/>
      <c r="T1393" s="10" t="str">
        <f t="shared" si="128"/>
        <v>PASTILLA LED DE 50W COLOR CÁLIDO</v>
      </c>
    </row>
    <row r="1394" spans="1:20" ht="27" customHeight="1" x14ac:dyDescent="0.25">
      <c r="A1394" s="8" t="s">
        <v>2512</v>
      </c>
      <c r="B1394" s="9"/>
      <c r="C1394" s="9"/>
      <c r="D1394" s="8" t="s">
        <v>45</v>
      </c>
      <c r="E1394" s="8"/>
      <c r="F1394" s="8" t="s">
        <v>22</v>
      </c>
      <c r="G1394" s="10" t="s">
        <v>3229</v>
      </c>
      <c r="H1394" s="8" t="s">
        <v>3230</v>
      </c>
      <c r="I1394" s="10" t="s">
        <v>3229</v>
      </c>
      <c r="J1394" s="11" t="s">
        <v>33</v>
      </c>
      <c r="K1394" s="18">
        <v>56050</v>
      </c>
      <c r="L1394" s="12">
        <f t="shared" si="129"/>
        <v>62300</v>
      </c>
      <c r="M1394" s="8">
        <v>1</v>
      </c>
      <c r="N1394" s="8" t="s">
        <v>27</v>
      </c>
      <c r="O1394" s="13"/>
      <c r="P1394" s="14">
        <v>0</v>
      </c>
      <c r="Q1394" s="15">
        <v>0.1</v>
      </c>
      <c r="R1394" s="16" t="str">
        <f t="shared" si="126"/>
        <v>GENERAL</v>
      </c>
      <c r="S1394" s="17"/>
      <c r="T1394" s="10" t="str">
        <f t="shared" si="128"/>
        <v>PONCHADORA DE TERMINALES</v>
      </c>
    </row>
    <row r="1395" spans="1:20" ht="27" customHeight="1" x14ac:dyDescent="0.25">
      <c r="A1395" s="8" t="s">
        <v>2512</v>
      </c>
      <c r="B1395" s="9"/>
      <c r="C1395" s="9"/>
      <c r="D1395" s="8" t="s">
        <v>45</v>
      </c>
      <c r="E1395" s="8"/>
      <c r="F1395" s="8" t="s">
        <v>22</v>
      </c>
      <c r="G1395" s="10" t="s">
        <v>3231</v>
      </c>
      <c r="H1395" s="8" t="s">
        <v>3232</v>
      </c>
      <c r="I1395" s="10" t="s">
        <v>3231</v>
      </c>
      <c r="J1395" s="11" t="s">
        <v>33</v>
      </c>
      <c r="K1395" s="18">
        <v>32300</v>
      </c>
      <c r="L1395" s="12">
        <f t="shared" si="129"/>
        <v>35900</v>
      </c>
      <c r="M1395" s="8">
        <v>1</v>
      </c>
      <c r="N1395" s="8" t="s">
        <v>27</v>
      </c>
      <c r="O1395" s="13"/>
      <c r="P1395" s="14">
        <v>0</v>
      </c>
      <c r="Q1395" s="15">
        <v>0.1</v>
      </c>
      <c r="R1395" s="16" t="str">
        <f t="shared" si="126"/>
        <v>GENERAL</v>
      </c>
      <c r="S1395" s="17"/>
      <c r="T1395" s="10" t="str">
        <f t="shared" si="128"/>
        <v>TENAZA DE SUJECIÓN</v>
      </c>
    </row>
    <row r="1396" spans="1:20" ht="27" customHeight="1" x14ac:dyDescent="0.25">
      <c r="A1396" s="8" t="s">
        <v>2512</v>
      </c>
      <c r="B1396" s="9"/>
      <c r="C1396" s="9"/>
      <c r="D1396" s="8" t="s">
        <v>45</v>
      </c>
      <c r="E1396" s="8"/>
      <c r="F1396" s="8" t="s">
        <v>22</v>
      </c>
      <c r="G1396" s="10" t="s">
        <v>3233</v>
      </c>
      <c r="H1396" s="8" t="s">
        <v>3234</v>
      </c>
      <c r="I1396" s="10" t="s">
        <v>3233</v>
      </c>
      <c r="J1396" s="11" t="s">
        <v>33</v>
      </c>
      <c r="K1396" s="18">
        <v>18500</v>
      </c>
      <c r="L1396" s="12">
        <f t="shared" si="129"/>
        <v>20600</v>
      </c>
      <c r="M1396" s="8">
        <v>1</v>
      </c>
      <c r="N1396" s="8" t="s">
        <v>27</v>
      </c>
      <c r="O1396" s="13"/>
      <c r="P1396" s="14">
        <v>0</v>
      </c>
      <c r="Q1396" s="15">
        <v>0.1</v>
      </c>
      <c r="R1396" s="16" t="str">
        <f t="shared" si="126"/>
        <v>GENERAL</v>
      </c>
      <c r="S1396" s="17"/>
      <c r="T1396" s="10" t="str">
        <f t="shared" si="128"/>
        <v>PRENSA RÁPIDA DE GATILLO</v>
      </c>
    </row>
    <row r="1397" spans="1:20" ht="27" customHeight="1" x14ac:dyDescent="0.25">
      <c r="A1397" s="8" t="s">
        <v>2512</v>
      </c>
      <c r="B1397" s="9"/>
      <c r="C1397" s="9"/>
      <c r="D1397" s="8"/>
      <c r="E1397" s="8"/>
      <c r="F1397" s="8" t="s">
        <v>22</v>
      </c>
      <c r="G1397" s="10" t="s">
        <v>3235</v>
      </c>
      <c r="H1397" s="8" t="s">
        <v>3236</v>
      </c>
      <c r="I1397" s="10" t="s">
        <v>3235</v>
      </c>
      <c r="J1397" s="11" t="s">
        <v>33</v>
      </c>
      <c r="K1397" s="18">
        <v>3228</v>
      </c>
      <c r="L1397" s="12">
        <f t="shared" si="129"/>
        <v>5400</v>
      </c>
      <c r="M1397" s="8">
        <v>1</v>
      </c>
      <c r="N1397" s="8" t="s">
        <v>110</v>
      </c>
      <c r="O1397" s="13"/>
      <c r="P1397" s="14">
        <v>0</v>
      </c>
      <c r="Q1397" s="15">
        <v>0.4</v>
      </c>
      <c r="R1397" s="16" t="str">
        <f t="shared" si="126"/>
        <v>GENERAL</v>
      </c>
      <c r="S1397" s="17"/>
      <c r="T1397" s="10" t="str">
        <f t="shared" si="128"/>
        <v>METRO DE CORAZA AMERICANA DE 1"</v>
      </c>
    </row>
    <row r="1398" spans="1:20" ht="27" customHeight="1" x14ac:dyDescent="0.25">
      <c r="A1398" s="8" t="s">
        <v>2512</v>
      </c>
      <c r="B1398" s="9"/>
      <c r="C1398" s="9"/>
      <c r="D1398" s="8"/>
      <c r="E1398" s="8"/>
      <c r="F1398" s="8" t="s">
        <v>22</v>
      </c>
      <c r="G1398" s="10" t="s">
        <v>3237</v>
      </c>
      <c r="H1398" s="8" t="s">
        <v>3238</v>
      </c>
      <c r="I1398" s="10" t="s">
        <v>3237</v>
      </c>
      <c r="J1398" s="11" t="s">
        <v>33</v>
      </c>
      <c r="K1398" s="18">
        <v>673</v>
      </c>
      <c r="L1398" s="12">
        <f t="shared" si="129"/>
        <v>1200</v>
      </c>
      <c r="M1398" s="8">
        <v>1</v>
      </c>
      <c r="N1398" s="8" t="s">
        <v>110</v>
      </c>
      <c r="O1398" s="13"/>
      <c r="P1398" s="14">
        <v>0.2</v>
      </c>
      <c r="Q1398" s="15">
        <v>0.4</v>
      </c>
      <c r="R1398" s="16" t="str">
        <f t="shared" si="126"/>
        <v>GENERAL</v>
      </c>
      <c r="S1398" s="17"/>
      <c r="T1398" s="10" t="str">
        <f t="shared" si="128"/>
        <v>METRO DE CORAZA PLÁSTICA DE 1".</v>
      </c>
    </row>
    <row r="1399" spans="1:20" ht="27" customHeight="1" x14ac:dyDescent="0.25">
      <c r="A1399" s="8" t="s">
        <v>2512</v>
      </c>
      <c r="B1399" s="9"/>
      <c r="C1399" s="9"/>
      <c r="D1399" s="8" t="s">
        <v>45</v>
      </c>
      <c r="E1399" s="8"/>
      <c r="F1399" s="8" t="s">
        <v>22</v>
      </c>
      <c r="G1399" s="10" t="s">
        <v>3239</v>
      </c>
      <c r="H1399" s="8" t="s">
        <v>3240</v>
      </c>
      <c r="I1399" s="10" t="s">
        <v>3239</v>
      </c>
      <c r="J1399" s="11" t="s">
        <v>33</v>
      </c>
      <c r="K1399" s="18">
        <v>539800</v>
      </c>
      <c r="L1399" s="12">
        <f t="shared" si="129"/>
        <v>599800</v>
      </c>
      <c r="M1399" s="8">
        <v>1</v>
      </c>
      <c r="N1399" s="8" t="s">
        <v>110</v>
      </c>
      <c r="O1399" s="13"/>
      <c r="P1399" s="14">
        <v>0</v>
      </c>
      <c r="Q1399" s="15">
        <v>0.1</v>
      </c>
      <c r="R1399" s="16" t="str">
        <f t="shared" si="126"/>
        <v>GENERAL</v>
      </c>
      <c r="S1399" s="17"/>
      <c r="T1399" s="10" t="str">
        <f t="shared" si="128"/>
        <v>ESCALERA DE 6 PASOS TIPO TIJERA</v>
      </c>
    </row>
    <row r="1400" spans="1:20" ht="27" customHeight="1" x14ac:dyDescent="0.25">
      <c r="A1400" s="8" t="s">
        <v>2512</v>
      </c>
      <c r="B1400" s="9"/>
      <c r="C1400" s="9"/>
      <c r="D1400" s="8"/>
      <c r="E1400" s="8"/>
      <c r="F1400" s="8" t="s">
        <v>22</v>
      </c>
      <c r="G1400" s="10" t="s">
        <v>2773</v>
      </c>
      <c r="H1400" s="8" t="s">
        <v>3241</v>
      </c>
      <c r="I1400" s="10" t="s">
        <v>2773</v>
      </c>
      <c r="J1400" s="11" t="s">
        <v>33</v>
      </c>
      <c r="K1400" s="18">
        <v>4800</v>
      </c>
      <c r="L1400" s="12">
        <f>ROUNDUP(K1400*(1+P1400)/(1-Q1400),0)</f>
        <v>9600</v>
      </c>
      <c r="M1400" s="8">
        <v>1</v>
      </c>
      <c r="N1400" s="8" t="s">
        <v>27</v>
      </c>
      <c r="O1400" s="13"/>
      <c r="P1400" s="14">
        <v>0.2</v>
      </c>
      <c r="Q1400" s="15">
        <v>0.4</v>
      </c>
      <c r="R1400" s="16" t="str">
        <f t="shared" si="126"/>
        <v>GENERAL</v>
      </c>
      <c r="S1400" s="17"/>
      <c r="T1400" s="10" t="str">
        <f t="shared" si="128"/>
        <v>METRO DE CORAZA AMERICANA DE 1/2 DE PULGADA</v>
      </c>
    </row>
    <row r="1401" spans="1:20" ht="27" customHeight="1" x14ac:dyDescent="0.25">
      <c r="A1401" s="8" t="s">
        <v>2512</v>
      </c>
      <c r="B1401" s="9"/>
      <c r="C1401" s="9"/>
      <c r="D1401" s="8" t="s">
        <v>45</v>
      </c>
      <c r="E1401" s="8"/>
      <c r="F1401" s="8" t="s">
        <v>22</v>
      </c>
      <c r="G1401" s="10" t="str">
        <f>B1401&amp;"-"&amp;D1401&amp;"-"&amp;E1401&amp;F1401</f>
        <v>-PROG_-BLANCO</v>
      </c>
      <c r="H1401" s="8" t="s">
        <v>3242</v>
      </c>
      <c r="I1401" s="10" t="s">
        <v>3243</v>
      </c>
      <c r="J1401" s="11" t="s">
        <v>33</v>
      </c>
      <c r="K1401" s="18">
        <v>350000</v>
      </c>
      <c r="L1401" s="12">
        <f>K1401*(1+P1401)/(1-Q1401)</f>
        <v>466666.66666666669</v>
      </c>
      <c r="M1401" s="8">
        <v>1</v>
      </c>
      <c r="N1401" s="8" t="s">
        <v>27</v>
      </c>
      <c r="O1401" s="13"/>
      <c r="P1401" s="14">
        <v>0</v>
      </c>
      <c r="Q1401" s="15">
        <v>0.25</v>
      </c>
      <c r="R1401" s="16" t="str">
        <f t="shared" si="126"/>
        <v>GENERAL</v>
      </c>
      <c r="S1401" s="17"/>
      <c r="T1401" s="10" t="str">
        <f t="shared" si="128"/>
        <v>-PROG_-BLANCO</v>
      </c>
    </row>
    <row r="1402" spans="1:20" ht="27" customHeight="1" x14ac:dyDescent="0.25">
      <c r="A1402" s="8" t="s">
        <v>2512</v>
      </c>
      <c r="B1402" s="9"/>
      <c r="C1402" s="9"/>
      <c r="D1402" s="8" t="s">
        <v>45</v>
      </c>
      <c r="E1402" s="8"/>
      <c r="F1402" s="8" t="s">
        <v>22</v>
      </c>
      <c r="G1402" s="10" t="str">
        <f>B1402&amp;"-"&amp;D1402&amp;"-"&amp;E1402&amp;F1402</f>
        <v>-PROG_-BLANCO</v>
      </c>
      <c r="H1402" s="8" t="s">
        <v>3244</v>
      </c>
      <c r="I1402" s="10" t="s">
        <v>3245</v>
      </c>
      <c r="J1402" s="11" t="s">
        <v>33</v>
      </c>
      <c r="K1402" s="18">
        <v>78000</v>
      </c>
      <c r="L1402" s="12">
        <f>K1402*(1+P1402)/(1-Q1402)</f>
        <v>111428.57142857143</v>
      </c>
      <c r="M1402" s="8">
        <v>1</v>
      </c>
      <c r="N1402" s="8" t="s">
        <v>27</v>
      </c>
      <c r="O1402" s="13"/>
      <c r="P1402" s="14">
        <v>0</v>
      </c>
      <c r="Q1402" s="15">
        <v>0.3</v>
      </c>
      <c r="R1402" s="16" t="str">
        <f t="shared" si="126"/>
        <v>GENERAL</v>
      </c>
      <c r="S1402" s="17"/>
      <c r="T1402" s="10" t="str">
        <f t="shared" si="128"/>
        <v>-PROG_-BLANCO</v>
      </c>
    </row>
    <row r="1403" spans="1:20" ht="27" customHeight="1" x14ac:dyDescent="0.25">
      <c r="A1403" s="8" t="s">
        <v>2512</v>
      </c>
      <c r="B1403" s="9"/>
      <c r="C1403" s="9"/>
      <c r="D1403" s="8" t="s">
        <v>45</v>
      </c>
      <c r="E1403" s="8"/>
      <c r="F1403" s="8" t="s">
        <v>22</v>
      </c>
      <c r="G1403" s="10" t="str">
        <f>B1403&amp;"-"&amp;D1403&amp;"-"&amp;E1403&amp;F1403</f>
        <v>-PROG_-BLANCO</v>
      </c>
      <c r="H1403" s="8" t="s">
        <v>3246</v>
      </c>
      <c r="I1403" s="10" t="s">
        <v>3247</v>
      </c>
      <c r="J1403" s="11" t="s">
        <v>33</v>
      </c>
      <c r="K1403" s="18">
        <v>202233</v>
      </c>
      <c r="L1403" s="12">
        <f t="shared" ref="L1403:L1414" si="130">IF(J1403="P",ROUNDUP(K1403/(1-Q1403),-2),K1403*(1+P1403)/(1-Q1403))</f>
        <v>289000</v>
      </c>
      <c r="M1403" s="8">
        <v>1</v>
      </c>
      <c r="N1403" s="8" t="s">
        <v>27</v>
      </c>
      <c r="O1403" s="13"/>
      <c r="P1403" s="14">
        <v>0</v>
      </c>
      <c r="Q1403" s="15">
        <v>0.3</v>
      </c>
      <c r="R1403" s="16" t="str">
        <f t="shared" si="126"/>
        <v>GENERAL</v>
      </c>
      <c r="S1403" s="17"/>
      <c r="T1403" s="10" t="str">
        <f t="shared" si="128"/>
        <v>-PROG_-BLANCO</v>
      </c>
    </row>
    <row r="1404" spans="1:20" ht="27" customHeight="1" x14ac:dyDescent="0.25">
      <c r="A1404" s="8" t="s">
        <v>2512</v>
      </c>
      <c r="B1404" s="9"/>
      <c r="C1404" s="9"/>
      <c r="D1404" s="8"/>
      <c r="E1404" s="8"/>
      <c r="F1404" s="8"/>
      <c r="G1404" s="10"/>
      <c r="H1404" s="8" t="s">
        <v>3248</v>
      </c>
      <c r="I1404" s="10" t="s">
        <v>3249</v>
      </c>
      <c r="J1404" s="11" t="s">
        <v>33</v>
      </c>
      <c r="K1404" s="18">
        <v>48000</v>
      </c>
      <c r="L1404" s="12">
        <f t="shared" si="130"/>
        <v>68600</v>
      </c>
      <c r="M1404" s="8">
        <v>1</v>
      </c>
      <c r="N1404" s="8" t="s">
        <v>27</v>
      </c>
      <c r="O1404" s="13"/>
      <c r="P1404" s="14">
        <v>0</v>
      </c>
      <c r="Q1404" s="15">
        <v>0.3</v>
      </c>
      <c r="R1404" s="16" t="str">
        <f t="shared" si="126"/>
        <v>GENERAL</v>
      </c>
      <c r="S1404" s="17"/>
      <c r="T1404" s="10"/>
    </row>
    <row r="1405" spans="1:20" ht="27" customHeight="1" x14ac:dyDescent="0.25">
      <c r="A1405" s="8" t="s">
        <v>2512</v>
      </c>
      <c r="B1405" s="9"/>
      <c r="C1405" s="9"/>
      <c r="D1405" s="8"/>
      <c r="E1405" s="8"/>
      <c r="F1405" s="8"/>
      <c r="G1405" s="10"/>
      <c r="H1405" s="8" t="s">
        <v>3250</v>
      </c>
      <c r="I1405" s="10" t="s">
        <v>3251</v>
      </c>
      <c r="J1405" s="11" t="s">
        <v>33</v>
      </c>
      <c r="K1405" s="18">
        <v>120000</v>
      </c>
      <c r="L1405" s="12">
        <f t="shared" si="130"/>
        <v>200000</v>
      </c>
      <c r="M1405" s="8">
        <v>1</v>
      </c>
      <c r="N1405" s="8" t="s">
        <v>27</v>
      </c>
      <c r="O1405" s="13"/>
      <c r="P1405" s="14">
        <v>0</v>
      </c>
      <c r="Q1405" s="15">
        <v>0.4</v>
      </c>
      <c r="R1405" s="16" t="str">
        <f t="shared" si="126"/>
        <v>GENERAL</v>
      </c>
      <c r="S1405" s="17"/>
      <c r="T1405" s="10"/>
    </row>
    <row r="1406" spans="1:20" ht="27" customHeight="1" x14ac:dyDescent="0.25">
      <c r="A1406" s="8" t="s">
        <v>2512</v>
      </c>
      <c r="B1406" s="9"/>
      <c r="C1406" s="9"/>
      <c r="D1406" s="8"/>
      <c r="E1406" s="8"/>
      <c r="F1406" s="8"/>
      <c r="G1406" s="10"/>
      <c r="H1406" s="8" t="s">
        <v>3252</v>
      </c>
      <c r="I1406" s="10" t="s">
        <v>3253</v>
      </c>
      <c r="J1406" s="11" t="s">
        <v>33</v>
      </c>
      <c r="K1406" s="18">
        <v>9000</v>
      </c>
      <c r="L1406" s="12">
        <f t="shared" si="130"/>
        <v>15000</v>
      </c>
      <c r="M1406" s="8">
        <v>1</v>
      </c>
      <c r="N1406" s="8" t="s">
        <v>27</v>
      </c>
      <c r="O1406" s="13"/>
      <c r="P1406" s="14">
        <v>0</v>
      </c>
      <c r="Q1406" s="15">
        <v>0.4</v>
      </c>
      <c r="R1406" s="16" t="str">
        <f t="shared" si="126"/>
        <v>GENERAL</v>
      </c>
      <c r="S1406" s="17"/>
      <c r="T1406" s="10"/>
    </row>
    <row r="1407" spans="1:20" ht="27" customHeight="1" x14ac:dyDescent="0.25">
      <c r="A1407" s="8" t="s">
        <v>2512</v>
      </c>
      <c r="B1407" s="9"/>
      <c r="C1407" s="9"/>
      <c r="D1407" s="8"/>
      <c r="E1407" s="8"/>
      <c r="F1407" s="8"/>
      <c r="G1407" s="10"/>
      <c r="H1407" s="8" t="s">
        <v>3254</v>
      </c>
      <c r="I1407" s="10" t="s">
        <v>3255</v>
      </c>
      <c r="J1407" s="11" t="s">
        <v>33</v>
      </c>
      <c r="K1407" s="18">
        <v>110000</v>
      </c>
      <c r="L1407" s="12">
        <f t="shared" si="130"/>
        <v>183400</v>
      </c>
      <c r="M1407" s="8">
        <v>1</v>
      </c>
      <c r="N1407" s="8" t="s">
        <v>27</v>
      </c>
      <c r="O1407" s="13"/>
      <c r="P1407" s="14">
        <v>0</v>
      </c>
      <c r="Q1407" s="15">
        <v>0.4</v>
      </c>
      <c r="R1407" s="16" t="str">
        <f t="shared" si="126"/>
        <v>GENERAL</v>
      </c>
      <c r="S1407" s="17"/>
      <c r="T1407" s="10"/>
    </row>
    <row r="1408" spans="1:20" ht="27" customHeight="1" x14ac:dyDescent="0.25">
      <c r="A1408" s="8" t="s">
        <v>2512</v>
      </c>
      <c r="B1408" s="9"/>
      <c r="C1408" s="9"/>
      <c r="D1408" s="8"/>
      <c r="E1408" s="8"/>
      <c r="F1408" s="8"/>
      <c r="G1408" s="10"/>
      <c r="H1408" s="8" t="s">
        <v>3256</v>
      </c>
      <c r="I1408" s="10" t="s">
        <v>3257</v>
      </c>
      <c r="J1408" s="11" t="s">
        <v>33</v>
      </c>
      <c r="K1408" s="18">
        <v>3000</v>
      </c>
      <c r="L1408" s="12">
        <f t="shared" si="130"/>
        <v>5000</v>
      </c>
      <c r="M1408" s="8">
        <v>1</v>
      </c>
      <c r="N1408" s="8" t="s">
        <v>27</v>
      </c>
      <c r="O1408" s="13"/>
      <c r="P1408" s="14">
        <v>0</v>
      </c>
      <c r="Q1408" s="15">
        <v>0.4</v>
      </c>
      <c r="R1408" s="16" t="str">
        <f t="shared" si="126"/>
        <v>GENERAL</v>
      </c>
      <c r="S1408" s="17"/>
      <c r="T1408" s="10"/>
    </row>
    <row r="1409" spans="1:20" ht="27" customHeight="1" x14ac:dyDescent="0.25">
      <c r="A1409" s="8" t="s">
        <v>2512</v>
      </c>
      <c r="B1409" s="9"/>
      <c r="C1409" s="9"/>
      <c r="D1409" s="8"/>
      <c r="E1409" s="8"/>
      <c r="F1409" s="8"/>
      <c r="G1409" s="10"/>
      <c r="H1409" s="8" t="s">
        <v>3258</v>
      </c>
      <c r="I1409" s="10" t="s">
        <v>3259</v>
      </c>
      <c r="J1409" s="11" t="s">
        <v>33</v>
      </c>
      <c r="K1409" s="18">
        <v>195000</v>
      </c>
      <c r="L1409" s="12">
        <f t="shared" si="130"/>
        <v>325000</v>
      </c>
      <c r="M1409" s="8">
        <v>1</v>
      </c>
      <c r="N1409" s="8" t="s">
        <v>27</v>
      </c>
      <c r="O1409" s="13"/>
      <c r="P1409" s="14">
        <v>0</v>
      </c>
      <c r="Q1409" s="15">
        <v>0.4</v>
      </c>
      <c r="R1409" s="16" t="str">
        <f t="shared" ref="R1409:R1472" si="131">A1409</f>
        <v>GENERAL</v>
      </c>
      <c r="S1409" s="17"/>
      <c r="T1409" s="10"/>
    </row>
    <row r="1410" spans="1:20" ht="27" customHeight="1" x14ac:dyDescent="0.25">
      <c r="A1410" s="8" t="s">
        <v>2512</v>
      </c>
      <c r="B1410" s="9"/>
      <c r="C1410" s="9"/>
      <c r="D1410" s="8"/>
      <c r="E1410" s="8"/>
      <c r="F1410" s="8"/>
      <c r="G1410" s="10"/>
      <c r="H1410" s="8" t="s">
        <v>3260</v>
      </c>
      <c r="I1410" s="10" t="s">
        <v>3261</v>
      </c>
      <c r="J1410" s="11" t="s">
        <v>33</v>
      </c>
      <c r="K1410" s="18">
        <f>104000/1.19</f>
        <v>87394.957983193279</v>
      </c>
      <c r="L1410" s="12">
        <f t="shared" si="130"/>
        <v>145700</v>
      </c>
      <c r="M1410" s="8">
        <v>1</v>
      </c>
      <c r="N1410" s="8" t="s">
        <v>27</v>
      </c>
      <c r="O1410" s="13"/>
      <c r="P1410" s="14">
        <v>0</v>
      </c>
      <c r="Q1410" s="15">
        <v>0.4</v>
      </c>
      <c r="R1410" s="16" t="str">
        <f t="shared" si="131"/>
        <v>GENERAL</v>
      </c>
      <c r="S1410" s="17" t="s">
        <v>3262</v>
      </c>
      <c r="T1410" s="10"/>
    </row>
    <row r="1411" spans="1:20" ht="27" customHeight="1" x14ac:dyDescent="0.25">
      <c r="A1411" s="8" t="s">
        <v>2512</v>
      </c>
      <c r="B1411" s="9"/>
      <c r="C1411" s="9"/>
      <c r="D1411" s="8"/>
      <c r="E1411" s="8"/>
      <c r="F1411" s="8"/>
      <c r="G1411" s="10"/>
      <c r="H1411" s="8" t="s">
        <v>3263</v>
      </c>
      <c r="I1411" s="10" t="s">
        <v>3264</v>
      </c>
      <c r="J1411" s="11" t="s">
        <v>33</v>
      </c>
      <c r="K1411" s="18">
        <v>309</v>
      </c>
      <c r="L1411" s="12">
        <f t="shared" si="130"/>
        <v>500</v>
      </c>
      <c r="M1411" s="8">
        <v>1</v>
      </c>
      <c r="N1411" s="8" t="s">
        <v>27</v>
      </c>
      <c r="O1411" s="13"/>
      <c r="P1411" s="14">
        <v>0</v>
      </c>
      <c r="Q1411" s="15">
        <v>0.3</v>
      </c>
      <c r="R1411" s="16" t="str">
        <f t="shared" si="131"/>
        <v>GENERAL</v>
      </c>
      <c r="S1411" s="17"/>
      <c r="T1411" s="10"/>
    </row>
    <row r="1412" spans="1:20" ht="27" customHeight="1" x14ac:dyDescent="0.25">
      <c r="A1412" s="8" t="s">
        <v>2512</v>
      </c>
      <c r="B1412" s="9"/>
      <c r="C1412" s="9"/>
      <c r="D1412" s="8"/>
      <c r="E1412" s="8"/>
      <c r="F1412" s="8"/>
      <c r="G1412" s="10"/>
      <c r="H1412" s="8" t="s">
        <v>3265</v>
      </c>
      <c r="I1412" s="10" t="s">
        <v>3266</v>
      </c>
      <c r="J1412" s="11" t="s">
        <v>33</v>
      </c>
      <c r="K1412" s="18">
        <v>6300</v>
      </c>
      <c r="L1412" s="12">
        <f t="shared" si="130"/>
        <v>12600</v>
      </c>
      <c r="M1412" s="8">
        <v>1</v>
      </c>
      <c r="N1412" s="8" t="s">
        <v>27</v>
      </c>
      <c r="O1412" s="13"/>
      <c r="P1412" s="14">
        <v>0</v>
      </c>
      <c r="Q1412" s="15">
        <v>0.5</v>
      </c>
      <c r="R1412" s="16" t="str">
        <f t="shared" si="131"/>
        <v>GENERAL</v>
      </c>
      <c r="S1412" s="17"/>
      <c r="T1412" s="10"/>
    </row>
    <row r="1413" spans="1:20" ht="27" customHeight="1" x14ac:dyDescent="0.25">
      <c r="A1413" s="8" t="s">
        <v>2512</v>
      </c>
      <c r="B1413" s="9"/>
      <c r="C1413" s="9"/>
      <c r="D1413" s="8"/>
      <c r="E1413" s="8"/>
      <c r="F1413" s="8"/>
      <c r="G1413" s="10"/>
      <c r="H1413" s="8" t="s">
        <v>3267</v>
      </c>
      <c r="I1413" s="10" t="s">
        <v>3268</v>
      </c>
      <c r="J1413" s="11" t="s">
        <v>33</v>
      </c>
      <c r="K1413" s="18">
        <v>1199000</v>
      </c>
      <c r="L1413" s="12">
        <f t="shared" si="130"/>
        <v>1712900</v>
      </c>
      <c r="M1413" s="8">
        <v>1</v>
      </c>
      <c r="N1413" s="8" t="s">
        <v>27</v>
      </c>
      <c r="O1413" s="13"/>
      <c r="P1413" s="14">
        <v>0</v>
      </c>
      <c r="Q1413" s="15">
        <v>0.3</v>
      </c>
      <c r="R1413" s="16" t="str">
        <f t="shared" si="131"/>
        <v>GENERAL</v>
      </c>
      <c r="S1413" s="17" t="s">
        <v>3269</v>
      </c>
      <c r="T1413" s="10"/>
    </row>
    <row r="1414" spans="1:20" ht="27" customHeight="1" x14ac:dyDescent="0.25">
      <c r="A1414" s="8" t="s">
        <v>2512</v>
      </c>
      <c r="B1414" s="9"/>
      <c r="C1414" s="9"/>
      <c r="D1414" s="8"/>
      <c r="E1414" s="8"/>
      <c r="F1414" s="8"/>
      <c r="G1414" s="10"/>
      <c r="H1414" s="8" t="s">
        <v>3270</v>
      </c>
      <c r="I1414" s="10" t="s">
        <v>3271</v>
      </c>
      <c r="J1414" s="11" t="s">
        <v>33</v>
      </c>
      <c r="K1414" s="18">
        <v>56000</v>
      </c>
      <c r="L1414" s="12">
        <f t="shared" si="130"/>
        <v>80000</v>
      </c>
      <c r="M1414" s="8">
        <v>1</v>
      </c>
      <c r="N1414" s="8" t="s">
        <v>27</v>
      </c>
      <c r="O1414" s="13"/>
      <c r="P1414" s="14">
        <v>0.2</v>
      </c>
      <c r="Q1414" s="15">
        <v>0.3</v>
      </c>
      <c r="R1414" s="16" t="str">
        <f t="shared" si="131"/>
        <v>GENERAL</v>
      </c>
      <c r="S1414" s="17"/>
      <c r="T1414" s="10"/>
    </row>
    <row r="1415" spans="1:20" ht="27" customHeight="1" x14ac:dyDescent="0.25">
      <c r="A1415" s="8" t="s">
        <v>2512</v>
      </c>
      <c r="B1415" s="9"/>
      <c r="C1415" s="9"/>
      <c r="D1415" s="8"/>
      <c r="E1415" s="8"/>
      <c r="F1415" s="8"/>
      <c r="G1415" s="10"/>
      <c r="H1415" s="8" t="s">
        <v>3272</v>
      </c>
      <c r="I1415" s="10" t="s">
        <v>3273</v>
      </c>
      <c r="J1415" s="11" t="s">
        <v>33</v>
      </c>
      <c r="K1415" s="18">
        <v>20800</v>
      </c>
      <c r="L1415" s="12">
        <f>K1415*(1+P1415)/(1-Q1415)</f>
        <v>34666.666666666672</v>
      </c>
      <c r="M1415" s="8">
        <v>1</v>
      </c>
      <c r="N1415" s="8" t="s">
        <v>27</v>
      </c>
      <c r="O1415" s="13"/>
      <c r="P1415" s="14">
        <v>0</v>
      </c>
      <c r="Q1415" s="15">
        <v>0.4</v>
      </c>
      <c r="R1415" s="16" t="str">
        <f t="shared" si="131"/>
        <v>GENERAL</v>
      </c>
      <c r="S1415" s="17"/>
      <c r="T1415" s="10"/>
    </row>
    <row r="1416" spans="1:20" ht="27" customHeight="1" x14ac:dyDescent="0.25">
      <c r="A1416" s="8" t="s">
        <v>2512</v>
      </c>
      <c r="B1416" s="9"/>
      <c r="C1416" s="9"/>
      <c r="D1416" s="8"/>
      <c r="E1416" s="8"/>
      <c r="F1416" s="8" t="s">
        <v>22</v>
      </c>
      <c r="G1416" s="10" t="s">
        <v>2608</v>
      </c>
      <c r="H1416" s="8" t="s">
        <v>3274</v>
      </c>
      <c r="I1416" s="10" t="s">
        <v>3275</v>
      </c>
      <c r="J1416" s="11" t="s">
        <v>33</v>
      </c>
      <c r="K1416" s="18">
        <v>110000</v>
      </c>
      <c r="L1416" s="12">
        <f>IF(J1416="P",ROUNDUP(K1416/(1-Q1416),-2),K1416*(1+P1416)/(1-Q1416))</f>
        <v>157200</v>
      </c>
      <c r="M1416" s="8">
        <v>1</v>
      </c>
      <c r="N1416" s="8" t="s">
        <v>27</v>
      </c>
      <c r="O1416" s="13"/>
      <c r="P1416" s="14">
        <v>0.2</v>
      </c>
      <c r="Q1416" s="15">
        <v>0.3</v>
      </c>
      <c r="R1416" s="16" t="str">
        <f t="shared" si="131"/>
        <v>GENERAL</v>
      </c>
      <c r="S1416" s="17"/>
      <c r="T1416" s="10" t="str">
        <f>G1416</f>
        <v>CAJA DE PASO DE 30Cm X 20Cm X 10Cm.</v>
      </c>
    </row>
    <row r="1417" spans="1:20" ht="27" customHeight="1" x14ac:dyDescent="0.25">
      <c r="A1417" s="8" t="s">
        <v>2512</v>
      </c>
      <c r="B1417" s="9"/>
      <c r="C1417" s="9"/>
      <c r="D1417" s="8"/>
      <c r="E1417" s="8"/>
      <c r="F1417" s="8"/>
      <c r="G1417" s="10"/>
      <c r="H1417" s="8" t="s">
        <v>3276</v>
      </c>
      <c r="I1417" s="10" t="s">
        <v>3277</v>
      </c>
      <c r="J1417" s="11" t="s">
        <v>33</v>
      </c>
      <c r="K1417" s="18">
        <v>70000</v>
      </c>
      <c r="L1417" s="12">
        <f>IF(J1417="P",ROUNDUP(K1417/(1-Q1417),-2),K1417*(1+P1417)/(1-Q1417))</f>
        <v>100000</v>
      </c>
      <c r="M1417" s="8">
        <v>1</v>
      </c>
      <c r="N1417" s="8" t="s">
        <v>27</v>
      </c>
      <c r="O1417" s="13"/>
      <c r="P1417" s="14">
        <v>0</v>
      </c>
      <c r="Q1417" s="15">
        <v>0.3</v>
      </c>
      <c r="R1417" s="16" t="str">
        <f t="shared" si="131"/>
        <v>GENERAL</v>
      </c>
      <c r="S1417" s="17"/>
      <c r="T1417" s="10"/>
    </row>
    <row r="1418" spans="1:20" ht="27" customHeight="1" x14ac:dyDescent="0.25">
      <c r="A1418" s="8" t="s">
        <v>2512</v>
      </c>
      <c r="B1418" s="9"/>
      <c r="C1418" s="9"/>
      <c r="D1418" s="8"/>
      <c r="E1418" s="8"/>
      <c r="F1418" s="8"/>
      <c r="G1418" s="10"/>
      <c r="H1418" s="8" t="s">
        <v>3278</v>
      </c>
      <c r="I1418" s="10" t="s">
        <v>3279</v>
      </c>
      <c r="J1418" s="11" t="s">
        <v>33</v>
      </c>
      <c r="K1418" s="18">
        <v>5000</v>
      </c>
      <c r="L1418" s="12">
        <f>IF(J1418="P",ROUNDUP(K1418/(1-Q1418),-2),K1418*(1+P1418)/(1-Q1418))</f>
        <v>8400</v>
      </c>
      <c r="M1418" s="8">
        <v>1</v>
      </c>
      <c r="N1418" s="8" t="s">
        <v>27</v>
      </c>
      <c r="O1418" s="13"/>
      <c r="P1418" s="14">
        <v>0</v>
      </c>
      <c r="Q1418" s="15">
        <v>0.4</v>
      </c>
      <c r="R1418" s="16" t="str">
        <f t="shared" si="131"/>
        <v>GENERAL</v>
      </c>
      <c r="S1418" s="17"/>
      <c r="T1418" s="10"/>
    </row>
    <row r="1419" spans="1:20" ht="27" customHeight="1" x14ac:dyDescent="0.25">
      <c r="A1419" s="8" t="s">
        <v>2512</v>
      </c>
      <c r="B1419" s="9"/>
      <c r="C1419" s="9"/>
      <c r="D1419" s="8"/>
      <c r="E1419" s="8"/>
      <c r="F1419" s="8"/>
      <c r="G1419" s="10"/>
      <c r="H1419" s="8" t="s">
        <v>3280</v>
      </c>
      <c r="I1419" s="10" t="s">
        <v>3281</v>
      </c>
      <c r="J1419" s="11" t="s">
        <v>33</v>
      </c>
      <c r="K1419" s="18">
        <v>1600</v>
      </c>
      <c r="L1419" s="12">
        <f>IF(J1419="P",ROUNDUP(K1419/(1-Q1419),-2),K1419*(1+P1419)/(1-Q1419))</f>
        <v>2700</v>
      </c>
      <c r="M1419" s="8">
        <v>1</v>
      </c>
      <c r="N1419" s="8" t="s">
        <v>27</v>
      </c>
      <c r="O1419" s="13"/>
      <c r="P1419" s="14">
        <v>0</v>
      </c>
      <c r="Q1419" s="15">
        <v>0.4</v>
      </c>
      <c r="R1419" s="16" t="str">
        <f t="shared" si="131"/>
        <v>GENERAL</v>
      </c>
      <c r="S1419" s="17"/>
      <c r="T1419" s="10"/>
    </row>
    <row r="1420" spans="1:20" ht="27" customHeight="1" x14ac:dyDescent="0.25">
      <c r="A1420" s="8" t="s">
        <v>2512</v>
      </c>
      <c r="B1420" s="9"/>
      <c r="C1420" s="9"/>
      <c r="D1420" s="8"/>
      <c r="E1420" s="8"/>
      <c r="F1420" s="8"/>
      <c r="G1420" s="10"/>
      <c r="H1420" s="8" t="s">
        <v>3282</v>
      </c>
      <c r="I1420" s="10" t="s">
        <v>3283</v>
      </c>
      <c r="J1420" s="11" t="s">
        <v>33</v>
      </c>
      <c r="K1420" s="18">
        <v>1200</v>
      </c>
      <c r="L1420" s="12">
        <f>IF(J1420="P",ROUNDUP(K1420/(1-Q1420),-2),K1420*(1+P1420)/(1-Q1420))</f>
        <v>2000</v>
      </c>
      <c r="M1420" s="8">
        <v>1</v>
      </c>
      <c r="N1420" s="8" t="s">
        <v>27</v>
      </c>
      <c r="O1420" s="13"/>
      <c r="P1420" s="14">
        <v>0</v>
      </c>
      <c r="Q1420" s="15">
        <v>0.4</v>
      </c>
      <c r="R1420" s="16" t="str">
        <f t="shared" si="131"/>
        <v>GENERAL</v>
      </c>
      <c r="S1420" s="17"/>
      <c r="T1420" s="10"/>
    </row>
    <row r="1421" spans="1:20" ht="27" customHeight="1" x14ac:dyDescent="0.25">
      <c r="A1421" s="8" t="s">
        <v>2512</v>
      </c>
      <c r="B1421" s="9"/>
      <c r="C1421" s="9"/>
      <c r="D1421" s="8"/>
      <c r="E1421" s="8"/>
      <c r="F1421" s="8"/>
      <c r="G1421" s="10"/>
      <c r="H1421" s="8" t="s">
        <v>3284</v>
      </c>
      <c r="I1421" s="10" t="s">
        <v>3285</v>
      </c>
      <c r="J1421" s="11" t="s">
        <v>33</v>
      </c>
      <c r="K1421" s="18">
        <v>2500</v>
      </c>
      <c r="L1421" s="12">
        <f>K1421*(1+P1421)/(1-Q1421)</f>
        <v>4166.666666666667</v>
      </c>
      <c r="M1421" s="8">
        <v>1</v>
      </c>
      <c r="N1421" s="8" t="s">
        <v>27</v>
      </c>
      <c r="O1421" s="13"/>
      <c r="P1421" s="14">
        <v>0</v>
      </c>
      <c r="Q1421" s="15">
        <v>0.4</v>
      </c>
      <c r="R1421" s="16" t="str">
        <f t="shared" si="131"/>
        <v>GENERAL</v>
      </c>
      <c r="S1421" s="17"/>
      <c r="T1421" s="10"/>
    </row>
    <row r="1422" spans="1:20" ht="27" customHeight="1" x14ac:dyDescent="0.25">
      <c r="A1422" s="8" t="s">
        <v>2512</v>
      </c>
      <c r="B1422" s="9"/>
      <c r="C1422" s="9"/>
      <c r="D1422" s="8"/>
      <c r="E1422" s="8"/>
      <c r="F1422" s="8"/>
      <c r="G1422" s="10"/>
      <c r="H1422" s="8" t="s">
        <v>3286</v>
      </c>
      <c r="I1422" s="10" t="s">
        <v>3287</v>
      </c>
      <c r="J1422" s="11" t="s">
        <v>33</v>
      </c>
      <c r="K1422" s="18">
        <v>42600</v>
      </c>
      <c r="L1422" s="12">
        <f>K1422*(1+P1422)/(1-Q1422)</f>
        <v>71000</v>
      </c>
      <c r="M1422" s="8">
        <v>1</v>
      </c>
      <c r="N1422" s="8" t="s">
        <v>27</v>
      </c>
      <c r="O1422" s="13"/>
      <c r="P1422" s="14">
        <v>0</v>
      </c>
      <c r="Q1422" s="15">
        <v>0.4</v>
      </c>
      <c r="R1422" s="16" t="str">
        <f t="shared" si="131"/>
        <v>GENERAL</v>
      </c>
      <c r="S1422" s="17"/>
      <c r="T1422" s="10"/>
    </row>
    <row r="1423" spans="1:20" ht="27" customHeight="1" x14ac:dyDescent="0.25">
      <c r="A1423" s="8" t="s">
        <v>2512</v>
      </c>
      <c r="B1423" s="9"/>
      <c r="C1423" s="9"/>
      <c r="D1423" s="8"/>
      <c r="E1423" s="8"/>
      <c r="F1423" s="8"/>
      <c r="G1423" s="10"/>
      <c r="H1423" s="8" t="s">
        <v>3288</v>
      </c>
      <c r="I1423" s="10" t="s">
        <v>3289</v>
      </c>
      <c r="J1423" s="11" t="s">
        <v>33</v>
      </c>
      <c r="K1423" s="18">
        <v>49000</v>
      </c>
      <c r="L1423" s="12">
        <f>K1423*(1+P1423)/(1-Q1423)</f>
        <v>80000.000001072811</v>
      </c>
      <c r="M1423" s="8">
        <v>1</v>
      </c>
      <c r="N1423" s="8" t="s">
        <v>27</v>
      </c>
      <c r="O1423" s="13"/>
      <c r="P1423" s="14">
        <v>0</v>
      </c>
      <c r="Q1423" s="15">
        <v>0.38750000000821372</v>
      </c>
      <c r="R1423" s="16" t="str">
        <f t="shared" si="131"/>
        <v>GENERAL</v>
      </c>
      <c r="S1423" s="17"/>
      <c r="T1423" s="10"/>
    </row>
    <row r="1424" spans="1:20" ht="27" customHeight="1" x14ac:dyDescent="0.25">
      <c r="A1424" s="8" t="s">
        <v>2512</v>
      </c>
      <c r="B1424" s="9"/>
      <c r="C1424" s="9"/>
      <c r="D1424" s="8"/>
      <c r="E1424" s="8"/>
      <c r="F1424" s="8"/>
      <c r="G1424" s="10"/>
      <c r="H1424" s="8" t="s">
        <v>3290</v>
      </c>
      <c r="I1424" s="10" t="s">
        <v>3291</v>
      </c>
      <c r="J1424" s="11" t="s">
        <v>33</v>
      </c>
      <c r="K1424" s="18">
        <f>91000/1.19</f>
        <v>76470.588235294126</v>
      </c>
      <c r="L1424" s="12">
        <f>K1424*(1+P1424)/(1-Q1424)</f>
        <v>109243.69747899161</v>
      </c>
      <c r="M1424" s="8">
        <v>1</v>
      </c>
      <c r="N1424" s="8" t="s">
        <v>27</v>
      </c>
      <c r="O1424" s="13"/>
      <c r="P1424" s="14">
        <v>0</v>
      </c>
      <c r="Q1424" s="15">
        <v>0.3</v>
      </c>
      <c r="R1424" s="16" t="str">
        <f t="shared" si="131"/>
        <v>GENERAL</v>
      </c>
      <c r="S1424" s="17"/>
      <c r="T1424" s="10"/>
    </row>
    <row r="1425" spans="1:20" ht="27" customHeight="1" x14ac:dyDescent="0.25">
      <c r="A1425" s="8" t="s">
        <v>2512</v>
      </c>
      <c r="B1425" s="9"/>
      <c r="C1425" s="9"/>
      <c r="D1425" s="8"/>
      <c r="E1425" s="8"/>
      <c r="F1425" s="8"/>
      <c r="G1425" s="10"/>
      <c r="H1425" s="8" t="s">
        <v>3292</v>
      </c>
      <c r="I1425" s="10" t="s">
        <v>3293</v>
      </c>
      <c r="J1425" s="11" t="s">
        <v>33</v>
      </c>
      <c r="K1425" s="18">
        <v>1300</v>
      </c>
      <c r="L1425" s="12">
        <f>IF(J1425="P",ROUNDUP(K1425/(1-Q1425),-2),K1425*(1+P1425)/(1-Q1425))</f>
        <v>2600</v>
      </c>
      <c r="M1425" s="8">
        <v>1</v>
      </c>
      <c r="N1425" s="8" t="s">
        <v>27</v>
      </c>
      <c r="O1425" s="13"/>
      <c r="P1425" s="14">
        <v>0</v>
      </c>
      <c r="Q1425" s="15">
        <v>0.5</v>
      </c>
      <c r="R1425" s="16" t="str">
        <f t="shared" si="131"/>
        <v>GENERAL</v>
      </c>
      <c r="S1425" s="17"/>
      <c r="T1425" s="10"/>
    </row>
    <row r="1426" spans="1:20" ht="27" customHeight="1" x14ac:dyDescent="0.25">
      <c r="A1426" s="8" t="s">
        <v>2512</v>
      </c>
      <c r="B1426" s="9"/>
      <c r="C1426" s="9"/>
      <c r="D1426" s="8"/>
      <c r="E1426" s="8"/>
      <c r="F1426" s="8"/>
      <c r="G1426" s="10"/>
      <c r="H1426" s="8" t="s">
        <v>3294</v>
      </c>
      <c r="I1426" s="10" t="s">
        <v>3295</v>
      </c>
      <c r="J1426" s="11" t="s">
        <v>33</v>
      </c>
      <c r="K1426" s="18">
        <v>44000</v>
      </c>
      <c r="L1426" s="12">
        <f>IF(J1426="P",ROUNDUP(K1426/(1-Q1426),-2),K1426*(1+P1426)/(1-Q1426))</f>
        <v>73400</v>
      </c>
      <c r="M1426" s="8">
        <v>1</v>
      </c>
      <c r="N1426" s="8" t="s">
        <v>27</v>
      </c>
      <c r="O1426" s="13"/>
      <c r="P1426" s="14">
        <v>0</v>
      </c>
      <c r="Q1426" s="15">
        <v>0.4</v>
      </c>
      <c r="R1426" s="16" t="str">
        <f t="shared" si="131"/>
        <v>GENERAL</v>
      </c>
      <c r="S1426" s="17"/>
      <c r="T1426" s="10"/>
    </row>
    <row r="1427" spans="1:20" ht="27" customHeight="1" x14ac:dyDescent="0.25">
      <c r="A1427" s="8" t="s">
        <v>2512</v>
      </c>
      <c r="B1427" s="9"/>
      <c r="C1427" s="9"/>
      <c r="D1427" s="8"/>
      <c r="E1427" s="8"/>
      <c r="F1427" s="8"/>
      <c r="G1427" s="10"/>
      <c r="H1427" s="8" t="s">
        <v>3296</v>
      </c>
      <c r="I1427" s="10" t="s">
        <v>3297</v>
      </c>
      <c r="J1427" s="11" t="s">
        <v>33</v>
      </c>
      <c r="K1427" s="18">
        <v>38000</v>
      </c>
      <c r="L1427" s="12">
        <f>K1427*(1+P1427)/(1-Q1427)</f>
        <v>63333.333333333336</v>
      </c>
      <c r="M1427" s="8">
        <v>1</v>
      </c>
      <c r="N1427" s="8" t="s">
        <v>27</v>
      </c>
      <c r="O1427" s="13"/>
      <c r="P1427" s="14">
        <v>0</v>
      </c>
      <c r="Q1427" s="15">
        <v>0.4</v>
      </c>
      <c r="R1427" s="16" t="str">
        <f t="shared" si="131"/>
        <v>GENERAL</v>
      </c>
      <c r="S1427" s="17" t="s">
        <v>3298</v>
      </c>
      <c r="T1427" s="10"/>
    </row>
    <row r="1428" spans="1:20" ht="27" customHeight="1" x14ac:dyDescent="0.25">
      <c r="A1428" s="8" t="s">
        <v>2512</v>
      </c>
      <c r="B1428" s="9"/>
      <c r="C1428" s="9"/>
      <c r="D1428" s="8"/>
      <c r="E1428" s="8"/>
      <c r="F1428" s="8"/>
      <c r="G1428" s="10"/>
      <c r="H1428" s="8" t="s">
        <v>3299</v>
      </c>
      <c r="I1428" s="10" t="s">
        <v>3300</v>
      </c>
      <c r="J1428" s="11" t="s">
        <v>33</v>
      </c>
      <c r="K1428" s="18">
        <v>7000</v>
      </c>
      <c r="L1428" s="12">
        <f>ROUNDUP(K1428*(1+P1428)/(1-Q1428),0)</f>
        <v>14023</v>
      </c>
      <c r="M1428" s="8">
        <v>1</v>
      </c>
      <c r="N1428" s="8" t="s">
        <v>27</v>
      </c>
      <c r="O1428" s="13"/>
      <c r="P1428" s="14">
        <v>0</v>
      </c>
      <c r="Q1428" s="15">
        <v>0.50080184224079471</v>
      </c>
      <c r="R1428" s="16" t="str">
        <f t="shared" si="131"/>
        <v>GENERAL</v>
      </c>
      <c r="S1428" s="17"/>
      <c r="T1428" s="10"/>
    </row>
    <row r="1429" spans="1:20" ht="27" customHeight="1" x14ac:dyDescent="0.25">
      <c r="A1429" s="8" t="s">
        <v>2512</v>
      </c>
      <c r="B1429" s="9"/>
      <c r="C1429" s="9"/>
      <c r="D1429" s="8"/>
      <c r="E1429" s="8"/>
      <c r="F1429" s="8"/>
      <c r="G1429" s="10"/>
      <c r="H1429" s="8" t="s">
        <v>3301</v>
      </c>
      <c r="I1429" s="10" t="s">
        <v>3302</v>
      </c>
      <c r="J1429" s="11" t="s">
        <v>33</v>
      </c>
      <c r="K1429" s="18">
        <v>25000</v>
      </c>
      <c r="L1429" s="12">
        <f>ROUNDUP(K1429*(1+P1429)/(1-Q1429),0)</f>
        <v>35715</v>
      </c>
      <c r="M1429" s="8">
        <v>1</v>
      </c>
      <c r="N1429" s="8" t="s">
        <v>27</v>
      </c>
      <c r="O1429" s="13"/>
      <c r="P1429" s="14">
        <v>0</v>
      </c>
      <c r="Q1429" s="15">
        <v>0.3</v>
      </c>
      <c r="R1429" s="16" t="str">
        <f t="shared" si="131"/>
        <v>GENERAL</v>
      </c>
      <c r="S1429" s="17"/>
      <c r="T1429" s="10"/>
    </row>
    <row r="1430" spans="1:20" ht="27" customHeight="1" x14ac:dyDescent="0.25">
      <c r="A1430" s="8" t="s">
        <v>2512</v>
      </c>
      <c r="B1430" s="9"/>
      <c r="C1430" s="9"/>
      <c r="D1430" s="8"/>
      <c r="E1430" s="8"/>
      <c r="F1430" s="8"/>
      <c r="G1430" s="10"/>
      <c r="H1430" s="8" t="s">
        <v>3303</v>
      </c>
      <c r="I1430" s="10" t="s">
        <v>3304</v>
      </c>
      <c r="J1430" s="11" t="s">
        <v>33</v>
      </c>
      <c r="K1430" s="18">
        <v>1000</v>
      </c>
      <c r="L1430" s="12">
        <f>ROUNDUP(K1430*(1+P1430)/(1-Q1430),0)</f>
        <v>2000</v>
      </c>
      <c r="M1430" s="8">
        <v>1</v>
      </c>
      <c r="N1430" s="8" t="s">
        <v>27</v>
      </c>
      <c r="O1430" s="13"/>
      <c r="P1430" s="14">
        <v>0</v>
      </c>
      <c r="Q1430" s="15">
        <v>0.5</v>
      </c>
      <c r="R1430" s="16" t="str">
        <f t="shared" si="131"/>
        <v>GENERAL</v>
      </c>
      <c r="S1430" s="17"/>
      <c r="T1430" s="10"/>
    </row>
    <row r="1431" spans="1:20" ht="27" customHeight="1" x14ac:dyDescent="0.25">
      <c r="A1431" s="8" t="s">
        <v>2512</v>
      </c>
      <c r="B1431" s="9"/>
      <c r="C1431" s="9"/>
      <c r="D1431" s="8"/>
      <c r="E1431" s="8"/>
      <c r="F1431" s="8"/>
      <c r="G1431" s="10"/>
      <c r="H1431" s="8" t="s">
        <v>3305</v>
      </c>
      <c r="I1431" s="10" t="s">
        <v>3306</v>
      </c>
      <c r="J1431" s="11" t="s">
        <v>33</v>
      </c>
      <c r="K1431" s="18">
        <v>1399000</v>
      </c>
      <c r="L1431" s="12">
        <f t="shared" ref="L1431:L1436" si="132">K1431*(1+P1431)/(1-Q1431)</f>
        <v>1998571.4285714286</v>
      </c>
      <c r="M1431" s="8">
        <v>1</v>
      </c>
      <c r="N1431" s="8" t="s">
        <v>27</v>
      </c>
      <c r="O1431" s="13"/>
      <c r="P1431" s="14">
        <v>0</v>
      </c>
      <c r="Q1431" s="15">
        <v>0.3</v>
      </c>
      <c r="R1431" s="16" t="str">
        <f t="shared" si="131"/>
        <v>GENERAL</v>
      </c>
      <c r="S1431" s="17"/>
      <c r="T1431" s="10"/>
    </row>
    <row r="1432" spans="1:20" ht="27" customHeight="1" x14ac:dyDescent="0.25">
      <c r="A1432" s="8" t="s">
        <v>2512</v>
      </c>
      <c r="B1432" s="9"/>
      <c r="C1432" s="9"/>
      <c r="D1432" s="8"/>
      <c r="E1432" s="8"/>
      <c r="F1432" s="8"/>
      <c r="G1432" s="10"/>
      <c r="H1432" s="8" t="s">
        <v>3307</v>
      </c>
      <c r="I1432" s="10" t="s">
        <v>3308</v>
      </c>
      <c r="J1432" s="11" t="s">
        <v>33</v>
      </c>
      <c r="K1432" s="18">
        <v>90000</v>
      </c>
      <c r="L1432" s="12">
        <f t="shared" si="132"/>
        <v>128571.42857142858</v>
      </c>
      <c r="M1432" s="8">
        <v>1</v>
      </c>
      <c r="N1432" s="8" t="s">
        <v>27</v>
      </c>
      <c r="O1432" s="13"/>
      <c r="P1432" s="14">
        <v>0</v>
      </c>
      <c r="Q1432" s="15">
        <v>0.3</v>
      </c>
      <c r="R1432" s="16" t="str">
        <f t="shared" si="131"/>
        <v>GENERAL</v>
      </c>
      <c r="S1432" s="17"/>
      <c r="T1432" s="10"/>
    </row>
    <row r="1433" spans="1:20" ht="27" customHeight="1" x14ac:dyDescent="0.25">
      <c r="A1433" s="8" t="s">
        <v>2512</v>
      </c>
      <c r="B1433" s="9"/>
      <c r="C1433" s="9"/>
      <c r="D1433" s="8"/>
      <c r="E1433" s="8"/>
      <c r="F1433" s="8"/>
      <c r="G1433" s="10"/>
      <c r="H1433" s="8" t="s">
        <v>3309</v>
      </c>
      <c r="I1433" s="10" t="s">
        <v>3310</v>
      </c>
      <c r="J1433" s="11" t="s">
        <v>33</v>
      </c>
      <c r="K1433" s="18">
        <v>170000</v>
      </c>
      <c r="L1433" s="12">
        <f t="shared" si="132"/>
        <v>283333.33333333337</v>
      </c>
      <c r="M1433" s="8">
        <v>1</v>
      </c>
      <c r="N1433" s="8" t="s">
        <v>27</v>
      </c>
      <c r="O1433" s="13"/>
      <c r="P1433" s="14">
        <v>0</v>
      </c>
      <c r="Q1433" s="15">
        <v>0.4</v>
      </c>
      <c r="R1433" s="16" t="str">
        <f t="shared" si="131"/>
        <v>GENERAL</v>
      </c>
      <c r="S1433" s="17"/>
      <c r="T1433" s="10"/>
    </row>
    <row r="1434" spans="1:20" ht="27" customHeight="1" x14ac:dyDescent="0.25">
      <c r="A1434" s="8" t="s">
        <v>2512</v>
      </c>
      <c r="B1434" s="9"/>
      <c r="C1434" s="9"/>
      <c r="D1434" s="8"/>
      <c r="E1434" s="8"/>
      <c r="F1434" s="8"/>
      <c r="G1434" s="10"/>
      <c r="H1434" s="8" t="s">
        <v>3311</v>
      </c>
      <c r="I1434" s="10" t="s">
        <v>3312</v>
      </c>
      <c r="J1434" s="11" t="s">
        <v>33</v>
      </c>
      <c r="K1434" s="18">
        <v>115000</v>
      </c>
      <c r="L1434" s="12">
        <f t="shared" si="132"/>
        <v>164285.71428571429</v>
      </c>
      <c r="M1434" s="8">
        <v>1</v>
      </c>
      <c r="N1434" s="8" t="s">
        <v>27</v>
      </c>
      <c r="O1434" s="13"/>
      <c r="P1434" s="14">
        <v>0</v>
      </c>
      <c r="Q1434" s="15">
        <v>0.3</v>
      </c>
      <c r="R1434" s="16" t="str">
        <f t="shared" si="131"/>
        <v>GENERAL</v>
      </c>
      <c r="S1434" s="17"/>
      <c r="T1434" s="10"/>
    </row>
    <row r="1435" spans="1:20" ht="27" customHeight="1" x14ac:dyDescent="0.25">
      <c r="A1435" s="8" t="s">
        <v>2512</v>
      </c>
      <c r="B1435" s="9"/>
      <c r="C1435" s="9"/>
      <c r="D1435" s="8"/>
      <c r="E1435" s="8"/>
      <c r="F1435" s="8"/>
      <c r="G1435" s="10"/>
      <c r="H1435" s="8" t="s">
        <v>3313</v>
      </c>
      <c r="I1435" s="10" t="s">
        <v>3314</v>
      </c>
      <c r="J1435" s="11" t="s">
        <v>33</v>
      </c>
      <c r="K1435" s="18">
        <v>11000</v>
      </c>
      <c r="L1435" s="12">
        <f t="shared" si="132"/>
        <v>22000</v>
      </c>
      <c r="M1435" s="8">
        <v>1</v>
      </c>
      <c r="N1435" s="8" t="s">
        <v>27</v>
      </c>
      <c r="O1435" s="13"/>
      <c r="P1435" s="14">
        <v>0</v>
      </c>
      <c r="Q1435" s="15">
        <v>0.5</v>
      </c>
      <c r="R1435" s="16" t="str">
        <f t="shared" si="131"/>
        <v>GENERAL</v>
      </c>
      <c r="S1435" s="17"/>
      <c r="T1435" s="10"/>
    </row>
    <row r="1436" spans="1:20" ht="27" customHeight="1" x14ac:dyDescent="0.25">
      <c r="A1436" s="8" t="s">
        <v>2512</v>
      </c>
      <c r="B1436" s="9"/>
      <c r="C1436" s="9"/>
      <c r="D1436" s="8"/>
      <c r="E1436" s="8"/>
      <c r="F1436" s="8"/>
      <c r="G1436" s="10"/>
      <c r="H1436" s="8" t="s">
        <v>3315</v>
      </c>
      <c r="I1436" s="10" t="s">
        <v>3316</v>
      </c>
      <c r="J1436" s="11" t="s">
        <v>33</v>
      </c>
      <c r="K1436" s="18">
        <v>10000</v>
      </c>
      <c r="L1436" s="12">
        <f t="shared" si="132"/>
        <v>16666.666666666668</v>
      </c>
      <c r="M1436" s="8">
        <v>1</v>
      </c>
      <c r="N1436" s="8" t="s">
        <v>27</v>
      </c>
      <c r="O1436" s="13"/>
      <c r="P1436" s="14">
        <v>0</v>
      </c>
      <c r="Q1436" s="15">
        <v>0.4</v>
      </c>
      <c r="R1436" s="16" t="str">
        <f t="shared" si="131"/>
        <v>GENERAL</v>
      </c>
      <c r="S1436" s="17"/>
      <c r="T1436" s="10"/>
    </row>
    <row r="1437" spans="1:20" ht="27" customHeight="1" x14ac:dyDescent="0.25">
      <c r="A1437" s="8" t="s">
        <v>2512</v>
      </c>
      <c r="B1437" s="9"/>
      <c r="C1437" s="9"/>
      <c r="D1437" s="8"/>
      <c r="E1437" s="8"/>
      <c r="F1437" s="8" t="s">
        <v>22</v>
      </c>
      <c r="G1437" s="10" t="s">
        <v>3317</v>
      </c>
      <c r="H1437" s="8" t="s">
        <v>3318</v>
      </c>
      <c r="I1437" s="10" t="s">
        <v>3317</v>
      </c>
      <c r="J1437" s="11" t="s">
        <v>33</v>
      </c>
      <c r="K1437" s="18">
        <v>15000</v>
      </c>
      <c r="L1437" s="12">
        <f t="shared" ref="L1437:L1446" si="133">IF(J1437="P",ROUNDUP(K1437/(1-Q1437),-2),K1437*(1+P1437)/(1-Q1437))</f>
        <v>21500</v>
      </c>
      <c r="M1437" s="8">
        <v>1</v>
      </c>
      <c r="N1437" s="8" t="s">
        <v>27</v>
      </c>
      <c r="O1437" s="13"/>
      <c r="P1437" s="14">
        <v>0</v>
      </c>
      <c r="Q1437" s="15">
        <v>0.3</v>
      </c>
      <c r="R1437" s="16" t="str">
        <f t="shared" si="131"/>
        <v>GENERAL</v>
      </c>
      <c r="S1437" s="17"/>
      <c r="T1437" s="10"/>
    </row>
    <row r="1438" spans="1:20" ht="27" customHeight="1" x14ac:dyDescent="0.25">
      <c r="A1438" s="8" t="s">
        <v>2512</v>
      </c>
      <c r="B1438" s="9"/>
      <c r="C1438" s="9"/>
      <c r="D1438" s="8"/>
      <c r="E1438" s="8"/>
      <c r="F1438" s="8" t="s">
        <v>22</v>
      </c>
      <c r="G1438" s="10" t="s">
        <v>3319</v>
      </c>
      <c r="H1438" s="8" t="s">
        <v>3320</v>
      </c>
      <c r="I1438" s="10" t="s">
        <v>3319</v>
      </c>
      <c r="J1438" s="11" t="s">
        <v>33</v>
      </c>
      <c r="K1438" s="18">
        <v>14000</v>
      </c>
      <c r="L1438" s="12">
        <f t="shared" si="133"/>
        <v>20000</v>
      </c>
      <c r="M1438" s="8">
        <v>1</v>
      </c>
      <c r="N1438" s="8" t="s">
        <v>27</v>
      </c>
      <c r="O1438" s="13" t="s">
        <v>588</v>
      </c>
      <c r="P1438" s="14">
        <v>0</v>
      </c>
      <c r="Q1438" s="15">
        <v>0.3</v>
      </c>
      <c r="R1438" s="16" t="str">
        <f t="shared" si="131"/>
        <v>GENERAL</v>
      </c>
      <c r="S1438" s="17"/>
      <c r="T1438" s="10" t="str">
        <f>G1438</f>
        <v>TERMINAL PARA CORAZA DE 1.5 DE PULGADA</v>
      </c>
    </row>
    <row r="1439" spans="1:20" ht="27" customHeight="1" x14ac:dyDescent="0.25">
      <c r="A1439" s="8" t="s">
        <v>2512</v>
      </c>
      <c r="B1439" s="9"/>
      <c r="C1439" s="9"/>
      <c r="D1439" s="8"/>
      <c r="E1439" s="8"/>
      <c r="F1439" s="8"/>
      <c r="G1439" s="10"/>
      <c r="H1439" s="8" t="s">
        <v>3321</v>
      </c>
      <c r="I1439" s="10" t="s">
        <v>3322</v>
      </c>
      <c r="J1439" s="11" t="s">
        <v>33</v>
      </c>
      <c r="K1439" s="18">
        <v>27200</v>
      </c>
      <c r="L1439" s="12">
        <f t="shared" si="133"/>
        <v>38900</v>
      </c>
      <c r="M1439" s="8">
        <v>1</v>
      </c>
      <c r="N1439" s="8" t="s">
        <v>27</v>
      </c>
      <c r="O1439" s="13" t="s">
        <v>588</v>
      </c>
      <c r="P1439" s="14">
        <v>0</v>
      </c>
      <c r="Q1439" s="15">
        <v>0.3</v>
      </c>
      <c r="R1439" s="16" t="str">
        <f t="shared" si="131"/>
        <v>GENERAL</v>
      </c>
      <c r="S1439" s="17"/>
      <c r="T1439" s="10"/>
    </row>
    <row r="1440" spans="1:20" ht="27" customHeight="1" x14ac:dyDescent="0.25">
      <c r="A1440" s="8" t="s">
        <v>2512</v>
      </c>
      <c r="B1440" s="9"/>
      <c r="C1440" s="9"/>
      <c r="D1440" s="8"/>
      <c r="E1440" s="8"/>
      <c r="F1440" s="8"/>
      <c r="G1440" s="10"/>
      <c r="H1440" s="8" t="s">
        <v>3323</v>
      </c>
      <c r="I1440" s="10" t="s">
        <v>3324</v>
      </c>
      <c r="J1440" s="11" t="s">
        <v>33</v>
      </c>
      <c r="K1440" s="18">
        <v>2600</v>
      </c>
      <c r="L1440" s="12">
        <f t="shared" si="133"/>
        <v>4400</v>
      </c>
      <c r="M1440" s="8">
        <v>1</v>
      </c>
      <c r="N1440" s="8" t="s">
        <v>27</v>
      </c>
      <c r="O1440" s="13"/>
      <c r="P1440" s="14">
        <v>0</v>
      </c>
      <c r="Q1440" s="15">
        <v>0.4</v>
      </c>
      <c r="R1440" s="16" t="str">
        <f t="shared" si="131"/>
        <v>GENERAL</v>
      </c>
      <c r="S1440" s="17"/>
      <c r="T1440" s="10"/>
    </row>
    <row r="1441" spans="1:20" ht="27" customHeight="1" x14ac:dyDescent="0.25">
      <c r="A1441" s="8" t="s">
        <v>2512</v>
      </c>
      <c r="B1441" s="9"/>
      <c r="C1441" s="9"/>
      <c r="D1441" s="8"/>
      <c r="E1441" s="8"/>
      <c r="F1441" s="8"/>
      <c r="G1441" s="10"/>
      <c r="H1441" s="8" t="s">
        <v>3325</v>
      </c>
      <c r="I1441" s="10" t="s">
        <v>3326</v>
      </c>
      <c r="J1441" s="11" t="s">
        <v>26</v>
      </c>
      <c r="K1441" s="18">
        <v>14</v>
      </c>
      <c r="L1441" s="12">
        <f t="shared" si="133"/>
        <v>19.764705882352942</v>
      </c>
      <c r="M1441" s="8">
        <v>1</v>
      </c>
      <c r="N1441" s="8" t="s">
        <v>110</v>
      </c>
      <c r="O1441" s="13"/>
      <c r="P1441" s="14">
        <v>0.2</v>
      </c>
      <c r="Q1441" s="15">
        <v>0.15</v>
      </c>
      <c r="R1441" s="16" t="str">
        <f t="shared" si="131"/>
        <v>GENERAL</v>
      </c>
      <c r="S1441" s="17"/>
      <c r="T1441" s="10"/>
    </row>
    <row r="1442" spans="1:20" ht="27" customHeight="1" x14ac:dyDescent="0.25">
      <c r="A1442" s="8" t="s">
        <v>2512</v>
      </c>
      <c r="B1442" s="9"/>
      <c r="C1442" s="9"/>
      <c r="D1442" s="8"/>
      <c r="E1442" s="8"/>
      <c r="F1442" s="8"/>
      <c r="G1442" s="10"/>
      <c r="H1442" s="8" t="s">
        <v>3327</v>
      </c>
      <c r="I1442" s="10" t="s">
        <v>3328</v>
      </c>
      <c r="J1442" s="11" t="s">
        <v>33</v>
      </c>
      <c r="K1442" s="18">
        <v>50000</v>
      </c>
      <c r="L1442" s="12">
        <f t="shared" si="133"/>
        <v>83400</v>
      </c>
      <c r="M1442" s="8">
        <v>1</v>
      </c>
      <c r="N1442" s="8" t="s">
        <v>110</v>
      </c>
      <c r="O1442" s="13"/>
      <c r="P1442" s="14">
        <v>0.2</v>
      </c>
      <c r="Q1442" s="15">
        <v>0.4</v>
      </c>
      <c r="R1442" s="16" t="str">
        <f t="shared" si="131"/>
        <v>GENERAL</v>
      </c>
      <c r="S1442" s="17" t="s">
        <v>3329</v>
      </c>
      <c r="T1442" s="10"/>
    </row>
    <row r="1443" spans="1:20" ht="27" customHeight="1" x14ac:dyDescent="0.25">
      <c r="A1443" s="8" t="s">
        <v>2512</v>
      </c>
      <c r="B1443" s="9"/>
      <c r="C1443" s="9"/>
      <c r="D1443" s="8"/>
      <c r="E1443" s="8"/>
      <c r="F1443" s="8"/>
      <c r="G1443" s="10"/>
      <c r="H1443" s="8" t="s">
        <v>3330</v>
      </c>
      <c r="I1443" s="10" t="s">
        <v>3331</v>
      </c>
      <c r="J1443" s="11" t="s">
        <v>33</v>
      </c>
      <c r="K1443" s="18">
        <v>150000</v>
      </c>
      <c r="L1443" s="12">
        <f t="shared" si="133"/>
        <v>250000</v>
      </c>
      <c r="M1443" s="8">
        <v>1</v>
      </c>
      <c r="N1443" s="8" t="s">
        <v>110</v>
      </c>
      <c r="O1443" s="13"/>
      <c r="P1443" s="14">
        <v>0</v>
      </c>
      <c r="Q1443" s="15">
        <v>0.4</v>
      </c>
      <c r="R1443" s="16" t="str">
        <f t="shared" si="131"/>
        <v>GENERAL</v>
      </c>
      <c r="S1443" s="17"/>
      <c r="T1443" s="10"/>
    </row>
    <row r="1444" spans="1:20" ht="27" customHeight="1" x14ac:dyDescent="0.25">
      <c r="A1444" s="8" t="s">
        <v>2512</v>
      </c>
      <c r="B1444" s="9"/>
      <c r="C1444" s="9"/>
      <c r="D1444" s="8"/>
      <c r="E1444" s="8"/>
      <c r="F1444" s="8"/>
      <c r="G1444" s="10"/>
      <c r="H1444" s="8" t="s">
        <v>3332</v>
      </c>
      <c r="I1444" s="10" t="s">
        <v>3333</v>
      </c>
      <c r="J1444" s="11" t="s">
        <v>33</v>
      </c>
      <c r="K1444" s="18">
        <v>1</v>
      </c>
      <c r="L1444" s="12">
        <f t="shared" si="133"/>
        <v>100</v>
      </c>
      <c r="M1444" s="8">
        <v>1</v>
      </c>
      <c r="N1444" s="8" t="s">
        <v>110</v>
      </c>
      <c r="O1444" s="13"/>
      <c r="P1444" s="14">
        <v>0</v>
      </c>
      <c r="Q1444" s="15">
        <v>0.3</v>
      </c>
      <c r="R1444" s="16" t="str">
        <f t="shared" si="131"/>
        <v>GENERAL</v>
      </c>
      <c r="S1444" s="17"/>
      <c r="T1444" s="10"/>
    </row>
    <row r="1445" spans="1:20" ht="27" customHeight="1" x14ac:dyDescent="0.25">
      <c r="A1445" s="8" t="s">
        <v>2512</v>
      </c>
      <c r="B1445" s="9"/>
      <c r="C1445" s="9"/>
      <c r="D1445" s="8"/>
      <c r="E1445" s="8"/>
      <c r="F1445" s="8"/>
      <c r="G1445" s="10"/>
      <c r="H1445" s="8" t="s">
        <v>3334</v>
      </c>
      <c r="I1445" s="10" t="s">
        <v>3335</v>
      </c>
      <c r="J1445" s="11" t="s">
        <v>33</v>
      </c>
      <c r="K1445" s="18">
        <v>1630200</v>
      </c>
      <c r="L1445" s="12">
        <f t="shared" si="133"/>
        <v>2328900</v>
      </c>
      <c r="M1445" s="8">
        <v>1</v>
      </c>
      <c r="N1445" s="8" t="s">
        <v>110</v>
      </c>
      <c r="O1445" s="13"/>
      <c r="P1445" s="14">
        <v>0</v>
      </c>
      <c r="Q1445" s="15">
        <v>0.3</v>
      </c>
      <c r="R1445" s="16" t="str">
        <f t="shared" si="131"/>
        <v>GENERAL</v>
      </c>
      <c r="S1445" s="17"/>
      <c r="T1445" s="10"/>
    </row>
    <row r="1446" spans="1:20" ht="27" customHeight="1" x14ac:dyDescent="0.25">
      <c r="A1446" s="8" t="s">
        <v>2512</v>
      </c>
      <c r="B1446" s="9"/>
      <c r="C1446" s="9"/>
      <c r="D1446" s="8"/>
      <c r="E1446" s="8"/>
      <c r="F1446" s="8"/>
      <c r="G1446" s="10"/>
      <c r="H1446" s="8" t="s">
        <v>3336</v>
      </c>
      <c r="I1446" s="10" t="s">
        <v>3337</v>
      </c>
      <c r="J1446" s="11" t="s">
        <v>33</v>
      </c>
      <c r="K1446" s="18">
        <v>125909</v>
      </c>
      <c r="L1446" s="12">
        <f t="shared" si="133"/>
        <v>179900</v>
      </c>
      <c r="M1446" s="8">
        <v>1</v>
      </c>
      <c r="N1446" s="8" t="s">
        <v>110</v>
      </c>
      <c r="O1446" s="13"/>
      <c r="P1446" s="14">
        <v>0</v>
      </c>
      <c r="Q1446" s="15">
        <v>0.3</v>
      </c>
      <c r="R1446" s="16" t="str">
        <f t="shared" si="131"/>
        <v>GENERAL</v>
      </c>
      <c r="S1446" s="17"/>
      <c r="T1446" s="10"/>
    </row>
    <row r="1447" spans="1:20" ht="27" customHeight="1" x14ac:dyDescent="0.25">
      <c r="A1447" s="8" t="s">
        <v>2512</v>
      </c>
      <c r="B1447" s="9"/>
      <c r="C1447" s="9"/>
      <c r="D1447" s="8"/>
      <c r="E1447" s="8"/>
      <c r="F1447" s="8"/>
      <c r="G1447" s="10"/>
      <c r="H1447" s="8" t="s">
        <v>3338</v>
      </c>
      <c r="I1447" s="10" t="s">
        <v>3339</v>
      </c>
      <c r="J1447" s="11" t="s">
        <v>33</v>
      </c>
      <c r="K1447" s="18">
        <v>1287000</v>
      </c>
      <c r="L1447" s="12">
        <f>ROUNDUP(K1447*(1+P1447)/(1-Q1447),0)</f>
        <v>1838572</v>
      </c>
      <c r="M1447" s="8">
        <v>1</v>
      </c>
      <c r="N1447" s="8" t="s">
        <v>27</v>
      </c>
      <c r="O1447" s="13"/>
      <c r="P1447" s="14">
        <v>0</v>
      </c>
      <c r="Q1447" s="15">
        <v>0.3</v>
      </c>
      <c r="R1447" s="16" t="str">
        <f t="shared" si="131"/>
        <v>GENERAL</v>
      </c>
      <c r="S1447" s="17"/>
      <c r="T1447" s="10"/>
    </row>
    <row r="1448" spans="1:20" ht="27" customHeight="1" x14ac:dyDescent="0.25">
      <c r="A1448" s="8" t="s">
        <v>2512</v>
      </c>
      <c r="B1448" s="9"/>
      <c r="C1448" s="9"/>
      <c r="D1448" s="8"/>
      <c r="E1448" s="8"/>
      <c r="F1448" s="8"/>
      <c r="G1448" s="10"/>
      <c r="H1448" s="8" t="s">
        <v>3340</v>
      </c>
      <c r="I1448" s="10" t="s">
        <v>3341</v>
      </c>
      <c r="J1448" s="11" t="s">
        <v>33</v>
      </c>
      <c r="K1448" s="18">
        <v>8000</v>
      </c>
      <c r="L1448" s="12">
        <f>ROUNDUP(K1448*(1+P1448)/(1-Q1448),0)</f>
        <v>11429</v>
      </c>
      <c r="M1448" s="8">
        <v>1</v>
      </c>
      <c r="N1448" s="8" t="s">
        <v>27</v>
      </c>
      <c r="O1448" s="13"/>
      <c r="P1448" s="14">
        <v>0</v>
      </c>
      <c r="Q1448" s="15">
        <v>0.3</v>
      </c>
      <c r="R1448" s="16" t="str">
        <f t="shared" si="131"/>
        <v>GENERAL</v>
      </c>
      <c r="S1448" s="17"/>
      <c r="T1448" s="10"/>
    </row>
    <row r="1449" spans="1:20" ht="27" customHeight="1" x14ac:dyDescent="0.25">
      <c r="A1449" s="8" t="s">
        <v>2512</v>
      </c>
      <c r="B1449" s="9"/>
      <c r="C1449" s="9"/>
      <c r="D1449" s="8"/>
      <c r="E1449" s="8"/>
      <c r="F1449" s="8"/>
      <c r="G1449" s="10"/>
      <c r="H1449" s="8" t="s">
        <v>3342</v>
      </c>
      <c r="I1449" s="10" t="s">
        <v>3343</v>
      </c>
      <c r="J1449" s="11" t="s">
        <v>33</v>
      </c>
      <c r="K1449" s="18">
        <v>5000</v>
      </c>
      <c r="L1449" s="12">
        <f>ROUNDUP(K1449*(1+P1449)/(1-Q1449),0)</f>
        <v>8334</v>
      </c>
      <c r="M1449" s="8">
        <v>1</v>
      </c>
      <c r="N1449" s="8" t="s">
        <v>27</v>
      </c>
      <c r="O1449" s="13"/>
      <c r="P1449" s="14">
        <v>0</v>
      </c>
      <c r="Q1449" s="15">
        <v>0.4</v>
      </c>
      <c r="R1449" s="16" t="str">
        <f t="shared" si="131"/>
        <v>GENERAL</v>
      </c>
      <c r="S1449" s="17"/>
      <c r="T1449" s="10"/>
    </row>
    <row r="1450" spans="1:20" ht="27" customHeight="1" x14ac:dyDescent="0.25">
      <c r="A1450" s="8" t="s">
        <v>2512</v>
      </c>
      <c r="B1450" s="9"/>
      <c r="C1450" s="9"/>
      <c r="D1450" s="8"/>
      <c r="E1450" s="8"/>
      <c r="F1450" s="8"/>
      <c r="G1450" s="10"/>
      <c r="H1450" s="8" t="s">
        <v>3344</v>
      </c>
      <c r="I1450" s="10" t="s">
        <v>3345</v>
      </c>
      <c r="J1450" s="11" t="s">
        <v>33</v>
      </c>
      <c r="K1450" s="18">
        <v>1400</v>
      </c>
      <c r="L1450" s="12">
        <f>ROUNDUP(K1450*(1+P1450)/(1-Q1450),0)</f>
        <v>2334</v>
      </c>
      <c r="M1450" s="8">
        <v>1</v>
      </c>
      <c r="N1450" s="8" t="s">
        <v>27</v>
      </c>
      <c r="O1450" s="13"/>
      <c r="P1450" s="14">
        <v>0</v>
      </c>
      <c r="Q1450" s="15">
        <v>0.4</v>
      </c>
      <c r="R1450" s="16" t="str">
        <f t="shared" si="131"/>
        <v>GENERAL</v>
      </c>
      <c r="S1450" s="17"/>
      <c r="T1450" s="10"/>
    </row>
    <row r="1451" spans="1:20" ht="27" customHeight="1" x14ac:dyDescent="0.25">
      <c r="A1451" s="8" t="s">
        <v>2512</v>
      </c>
      <c r="B1451" s="9"/>
      <c r="C1451" s="9"/>
      <c r="D1451" s="8"/>
      <c r="E1451" s="8"/>
      <c r="F1451" s="8"/>
      <c r="G1451" s="10"/>
      <c r="H1451" s="8" t="s">
        <v>3346</v>
      </c>
      <c r="I1451" s="10" t="s">
        <v>3347</v>
      </c>
      <c r="J1451" s="11" t="s">
        <v>33</v>
      </c>
      <c r="K1451" s="18">
        <v>160000</v>
      </c>
      <c r="L1451" s="12">
        <f>IF(J1451="P",ROUNDUP(K1451/(1-Q1451),-2),K1451*(1+P1451)/(1-Q1451))</f>
        <v>228600</v>
      </c>
      <c r="M1451" s="8">
        <v>1</v>
      </c>
      <c r="N1451" s="8" t="s">
        <v>27</v>
      </c>
      <c r="O1451" s="13"/>
      <c r="P1451" s="14">
        <v>0</v>
      </c>
      <c r="Q1451" s="15">
        <v>0.3</v>
      </c>
      <c r="R1451" s="16" t="str">
        <f t="shared" si="131"/>
        <v>GENERAL</v>
      </c>
      <c r="S1451" s="17"/>
      <c r="T1451" s="10"/>
    </row>
    <row r="1452" spans="1:20" ht="27" customHeight="1" x14ac:dyDescent="0.25">
      <c r="A1452" s="8" t="s">
        <v>2512</v>
      </c>
      <c r="B1452" s="9"/>
      <c r="C1452" s="9"/>
      <c r="D1452" s="8"/>
      <c r="E1452" s="8"/>
      <c r="F1452" s="8"/>
      <c r="G1452" s="10"/>
      <c r="H1452" s="8" t="s">
        <v>3348</v>
      </c>
      <c r="I1452" s="10" t="s">
        <v>3349</v>
      </c>
      <c r="J1452" s="11" t="s">
        <v>33</v>
      </c>
      <c r="K1452" s="18">
        <v>160000</v>
      </c>
      <c r="L1452" s="12">
        <f>IF(J1452="P",ROUNDUP(K1452/(1-Q1452),-2),K1452*(1+P1452)/(1-Q1452))</f>
        <v>228600</v>
      </c>
      <c r="M1452" s="8">
        <v>1</v>
      </c>
      <c r="N1452" s="8" t="s">
        <v>27</v>
      </c>
      <c r="O1452" s="13"/>
      <c r="P1452" s="14">
        <v>0</v>
      </c>
      <c r="Q1452" s="15">
        <v>0.3</v>
      </c>
      <c r="R1452" s="16" t="str">
        <f t="shared" si="131"/>
        <v>GENERAL</v>
      </c>
      <c r="S1452" s="17"/>
      <c r="T1452" s="10"/>
    </row>
    <row r="1453" spans="1:20" ht="27" customHeight="1" x14ac:dyDescent="0.25">
      <c r="A1453" s="8" t="s">
        <v>2512</v>
      </c>
      <c r="B1453" s="9"/>
      <c r="C1453" s="9"/>
      <c r="D1453" s="8"/>
      <c r="E1453" s="8"/>
      <c r="F1453" s="8"/>
      <c r="G1453" s="10"/>
      <c r="H1453" s="8" t="s">
        <v>3350</v>
      </c>
      <c r="I1453" s="10" t="s">
        <v>3351</v>
      </c>
      <c r="J1453" s="11" t="s">
        <v>33</v>
      </c>
      <c r="K1453" s="18">
        <v>550000</v>
      </c>
      <c r="L1453" s="12">
        <f>IF(J1453="P",ROUNDUP(K1453/(1-Q1453),-2),K1453*(1+P1453)/(1-Q1453))</f>
        <v>916700</v>
      </c>
      <c r="M1453" s="8">
        <v>1</v>
      </c>
      <c r="N1453" s="8" t="s">
        <v>27</v>
      </c>
      <c r="O1453" s="13"/>
      <c r="P1453" s="14">
        <v>0</v>
      </c>
      <c r="Q1453" s="15">
        <v>0.4</v>
      </c>
      <c r="R1453" s="16" t="str">
        <f t="shared" si="131"/>
        <v>GENERAL</v>
      </c>
      <c r="S1453" s="17"/>
      <c r="T1453" s="10"/>
    </row>
    <row r="1454" spans="1:20" ht="27" customHeight="1" x14ac:dyDescent="0.25">
      <c r="A1454" s="8" t="s">
        <v>2512</v>
      </c>
      <c r="B1454" s="9"/>
      <c r="C1454" s="9"/>
      <c r="D1454" s="8"/>
      <c r="E1454" s="8"/>
      <c r="F1454" s="8"/>
      <c r="G1454" s="10"/>
      <c r="H1454" s="8" t="s">
        <v>3352</v>
      </c>
      <c r="I1454" s="10" t="s">
        <v>3353</v>
      </c>
      <c r="J1454" s="11" t="s">
        <v>33</v>
      </c>
      <c r="K1454" s="18">
        <v>140000</v>
      </c>
      <c r="L1454" s="12">
        <f>ROUNDUP(K1454*(1+P1454)/(1-Q1454),0)</f>
        <v>233334</v>
      </c>
      <c r="M1454" s="8">
        <v>1</v>
      </c>
      <c r="N1454" s="8" t="s">
        <v>27</v>
      </c>
      <c r="O1454" s="13"/>
      <c r="P1454" s="14">
        <v>0</v>
      </c>
      <c r="Q1454" s="15">
        <v>0.4</v>
      </c>
      <c r="R1454" s="16" t="str">
        <f t="shared" si="131"/>
        <v>GENERAL</v>
      </c>
      <c r="S1454" s="17"/>
      <c r="T1454" s="10"/>
    </row>
    <row r="1455" spans="1:20" ht="27" customHeight="1" x14ac:dyDescent="0.25">
      <c r="A1455" s="8" t="s">
        <v>2512</v>
      </c>
      <c r="B1455" s="9"/>
      <c r="C1455" s="9"/>
      <c r="D1455" s="8"/>
      <c r="E1455" s="8"/>
      <c r="F1455" s="8"/>
      <c r="G1455" s="10"/>
      <c r="H1455" s="8" t="s">
        <v>3354</v>
      </c>
      <c r="I1455" s="10" t="s">
        <v>3355</v>
      </c>
      <c r="J1455" s="11" t="s">
        <v>33</v>
      </c>
      <c r="K1455" s="18">
        <v>270000</v>
      </c>
      <c r="L1455" s="12">
        <f>ROUNDUP(K1455*(1+P1455)/(1-Q1455),0)</f>
        <v>540000</v>
      </c>
      <c r="M1455" s="8">
        <v>1</v>
      </c>
      <c r="N1455" s="8" t="s">
        <v>27</v>
      </c>
      <c r="O1455" s="13"/>
      <c r="P1455" s="14">
        <v>0</v>
      </c>
      <c r="Q1455" s="15">
        <v>0.5</v>
      </c>
      <c r="R1455" s="16" t="str">
        <f t="shared" si="131"/>
        <v>GENERAL</v>
      </c>
      <c r="S1455" s="17"/>
      <c r="T1455" s="10"/>
    </row>
    <row r="1456" spans="1:20" ht="27" customHeight="1" x14ac:dyDescent="0.25">
      <c r="A1456" s="8" t="s">
        <v>2512</v>
      </c>
      <c r="B1456" s="9"/>
      <c r="C1456" s="9"/>
      <c r="D1456" s="8"/>
      <c r="E1456" s="8"/>
      <c r="F1456" s="8"/>
      <c r="G1456" s="10"/>
      <c r="H1456" s="8" t="s">
        <v>3356</v>
      </c>
      <c r="I1456" s="10" t="s">
        <v>3357</v>
      </c>
      <c r="J1456" s="11" t="s">
        <v>33</v>
      </c>
      <c r="K1456" s="18">
        <v>2602000</v>
      </c>
      <c r="L1456" s="12">
        <f t="shared" ref="L1456:L1489" si="134">IF(J1456="P",ROUNDUP(K1456/(1-Q1456),-2),K1456*(1+P1456)/(1-Q1456))</f>
        <v>3252500</v>
      </c>
      <c r="M1456" s="8">
        <v>1</v>
      </c>
      <c r="N1456" s="8" t="s">
        <v>27</v>
      </c>
      <c r="O1456" s="13">
        <f t="shared" ref="O1456:O1473" si="135">F1456</f>
        <v>0</v>
      </c>
      <c r="P1456" s="14">
        <v>0</v>
      </c>
      <c r="Q1456" s="15">
        <v>0.2</v>
      </c>
      <c r="R1456" s="16" t="str">
        <f t="shared" si="131"/>
        <v>GENERAL</v>
      </c>
      <c r="S1456" s="17"/>
      <c r="T1456" s="10"/>
    </row>
    <row r="1457" spans="1:20" ht="27" customHeight="1" x14ac:dyDescent="0.25">
      <c r="A1457" s="8" t="s">
        <v>2512</v>
      </c>
      <c r="B1457" s="9"/>
      <c r="C1457" s="9"/>
      <c r="D1457" s="8"/>
      <c r="E1457" s="8"/>
      <c r="F1457" s="8"/>
      <c r="G1457" s="10"/>
      <c r="H1457" s="8" t="s">
        <v>3358</v>
      </c>
      <c r="I1457" s="10" t="s">
        <v>3359</v>
      </c>
      <c r="J1457" s="11" t="s">
        <v>26</v>
      </c>
      <c r="K1457" s="18">
        <v>20</v>
      </c>
      <c r="L1457" s="12">
        <f t="shared" si="134"/>
        <v>40</v>
      </c>
      <c r="M1457" s="8">
        <v>1</v>
      </c>
      <c r="N1457" s="8" t="s">
        <v>27</v>
      </c>
      <c r="O1457" s="13">
        <f t="shared" si="135"/>
        <v>0</v>
      </c>
      <c r="P1457" s="14">
        <v>0.2</v>
      </c>
      <c r="Q1457" s="15">
        <v>0.4</v>
      </c>
      <c r="R1457" s="16" t="str">
        <f t="shared" si="131"/>
        <v>GENERAL</v>
      </c>
      <c r="S1457" s="17" t="s">
        <v>3360</v>
      </c>
      <c r="T1457" s="10"/>
    </row>
    <row r="1458" spans="1:20" ht="27" customHeight="1" x14ac:dyDescent="0.25">
      <c r="A1458" s="8" t="s">
        <v>2512</v>
      </c>
      <c r="B1458" s="9"/>
      <c r="C1458" s="9"/>
      <c r="D1458" s="8"/>
      <c r="E1458" s="8"/>
      <c r="F1458" s="8"/>
      <c r="G1458" s="10"/>
      <c r="H1458" s="8" t="s">
        <v>3361</v>
      </c>
      <c r="I1458" s="10" t="s">
        <v>3362</v>
      </c>
      <c r="J1458" s="11" t="s">
        <v>33</v>
      </c>
      <c r="K1458" s="18">
        <v>1700000</v>
      </c>
      <c r="L1458" s="12">
        <f t="shared" si="134"/>
        <v>2000000</v>
      </c>
      <c r="M1458" s="8">
        <v>1</v>
      </c>
      <c r="N1458" s="8" t="s">
        <v>27</v>
      </c>
      <c r="O1458" s="13">
        <f t="shared" si="135"/>
        <v>0</v>
      </c>
      <c r="P1458" s="14">
        <v>0</v>
      </c>
      <c r="Q1458" s="15">
        <v>0.15</v>
      </c>
      <c r="R1458" s="16" t="str">
        <f t="shared" si="131"/>
        <v>GENERAL</v>
      </c>
      <c r="S1458" s="17"/>
      <c r="T1458" s="10"/>
    </row>
    <row r="1459" spans="1:20" ht="27" customHeight="1" x14ac:dyDescent="0.25">
      <c r="A1459" s="8" t="s">
        <v>2512</v>
      </c>
      <c r="B1459" s="9"/>
      <c r="C1459" s="9"/>
      <c r="D1459" s="8"/>
      <c r="E1459" s="8"/>
      <c r="F1459" s="8"/>
      <c r="G1459" s="10"/>
      <c r="H1459" s="8" t="s">
        <v>3363</v>
      </c>
      <c r="I1459" s="10" t="s">
        <v>3364</v>
      </c>
      <c r="J1459" s="11" t="s">
        <v>33</v>
      </c>
      <c r="K1459" s="18">
        <v>2392000</v>
      </c>
      <c r="L1459" s="12">
        <f t="shared" si="134"/>
        <v>3417200</v>
      </c>
      <c r="M1459" s="8">
        <v>1</v>
      </c>
      <c r="N1459" s="8" t="s">
        <v>27</v>
      </c>
      <c r="O1459" s="13">
        <f t="shared" si="135"/>
        <v>0</v>
      </c>
      <c r="P1459" s="14">
        <v>0</v>
      </c>
      <c r="Q1459" s="15">
        <v>0.3</v>
      </c>
      <c r="R1459" s="16" t="str">
        <f t="shared" si="131"/>
        <v>GENERAL</v>
      </c>
      <c r="S1459" s="17"/>
      <c r="T1459" s="10"/>
    </row>
    <row r="1460" spans="1:20" ht="27" customHeight="1" x14ac:dyDescent="0.25">
      <c r="A1460" s="8" t="s">
        <v>2512</v>
      </c>
      <c r="B1460" s="9"/>
      <c r="C1460" s="9"/>
      <c r="D1460" s="8"/>
      <c r="E1460" s="8"/>
      <c r="F1460" s="8"/>
      <c r="G1460" s="10"/>
      <c r="H1460" s="8" t="s">
        <v>3365</v>
      </c>
      <c r="I1460" s="10" t="s">
        <v>2960</v>
      </c>
      <c r="J1460" s="11" t="s">
        <v>33</v>
      </c>
      <c r="K1460" s="18">
        <v>13500</v>
      </c>
      <c r="L1460" s="12">
        <f t="shared" si="134"/>
        <v>19300</v>
      </c>
      <c r="M1460" s="8">
        <v>1</v>
      </c>
      <c r="N1460" s="8" t="s">
        <v>27</v>
      </c>
      <c r="O1460" s="13">
        <f t="shared" si="135"/>
        <v>0</v>
      </c>
      <c r="P1460" s="14">
        <v>0</v>
      </c>
      <c r="Q1460" s="15">
        <v>0.3</v>
      </c>
      <c r="R1460" s="16" t="str">
        <f t="shared" si="131"/>
        <v>GENERAL</v>
      </c>
      <c r="S1460" s="17"/>
      <c r="T1460" s="10"/>
    </row>
    <row r="1461" spans="1:20" ht="27" customHeight="1" x14ac:dyDescent="0.25">
      <c r="A1461" s="8" t="s">
        <v>2512</v>
      </c>
      <c r="B1461" s="9"/>
      <c r="C1461" s="9"/>
      <c r="D1461" s="8"/>
      <c r="E1461" s="8"/>
      <c r="F1461" s="8"/>
      <c r="G1461" s="10"/>
      <c r="H1461" s="8" t="s">
        <v>3366</v>
      </c>
      <c r="I1461" s="10" t="s">
        <v>3367</v>
      </c>
      <c r="J1461" s="11" t="s">
        <v>33</v>
      </c>
      <c r="K1461" s="18">
        <v>3300</v>
      </c>
      <c r="L1461" s="12">
        <f t="shared" si="134"/>
        <v>4800</v>
      </c>
      <c r="M1461" s="8">
        <v>1</v>
      </c>
      <c r="N1461" s="8" t="s">
        <v>27</v>
      </c>
      <c r="O1461" s="13">
        <f t="shared" si="135"/>
        <v>0</v>
      </c>
      <c r="P1461" s="14">
        <v>0</v>
      </c>
      <c r="Q1461" s="15">
        <v>0.3</v>
      </c>
      <c r="R1461" s="16" t="str">
        <f t="shared" si="131"/>
        <v>GENERAL</v>
      </c>
      <c r="S1461" s="17"/>
      <c r="T1461" s="10"/>
    </row>
    <row r="1462" spans="1:20" ht="27" customHeight="1" x14ac:dyDescent="0.25">
      <c r="A1462" s="8" t="s">
        <v>2512</v>
      </c>
      <c r="B1462" s="9"/>
      <c r="C1462" s="9"/>
      <c r="D1462" s="8"/>
      <c r="E1462" s="8"/>
      <c r="F1462" s="8"/>
      <c r="G1462" s="10"/>
      <c r="H1462" s="8" t="s">
        <v>3368</v>
      </c>
      <c r="I1462" s="10" t="s">
        <v>3369</v>
      </c>
      <c r="J1462" s="11" t="s">
        <v>33</v>
      </c>
      <c r="K1462" s="18">
        <v>1500</v>
      </c>
      <c r="L1462" s="12">
        <f t="shared" si="134"/>
        <v>2200</v>
      </c>
      <c r="M1462" s="8">
        <v>1</v>
      </c>
      <c r="N1462" s="8" t="s">
        <v>27</v>
      </c>
      <c r="O1462" s="13">
        <f t="shared" si="135"/>
        <v>0</v>
      </c>
      <c r="P1462" s="14">
        <v>0</v>
      </c>
      <c r="Q1462" s="15">
        <v>0.3</v>
      </c>
      <c r="R1462" s="16" t="str">
        <f t="shared" si="131"/>
        <v>GENERAL</v>
      </c>
      <c r="S1462" s="17"/>
      <c r="T1462" s="10"/>
    </row>
    <row r="1463" spans="1:20" ht="27" customHeight="1" x14ac:dyDescent="0.25">
      <c r="A1463" s="8" t="s">
        <v>2512</v>
      </c>
      <c r="B1463" s="9"/>
      <c r="C1463" s="9"/>
      <c r="D1463" s="8"/>
      <c r="E1463" s="8"/>
      <c r="F1463" s="8"/>
      <c r="G1463" s="10"/>
      <c r="H1463" s="8" t="s">
        <v>3370</v>
      </c>
      <c r="I1463" s="10" t="s">
        <v>3371</v>
      </c>
      <c r="J1463" s="11" t="s">
        <v>33</v>
      </c>
      <c r="K1463" s="18">
        <v>4500</v>
      </c>
      <c r="L1463" s="12">
        <f t="shared" si="134"/>
        <v>6500</v>
      </c>
      <c r="M1463" s="8">
        <v>1</v>
      </c>
      <c r="N1463" s="8" t="s">
        <v>27</v>
      </c>
      <c r="O1463" s="13">
        <f t="shared" si="135"/>
        <v>0</v>
      </c>
      <c r="P1463" s="14">
        <v>0</v>
      </c>
      <c r="Q1463" s="15">
        <v>0.3</v>
      </c>
      <c r="R1463" s="16" t="str">
        <f t="shared" si="131"/>
        <v>GENERAL</v>
      </c>
      <c r="S1463" s="17"/>
      <c r="T1463" s="10"/>
    </row>
    <row r="1464" spans="1:20" ht="27" customHeight="1" x14ac:dyDescent="0.25">
      <c r="A1464" s="8" t="s">
        <v>2512</v>
      </c>
      <c r="B1464" s="9"/>
      <c r="C1464" s="9"/>
      <c r="D1464" s="8"/>
      <c r="E1464" s="8"/>
      <c r="F1464" s="8"/>
      <c r="G1464" s="10"/>
      <c r="H1464" s="8" t="s">
        <v>3372</v>
      </c>
      <c r="I1464" s="10" t="s">
        <v>3373</v>
      </c>
      <c r="J1464" s="11" t="s">
        <v>33</v>
      </c>
      <c r="K1464" s="18">
        <v>85000</v>
      </c>
      <c r="L1464" s="12">
        <f t="shared" si="134"/>
        <v>121500</v>
      </c>
      <c r="M1464" s="8">
        <v>1</v>
      </c>
      <c r="N1464" s="8" t="s">
        <v>27</v>
      </c>
      <c r="O1464" s="13">
        <f t="shared" si="135"/>
        <v>0</v>
      </c>
      <c r="P1464" s="14">
        <v>0</v>
      </c>
      <c r="Q1464" s="15">
        <v>0.3</v>
      </c>
      <c r="R1464" s="16" t="str">
        <f t="shared" si="131"/>
        <v>GENERAL</v>
      </c>
      <c r="S1464" s="17"/>
      <c r="T1464" s="10"/>
    </row>
    <row r="1465" spans="1:20" ht="27" customHeight="1" x14ac:dyDescent="0.25">
      <c r="A1465" s="8" t="s">
        <v>2512</v>
      </c>
      <c r="B1465" s="9"/>
      <c r="C1465" s="9"/>
      <c r="D1465" s="8"/>
      <c r="E1465" s="8"/>
      <c r="F1465" s="8"/>
      <c r="G1465" s="10"/>
      <c r="H1465" s="8" t="s">
        <v>3374</v>
      </c>
      <c r="I1465" s="10" t="s">
        <v>3375</v>
      </c>
      <c r="J1465" s="11" t="s">
        <v>33</v>
      </c>
      <c r="K1465" s="18">
        <v>8000</v>
      </c>
      <c r="L1465" s="12">
        <f t="shared" si="134"/>
        <v>11500</v>
      </c>
      <c r="M1465" s="8">
        <v>1</v>
      </c>
      <c r="N1465" s="8" t="s">
        <v>27</v>
      </c>
      <c r="O1465" s="13">
        <f t="shared" si="135"/>
        <v>0</v>
      </c>
      <c r="P1465" s="14">
        <v>0</v>
      </c>
      <c r="Q1465" s="15">
        <v>0.3</v>
      </c>
      <c r="R1465" s="16" t="str">
        <f t="shared" si="131"/>
        <v>GENERAL</v>
      </c>
      <c r="S1465" s="17"/>
      <c r="T1465" s="10"/>
    </row>
    <row r="1466" spans="1:20" ht="27" customHeight="1" x14ac:dyDescent="0.25">
      <c r="A1466" s="8" t="s">
        <v>2512</v>
      </c>
      <c r="B1466" s="9"/>
      <c r="C1466" s="9"/>
      <c r="D1466" s="8"/>
      <c r="E1466" s="8"/>
      <c r="F1466" s="8"/>
      <c r="G1466" s="10"/>
      <c r="H1466" s="8" t="s">
        <v>3376</v>
      </c>
      <c r="I1466" s="10" t="s">
        <v>3377</v>
      </c>
      <c r="J1466" s="11" t="s">
        <v>33</v>
      </c>
      <c r="K1466" s="18">
        <v>3500</v>
      </c>
      <c r="L1466" s="12">
        <f t="shared" si="134"/>
        <v>5000</v>
      </c>
      <c r="M1466" s="8">
        <v>1</v>
      </c>
      <c r="N1466" s="8" t="s">
        <v>27</v>
      </c>
      <c r="O1466" s="13">
        <f t="shared" si="135"/>
        <v>0</v>
      </c>
      <c r="P1466" s="14">
        <v>0</v>
      </c>
      <c r="Q1466" s="15">
        <v>0.3</v>
      </c>
      <c r="R1466" s="16" t="str">
        <f t="shared" si="131"/>
        <v>GENERAL</v>
      </c>
      <c r="S1466" s="17"/>
      <c r="T1466" s="10"/>
    </row>
    <row r="1467" spans="1:20" ht="27" customHeight="1" x14ac:dyDescent="0.25">
      <c r="A1467" s="8" t="s">
        <v>2512</v>
      </c>
      <c r="B1467" s="9"/>
      <c r="C1467" s="9"/>
      <c r="D1467" s="8"/>
      <c r="E1467" s="8"/>
      <c r="F1467" s="8"/>
      <c r="G1467" s="10"/>
      <c r="H1467" s="8" t="s">
        <v>3378</v>
      </c>
      <c r="I1467" s="10" t="s">
        <v>3379</v>
      </c>
      <c r="J1467" s="11" t="s">
        <v>33</v>
      </c>
      <c r="K1467" s="18">
        <v>6700</v>
      </c>
      <c r="L1467" s="12">
        <f t="shared" si="134"/>
        <v>9600</v>
      </c>
      <c r="M1467" s="8">
        <v>1</v>
      </c>
      <c r="N1467" s="8" t="s">
        <v>27</v>
      </c>
      <c r="O1467" s="13">
        <f t="shared" si="135"/>
        <v>0</v>
      </c>
      <c r="P1467" s="14">
        <v>0</v>
      </c>
      <c r="Q1467" s="15">
        <v>0.3</v>
      </c>
      <c r="R1467" s="16" t="str">
        <f t="shared" si="131"/>
        <v>GENERAL</v>
      </c>
      <c r="S1467" s="17"/>
      <c r="T1467" s="10"/>
    </row>
    <row r="1468" spans="1:20" ht="27" customHeight="1" x14ac:dyDescent="0.25">
      <c r="A1468" s="8" t="s">
        <v>2512</v>
      </c>
      <c r="B1468" s="9"/>
      <c r="C1468" s="9"/>
      <c r="D1468" s="8"/>
      <c r="E1468" s="8"/>
      <c r="F1468" s="8"/>
      <c r="G1468" s="10"/>
      <c r="H1468" s="8" t="s">
        <v>3380</v>
      </c>
      <c r="I1468" s="10" t="s">
        <v>3381</v>
      </c>
      <c r="J1468" s="11" t="s">
        <v>33</v>
      </c>
      <c r="K1468" s="18">
        <v>85000</v>
      </c>
      <c r="L1468" s="12">
        <f t="shared" si="134"/>
        <v>121500</v>
      </c>
      <c r="M1468" s="8">
        <v>1</v>
      </c>
      <c r="N1468" s="8" t="s">
        <v>27</v>
      </c>
      <c r="O1468" s="13">
        <f t="shared" si="135"/>
        <v>0</v>
      </c>
      <c r="P1468" s="14">
        <v>0</v>
      </c>
      <c r="Q1468" s="15">
        <v>0.3</v>
      </c>
      <c r="R1468" s="16" t="str">
        <f t="shared" si="131"/>
        <v>GENERAL</v>
      </c>
      <c r="S1468" s="17"/>
      <c r="T1468" s="10"/>
    </row>
    <row r="1469" spans="1:20" ht="27" customHeight="1" x14ac:dyDescent="0.25">
      <c r="A1469" s="8" t="s">
        <v>2512</v>
      </c>
      <c r="B1469" s="9"/>
      <c r="C1469" s="9"/>
      <c r="D1469" s="8"/>
      <c r="E1469" s="8"/>
      <c r="F1469" s="8"/>
      <c r="G1469" s="10"/>
      <c r="H1469" s="8" t="s">
        <v>3382</v>
      </c>
      <c r="I1469" s="10" t="s">
        <v>3383</v>
      </c>
      <c r="J1469" s="11" t="s">
        <v>33</v>
      </c>
      <c r="K1469" s="18">
        <v>12000</v>
      </c>
      <c r="L1469" s="12">
        <f t="shared" si="134"/>
        <v>17200</v>
      </c>
      <c r="M1469" s="8">
        <v>1</v>
      </c>
      <c r="N1469" s="8" t="s">
        <v>27</v>
      </c>
      <c r="O1469" s="13">
        <f t="shared" si="135"/>
        <v>0</v>
      </c>
      <c r="P1469" s="14">
        <v>0</v>
      </c>
      <c r="Q1469" s="15">
        <v>0.3</v>
      </c>
      <c r="R1469" s="16" t="str">
        <f t="shared" si="131"/>
        <v>GENERAL</v>
      </c>
      <c r="S1469" s="17"/>
      <c r="T1469" s="10"/>
    </row>
    <row r="1470" spans="1:20" ht="27" customHeight="1" x14ac:dyDescent="0.25">
      <c r="A1470" s="8" t="s">
        <v>2512</v>
      </c>
      <c r="B1470" s="9"/>
      <c r="C1470" s="9"/>
      <c r="D1470" s="8"/>
      <c r="E1470" s="8"/>
      <c r="F1470" s="8"/>
      <c r="G1470" s="10"/>
      <c r="H1470" s="8" t="s">
        <v>3384</v>
      </c>
      <c r="I1470" s="10" t="s">
        <v>3385</v>
      </c>
      <c r="J1470" s="11" t="s">
        <v>33</v>
      </c>
      <c r="K1470" s="18">
        <v>450000</v>
      </c>
      <c r="L1470" s="12">
        <f t="shared" si="134"/>
        <v>642900</v>
      </c>
      <c r="M1470" s="8">
        <v>1</v>
      </c>
      <c r="N1470" s="8" t="s">
        <v>27</v>
      </c>
      <c r="O1470" s="13">
        <f t="shared" si="135"/>
        <v>0</v>
      </c>
      <c r="P1470" s="14">
        <v>0</v>
      </c>
      <c r="Q1470" s="15">
        <v>0.3</v>
      </c>
      <c r="R1470" s="16" t="str">
        <f t="shared" si="131"/>
        <v>GENERAL</v>
      </c>
      <c r="S1470" s="17"/>
      <c r="T1470" s="10"/>
    </row>
    <row r="1471" spans="1:20" ht="27" customHeight="1" x14ac:dyDescent="0.25">
      <c r="A1471" s="8" t="s">
        <v>2512</v>
      </c>
      <c r="B1471" s="9"/>
      <c r="C1471" s="9"/>
      <c r="D1471" s="8"/>
      <c r="E1471" s="8"/>
      <c r="F1471" s="8"/>
      <c r="G1471" s="10"/>
      <c r="H1471" s="8" t="s">
        <v>3386</v>
      </c>
      <c r="I1471" s="10" t="s">
        <v>3387</v>
      </c>
      <c r="J1471" s="11" t="s">
        <v>33</v>
      </c>
      <c r="K1471" s="18">
        <v>190000</v>
      </c>
      <c r="L1471" s="12">
        <f t="shared" si="134"/>
        <v>271500</v>
      </c>
      <c r="M1471" s="8">
        <v>1</v>
      </c>
      <c r="N1471" s="8" t="s">
        <v>27</v>
      </c>
      <c r="O1471" s="13">
        <f t="shared" si="135"/>
        <v>0</v>
      </c>
      <c r="P1471" s="14">
        <v>0</v>
      </c>
      <c r="Q1471" s="15">
        <v>0.3</v>
      </c>
      <c r="R1471" s="16" t="str">
        <f t="shared" si="131"/>
        <v>GENERAL</v>
      </c>
      <c r="S1471" s="17"/>
      <c r="T1471" s="10"/>
    </row>
    <row r="1472" spans="1:20" ht="27" customHeight="1" x14ac:dyDescent="0.25">
      <c r="A1472" s="8" t="s">
        <v>3388</v>
      </c>
      <c r="B1472" s="9"/>
      <c r="C1472" s="9"/>
      <c r="D1472" s="8"/>
      <c r="E1472" s="8"/>
      <c r="F1472" s="8"/>
      <c r="G1472" s="10"/>
      <c r="H1472" s="8" t="s">
        <v>3389</v>
      </c>
      <c r="I1472" s="10" t="s">
        <v>3390</v>
      </c>
      <c r="J1472" s="11" t="s">
        <v>33</v>
      </c>
      <c r="K1472" s="18">
        <f>(40000+12000)/2</f>
        <v>26000</v>
      </c>
      <c r="L1472" s="12">
        <f t="shared" si="134"/>
        <v>43400</v>
      </c>
      <c r="M1472" s="8">
        <v>1</v>
      </c>
      <c r="N1472" s="8" t="s">
        <v>27</v>
      </c>
      <c r="O1472" s="13">
        <f t="shared" si="135"/>
        <v>0</v>
      </c>
      <c r="P1472" s="14">
        <v>0</v>
      </c>
      <c r="Q1472" s="15">
        <v>0.4</v>
      </c>
      <c r="R1472" s="16" t="str">
        <f t="shared" si="131"/>
        <v>SIGNCOMPLEX</v>
      </c>
      <c r="S1472" s="17"/>
      <c r="T1472" s="10"/>
    </row>
    <row r="1473" spans="1:20" ht="27" customHeight="1" x14ac:dyDescent="0.25">
      <c r="A1473" s="8" t="s">
        <v>2512</v>
      </c>
      <c r="B1473" s="9"/>
      <c r="C1473" s="9"/>
      <c r="D1473" s="8"/>
      <c r="E1473" s="8"/>
      <c r="F1473" s="8"/>
      <c r="G1473" s="10"/>
      <c r="H1473" s="8" t="s">
        <v>3391</v>
      </c>
      <c r="I1473" s="10" t="s">
        <v>3392</v>
      </c>
      <c r="J1473" s="11" t="s">
        <v>33</v>
      </c>
      <c r="K1473" s="18">
        <v>750</v>
      </c>
      <c r="L1473" s="12">
        <f t="shared" si="134"/>
        <v>1100</v>
      </c>
      <c r="M1473" s="8">
        <v>1</v>
      </c>
      <c r="N1473" s="8" t="s">
        <v>27</v>
      </c>
      <c r="O1473" s="13">
        <f t="shared" si="135"/>
        <v>0</v>
      </c>
      <c r="P1473" s="14">
        <v>0</v>
      </c>
      <c r="Q1473" s="15">
        <v>0.3</v>
      </c>
      <c r="R1473" s="16" t="str">
        <f t="shared" ref="R1473:R1536" si="136">A1473</f>
        <v>GENERAL</v>
      </c>
      <c r="S1473" s="17"/>
      <c r="T1473" s="10"/>
    </row>
    <row r="1474" spans="1:20" ht="27" customHeight="1" x14ac:dyDescent="0.25">
      <c r="A1474" s="8" t="s">
        <v>2512</v>
      </c>
      <c r="B1474" s="9"/>
      <c r="C1474" s="9"/>
      <c r="D1474" s="8"/>
      <c r="E1474" s="8"/>
      <c r="F1474" s="8"/>
      <c r="G1474" s="10"/>
      <c r="H1474" s="8" t="s">
        <v>3393</v>
      </c>
      <c r="I1474" s="10" t="s">
        <v>3394</v>
      </c>
      <c r="J1474" s="11" t="s">
        <v>33</v>
      </c>
      <c r="K1474" s="18">
        <v>40000</v>
      </c>
      <c r="L1474" s="12">
        <f t="shared" si="134"/>
        <v>80000</v>
      </c>
      <c r="M1474" s="8">
        <v>1</v>
      </c>
      <c r="N1474" s="8" t="s">
        <v>27</v>
      </c>
      <c r="O1474" s="13"/>
      <c r="P1474" s="14">
        <v>0</v>
      </c>
      <c r="Q1474" s="15">
        <v>0.5</v>
      </c>
      <c r="R1474" s="16" t="str">
        <f t="shared" si="136"/>
        <v>GENERAL</v>
      </c>
      <c r="S1474" s="17"/>
      <c r="T1474" s="10"/>
    </row>
    <row r="1475" spans="1:20" ht="27" customHeight="1" x14ac:dyDescent="0.25">
      <c r="A1475" s="8" t="s">
        <v>2512</v>
      </c>
      <c r="B1475" s="9"/>
      <c r="C1475" s="9"/>
      <c r="D1475" s="8"/>
      <c r="E1475" s="8"/>
      <c r="F1475" s="8"/>
      <c r="G1475" s="10"/>
      <c r="H1475" s="8" t="s">
        <v>3395</v>
      </c>
      <c r="I1475" s="10" t="s">
        <v>3396</v>
      </c>
      <c r="J1475" s="11" t="s">
        <v>33</v>
      </c>
      <c r="K1475" s="18">
        <v>975000</v>
      </c>
      <c r="L1475" s="12">
        <f t="shared" si="134"/>
        <v>1392900</v>
      </c>
      <c r="M1475" s="8">
        <v>1</v>
      </c>
      <c r="N1475" s="8" t="s">
        <v>27</v>
      </c>
      <c r="O1475" s="13"/>
      <c r="P1475" s="14">
        <v>0</v>
      </c>
      <c r="Q1475" s="15">
        <v>0.3</v>
      </c>
      <c r="R1475" s="16" t="str">
        <f t="shared" si="136"/>
        <v>GENERAL</v>
      </c>
      <c r="S1475" s="17"/>
      <c r="T1475" s="10"/>
    </row>
    <row r="1476" spans="1:20" ht="27" customHeight="1" x14ac:dyDescent="0.25">
      <c r="A1476" s="8" t="s">
        <v>2512</v>
      </c>
      <c r="B1476" s="9"/>
      <c r="C1476" s="9"/>
      <c r="D1476" s="8"/>
      <c r="E1476" s="8"/>
      <c r="F1476" s="8"/>
      <c r="G1476" s="10"/>
      <c r="H1476" s="8" t="s">
        <v>3397</v>
      </c>
      <c r="I1476" s="10" t="s">
        <v>3398</v>
      </c>
      <c r="J1476" s="11" t="s">
        <v>33</v>
      </c>
      <c r="K1476" s="18">
        <v>130000</v>
      </c>
      <c r="L1476" s="12">
        <f t="shared" si="134"/>
        <v>185800</v>
      </c>
      <c r="M1476" s="8">
        <v>1</v>
      </c>
      <c r="N1476" s="8" t="s">
        <v>27</v>
      </c>
      <c r="O1476" s="13"/>
      <c r="P1476" s="14">
        <v>0</v>
      </c>
      <c r="Q1476" s="15">
        <v>0.3</v>
      </c>
      <c r="R1476" s="16" t="str">
        <f t="shared" si="136"/>
        <v>GENERAL</v>
      </c>
      <c r="S1476" s="17"/>
      <c r="T1476" s="10"/>
    </row>
    <row r="1477" spans="1:20" ht="27" customHeight="1" x14ac:dyDescent="0.25">
      <c r="A1477" s="8" t="s">
        <v>2512</v>
      </c>
      <c r="B1477" s="9"/>
      <c r="C1477" s="9"/>
      <c r="D1477" s="8"/>
      <c r="E1477" s="8"/>
      <c r="F1477" s="8"/>
      <c r="G1477" s="10"/>
      <c r="H1477" s="8" t="s">
        <v>3399</v>
      </c>
      <c r="I1477" s="10" t="s">
        <v>3400</v>
      </c>
      <c r="J1477" s="11" t="s">
        <v>33</v>
      </c>
      <c r="K1477" s="18">
        <v>128000</v>
      </c>
      <c r="L1477" s="12">
        <f t="shared" si="134"/>
        <v>182900</v>
      </c>
      <c r="M1477" s="8">
        <v>1</v>
      </c>
      <c r="N1477" s="8" t="s">
        <v>27</v>
      </c>
      <c r="O1477" s="13" t="s">
        <v>588</v>
      </c>
      <c r="P1477" s="14">
        <v>0</v>
      </c>
      <c r="Q1477" s="15">
        <v>0.3</v>
      </c>
      <c r="R1477" s="16" t="str">
        <f t="shared" si="136"/>
        <v>GENERAL</v>
      </c>
      <c r="S1477" s="17"/>
      <c r="T1477" s="10"/>
    </row>
    <row r="1478" spans="1:20" ht="27" customHeight="1" x14ac:dyDescent="0.25">
      <c r="A1478" s="8" t="s">
        <v>2512</v>
      </c>
      <c r="B1478" s="9"/>
      <c r="C1478" s="9"/>
      <c r="D1478" s="8"/>
      <c r="E1478" s="8"/>
      <c r="F1478" s="8"/>
      <c r="G1478" s="10"/>
      <c r="H1478" s="8" t="s">
        <v>3401</v>
      </c>
      <c r="I1478" s="10" t="s">
        <v>3402</v>
      </c>
      <c r="J1478" s="11" t="s">
        <v>33</v>
      </c>
      <c r="K1478" s="18">
        <v>6000</v>
      </c>
      <c r="L1478" s="12">
        <f t="shared" si="134"/>
        <v>8600</v>
      </c>
      <c r="M1478" s="8">
        <v>1</v>
      </c>
      <c r="N1478" s="8" t="s">
        <v>27</v>
      </c>
      <c r="O1478" s="13" t="s">
        <v>588</v>
      </c>
      <c r="P1478" s="14">
        <v>0</v>
      </c>
      <c r="Q1478" s="15">
        <v>0.3</v>
      </c>
      <c r="R1478" s="16" t="str">
        <f t="shared" si="136"/>
        <v>GENERAL</v>
      </c>
      <c r="S1478" s="17"/>
      <c r="T1478" s="10"/>
    </row>
    <row r="1479" spans="1:20" ht="27" customHeight="1" x14ac:dyDescent="0.25">
      <c r="A1479" s="8" t="s">
        <v>2512</v>
      </c>
      <c r="B1479" s="9"/>
      <c r="C1479" s="9"/>
      <c r="D1479" s="8"/>
      <c r="E1479" s="8"/>
      <c r="F1479" s="8"/>
      <c r="G1479" s="10"/>
      <c r="H1479" s="8" t="s">
        <v>3403</v>
      </c>
      <c r="I1479" s="10" t="s">
        <v>3404</v>
      </c>
      <c r="J1479" s="11" t="s">
        <v>33</v>
      </c>
      <c r="K1479" s="18">
        <v>110000</v>
      </c>
      <c r="L1479" s="12">
        <f t="shared" si="134"/>
        <v>157200</v>
      </c>
      <c r="M1479" s="8">
        <v>1</v>
      </c>
      <c r="N1479" s="8" t="s">
        <v>27</v>
      </c>
      <c r="O1479" s="13" t="s">
        <v>588</v>
      </c>
      <c r="P1479" s="14">
        <v>0.2</v>
      </c>
      <c r="Q1479" s="15">
        <v>0.3</v>
      </c>
      <c r="R1479" s="16" t="str">
        <f t="shared" si="136"/>
        <v>GENERAL</v>
      </c>
      <c r="S1479" s="17"/>
      <c r="T1479" s="10"/>
    </row>
    <row r="1480" spans="1:20" ht="27" customHeight="1" x14ac:dyDescent="0.25">
      <c r="A1480" s="8" t="s">
        <v>2512</v>
      </c>
      <c r="B1480" s="9" t="s">
        <v>683</v>
      </c>
      <c r="C1480" s="9"/>
      <c r="D1480" s="8" t="s">
        <v>683</v>
      </c>
      <c r="E1480" s="8"/>
      <c r="F1480" s="8" t="s">
        <v>22</v>
      </c>
      <c r="G1480" s="10" t="s">
        <v>3405</v>
      </c>
      <c r="H1480" s="8" t="s">
        <v>3406</v>
      </c>
      <c r="I1480" s="10" t="s">
        <v>3405</v>
      </c>
      <c r="J1480" s="11" t="s">
        <v>33</v>
      </c>
      <c r="K1480" s="18">
        <v>380</v>
      </c>
      <c r="L1480" s="12">
        <f t="shared" si="134"/>
        <v>600</v>
      </c>
      <c r="M1480" s="8">
        <v>1</v>
      </c>
      <c r="N1480" s="8" t="s">
        <v>27</v>
      </c>
      <c r="O1480" s="13"/>
      <c r="P1480" s="14">
        <v>0.2</v>
      </c>
      <c r="Q1480" s="15">
        <v>0.3</v>
      </c>
      <c r="R1480" s="16" t="str">
        <f t="shared" si="136"/>
        <v>GENERAL</v>
      </c>
      <c r="S1480" s="17"/>
      <c r="T1480" s="10" t="str">
        <f>G1480</f>
        <v>CONECTOR ROSCADO ROJO</v>
      </c>
    </row>
    <row r="1481" spans="1:20" ht="27" customHeight="1" x14ac:dyDescent="0.25">
      <c r="A1481" s="8" t="s">
        <v>2512</v>
      </c>
      <c r="B1481" s="9" t="s">
        <v>683</v>
      </c>
      <c r="C1481" s="9"/>
      <c r="D1481" s="8" t="s">
        <v>683</v>
      </c>
      <c r="E1481" s="8"/>
      <c r="F1481" s="8" t="s">
        <v>22</v>
      </c>
      <c r="G1481" s="10" t="s">
        <v>3407</v>
      </c>
      <c r="H1481" s="8" t="s">
        <v>3408</v>
      </c>
      <c r="I1481" s="10" t="s">
        <v>3407</v>
      </c>
      <c r="J1481" s="11" t="s">
        <v>33</v>
      </c>
      <c r="K1481" s="18">
        <v>280</v>
      </c>
      <c r="L1481" s="12">
        <f t="shared" si="134"/>
        <v>400</v>
      </c>
      <c r="M1481" s="8">
        <v>1</v>
      </c>
      <c r="N1481" s="8" t="s">
        <v>27</v>
      </c>
      <c r="O1481" s="13"/>
      <c r="P1481" s="14">
        <v>0.2</v>
      </c>
      <c r="Q1481" s="15">
        <v>0.3</v>
      </c>
      <c r="R1481" s="16" t="str">
        <f t="shared" si="136"/>
        <v>GENERAL</v>
      </c>
      <c r="S1481" s="17"/>
      <c r="T1481" s="10" t="str">
        <f>G1481</f>
        <v>CONECTOR ROSCADO AZUL</v>
      </c>
    </row>
    <row r="1482" spans="1:20" ht="27" customHeight="1" x14ac:dyDescent="0.25">
      <c r="A1482" s="8" t="s">
        <v>2512</v>
      </c>
      <c r="B1482" s="9"/>
      <c r="C1482" s="9"/>
      <c r="D1482" s="8"/>
      <c r="E1482" s="8"/>
      <c r="F1482" s="8" t="s">
        <v>22</v>
      </c>
      <c r="G1482" s="10" t="s">
        <v>3409</v>
      </c>
      <c r="H1482" s="8" t="s">
        <v>3410</v>
      </c>
      <c r="I1482" s="10" t="s">
        <v>3409</v>
      </c>
      <c r="J1482" s="11" t="s">
        <v>33</v>
      </c>
      <c r="K1482" s="18">
        <v>10000</v>
      </c>
      <c r="L1482" s="12">
        <f t="shared" si="134"/>
        <v>14300</v>
      </c>
      <c r="M1482" s="8">
        <v>1</v>
      </c>
      <c r="N1482" s="8" t="s">
        <v>27</v>
      </c>
      <c r="O1482" s="13"/>
      <c r="P1482" s="14">
        <v>0.2</v>
      </c>
      <c r="Q1482" s="15">
        <v>0.3</v>
      </c>
      <c r="R1482" s="16" t="str">
        <f t="shared" si="136"/>
        <v>GENERAL</v>
      </c>
      <c r="S1482" s="17"/>
      <c r="T1482" s="10" t="str">
        <f>G1482</f>
        <v>CABLE 3.5MM DE 1.8M</v>
      </c>
    </row>
    <row r="1483" spans="1:20" ht="27" customHeight="1" x14ac:dyDescent="0.25">
      <c r="A1483" s="8" t="s">
        <v>3411</v>
      </c>
      <c r="B1483" s="9" t="s">
        <v>683</v>
      </c>
      <c r="C1483" s="9"/>
      <c r="D1483" s="8" t="s">
        <v>3412</v>
      </c>
      <c r="E1483" s="8"/>
      <c r="F1483" s="8" t="s">
        <v>22</v>
      </c>
      <c r="G1483" s="10" t="s">
        <v>3413</v>
      </c>
      <c r="H1483" s="8" t="s">
        <v>3414</v>
      </c>
      <c r="I1483" s="10" t="s">
        <v>3415</v>
      </c>
      <c r="J1483" s="11" t="s">
        <v>33</v>
      </c>
      <c r="K1483" s="18">
        <v>1400000</v>
      </c>
      <c r="L1483" s="12">
        <f t="shared" si="134"/>
        <v>1866700</v>
      </c>
      <c r="M1483" s="8">
        <v>1</v>
      </c>
      <c r="N1483" s="8" t="s">
        <v>27</v>
      </c>
      <c r="O1483" s="13"/>
      <c r="P1483" s="14">
        <v>0.2</v>
      </c>
      <c r="Q1483" s="15">
        <v>0.25</v>
      </c>
      <c r="R1483" s="16" t="str">
        <f t="shared" si="136"/>
        <v>GINO</v>
      </c>
      <c r="S1483" s="17"/>
      <c r="T1483" s="10" t="str">
        <f>G1483</f>
        <v>SILLA RECLINABLE CON MECANISMO IMPORTADO TIPO GUAYA.</v>
      </c>
    </row>
    <row r="1484" spans="1:20" ht="27" customHeight="1" x14ac:dyDescent="0.25">
      <c r="A1484" s="8" t="s">
        <v>3411</v>
      </c>
      <c r="B1484" s="9" t="s">
        <v>683</v>
      </c>
      <c r="C1484" s="9"/>
      <c r="D1484" s="8" t="s">
        <v>3412</v>
      </c>
      <c r="E1484" s="8"/>
      <c r="F1484" s="8" t="s">
        <v>22</v>
      </c>
      <c r="G1484" s="10" t="s">
        <v>3416</v>
      </c>
      <c r="H1484" s="8" t="s">
        <v>3417</v>
      </c>
      <c r="I1484" s="10" t="s">
        <v>3416</v>
      </c>
      <c r="J1484" s="11" t="s">
        <v>33</v>
      </c>
      <c r="K1484" s="18">
        <v>2800000</v>
      </c>
      <c r="L1484" s="12">
        <f t="shared" si="134"/>
        <v>3733400</v>
      </c>
      <c r="M1484" s="8">
        <v>1</v>
      </c>
      <c r="N1484" s="8" t="s">
        <v>27</v>
      </c>
      <c r="O1484" s="13"/>
      <c r="P1484" s="14">
        <v>0.2</v>
      </c>
      <c r="Q1484" s="15">
        <v>0.25</v>
      </c>
      <c r="R1484" s="16" t="str">
        <f t="shared" si="136"/>
        <v>GINO</v>
      </c>
      <c r="S1484" s="17"/>
      <c r="T1484" s="10" t="str">
        <f>G1484</f>
        <v xml:space="preserve">SILLA RECLINABLE CON MECANISMO IMPORTADO TIPO GUAYA. TAPIZADO CUERO NATURAL. </v>
      </c>
    </row>
    <row r="1485" spans="1:20" ht="27" customHeight="1" x14ac:dyDescent="0.25">
      <c r="A1485" s="8" t="s">
        <v>3418</v>
      </c>
      <c r="B1485" s="9"/>
      <c r="C1485" s="9"/>
      <c r="D1485" s="8"/>
      <c r="E1485" s="8"/>
      <c r="F1485" s="8"/>
      <c r="G1485" s="10"/>
      <c r="H1485" s="8" t="s">
        <v>3419</v>
      </c>
      <c r="I1485" s="10" t="s">
        <v>3420</v>
      </c>
      <c r="J1485" s="11" t="s">
        <v>26</v>
      </c>
      <c r="K1485" s="18">
        <v>252.1</v>
      </c>
      <c r="L1485" s="12">
        <f t="shared" si="134"/>
        <v>296.58823529411762</v>
      </c>
      <c r="M1485" s="8">
        <v>1</v>
      </c>
      <c r="N1485" s="8" t="s">
        <v>27</v>
      </c>
      <c r="O1485" s="13">
        <f>F1485</f>
        <v>0</v>
      </c>
      <c r="P1485" s="14">
        <v>0</v>
      </c>
      <c r="Q1485" s="15">
        <v>0.15</v>
      </c>
      <c r="R1485" s="16" t="str">
        <f t="shared" si="136"/>
        <v>GLOBAL CACHE</v>
      </c>
      <c r="S1485" s="17"/>
      <c r="T1485" s="10"/>
    </row>
    <row r="1486" spans="1:20" ht="27" customHeight="1" x14ac:dyDescent="0.25">
      <c r="A1486" s="8" t="s">
        <v>3421</v>
      </c>
      <c r="B1486" s="9"/>
      <c r="C1486" s="9"/>
      <c r="D1486" s="8"/>
      <c r="E1486" s="8"/>
      <c r="F1486" s="8"/>
      <c r="G1486" s="10"/>
      <c r="H1486" s="8" t="s">
        <v>3422</v>
      </c>
      <c r="I1486" s="10" t="s">
        <v>3423</v>
      </c>
      <c r="J1486" s="11" t="s">
        <v>26</v>
      </c>
      <c r="K1486" s="18">
        <f>(1873.6/160+900000/3800/160)*1.4</f>
        <v>18.466368421052628</v>
      </c>
      <c r="L1486" s="12">
        <f t="shared" si="134"/>
        <v>51.295467836257309</v>
      </c>
      <c r="M1486" s="8">
        <v>1</v>
      </c>
      <c r="N1486" s="8" t="s">
        <v>27</v>
      </c>
      <c r="O1486" s="13"/>
      <c r="P1486" s="14">
        <v>0.25</v>
      </c>
      <c r="Q1486" s="15">
        <v>0.55000000000000004</v>
      </c>
      <c r="R1486" s="16" t="str">
        <f t="shared" si="136"/>
        <v>GOLDEN</v>
      </c>
      <c r="S1486" s="17">
        <f>L1486*3800</f>
        <v>194922.77777777778</v>
      </c>
      <c r="T1486" s="10">
        <f>S1486*1.19</f>
        <v>231958.10555555555</v>
      </c>
    </row>
    <row r="1487" spans="1:20" ht="27" customHeight="1" x14ac:dyDescent="0.25">
      <c r="A1487" s="8" t="s">
        <v>3424</v>
      </c>
      <c r="B1487" s="9"/>
      <c r="C1487" s="9"/>
      <c r="D1487" s="8"/>
      <c r="E1487" s="8"/>
      <c r="F1487" s="8" t="s">
        <v>22</v>
      </c>
      <c r="G1487" s="10" t="s">
        <v>3425</v>
      </c>
      <c r="H1487" s="8" t="s">
        <v>3426</v>
      </c>
      <c r="I1487" s="10" t="s">
        <v>3425</v>
      </c>
      <c r="J1487" s="11" t="s">
        <v>33</v>
      </c>
      <c r="K1487" s="18">
        <v>124000</v>
      </c>
      <c r="L1487" s="12">
        <f t="shared" si="134"/>
        <v>190800</v>
      </c>
      <c r="M1487" s="8">
        <v>1</v>
      </c>
      <c r="N1487" s="8" t="s">
        <v>27</v>
      </c>
      <c r="O1487" s="13"/>
      <c r="P1487" s="14">
        <v>0.2</v>
      </c>
      <c r="Q1487" s="15">
        <v>0.35</v>
      </c>
      <c r="R1487" s="16" t="str">
        <f t="shared" si="136"/>
        <v>GRANDSTREAM</v>
      </c>
      <c r="S1487" s="17"/>
      <c r="T1487" s="10" t="str">
        <f>G1487</f>
        <v>TELÉFONO IP COMPATIBLE CON ASTERISK</v>
      </c>
    </row>
    <row r="1488" spans="1:20" ht="27" customHeight="1" x14ac:dyDescent="0.25">
      <c r="A1488" s="8" t="s">
        <v>3424</v>
      </c>
      <c r="B1488" s="9"/>
      <c r="C1488" s="9"/>
      <c r="D1488" s="8"/>
      <c r="E1488" s="8"/>
      <c r="F1488" s="8" t="s">
        <v>22</v>
      </c>
      <c r="G1488" s="10" t="s">
        <v>3425</v>
      </c>
      <c r="H1488" s="8" t="s">
        <v>3427</v>
      </c>
      <c r="I1488" s="10" t="s">
        <v>3425</v>
      </c>
      <c r="J1488" s="11" t="s">
        <v>33</v>
      </c>
      <c r="K1488" s="18">
        <v>265000</v>
      </c>
      <c r="L1488" s="12">
        <f t="shared" si="134"/>
        <v>407700</v>
      </c>
      <c r="M1488" s="8">
        <v>1</v>
      </c>
      <c r="N1488" s="8" t="s">
        <v>27</v>
      </c>
      <c r="O1488" s="13"/>
      <c r="P1488" s="14">
        <v>0.2</v>
      </c>
      <c r="Q1488" s="15">
        <v>0.35</v>
      </c>
      <c r="R1488" s="16" t="str">
        <f t="shared" si="136"/>
        <v>GRANDSTREAM</v>
      </c>
      <c r="S1488" s="17"/>
      <c r="T1488" s="10" t="str">
        <f>G1488</f>
        <v>TELÉFONO IP COMPATIBLE CON ASTERISK</v>
      </c>
    </row>
    <row r="1489" spans="1:20" ht="27" customHeight="1" x14ac:dyDescent="0.25">
      <c r="A1489" s="8" t="s">
        <v>3428</v>
      </c>
      <c r="B1489" s="9"/>
      <c r="C1489" s="9"/>
      <c r="D1489" s="8"/>
      <c r="E1489" s="8"/>
      <c r="F1489" s="8"/>
      <c r="G1489" s="10"/>
      <c r="H1489" s="8" t="s">
        <v>3429</v>
      </c>
      <c r="I1489" s="10" t="s">
        <v>3430</v>
      </c>
      <c r="J1489" s="11" t="s">
        <v>26</v>
      </c>
      <c r="K1489" s="18">
        <f>195/1.16*1.21*0.8</f>
        <v>162.72413793103453</v>
      </c>
      <c r="L1489" s="12">
        <f t="shared" si="134"/>
        <v>203.00007816267816</v>
      </c>
      <c r="M1489" s="8">
        <v>1</v>
      </c>
      <c r="N1489" s="8" t="s">
        <v>27</v>
      </c>
      <c r="O1489" s="13"/>
      <c r="P1489" s="14">
        <v>0.2</v>
      </c>
      <c r="Q1489" s="15">
        <v>3.8084284082103827E-2</v>
      </c>
      <c r="R1489" s="16" t="str">
        <f t="shared" si="136"/>
        <v>GROK</v>
      </c>
      <c r="S1489" s="17" t="s">
        <v>3431</v>
      </c>
      <c r="T1489" s="10"/>
    </row>
    <row r="1490" spans="1:20" ht="27" customHeight="1" x14ac:dyDescent="0.25">
      <c r="A1490" s="8" t="s">
        <v>3432</v>
      </c>
      <c r="B1490" s="9"/>
      <c r="C1490" s="9"/>
      <c r="D1490" s="8" t="s">
        <v>45</v>
      </c>
      <c r="E1490" s="8"/>
      <c r="F1490" s="8" t="s">
        <v>22</v>
      </c>
      <c r="G1490" s="10" t="s">
        <v>3433</v>
      </c>
      <c r="H1490" s="8" t="s">
        <v>3434</v>
      </c>
      <c r="I1490" s="10" t="s">
        <v>3435</v>
      </c>
      <c r="J1490" s="11" t="s">
        <v>33</v>
      </c>
      <c r="K1490" s="18">
        <v>250000</v>
      </c>
      <c r="L1490" s="12">
        <f>ROUNDUP(K1490*(1+P1490)/(1-Q1490),0)</f>
        <v>454546</v>
      </c>
      <c r="M1490" s="8">
        <v>1</v>
      </c>
      <c r="N1490" s="8" t="s">
        <v>27</v>
      </c>
      <c r="O1490" s="13"/>
      <c r="P1490" s="14">
        <v>0</v>
      </c>
      <c r="Q1490" s="15">
        <v>0.45</v>
      </c>
      <c r="R1490" s="16" t="str">
        <f t="shared" si="136"/>
        <v>GTRADE</v>
      </c>
      <c r="S1490" s="17"/>
      <c r="T1490" s="10" t="str">
        <f>G1490</f>
        <v>GROMMET EN ALUMINIO ANODIZADO CON DOS 4 SALIDAS DE CORRIENTE.</v>
      </c>
    </row>
    <row r="1491" spans="1:20" ht="27" customHeight="1" x14ac:dyDescent="0.25">
      <c r="A1491" s="8" t="s">
        <v>3432</v>
      </c>
      <c r="B1491" s="9"/>
      <c r="C1491" s="9"/>
      <c r="D1491" s="8" t="s">
        <v>45</v>
      </c>
      <c r="E1491" s="8"/>
      <c r="F1491" s="8" t="s">
        <v>22</v>
      </c>
      <c r="G1491" s="10" t="s">
        <v>3433</v>
      </c>
      <c r="H1491" s="8" t="s">
        <v>3436</v>
      </c>
      <c r="I1491" s="10" t="s">
        <v>3437</v>
      </c>
      <c r="J1491" s="11" t="s">
        <v>33</v>
      </c>
      <c r="K1491" s="18">
        <v>205000</v>
      </c>
      <c r="L1491" s="12">
        <f>ROUNDUP(K1491*(1+P1491)/(1-Q1491),0)</f>
        <v>372728</v>
      </c>
      <c r="M1491" s="8">
        <v>1</v>
      </c>
      <c r="N1491" s="8" t="s">
        <v>27</v>
      </c>
      <c r="O1491" s="13"/>
      <c r="P1491" s="14">
        <v>0</v>
      </c>
      <c r="Q1491" s="15">
        <v>0.45</v>
      </c>
      <c r="R1491" s="16" t="str">
        <f t="shared" si="136"/>
        <v>GTRADE</v>
      </c>
      <c r="S1491" s="17"/>
      <c r="T1491" s="10" t="str">
        <f>G1491</f>
        <v>GROMMET EN ALUMINIO ANODIZADO CON DOS 4 SALIDAS DE CORRIENTE.</v>
      </c>
    </row>
    <row r="1492" spans="1:20" ht="27" customHeight="1" x14ac:dyDescent="0.25">
      <c r="A1492" s="8" t="s">
        <v>3438</v>
      </c>
      <c r="B1492" s="9"/>
      <c r="C1492" s="9"/>
      <c r="D1492" s="8"/>
      <c r="E1492" s="8"/>
      <c r="F1492" s="8" t="s">
        <v>22</v>
      </c>
      <c r="G1492" s="10" t="s">
        <v>3439</v>
      </c>
      <c r="H1492" s="8" t="s">
        <v>3440</v>
      </c>
      <c r="I1492" s="10" t="s">
        <v>3441</v>
      </c>
      <c r="J1492" s="11" t="s">
        <v>33</v>
      </c>
      <c r="K1492" s="18">
        <v>113000</v>
      </c>
      <c r="L1492" s="12">
        <f>IF(J1492="P",ROUNDUP(K1492/(1-Q1492),-2),K1492*(1+P1492)/(1-Q1492))</f>
        <v>188400</v>
      </c>
      <c r="M1492" s="8">
        <v>1</v>
      </c>
      <c r="N1492" s="8" t="s">
        <v>27</v>
      </c>
      <c r="O1492" s="13"/>
      <c r="P1492" s="14">
        <v>0.2</v>
      </c>
      <c r="Q1492" s="15">
        <v>0.4</v>
      </c>
      <c r="R1492" s="16" t="str">
        <f t="shared" si="136"/>
        <v>GVS</v>
      </c>
      <c r="S1492" s="17"/>
      <c r="T1492" s="10" t="str">
        <f>G1492</f>
        <v>NVR DE 16 CANALES, CAPACIDAD HASTA 4 TERAS DE DISCO DURO.</v>
      </c>
    </row>
    <row r="1493" spans="1:20" ht="27" customHeight="1" x14ac:dyDescent="0.25">
      <c r="A1493" s="8" t="s">
        <v>3438</v>
      </c>
      <c r="B1493" s="9"/>
      <c r="C1493" s="9"/>
      <c r="D1493" s="8"/>
      <c r="E1493" s="8"/>
      <c r="F1493" s="8"/>
      <c r="G1493" s="10"/>
      <c r="H1493" s="8" t="s">
        <v>3442</v>
      </c>
      <c r="I1493" s="10" t="s">
        <v>3443</v>
      </c>
      <c r="J1493" s="11" t="s">
        <v>33</v>
      </c>
      <c r="K1493" s="18">
        <v>268000</v>
      </c>
      <c r="L1493" s="12">
        <f>IF(J1493="P",ROUNDUP(K1493/(1-Q1493),-2),K1493*(1+P1493)/(1-Q1493))</f>
        <v>446700</v>
      </c>
      <c r="M1493" s="8">
        <v>1</v>
      </c>
      <c r="N1493" s="8" t="s">
        <v>27</v>
      </c>
      <c r="O1493" s="13">
        <f>F1493</f>
        <v>0</v>
      </c>
      <c r="P1493" s="14">
        <v>0</v>
      </c>
      <c r="Q1493" s="15">
        <v>0.4</v>
      </c>
      <c r="R1493" s="16" t="str">
        <f t="shared" si="136"/>
        <v>GVS</v>
      </c>
      <c r="S1493" s="17"/>
      <c r="T1493" s="10"/>
    </row>
    <row r="1494" spans="1:20" ht="27" customHeight="1" x14ac:dyDescent="0.25">
      <c r="A1494" s="8" t="s">
        <v>3444</v>
      </c>
      <c r="B1494" s="9"/>
      <c r="C1494" s="9"/>
      <c r="D1494" s="8"/>
      <c r="E1494" s="8"/>
      <c r="F1494" s="8"/>
      <c r="G1494" s="10"/>
      <c r="H1494" s="8" t="s">
        <v>3445</v>
      </c>
      <c r="I1494" s="10" t="s">
        <v>3446</v>
      </c>
      <c r="J1494" s="11" t="s">
        <v>33</v>
      </c>
      <c r="K1494" s="18">
        <v>27000</v>
      </c>
      <c r="L1494" s="12">
        <f>ROUNDUP(K1494*(1+P1494)/(1-Q1494),0)</f>
        <v>38572</v>
      </c>
      <c r="M1494" s="8">
        <v>1</v>
      </c>
      <c r="N1494" s="8" t="s">
        <v>27</v>
      </c>
      <c r="O1494" s="13"/>
      <c r="P1494" s="14">
        <v>0</v>
      </c>
      <c r="Q1494" s="15">
        <v>0.3</v>
      </c>
      <c r="R1494" s="16" t="str">
        <f t="shared" si="136"/>
        <v>HALUX</v>
      </c>
      <c r="S1494" s="17"/>
      <c r="T1494" s="10"/>
    </row>
    <row r="1495" spans="1:20" ht="27" customHeight="1" x14ac:dyDescent="0.25">
      <c r="A1495" s="8" t="s">
        <v>3447</v>
      </c>
      <c r="B1495" s="9"/>
      <c r="C1495" s="9"/>
      <c r="D1495" s="8"/>
      <c r="E1495" s="8"/>
      <c r="F1495" s="8" t="s">
        <v>22</v>
      </c>
      <c r="G1495" s="10" t="s">
        <v>3448</v>
      </c>
      <c r="H1495" s="8" t="s">
        <v>3449</v>
      </c>
      <c r="I1495" s="10" t="s">
        <v>3448</v>
      </c>
      <c r="J1495" s="11" t="s">
        <v>33</v>
      </c>
      <c r="K1495" s="18">
        <v>14000</v>
      </c>
      <c r="L1495" s="12">
        <f t="shared" ref="L1495:L1522" si="137">IF(J1495="P",ROUNDUP(K1495/(1-Q1495),-2),K1495*(1+P1495)/(1-Q1495))</f>
        <v>23400</v>
      </c>
      <c r="M1495" s="8">
        <v>1</v>
      </c>
      <c r="N1495" s="8" t="s">
        <v>27</v>
      </c>
      <c r="O1495" s="13"/>
      <c r="P1495" s="14">
        <v>0.2</v>
      </c>
      <c r="Q1495" s="15">
        <v>0.4</v>
      </c>
      <c r="R1495" s="16" t="str">
        <f t="shared" si="136"/>
        <v>HECA</v>
      </c>
      <c r="S1495" s="17"/>
      <c r="T1495" s="10" t="str">
        <f>G1495</f>
        <v>TRANSFORMADOR ELECTRÓNICO 12V, 260mA.</v>
      </c>
    </row>
    <row r="1496" spans="1:20" ht="27" customHeight="1" x14ac:dyDescent="0.25">
      <c r="A1496" s="8" t="s">
        <v>3447</v>
      </c>
      <c r="B1496" s="9"/>
      <c r="C1496" s="9"/>
      <c r="D1496" s="8"/>
      <c r="E1496" s="8"/>
      <c r="F1496" s="8" t="s">
        <v>22</v>
      </c>
      <c r="G1496" s="10" t="s">
        <v>792</v>
      </c>
      <c r="H1496" s="8" t="s">
        <v>3450</v>
      </c>
      <c r="I1496" s="10" t="s">
        <v>792</v>
      </c>
      <c r="J1496" s="11" t="s">
        <v>33</v>
      </c>
      <c r="K1496" s="18">
        <v>20000</v>
      </c>
      <c r="L1496" s="12">
        <f t="shared" si="137"/>
        <v>33400</v>
      </c>
      <c r="M1496" s="8">
        <v>1</v>
      </c>
      <c r="N1496" s="8" t="s">
        <v>27</v>
      </c>
      <c r="O1496" s="13"/>
      <c r="P1496" s="14">
        <v>0.2</v>
      </c>
      <c r="Q1496" s="15">
        <v>0.4</v>
      </c>
      <c r="R1496" s="16" t="str">
        <f t="shared" si="136"/>
        <v>HECA</v>
      </c>
      <c r="S1496" s="17"/>
      <c r="T1496" s="10" t="str">
        <f>G1496</f>
        <v>BALA INYECTADA BLANCA PARA LUMINARIA MR16</v>
      </c>
    </row>
    <row r="1497" spans="1:20" ht="27" customHeight="1" x14ac:dyDescent="0.25">
      <c r="A1497" s="8" t="s">
        <v>3447</v>
      </c>
      <c r="B1497" s="9"/>
      <c r="C1497" s="9"/>
      <c r="D1497" s="8"/>
      <c r="E1497" s="8"/>
      <c r="F1497" s="8" t="s">
        <v>22</v>
      </c>
      <c r="G1497" s="10" t="s">
        <v>3451</v>
      </c>
      <c r="H1497" s="8" t="s">
        <v>3449</v>
      </c>
      <c r="I1497" s="10" t="s">
        <v>3451</v>
      </c>
      <c r="J1497" s="11" t="s">
        <v>33</v>
      </c>
      <c r="K1497" s="18">
        <v>5000</v>
      </c>
      <c r="L1497" s="12">
        <f t="shared" si="137"/>
        <v>8400</v>
      </c>
      <c r="M1497" s="8">
        <v>1</v>
      </c>
      <c r="N1497" s="8" t="s">
        <v>27</v>
      </c>
      <c r="O1497" s="13"/>
      <c r="P1497" s="14">
        <v>0.2</v>
      </c>
      <c r="Q1497" s="15">
        <v>0.4</v>
      </c>
      <c r="R1497" s="16" t="str">
        <f t="shared" si="136"/>
        <v>HECA</v>
      </c>
      <c r="S1497" s="17"/>
      <c r="T1497" s="10" t="str">
        <f>G1497</f>
        <v>TRANSFORMADOR ELECTRÓNICO 12V, 260mA. MARCA: HECA</v>
      </c>
    </row>
    <row r="1498" spans="1:20" ht="27" customHeight="1" x14ac:dyDescent="0.25">
      <c r="A1498" s="8" t="s">
        <v>3452</v>
      </c>
      <c r="B1498" s="9"/>
      <c r="C1498" s="9"/>
      <c r="D1498" s="8"/>
      <c r="E1498" s="8"/>
      <c r="F1498" s="8" t="s">
        <v>22</v>
      </c>
      <c r="G1498" s="10" t="s">
        <v>3453</v>
      </c>
      <c r="H1498" s="8" t="s">
        <v>3454</v>
      </c>
      <c r="I1498" s="10" t="s">
        <v>3455</v>
      </c>
      <c r="J1498" s="11" t="s">
        <v>26</v>
      </c>
      <c r="K1498" s="18">
        <v>320</v>
      </c>
      <c r="L1498" s="12">
        <f t="shared" si="137"/>
        <v>640</v>
      </c>
      <c r="M1498" s="8">
        <v>1</v>
      </c>
      <c r="N1498" s="8" t="s">
        <v>27</v>
      </c>
      <c r="O1498" s="13"/>
      <c r="P1498" s="14">
        <v>0.2</v>
      </c>
      <c r="Q1498" s="15">
        <v>0.4</v>
      </c>
      <c r="R1498" s="16" t="str">
        <f t="shared" si="136"/>
        <v>HELLO</v>
      </c>
      <c r="S1498" s="17"/>
      <c r="T1498" s="10" t="str">
        <f>G1498</f>
        <v>CÁMARA DE VIDEO TODO EN UNO COMPATIBLE CON SKYPE, SALIDA 4K.</v>
      </c>
    </row>
    <row r="1499" spans="1:20" ht="27" customHeight="1" x14ac:dyDescent="0.25">
      <c r="A1499" s="8" t="s">
        <v>3456</v>
      </c>
      <c r="B1499" s="9"/>
      <c r="C1499" s="9"/>
      <c r="D1499" s="8"/>
      <c r="E1499" s="8"/>
      <c r="F1499" s="8"/>
      <c r="G1499" s="10"/>
      <c r="H1499" s="8" t="s">
        <v>3457</v>
      </c>
      <c r="I1499" s="10" t="s">
        <v>3458</v>
      </c>
      <c r="J1499" s="11" t="s">
        <v>33</v>
      </c>
      <c r="K1499" s="18">
        <v>468000</v>
      </c>
      <c r="L1499" s="12">
        <f t="shared" si="137"/>
        <v>780000</v>
      </c>
      <c r="M1499" s="8">
        <v>1</v>
      </c>
      <c r="N1499" s="8" t="s">
        <v>27</v>
      </c>
      <c r="O1499" s="13"/>
      <c r="P1499" s="14">
        <v>0</v>
      </c>
      <c r="Q1499" s="15">
        <v>0.4</v>
      </c>
      <c r="R1499" s="16" t="str">
        <f t="shared" si="136"/>
        <v>HID</v>
      </c>
      <c r="S1499" s="17"/>
      <c r="T1499" s="10"/>
    </row>
    <row r="1500" spans="1:20" ht="27" customHeight="1" x14ac:dyDescent="0.25">
      <c r="A1500" s="8" t="s">
        <v>3459</v>
      </c>
      <c r="B1500" s="9"/>
      <c r="C1500" s="9"/>
      <c r="D1500" s="8"/>
      <c r="E1500" s="8"/>
      <c r="F1500" s="8" t="s">
        <v>22</v>
      </c>
      <c r="G1500" s="10" t="s">
        <v>3460</v>
      </c>
      <c r="H1500" s="8" t="s">
        <v>3461</v>
      </c>
      <c r="I1500" s="10" t="s">
        <v>3460</v>
      </c>
      <c r="J1500" s="11" t="s">
        <v>33</v>
      </c>
      <c r="K1500" s="18">
        <v>6700000</v>
      </c>
      <c r="L1500" s="12">
        <f t="shared" si="137"/>
        <v>11166700</v>
      </c>
      <c r="M1500" s="8">
        <v>1</v>
      </c>
      <c r="N1500" s="8" t="s">
        <v>27</v>
      </c>
      <c r="O1500" s="13"/>
      <c r="P1500" s="14">
        <v>0</v>
      </c>
      <c r="Q1500" s="15">
        <v>0.4</v>
      </c>
      <c r="R1500" s="16" t="str">
        <f t="shared" si="136"/>
        <v>HIKVISION</v>
      </c>
      <c r="S1500" s="17"/>
      <c r="T1500" s="10" t="str">
        <f t="shared" ref="T1500:T1524" si="138">G1500</f>
        <v>MONITOR DE 43 PULGADAS TOUCH SCREEN DE 10 PUNTOS.</v>
      </c>
    </row>
    <row r="1501" spans="1:20" ht="27" customHeight="1" x14ac:dyDescent="0.25">
      <c r="A1501" s="8" t="s">
        <v>3459</v>
      </c>
      <c r="B1501" s="9"/>
      <c r="C1501" s="9"/>
      <c r="D1501" s="8"/>
      <c r="E1501" s="8"/>
      <c r="F1501" s="8" t="s">
        <v>22</v>
      </c>
      <c r="G1501" s="10" t="s">
        <v>3462</v>
      </c>
      <c r="H1501" s="8" t="s">
        <v>3463</v>
      </c>
      <c r="I1501" s="10" t="s">
        <v>3462</v>
      </c>
      <c r="J1501" s="11" t="s">
        <v>33</v>
      </c>
      <c r="K1501" s="18">
        <v>7024600</v>
      </c>
      <c r="L1501" s="12">
        <f t="shared" si="137"/>
        <v>11707700</v>
      </c>
      <c r="M1501" s="8">
        <v>1</v>
      </c>
      <c r="N1501" s="8" t="s">
        <v>27</v>
      </c>
      <c r="O1501" s="13"/>
      <c r="P1501" s="14">
        <v>0</v>
      </c>
      <c r="Q1501" s="15">
        <v>0.4</v>
      </c>
      <c r="R1501" s="16" t="str">
        <f t="shared" si="136"/>
        <v>HIKVISION</v>
      </c>
      <c r="S1501" s="17"/>
      <c r="T1501" s="10" t="str">
        <f t="shared" si="138"/>
        <v>MONITOR DE 49 PULGADAS TOUCH SCREEN DE 10 PUNTOS.</v>
      </c>
    </row>
    <row r="1502" spans="1:20" ht="27" customHeight="1" x14ac:dyDescent="0.25">
      <c r="A1502" s="8" t="s">
        <v>3459</v>
      </c>
      <c r="B1502" s="9"/>
      <c r="C1502" s="9"/>
      <c r="D1502" s="8"/>
      <c r="E1502" s="8"/>
      <c r="F1502" s="8" t="s">
        <v>22</v>
      </c>
      <c r="G1502" s="10" t="s">
        <v>3464</v>
      </c>
      <c r="H1502" s="8" t="s">
        <v>3465</v>
      </c>
      <c r="I1502" s="10" t="s">
        <v>3464</v>
      </c>
      <c r="J1502" s="11" t="s">
        <v>33</v>
      </c>
      <c r="K1502" s="18">
        <v>123200</v>
      </c>
      <c r="L1502" s="12">
        <f t="shared" si="137"/>
        <v>154000</v>
      </c>
      <c r="M1502" s="8">
        <v>1</v>
      </c>
      <c r="N1502" s="8" t="s">
        <v>27</v>
      </c>
      <c r="O1502" s="13"/>
      <c r="P1502" s="14">
        <v>0.2</v>
      </c>
      <c r="Q1502" s="15">
        <v>0.2</v>
      </c>
      <c r="R1502" s="16" t="str">
        <f t="shared" si="136"/>
        <v>HIKVISION</v>
      </c>
      <c r="S1502" s="17"/>
      <c r="T1502" s="10" t="str">
        <f t="shared" si="138"/>
        <v>CÁMARA IP, PARA INTERIOR EXTERIOR IP67, RESOLUCIÓN DE 1920 × 1080.</v>
      </c>
    </row>
    <row r="1503" spans="1:20" ht="27" customHeight="1" x14ac:dyDescent="0.25">
      <c r="A1503" s="8" t="s">
        <v>3459</v>
      </c>
      <c r="B1503" s="9"/>
      <c r="C1503" s="9"/>
      <c r="D1503" s="8"/>
      <c r="E1503" s="8"/>
      <c r="F1503" s="8" t="s">
        <v>22</v>
      </c>
      <c r="G1503" s="10" t="s">
        <v>3466</v>
      </c>
      <c r="H1503" s="8" t="s">
        <v>3467</v>
      </c>
      <c r="I1503" s="10" t="s">
        <v>3466</v>
      </c>
      <c r="J1503" s="11" t="s">
        <v>33</v>
      </c>
      <c r="K1503" s="18">
        <v>180000</v>
      </c>
      <c r="L1503" s="12">
        <f t="shared" si="137"/>
        <v>300000</v>
      </c>
      <c r="M1503" s="8">
        <v>1</v>
      </c>
      <c r="N1503" s="8" t="s">
        <v>27</v>
      </c>
      <c r="O1503" s="13"/>
      <c r="P1503" s="14">
        <v>0</v>
      </c>
      <c r="Q1503" s="15">
        <v>0.4</v>
      </c>
      <c r="R1503" s="16" t="str">
        <f t="shared" si="136"/>
        <v>HIKVISION</v>
      </c>
      <c r="S1503" s="17"/>
      <c r="T1503" s="10" t="str">
        <f t="shared" si="138"/>
        <v>DISCO DURO DE 2 TERAS TIPO SATA</v>
      </c>
    </row>
    <row r="1504" spans="1:20" ht="27" customHeight="1" x14ac:dyDescent="0.25">
      <c r="A1504" s="8" t="s">
        <v>3459</v>
      </c>
      <c r="B1504" s="9"/>
      <c r="C1504" s="9"/>
      <c r="D1504" s="8"/>
      <c r="E1504" s="8"/>
      <c r="F1504" s="8" t="s">
        <v>22</v>
      </c>
      <c r="G1504" s="10" t="s">
        <v>3468</v>
      </c>
      <c r="H1504" s="8" t="s">
        <v>3469</v>
      </c>
      <c r="I1504" s="10" t="s">
        <v>3468</v>
      </c>
      <c r="J1504" s="11" t="s">
        <v>33</v>
      </c>
      <c r="K1504" s="18">
        <v>172000</v>
      </c>
      <c r="L1504" s="12">
        <f t="shared" si="137"/>
        <v>229400</v>
      </c>
      <c r="M1504" s="8">
        <v>1</v>
      </c>
      <c r="N1504" s="8" t="s">
        <v>27</v>
      </c>
      <c r="O1504" s="13"/>
      <c r="P1504" s="14">
        <v>0</v>
      </c>
      <c r="Q1504" s="15">
        <v>0.25</v>
      </c>
      <c r="R1504" s="16" t="str">
        <f t="shared" si="136"/>
        <v>HIKVISION</v>
      </c>
      <c r="S1504" s="17"/>
      <c r="T1504" s="10" t="str">
        <f t="shared" si="138"/>
        <v>CÁMARA IP 1080P</v>
      </c>
    </row>
    <row r="1505" spans="1:20" ht="27" customHeight="1" x14ac:dyDescent="0.25">
      <c r="A1505" s="8" t="s">
        <v>3459</v>
      </c>
      <c r="B1505" s="9"/>
      <c r="C1505" s="9"/>
      <c r="D1505" s="8"/>
      <c r="E1505" s="8"/>
      <c r="F1505" s="8" t="s">
        <v>22</v>
      </c>
      <c r="G1505" s="10" t="s">
        <v>3470</v>
      </c>
      <c r="H1505" s="8" t="s">
        <v>3471</v>
      </c>
      <c r="I1505" s="10" t="s">
        <v>3472</v>
      </c>
      <c r="J1505" s="11" t="s">
        <v>33</v>
      </c>
      <c r="K1505" s="18">
        <f>4645000*0.8</f>
        <v>3716000</v>
      </c>
      <c r="L1505" s="12">
        <f t="shared" si="137"/>
        <v>6193400</v>
      </c>
      <c r="M1505" s="8">
        <v>1</v>
      </c>
      <c r="N1505" s="8" t="s">
        <v>27</v>
      </c>
      <c r="O1505" s="13"/>
      <c r="P1505" s="14">
        <v>0.2</v>
      </c>
      <c r="Q1505" s="15">
        <v>0.4</v>
      </c>
      <c r="R1505" s="16" t="str">
        <f t="shared" si="136"/>
        <v>HIKVISION</v>
      </c>
      <c r="S1505" s="17"/>
      <c r="T1505" s="10" t="str">
        <f t="shared" si="138"/>
        <v>CÁMARA CON DSP, RECONOCIMIENTO DE MATRICULA Y LECTOR DE VELOCIDAD.</v>
      </c>
    </row>
    <row r="1506" spans="1:20" ht="27" customHeight="1" x14ac:dyDescent="0.25">
      <c r="A1506" s="8" t="s">
        <v>3459</v>
      </c>
      <c r="B1506" s="9"/>
      <c r="C1506" s="9"/>
      <c r="D1506" s="8"/>
      <c r="E1506" s="8"/>
      <c r="F1506" s="8" t="s">
        <v>22</v>
      </c>
      <c r="G1506" s="10" t="s">
        <v>3473</v>
      </c>
      <c r="H1506" s="8" t="s">
        <v>3474</v>
      </c>
      <c r="I1506" s="10" t="s">
        <v>3473</v>
      </c>
      <c r="J1506" s="11" t="s">
        <v>33</v>
      </c>
      <c r="K1506" s="18">
        <f>14800000*0.2</f>
        <v>2960000</v>
      </c>
      <c r="L1506" s="12">
        <f t="shared" si="137"/>
        <v>4933400</v>
      </c>
      <c r="M1506" s="8">
        <v>1</v>
      </c>
      <c r="N1506" s="8" t="s">
        <v>27</v>
      </c>
      <c r="O1506" s="13"/>
      <c r="P1506" s="14">
        <v>0.2</v>
      </c>
      <c r="Q1506" s="15">
        <v>0.4</v>
      </c>
      <c r="R1506" s="16" t="str">
        <f t="shared" si="136"/>
        <v>HIKVISION</v>
      </c>
      <c r="S1506" s="17"/>
      <c r="T1506" s="10" t="str">
        <f t="shared" si="138"/>
        <v>LECTOR DE VELOCIDAD DE PRECISIÓN, CON RANGO ENTER 2 Y 400km / h</v>
      </c>
    </row>
    <row r="1507" spans="1:20" ht="27" customHeight="1" x14ac:dyDescent="0.25">
      <c r="A1507" s="8" t="s">
        <v>3459</v>
      </c>
      <c r="B1507" s="9"/>
      <c r="C1507" s="9"/>
      <c r="D1507" s="8"/>
      <c r="E1507" s="8"/>
      <c r="F1507" s="8" t="s">
        <v>22</v>
      </c>
      <c r="G1507" s="10" t="s">
        <v>3475</v>
      </c>
      <c r="H1507" s="8" t="s">
        <v>3476</v>
      </c>
      <c r="I1507" s="10" t="s">
        <v>3475</v>
      </c>
      <c r="J1507" s="11" t="s">
        <v>33</v>
      </c>
      <c r="K1507" s="18">
        <f>66200*0.8</f>
        <v>52960</v>
      </c>
      <c r="L1507" s="12">
        <f t="shared" si="137"/>
        <v>88300</v>
      </c>
      <c r="M1507" s="8">
        <v>1</v>
      </c>
      <c r="N1507" s="8" t="s">
        <v>27</v>
      </c>
      <c r="O1507" s="13"/>
      <c r="P1507" s="14">
        <v>0.2</v>
      </c>
      <c r="Q1507" s="15">
        <v>0.4</v>
      </c>
      <c r="R1507" s="16" t="str">
        <f t="shared" si="136"/>
        <v>HIKVISION</v>
      </c>
      <c r="S1507" s="17"/>
      <c r="T1507" s="10" t="str">
        <f t="shared" si="138"/>
        <v>SOPORTE PARA CÁMARA</v>
      </c>
    </row>
    <row r="1508" spans="1:20" ht="27" customHeight="1" x14ac:dyDescent="0.25">
      <c r="A1508" s="8" t="s">
        <v>3459</v>
      </c>
      <c r="B1508" s="9"/>
      <c r="C1508" s="9"/>
      <c r="D1508" s="8"/>
      <c r="E1508" s="8"/>
      <c r="F1508" s="8" t="s">
        <v>22</v>
      </c>
      <c r="G1508" s="10" t="s">
        <v>3477</v>
      </c>
      <c r="H1508" s="8" t="s">
        <v>3478</v>
      </c>
      <c r="I1508" s="10" t="s">
        <v>3477</v>
      </c>
      <c r="J1508" s="11" t="s">
        <v>33</v>
      </c>
      <c r="K1508" s="18">
        <v>40000</v>
      </c>
      <c r="L1508" s="12">
        <f t="shared" si="137"/>
        <v>66700</v>
      </c>
      <c r="M1508" s="8">
        <v>1</v>
      </c>
      <c r="N1508" s="8" t="s">
        <v>27</v>
      </c>
      <c r="O1508" s="13"/>
      <c r="P1508" s="14">
        <v>0.2</v>
      </c>
      <c r="Q1508" s="15">
        <v>0.4</v>
      </c>
      <c r="R1508" s="16" t="str">
        <f t="shared" si="136"/>
        <v>HIKVISION</v>
      </c>
      <c r="S1508" s="17"/>
      <c r="T1508" s="10" t="str">
        <f t="shared" si="138"/>
        <v>BRAZO ECUALIZABLE PARA CÁMARA</v>
      </c>
    </row>
    <row r="1509" spans="1:20" ht="27" customHeight="1" x14ac:dyDescent="0.25">
      <c r="A1509" s="8" t="s">
        <v>3459</v>
      </c>
      <c r="B1509" s="9"/>
      <c r="C1509" s="9"/>
      <c r="D1509" s="8"/>
      <c r="E1509" s="8"/>
      <c r="F1509" s="8" t="s">
        <v>22</v>
      </c>
      <c r="G1509" s="10" t="s">
        <v>3479</v>
      </c>
      <c r="H1509" s="8" t="s">
        <v>3480</v>
      </c>
      <c r="I1509" s="10" t="s">
        <v>3479</v>
      </c>
      <c r="J1509" s="11" t="s">
        <v>33</v>
      </c>
      <c r="K1509" s="18">
        <v>1980000</v>
      </c>
      <c r="L1509" s="12">
        <f t="shared" si="137"/>
        <v>3300000</v>
      </c>
      <c r="M1509" s="8">
        <v>1</v>
      </c>
      <c r="N1509" s="8" t="s">
        <v>27</v>
      </c>
      <c r="O1509" s="13"/>
      <c r="P1509" s="14">
        <v>0.2</v>
      </c>
      <c r="Q1509" s="15">
        <v>0.4</v>
      </c>
      <c r="R1509" s="16" t="str">
        <f t="shared" si="136"/>
        <v>HIKVISION</v>
      </c>
      <c r="S1509" s="17"/>
      <c r="T1509" s="10" t="str">
        <f t="shared" si="138"/>
        <v>NVR PARA CÁMARA IP. CON CAPACIDAD DE 4 DISCOS SATA. SALIDA HDMI 4K.</v>
      </c>
    </row>
    <row r="1510" spans="1:20" ht="27" customHeight="1" x14ac:dyDescent="0.25">
      <c r="A1510" s="8" t="s">
        <v>3459</v>
      </c>
      <c r="B1510" s="9"/>
      <c r="C1510" s="9"/>
      <c r="D1510" s="8"/>
      <c r="E1510" s="8"/>
      <c r="F1510" s="8" t="s">
        <v>22</v>
      </c>
      <c r="G1510" s="10" t="s">
        <v>3481</v>
      </c>
      <c r="H1510" s="8" t="s">
        <v>3482</v>
      </c>
      <c r="I1510" s="10" t="s">
        <v>3481</v>
      </c>
      <c r="J1510" s="11" t="s">
        <v>33</v>
      </c>
      <c r="K1510" s="18">
        <f>2500000*0.8</f>
        <v>2000000</v>
      </c>
      <c r="L1510" s="12">
        <f t="shared" si="137"/>
        <v>3333400</v>
      </c>
      <c r="M1510" s="8">
        <v>1</v>
      </c>
      <c r="N1510" s="8" t="s">
        <v>27</v>
      </c>
      <c r="O1510" s="13"/>
      <c r="P1510" s="14">
        <v>0.2</v>
      </c>
      <c r="Q1510" s="15">
        <v>0.4</v>
      </c>
      <c r="R1510" s="16" t="str">
        <f t="shared" si="136"/>
        <v>HIKVISION</v>
      </c>
      <c r="S1510" s="17"/>
      <c r="T1510" s="10" t="str">
        <f t="shared" si="138"/>
        <v>ESTACIÓN CENTRAL DE SOFTWARE</v>
      </c>
    </row>
    <row r="1511" spans="1:20" ht="27" customHeight="1" x14ac:dyDescent="0.25">
      <c r="A1511" s="8" t="s">
        <v>3459</v>
      </c>
      <c r="B1511" s="9"/>
      <c r="C1511" s="9"/>
      <c r="D1511" s="8"/>
      <c r="E1511" s="8"/>
      <c r="F1511" s="8" t="s">
        <v>22</v>
      </c>
      <c r="G1511" s="10" t="s">
        <v>3483</v>
      </c>
      <c r="H1511" s="8" t="s">
        <v>3484</v>
      </c>
      <c r="I1511" s="10" t="s">
        <v>3483</v>
      </c>
      <c r="J1511" s="11" t="s">
        <v>33</v>
      </c>
      <c r="K1511" s="18">
        <v>6000000</v>
      </c>
      <c r="L1511" s="12">
        <f t="shared" si="137"/>
        <v>10000000</v>
      </c>
      <c r="M1511" s="8">
        <v>1</v>
      </c>
      <c r="N1511" s="8" t="s">
        <v>27</v>
      </c>
      <c r="O1511" s="13"/>
      <c r="P1511" s="14">
        <v>0.2</v>
      </c>
      <c r="Q1511" s="15">
        <v>0.4</v>
      </c>
      <c r="R1511" s="16" t="str">
        <f t="shared" si="136"/>
        <v>HIKVISION</v>
      </c>
      <c r="S1511" s="17"/>
      <c r="T1511" s="10" t="str">
        <f t="shared" si="138"/>
        <v>LICENCIA DE SOFTWARE DE GESTIÓN DE SISTEMA DE MONITOREO Y CÁMARAS</v>
      </c>
    </row>
    <row r="1512" spans="1:20" ht="27" customHeight="1" x14ac:dyDescent="0.25">
      <c r="A1512" s="8" t="s">
        <v>3459</v>
      </c>
      <c r="B1512" s="9"/>
      <c r="C1512" s="9"/>
      <c r="D1512" s="8"/>
      <c r="E1512" s="8"/>
      <c r="F1512" s="8" t="s">
        <v>22</v>
      </c>
      <c r="G1512" s="10" t="s">
        <v>3485</v>
      </c>
      <c r="H1512" s="8" t="s">
        <v>3486</v>
      </c>
      <c r="I1512" s="10" t="s">
        <v>3485</v>
      </c>
      <c r="J1512" s="11" t="s">
        <v>33</v>
      </c>
      <c r="K1512" s="18">
        <v>4000000</v>
      </c>
      <c r="L1512" s="12">
        <f t="shared" si="137"/>
        <v>6666700</v>
      </c>
      <c r="M1512" s="8">
        <v>1</v>
      </c>
      <c r="N1512" s="8" t="s">
        <v>27</v>
      </c>
      <c r="O1512" s="13"/>
      <c r="P1512" s="14">
        <v>0.2</v>
      </c>
      <c r="Q1512" s="15">
        <v>0.4</v>
      </c>
      <c r="R1512" s="16" t="str">
        <f t="shared" si="136"/>
        <v>HIKVISION</v>
      </c>
      <c r="S1512" s="17"/>
      <c r="T1512" s="10" t="str">
        <f t="shared" si="138"/>
        <v>ARRANQUE DEL SISTEMA CON SOFTWARE CERTIFICADO.</v>
      </c>
    </row>
    <row r="1513" spans="1:20" ht="27" customHeight="1" x14ac:dyDescent="0.25">
      <c r="A1513" s="8" t="s">
        <v>3459</v>
      </c>
      <c r="B1513" s="9" t="s">
        <v>3487</v>
      </c>
      <c r="C1513" s="9"/>
      <c r="D1513" s="8"/>
      <c r="E1513" s="8">
        <v>1</v>
      </c>
      <c r="F1513" s="8" t="s">
        <v>22</v>
      </c>
      <c r="G1513" s="10" t="s">
        <v>3488</v>
      </c>
      <c r="H1513" s="8" t="s">
        <v>3489</v>
      </c>
      <c r="I1513" s="10" t="s">
        <v>3488</v>
      </c>
      <c r="J1513" s="11" t="s">
        <v>33</v>
      </c>
      <c r="K1513" s="18">
        <v>200000</v>
      </c>
      <c r="L1513" s="12">
        <f t="shared" si="137"/>
        <v>400000</v>
      </c>
      <c r="M1513" s="8">
        <v>1</v>
      </c>
      <c r="N1513" s="8" t="s">
        <v>27</v>
      </c>
      <c r="O1513" s="13"/>
      <c r="P1513" s="14">
        <v>0.2</v>
      </c>
      <c r="Q1513" s="15">
        <v>0.5</v>
      </c>
      <c r="R1513" s="16" t="str">
        <f t="shared" si="136"/>
        <v>HIKVISION</v>
      </c>
      <c r="S1513" s="17"/>
      <c r="T1513" s="10" t="str">
        <f t="shared" si="138"/>
        <v>CÁMARA DE EXTERIORES DE 700 TVL, CON FUENTE DE ALIMENTACIÓN. HIKVISIÓN.</v>
      </c>
    </row>
    <row r="1514" spans="1:20" ht="27" customHeight="1" x14ac:dyDescent="0.25">
      <c r="A1514" s="8" t="s">
        <v>3459</v>
      </c>
      <c r="B1514" s="9" t="s">
        <v>3487</v>
      </c>
      <c r="C1514" s="9"/>
      <c r="D1514" s="8"/>
      <c r="E1514" s="8">
        <v>2</v>
      </c>
      <c r="F1514" s="8" t="s">
        <v>22</v>
      </c>
      <c r="G1514" s="10" t="s">
        <v>3490</v>
      </c>
      <c r="H1514" s="8" t="s">
        <v>3491</v>
      </c>
      <c r="I1514" s="10" t="s">
        <v>3490</v>
      </c>
      <c r="J1514" s="11" t="s">
        <v>33</v>
      </c>
      <c r="K1514" s="18">
        <v>100000</v>
      </c>
      <c r="L1514" s="12">
        <f t="shared" si="137"/>
        <v>200000</v>
      </c>
      <c r="M1514" s="8">
        <v>1</v>
      </c>
      <c r="N1514" s="8" t="s">
        <v>27</v>
      </c>
      <c r="O1514" s="13"/>
      <c r="P1514" s="14">
        <v>0.2</v>
      </c>
      <c r="Q1514" s="15">
        <v>0.5</v>
      </c>
      <c r="R1514" s="16" t="str">
        <f t="shared" si="136"/>
        <v>HIKVISION</v>
      </c>
      <c r="S1514" s="17"/>
      <c r="T1514" s="10" t="str">
        <f t="shared" si="138"/>
        <v>CÁMARA DEMO DE LENTE FIJO DE 1.3 MEGA PIXELES, INCLUYE FUENTE DE ALIMENTACIÓN.</v>
      </c>
    </row>
    <row r="1515" spans="1:20" ht="27" customHeight="1" x14ac:dyDescent="0.25">
      <c r="A1515" s="8" t="s">
        <v>3459</v>
      </c>
      <c r="B1515" s="9" t="s">
        <v>3487</v>
      </c>
      <c r="C1515" s="9"/>
      <c r="D1515" s="8"/>
      <c r="E1515" s="8">
        <v>3</v>
      </c>
      <c r="F1515" s="8" t="s">
        <v>22</v>
      </c>
      <c r="G1515" s="10" t="s">
        <v>3492</v>
      </c>
      <c r="H1515" s="8" t="s">
        <v>3493</v>
      </c>
      <c r="I1515" s="10" t="s">
        <v>3492</v>
      </c>
      <c r="J1515" s="11" t="s">
        <v>33</v>
      </c>
      <c r="K1515" s="18">
        <v>6000</v>
      </c>
      <c r="L1515" s="12">
        <f t="shared" si="137"/>
        <v>12000</v>
      </c>
      <c r="M1515" s="8">
        <v>1</v>
      </c>
      <c r="N1515" s="8" t="s">
        <v>27</v>
      </c>
      <c r="O1515" s="13"/>
      <c r="P1515" s="14">
        <v>0.2</v>
      </c>
      <c r="Q1515" s="15">
        <v>0.5</v>
      </c>
      <c r="R1515" s="16" t="str">
        <f t="shared" si="136"/>
        <v>HIKVISION</v>
      </c>
      <c r="S1515" s="17"/>
      <c r="T1515" s="10" t="str">
        <f t="shared" si="138"/>
        <v>VIDEO BALUM  PARA TRANSMISIÓN DE VIDEO POR CATEGORÍA 5/6.</v>
      </c>
    </row>
    <row r="1516" spans="1:20" ht="27" customHeight="1" x14ac:dyDescent="0.25">
      <c r="A1516" s="8" t="s">
        <v>3459</v>
      </c>
      <c r="B1516" s="9" t="s">
        <v>3487</v>
      </c>
      <c r="C1516" s="9"/>
      <c r="D1516" s="8"/>
      <c r="E1516" s="8">
        <v>4</v>
      </c>
      <c r="F1516" s="8" t="s">
        <v>22</v>
      </c>
      <c r="G1516" s="10" t="s">
        <v>3494</v>
      </c>
      <c r="H1516" s="8" t="s">
        <v>3495</v>
      </c>
      <c r="I1516" s="10" t="s">
        <v>3494</v>
      </c>
      <c r="J1516" s="11" t="s">
        <v>33</v>
      </c>
      <c r="K1516" s="18">
        <v>170000</v>
      </c>
      <c r="L1516" s="12">
        <f t="shared" si="137"/>
        <v>340000</v>
      </c>
      <c r="M1516" s="8">
        <v>1</v>
      </c>
      <c r="N1516" s="8" t="s">
        <v>27</v>
      </c>
      <c r="O1516" s="13"/>
      <c r="P1516" s="14">
        <v>0.2</v>
      </c>
      <c r="Q1516" s="15">
        <v>0.5</v>
      </c>
      <c r="R1516" s="16" t="str">
        <f t="shared" si="136"/>
        <v>HIKVISION</v>
      </c>
      <c r="S1516" s="17"/>
      <c r="T1516" s="10" t="str">
        <f t="shared" si="138"/>
        <v>DVR DE 4 CANALES DIVISIÓN</v>
      </c>
    </row>
    <row r="1517" spans="1:20" ht="27" customHeight="1" x14ac:dyDescent="0.25">
      <c r="A1517" s="8" t="s">
        <v>3459</v>
      </c>
      <c r="B1517" s="9" t="s">
        <v>3487</v>
      </c>
      <c r="C1517" s="9"/>
      <c r="D1517" s="8"/>
      <c r="E1517" s="8">
        <v>5</v>
      </c>
      <c r="F1517" s="8" t="s">
        <v>22</v>
      </c>
      <c r="G1517" s="10" t="s">
        <v>3496</v>
      </c>
      <c r="H1517" s="8" t="s">
        <v>3497</v>
      </c>
      <c r="I1517" s="10" t="s">
        <v>3496</v>
      </c>
      <c r="J1517" s="11" t="s">
        <v>33</v>
      </c>
      <c r="K1517" s="18">
        <v>160000</v>
      </c>
      <c r="L1517" s="12">
        <f t="shared" si="137"/>
        <v>320000</v>
      </c>
      <c r="M1517" s="8">
        <v>1</v>
      </c>
      <c r="N1517" s="8" t="s">
        <v>27</v>
      </c>
      <c r="O1517" s="13"/>
      <c r="P1517" s="14">
        <v>0.2</v>
      </c>
      <c r="Q1517" s="15">
        <v>0.5</v>
      </c>
      <c r="R1517" s="16" t="str">
        <f t="shared" si="136"/>
        <v>HIKVISION</v>
      </c>
      <c r="S1517" s="17"/>
      <c r="T1517" s="10" t="str">
        <f t="shared" si="138"/>
        <v>DISCO DURO SATA DE UN TERA</v>
      </c>
    </row>
    <row r="1518" spans="1:20" ht="27" customHeight="1" x14ac:dyDescent="0.25">
      <c r="A1518" s="8" t="s">
        <v>3459</v>
      </c>
      <c r="B1518" s="9"/>
      <c r="C1518" s="9"/>
      <c r="D1518" s="8"/>
      <c r="E1518" s="8"/>
      <c r="F1518" s="8" t="s">
        <v>22</v>
      </c>
      <c r="G1518" s="10" t="s">
        <v>3498</v>
      </c>
      <c r="H1518" s="8" t="s">
        <v>3499</v>
      </c>
      <c r="I1518" s="10" t="s">
        <v>3498</v>
      </c>
      <c r="J1518" s="11" t="s">
        <v>33</v>
      </c>
      <c r="K1518" s="18">
        <v>2300000</v>
      </c>
      <c r="L1518" s="12">
        <f t="shared" si="137"/>
        <v>4600000</v>
      </c>
      <c r="M1518" s="8">
        <v>1</v>
      </c>
      <c r="N1518" s="8" t="s">
        <v>27</v>
      </c>
      <c r="O1518" s="13"/>
      <c r="P1518" s="14">
        <v>0.2</v>
      </c>
      <c r="Q1518" s="15">
        <v>0.5</v>
      </c>
      <c r="R1518" s="16" t="str">
        <f t="shared" si="136"/>
        <v>HIKVISION</v>
      </c>
      <c r="S1518" s="17"/>
      <c r="T1518" s="10" t="str">
        <f t="shared" si="138"/>
        <v xml:space="preserve">CÁMARA (2.8-32mm) para reconocimiento de placas. Full HD1080P. IP67.
</v>
      </c>
    </row>
    <row r="1519" spans="1:20" ht="27" customHeight="1" x14ac:dyDescent="0.25">
      <c r="A1519" s="8" t="s">
        <v>3459</v>
      </c>
      <c r="B1519" s="9"/>
      <c r="C1519" s="9"/>
      <c r="D1519" s="8"/>
      <c r="E1519" s="8"/>
      <c r="F1519" s="8" t="s">
        <v>22</v>
      </c>
      <c r="G1519" s="10" t="s">
        <v>3500</v>
      </c>
      <c r="H1519" s="8" t="s">
        <v>3501</v>
      </c>
      <c r="I1519" s="10" t="s">
        <v>3502</v>
      </c>
      <c r="J1519" s="11" t="s">
        <v>33</v>
      </c>
      <c r="K1519" s="18">
        <v>4700000</v>
      </c>
      <c r="L1519" s="12">
        <f t="shared" si="137"/>
        <v>9400000</v>
      </c>
      <c r="M1519" s="8">
        <v>1</v>
      </c>
      <c r="N1519" s="8" t="s">
        <v>27</v>
      </c>
      <c r="O1519" s="13"/>
      <c r="P1519" s="14">
        <v>0.2</v>
      </c>
      <c r="Q1519" s="15">
        <v>0.5</v>
      </c>
      <c r="R1519" s="16" t="str">
        <f t="shared" si="136"/>
        <v>HIKVISION</v>
      </c>
      <c r="S1519" s="17"/>
      <c r="T1519" s="10" t="str">
        <f t="shared" si="138"/>
        <v xml:space="preserve"> LICENCIA PARA CÁMARA. </v>
      </c>
    </row>
    <row r="1520" spans="1:20" ht="27" customHeight="1" x14ac:dyDescent="0.25">
      <c r="A1520" s="8" t="s">
        <v>3459</v>
      </c>
      <c r="B1520" s="9"/>
      <c r="C1520" s="9"/>
      <c r="D1520" s="8" t="s">
        <v>45</v>
      </c>
      <c r="E1520" s="8"/>
      <c r="F1520" s="8" t="s">
        <v>22</v>
      </c>
      <c r="G1520" s="10" t="s">
        <v>3503</v>
      </c>
      <c r="H1520" s="8" t="s">
        <v>3504</v>
      </c>
      <c r="I1520" s="10" t="s">
        <v>3503</v>
      </c>
      <c r="J1520" s="11" t="s">
        <v>33</v>
      </c>
      <c r="K1520" s="18">
        <v>147060</v>
      </c>
      <c r="L1520" s="12">
        <f t="shared" si="137"/>
        <v>245100</v>
      </c>
      <c r="M1520" s="8">
        <v>1</v>
      </c>
      <c r="N1520" s="8" t="s">
        <v>27</v>
      </c>
      <c r="O1520" s="13"/>
      <c r="P1520" s="14">
        <v>0</v>
      </c>
      <c r="Q1520" s="15">
        <v>0.4</v>
      </c>
      <c r="R1520" s="16" t="str">
        <f t="shared" si="136"/>
        <v>HIKVISION</v>
      </c>
      <c r="S1520" s="17"/>
      <c r="T1520" s="10" t="str">
        <f t="shared" si="138"/>
        <v>DVR ANÁLOGO DE 4 CANALES RESOLUCIÓN 720-1080P.</v>
      </c>
    </row>
    <row r="1521" spans="1:20" ht="27" customHeight="1" x14ac:dyDescent="0.25">
      <c r="A1521" s="8" t="s">
        <v>3459</v>
      </c>
      <c r="B1521" s="9"/>
      <c r="C1521" s="9"/>
      <c r="D1521" s="8" t="s">
        <v>45</v>
      </c>
      <c r="E1521" s="8"/>
      <c r="F1521" s="8" t="s">
        <v>22</v>
      </c>
      <c r="G1521" s="10" t="s">
        <v>3505</v>
      </c>
      <c r="H1521" s="8" t="s">
        <v>3506</v>
      </c>
      <c r="I1521" s="10" t="s">
        <v>3505</v>
      </c>
      <c r="J1521" s="11" t="s">
        <v>33</v>
      </c>
      <c r="K1521" s="18">
        <v>50500</v>
      </c>
      <c r="L1521" s="12">
        <f t="shared" si="137"/>
        <v>84200</v>
      </c>
      <c r="M1521" s="8">
        <v>1</v>
      </c>
      <c r="N1521" s="8" t="s">
        <v>27</v>
      </c>
      <c r="O1521" s="13"/>
      <c r="P1521" s="14">
        <v>0</v>
      </c>
      <c r="Q1521" s="15">
        <v>0.4</v>
      </c>
      <c r="R1521" s="16" t="str">
        <f t="shared" si="136"/>
        <v>HIKVISION</v>
      </c>
      <c r="S1521" s="17"/>
      <c r="T1521" s="10" t="str">
        <f t="shared" si="138"/>
        <v>CÁMARA ANÁLOGA 1080P TIPO DOMO</v>
      </c>
    </row>
    <row r="1522" spans="1:20" ht="27" customHeight="1" x14ac:dyDescent="0.25">
      <c r="A1522" s="8" t="s">
        <v>3459</v>
      </c>
      <c r="B1522" s="9"/>
      <c r="C1522" s="9"/>
      <c r="D1522" s="8" t="s">
        <v>45</v>
      </c>
      <c r="E1522" s="8"/>
      <c r="F1522" s="8" t="s">
        <v>22</v>
      </c>
      <c r="G1522" s="10" t="s">
        <v>3503</v>
      </c>
      <c r="H1522" s="8" t="s">
        <v>3507</v>
      </c>
      <c r="I1522" s="10" t="s">
        <v>3503</v>
      </c>
      <c r="J1522" s="11" t="s">
        <v>33</v>
      </c>
      <c r="K1522" s="18">
        <v>456000</v>
      </c>
      <c r="L1522" s="12">
        <f t="shared" si="137"/>
        <v>651500</v>
      </c>
      <c r="M1522" s="8">
        <v>1</v>
      </c>
      <c r="N1522" s="8" t="s">
        <v>27</v>
      </c>
      <c r="O1522" s="13"/>
      <c r="P1522" s="14">
        <v>0</v>
      </c>
      <c r="Q1522" s="15">
        <v>0.3</v>
      </c>
      <c r="R1522" s="16" t="str">
        <f t="shared" si="136"/>
        <v>HIKVISION</v>
      </c>
      <c r="S1522" s="17"/>
      <c r="T1522" s="10" t="str">
        <f t="shared" si="138"/>
        <v>DVR ANÁLOGO DE 4 CANALES RESOLUCIÓN 720-1080P.</v>
      </c>
    </row>
    <row r="1523" spans="1:20" ht="27" customHeight="1" x14ac:dyDescent="0.25">
      <c r="A1523" s="8" t="s">
        <v>3459</v>
      </c>
      <c r="B1523" s="9"/>
      <c r="C1523" s="9"/>
      <c r="D1523" s="8" t="s">
        <v>45</v>
      </c>
      <c r="E1523" s="8"/>
      <c r="F1523" s="8" t="s">
        <v>22</v>
      </c>
      <c r="G1523" s="10" t="s">
        <v>3508</v>
      </c>
      <c r="H1523" s="8" t="s">
        <v>3509</v>
      </c>
      <c r="I1523" s="10" t="s">
        <v>3508</v>
      </c>
      <c r="J1523" s="11" t="s">
        <v>33</v>
      </c>
      <c r="K1523" s="18">
        <v>379000</v>
      </c>
      <c r="L1523" s="12">
        <f>ROUNDUP(K1523*(1+P1523)/(1-Q1523),0)</f>
        <v>631667</v>
      </c>
      <c r="M1523" s="8">
        <v>1</v>
      </c>
      <c r="N1523" s="8" t="s">
        <v>27</v>
      </c>
      <c r="O1523" s="13"/>
      <c r="P1523" s="14">
        <v>0</v>
      </c>
      <c r="Q1523" s="15">
        <v>0.4</v>
      </c>
      <c r="R1523" s="16" t="str">
        <f t="shared" si="136"/>
        <v>HIKVISION</v>
      </c>
      <c r="S1523" s="17"/>
      <c r="T1523" s="10" t="str">
        <f t="shared" si="138"/>
        <v>ROLLO DE CABLE COBRE COBRE CATEGORÍA 5E POR 305 METROS</v>
      </c>
    </row>
    <row r="1524" spans="1:20" ht="27" customHeight="1" x14ac:dyDescent="0.25">
      <c r="A1524" s="8" t="s">
        <v>3459</v>
      </c>
      <c r="B1524" s="9"/>
      <c r="C1524" s="9"/>
      <c r="D1524" s="8" t="s">
        <v>45</v>
      </c>
      <c r="E1524" s="8"/>
      <c r="F1524" s="8" t="s">
        <v>22</v>
      </c>
      <c r="G1524" s="10" t="s">
        <v>3510</v>
      </c>
      <c r="H1524" s="8" t="s">
        <v>3511</v>
      </c>
      <c r="I1524" s="10" t="s">
        <v>3512</v>
      </c>
      <c r="J1524" s="11" t="s">
        <v>33</v>
      </c>
      <c r="K1524" s="18">
        <v>219000</v>
      </c>
      <c r="L1524" s="12">
        <f>IF(J1524="P",ROUNDUP(K1524/(1-Q1524),-2),K1524*(1+P1524)/(1-Q1524))</f>
        <v>365000</v>
      </c>
      <c r="M1524" s="8">
        <v>1</v>
      </c>
      <c r="N1524" s="8" t="s">
        <v>27</v>
      </c>
      <c r="O1524" s="13" t="s">
        <v>588</v>
      </c>
      <c r="P1524" s="14">
        <v>0</v>
      </c>
      <c r="Q1524" s="15">
        <v>0.4</v>
      </c>
      <c r="R1524" s="16" t="str">
        <f t="shared" si="136"/>
        <v>HIKVISION</v>
      </c>
      <c r="S1524" s="17"/>
      <c r="T1524" s="10" t="str">
        <f t="shared" si="138"/>
        <v>DVR ANÁLOGO DE RESOLUCIÓN 1080P CON SALIDA HDMI</v>
      </c>
    </row>
    <row r="1525" spans="1:20" ht="27" customHeight="1" x14ac:dyDescent="0.25">
      <c r="A1525" s="8" t="s">
        <v>3459</v>
      </c>
      <c r="B1525" s="9"/>
      <c r="C1525" s="9"/>
      <c r="D1525" s="8"/>
      <c r="E1525" s="8"/>
      <c r="F1525" s="8"/>
      <c r="G1525" s="10"/>
      <c r="H1525" s="8" t="s">
        <v>3513</v>
      </c>
      <c r="I1525" s="10" t="s">
        <v>3514</v>
      </c>
      <c r="J1525" s="11" t="s">
        <v>33</v>
      </c>
      <c r="K1525" s="18">
        <v>3200000</v>
      </c>
      <c r="L1525" s="12">
        <f>IF(J1525="P",ROUNDUP(K1525/(1-Q1525),-2),K1525*(1+P1525)/(1-Q1525))</f>
        <v>4571500</v>
      </c>
      <c r="M1525" s="8">
        <v>1</v>
      </c>
      <c r="N1525" s="8" t="s">
        <v>110</v>
      </c>
      <c r="O1525" s="13"/>
      <c r="P1525" s="14">
        <v>0</v>
      </c>
      <c r="Q1525" s="15">
        <v>0.3</v>
      </c>
      <c r="R1525" s="16" t="str">
        <f t="shared" si="136"/>
        <v>HIKVISION</v>
      </c>
      <c r="S1525" s="17"/>
      <c r="T1525" s="10"/>
    </row>
    <row r="1526" spans="1:20" ht="27" customHeight="1" x14ac:dyDescent="0.25">
      <c r="A1526" s="8" t="s">
        <v>3459</v>
      </c>
      <c r="B1526" s="9"/>
      <c r="C1526" s="9"/>
      <c r="D1526" s="8"/>
      <c r="E1526" s="8"/>
      <c r="F1526" s="8"/>
      <c r="G1526" s="10"/>
      <c r="H1526" s="8" t="s">
        <v>3515</v>
      </c>
      <c r="I1526" s="10" t="s">
        <v>3516</v>
      </c>
      <c r="J1526" s="11" t="s">
        <v>33</v>
      </c>
      <c r="K1526" s="18">
        <v>67000</v>
      </c>
      <c r="L1526" s="12">
        <f>ROUNDUP(K1526*(1+P1526)/(1-Q1526),0)</f>
        <v>111667</v>
      </c>
      <c r="M1526" s="8">
        <v>1</v>
      </c>
      <c r="N1526" s="8" t="s">
        <v>27</v>
      </c>
      <c r="O1526" s="13"/>
      <c r="P1526" s="14">
        <v>0</v>
      </c>
      <c r="Q1526" s="15">
        <v>0.4</v>
      </c>
      <c r="R1526" s="16" t="str">
        <f t="shared" si="136"/>
        <v>HIKVISION</v>
      </c>
      <c r="S1526" s="17"/>
      <c r="T1526" s="10"/>
    </row>
    <row r="1527" spans="1:20" ht="27" customHeight="1" x14ac:dyDescent="0.25">
      <c r="A1527" s="8" t="s">
        <v>3517</v>
      </c>
      <c r="B1527" s="9"/>
      <c r="C1527" s="9"/>
      <c r="D1527" s="8"/>
      <c r="E1527" s="8"/>
      <c r="F1527" s="8"/>
      <c r="G1527" s="10"/>
      <c r="H1527" s="8" t="s">
        <v>3518</v>
      </c>
      <c r="I1527" s="10" t="s">
        <v>3519</v>
      </c>
      <c r="J1527" s="11" t="s">
        <v>26</v>
      </c>
      <c r="K1527" s="18">
        <v>785</v>
      </c>
      <c r="L1527" s="12">
        <f>IF(J1527="P",ROUNDUP(K1527/(1-Q1527),-2),K1527*(1+P1527)/(1-Q1527))</f>
        <v>1345.7142857142858</v>
      </c>
      <c r="M1527" s="8">
        <v>1</v>
      </c>
      <c r="N1527" s="8" t="s">
        <v>27</v>
      </c>
      <c r="O1527" s="13"/>
      <c r="P1527" s="14">
        <v>0.2</v>
      </c>
      <c r="Q1527" s="15">
        <v>0.3</v>
      </c>
      <c r="R1527" s="16" t="str">
        <f t="shared" si="136"/>
        <v>HOLOVISION</v>
      </c>
      <c r="S1527" s="17"/>
      <c r="T1527" s="10"/>
    </row>
    <row r="1528" spans="1:20" ht="27" customHeight="1" x14ac:dyDescent="0.25">
      <c r="A1528" s="8" t="s">
        <v>3520</v>
      </c>
      <c r="B1528" s="9" t="s">
        <v>3521</v>
      </c>
      <c r="C1528" s="9"/>
      <c r="D1528" s="8" t="s">
        <v>2277</v>
      </c>
      <c r="E1528" s="8">
        <v>1</v>
      </c>
      <c r="F1528" s="8" t="s">
        <v>22</v>
      </c>
      <c r="G1528" s="10" t="s">
        <v>3522</v>
      </c>
      <c r="H1528" s="8" t="s">
        <v>3523</v>
      </c>
      <c r="I1528" s="10" t="s">
        <v>3524</v>
      </c>
      <c r="J1528" s="11" t="s">
        <v>26</v>
      </c>
      <c r="K1528" s="18">
        <v>387</v>
      </c>
      <c r="L1528" s="12">
        <f>IF(J1528="P",ROUNDUP(K1528/(1-Q1528),-2),K1528*(1+P1528)/(1-Q1528))</f>
        <v>663.42857142857144</v>
      </c>
      <c r="M1528" s="8">
        <v>1</v>
      </c>
      <c r="N1528" s="8" t="s">
        <v>27</v>
      </c>
      <c r="O1528" s="13"/>
      <c r="P1528" s="14">
        <v>0.2</v>
      </c>
      <c r="Q1528" s="15">
        <v>0.3</v>
      </c>
      <c r="R1528" s="16" t="str">
        <f t="shared" si="136"/>
        <v>HONEYWELL</v>
      </c>
      <c r="S1528" s="17"/>
      <c r="T1528" s="10" t="str">
        <f t="shared" ref="T1528:T1535" si="139">G1528</f>
        <v>PANEL PARA 16 SENSORES EN ZONA 1 Y ZONA 2 PARA DETECTORES DE HUMO.</v>
      </c>
    </row>
    <row r="1529" spans="1:20" ht="27" customHeight="1" x14ac:dyDescent="0.25">
      <c r="A1529" s="8" t="s">
        <v>3520</v>
      </c>
      <c r="B1529" s="9" t="s">
        <v>3521</v>
      </c>
      <c r="C1529" s="9"/>
      <c r="D1529" s="8" t="s">
        <v>2277</v>
      </c>
      <c r="E1529" s="8">
        <v>1</v>
      </c>
      <c r="F1529" s="8" t="s">
        <v>22</v>
      </c>
      <c r="G1529" s="10" t="s">
        <v>3525</v>
      </c>
      <c r="H1529" s="8" t="s">
        <v>3526</v>
      </c>
      <c r="I1529" s="10" t="s">
        <v>3525</v>
      </c>
      <c r="J1529" s="11" t="s">
        <v>26</v>
      </c>
      <c r="K1529" s="18">
        <v>34</v>
      </c>
      <c r="L1529" s="12">
        <f>IF(J1529="P",ROUNDUP(K1529/(1-Q1529),-2),K1529*(1+P1529)/(1-Q1529))</f>
        <v>58.285714285714285</v>
      </c>
      <c r="M1529" s="8">
        <v>1</v>
      </c>
      <c r="N1529" s="8" t="s">
        <v>27</v>
      </c>
      <c r="O1529" s="13"/>
      <c r="P1529" s="14">
        <v>0.2</v>
      </c>
      <c r="Q1529" s="15">
        <v>0.3</v>
      </c>
      <c r="R1529" s="16" t="str">
        <f t="shared" si="136"/>
        <v>HONEYWELL</v>
      </c>
      <c r="S1529" s="17"/>
      <c r="T1529" s="10" t="str">
        <f t="shared" si="139"/>
        <v>UNIDAD DE ACTIVACIÓN MANUAL DE SISTEMA DE CONTROL DE INCENDIO.</v>
      </c>
    </row>
    <row r="1530" spans="1:20" ht="27" customHeight="1" x14ac:dyDescent="0.25">
      <c r="A1530" s="8" t="s">
        <v>3520</v>
      </c>
      <c r="B1530" s="9" t="s">
        <v>3521</v>
      </c>
      <c r="C1530" s="9"/>
      <c r="D1530" s="8" t="s">
        <v>2277</v>
      </c>
      <c r="E1530" s="8">
        <v>1</v>
      </c>
      <c r="F1530" s="8" t="s">
        <v>22</v>
      </c>
      <c r="G1530" s="10" t="s">
        <v>3527</v>
      </c>
      <c r="H1530" s="8" t="s">
        <v>3528</v>
      </c>
      <c r="I1530" s="10" t="s">
        <v>3527</v>
      </c>
      <c r="J1530" s="11" t="s">
        <v>26</v>
      </c>
      <c r="K1530" s="18">
        <v>44</v>
      </c>
      <c r="L1530" s="12">
        <f>IF(J1530="P",ROUNDUP(K1530/(1-Q1530),-2),K1530*(1+P1530)/(1-Q1530))</f>
        <v>75.428571428571431</v>
      </c>
      <c r="M1530" s="8">
        <v>1</v>
      </c>
      <c r="N1530" s="8" t="s">
        <v>27</v>
      </c>
      <c r="O1530" s="13"/>
      <c r="P1530" s="14">
        <v>0.2</v>
      </c>
      <c r="Q1530" s="15">
        <v>0.3</v>
      </c>
      <c r="R1530" s="16" t="str">
        <f t="shared" si="136"/>
        <v>HONEYWELL</v>
      </c>
      <c r="S1530" s="17"/>
      <c r="T1530" s="10" t="str">
        <f t="shared" si="139"/>
        <v>CORNETA DE INDICACIÓN CON LUZ ESTROBO.</v>
      </c>
    </row>
    <row r="1531" spans="1:20" ht="27" customHeight="1" x14ac:dyDescent="0.25">
      <c r="A1531" s="8" t="s">
        <v>3520</v>
      </c>
      <c r="B1531" s="9" t="s">
        <v>3521</v>
      </c>
      <c r="C1531" s="9"/>
      <c r="D1531" s="8" t="s">
        <v>2277</v>
      </c>
      <c r="E1531" s="8">
        <v>1</v>
      </c>
      <c r="F1531" s="8" t="s">
        <v>22</v>
      </c>
      <c r="G1531" s="10" t="s">
        <v>3529</v>
      </c>
      <c r="H1531" s="8" t="s">
        <v>3530</v>
      </c>
      <c r="I1531" s="10" t="s">
        <v>3529</v>
      </c>
      <c r="J1531" s="11" t="s">
        <v>26</v>
      </c>
      <c r="K1531" s="18">
        <v>170</v>
      </c>
      <c r="L1531" s="12">
        <f>IF(J1531="P",ROUNDUP(K1531/(1-Q1531),-2),K1531*(1+P1531)/(1-Q1531))</f>
        <v>291.42857142857144</v>
      </c>
      <c r="M1531" s="8">
        <v>1</v>
      </c>
      <c r="N1531" s="8" t="s">
        <v>27</v>
      </c>
      <c r="O1531" s="13"/>
      <c r="P1531" s="14">
        <v>0.2</v>
      </c>
      <c r="Q1531" s="15">
        <v>0.3</v>
      </c>
      <c r="R1531" s="16" t="str">
        <f t="shared" si="136"/>
        <v>HONEYWELL</v>
      </c>
      <c r="S1531" s="17"/>
      <c r="T1531" s="10" t="str">
        <f t="shared" si="139"/>
        <v>TECLADO PARA PANEL DE INCENDIO</v>
      </c>
    </row>
    <row r="1532" spans="1:20" ht="27" customHeight="1" x14ac:dyDescent="0.25">
      <c r="A1532" s="8" t="s">
        <v>3520</v>
      </c>
      <c r="B1532" s="9"/>
      <c r="C1532" s="9"/>
      <c r="D1532" s="8" t="s">
        <v>45</v>
      </c>
      <c r="E1532" s="8"/>
      <c r="F1532" s="8" t="s">
        <v>22</v>
      </c>
      <c r="G1532" s="10" t="s">
        <v>3531</v>
      </c>
      <c r="H1532" s="8" t="s">
        <v>3532</v>
      </c>
      <c r="I1532" s="10" t="s">
        <v>3531</v>
      </c>
      <c r="J1532" s="11" t="s">
        <v>33</v>
      </c>
      <c r="K1532" s="18">
        <v>450000</v>
      </c>
      <c r="L1532" s="12">
        <f>ROUNDUP(K1532*(1+P1532)/(1-Q1532),0)</f>
        <v>750000</v>
      </c>
      <c r="M1532" s="8">
        <v>1</v>
      </c>
      <c r="N1532" s="8" t="s">
        <v>27</v>
      </c>
      <c r="O1532" s="13"/>
      <c r="P1532" s="14">
        <v>0</v>
      </c>
      <c r="Q1532" s="15">
        <v>0.4</v>
      </c>
      <c r="R1532" s="16" t="str">
        <f t="shared" si="136"/>
        <v>HONEYWELL</v>
      </c>
      <c r="S1532" s="17"/>
      <c r="T1532" s="10" t="str">
        <f t="shared" si="139"/>
        <v>PISTOLA DE LECTURA 2D CON BASE</v>
      </c>
    </row>
    <row r="1533" spans="1:20" ht="27" customHeight="1" x14ac:dyDescent="0.25">
      <c r="A1533" s="8" t="s">
        <v>3533</v>
      </c>
      <c r="B1533" s="9" t="s">
        <v>3533</v>
      </c>
      <c r="C1533" s="9"/>
      <c r="D1533" s="8"/>
      <c r="E1533" s="8"/>
      <c r="F1533" s="8" t="s">
        <v>22</v>
      </c>
      <c r="G1533" s="10" t="s">
        <v>3534</v>
      </c>
      <c r="H1533" s="8" t="s">
        <v>3535</v>
      </c>
      <c r="I1533" s="10" t="s">
        <v>3534</v>
      </c>
      <c r="J1533" s="11" t="s">
        <v>33</v>
      </c>
      <c r="K1533" s="18">
        <v>450000</v>
      </c>
      <c r="L1533" s="12">
        <f t="shared" ref="L1533:L1538" si="140">IF(J1533="P",ROUNDUP(K1533/(1-Q1533),-2),K1533*(1+P1533)/(1-Q1533))</f>
        <v>562500</v>
      </c>
      <c r="M1533" s="8">
        <v>1</v>
      </c>
      <c r="N1533" s="8" t="s">
        <v>27</v>
      </c>
      <c r="O1533" s="13"/>
      <c r="P1533" s="14">
        <v>0.2</v>
      </c>
      <c r="Q1533" s="15">
        <v>0.2</v>
      </c>
      <c r="R1533" s="16" t="str">
        <f t="shared" si="136"/>
        <v>HP</v>
      </c>
      <c r="S1533" s="17"/>
      <c r="T1533" s="10" t="str">
        <f t="shared" si="139"/>
        <v>SWITCH GIGA ETHERNET DE 16 PUERTOS.</v>
      </c>
    </row>
    <row r="1534" spans="1:20" ht="27" customHeight="1" x14ac:dyDescent="0.25">
      <c r="A1534" s="8" t="s">
        <v>3533</v>
      </c>
      <c r="B1534" s="9"/>
      <c r="C1534" s="9"/>
      <c r="D1534" s="8"/>
      <c r="E1534" s="8"/>
      <c r="F1534" s="8" t="s">
        <v>22</v>
      </c>
      <c r="G1534" s="10" t="s">
        <v>3536</v>
      </c>
      <c r="H1534" s="8" t="s">
        <v>3537</v>
      </c>
      <c r="I1534" s="10" t="s">
        <v>3538</v>
      </c>
      <c r="J1534" s="11" t="s">
        <v>33</v>
      </c>
      <c r="K1534" s="18">
        <v>2909000</v>
      </c>
      <c r="L1534" s="12">
        <f t="shared" si="140"/>
        <v>3636300</v>
      </c>
      <c r="M1534" s="8">
        <v>1</v>
      </c>
      <c r="N1534" s="8" t="s">
        <v>27</v>
      </c>
      <c r="O1534" s="13"/>
      <c r="P1534" s="14">
        <v>0.2</v>
      </c>
      <c r="Q1534" s="15">
        <v>0.2</v>
      </c>
      <c r="R1534" s="16" t="str">
        <f t="shared" si="136"/>
        <v>HP</v>
      </c>
      <c r="S1534" s="17"/>
      <c r="T1534" s="10" t="str">
        <f t="shared" si="139"/>
        <v>SERVIDOR DE TORRE CON PROCESADOR Intel® Xeon.</v>
      </c>
    </row>
    <row r="1535" spans="1:20" ht="27" customHeight="1" x14ac:dyDescent="0.25">
      <c r="A1535" s="8" t="s">
        <v>3533</v>
      </c>
      <c r="B1535" s="9"/>
      <c r="C1535" s="9"/>
      <c r="D1535" s="8" t="s">
        <v>45</v>
      </c>
      <c r="E1535" s="8"/>
      <c r="F1535" s="8" t="s">
        <v>22</v>
      </c>
      <c r="G1535" s="10" t="s">
        <v>3539</v>
      </c>
      <c r="H1535" s="8" t="s">
        <v>3540</v>
      </c>
      <c r="I1535" s="10" t="s">
        <v>3539</v>
      </c>
      <c r="J1535" s="11" t="s">
        <v>33</v>
      </c>
      <c r="K1535" s="18">
        <f>1900000+210000</f>
        <v>2110000</v>
      </c>
      <c r="L1535" s="12">
        <f t="shared" si="140"/>
        <v>3014300</v>
      </c>
      <c r="M1535" s="8">
        <v>1</v>
      </c>
      <c r="N1535" s="8" t="s">
        <v>27</v>
      </c>
      <c r="O1535" s="13"/>
      <c r="P1535" s="14">
        <v>0</v>
      </c>
      <c r="Q1535" s="15">
        <v>0.3</v>
      </c>
      <c r="R1535" s="16" t="str">
        <f t="shared" si="136"/>
        <v>HP</v>
      </c>
      <c r="S1535" s="17" t="s">
        <v>3541</v>
      </c>
      <c r="T1535" s="10" t="str">
        <f t="shared" si="139"/>
        <v>PC HP PAVILION CON DISCO DURO DE 2TB. MONITOR DE 22"</v>
      </c>
    </row>
    <row r="1536" spans="1:20" ht="27" customHeight="1" x14ac:dyDescent="0.25">
      <c r="A1536" s="8" t="s">
        <v>3533</v>
      </c>
      <c r="B1536" s="9"/>
      <c r="C1536" s="9"/>
      <c r="D1536" s="8"/>
      <c r="E1536" s="8"/>
      <c r="F1536" s="8"/>
      <c r="G1536" s="10"/>
      <c r="H1536" s="8" t="s">
        <v>3542</v>
      </c>
      <c r="I1536" s="10" t="s">
        <v>3543</v>
      </c>
      <c r="J1536" s="11" t="s">
        <v>26</v>
      </c>
      <c r="K1536" s="18">
        <v>140</v>
      </c>
      <c r="L1536" s="12">
        <f t="shared" si="140"/>
        <v>240.00000000000003</v>
      </c>
      <c r="M1536" s="8">
        <v>1</v>
      </c>
      <c r="N1536" s="8" t="s">
        <v>27</v>
      </c>
      <c r="O1536" s="13"/>
      <c r="P1536" s="14">
        <v>0.2</v>
      </c>
      <c r="Q1536" s="15">
        <v>0.3</v>
      </c>
      <c r="R1536" s="16" t="str">
        <f t="shared" si="136"/>
        <v>HP</v>
      </c>
      <c r="S1536" s="17"/>
      <c r="T1536" s="10"/>
    </row>
    <row r="1537" spans="1:20" ht="27" customHeight="1" x14ac:dyDescent="0.25">
      <c r="A1537" s="8" t="s">
        <v>3533</v>
      </c>
      <c r="B1537" s="9"/>
      <c r="C1537" s="9"/>
      <c r="D1537" s="8"/>
      <c r="E1537" s="8"/>
      <c r="F1537" s="8"/>
      <c r="G1537" s="10"/>
      <c r="H1537" s="8" t="s">
        <v>3544</v>
      </c>
      <c r="I1537" s="10" t="s">
        <v>3545</v>
      </c>
      <c r="J1537" s="11" t="s">
        <v>33</v>
      </c>
      <c r="K1537" s="18">
        <v>2225000</v>
      </c>
      <c r="L1537" s="12">
        <f t="shared" si="140"/>
        <v>3178600</v>
      </c>
      <c r="M1537" s="8">
        <v>1</v>
      </c>
      <c r="N1537" s="8" t="s">
        <v>27</v>
      </c>
      <c r="O1537" s="13"/>
      <c r="P1537" s="14">
        <v>0</v>
      </c>
      <c r="Q1537" s="15">
        <v>0.3</v>
      </c>
      <c r="R1537" s="16" t="str">
        <f t="shared" ref="R1537:R1600" si="141">A1537</f>
        <v>HP</v>
      </c>
      <c r="S1537" s="17"/>
      <c r="T1537" s="10"/>
    </row>
    <row r="1538" spans="1:20" ht="27" customHeight="1" x14ac:dyDescent="0.25">
      <c r="A1538" s="8" t="s">
        <v>3533</v>
      </c>
      <c r="B1538" s="9"/>
      <c r="C1538" s="9"/>
      <c r="D1538" s="8"/>
      <c r="E1538" s="8"/>
      <c r="F1538" s="8"/>
      <c r="G1538" s="10"/>
      <c r="H1538" s="8" t="s">
        <v>3546</v>
      </c>
      <c r="I1538" s="10" t="s">
        <v>3547</v>
      </c>
      <c r="J1538" s="11" t="s">
        <v>33</v>
      </c>
      <c r="K1538" s="18">
        <v>1815000</v>
      </c>
      <c r="L1538" s="12">
        <f t="shared" si="140"/>
        <v>3630000</v>
      </c>
      <c r="M1538" s="8">
        <v>1</v>
      </c>
      <c r="N1538" s="8" t="s">
        <v>27</v>
      </c>
      <c r="O1538" s="13"/>
      <c r="P1538" s="14">
        <v>0</v>
      </c>
      <c r="Q1538" s="15">
        <v>0.5</v>
      </c>
      <c r="R1538" s="16" t="str">
        <f t="shared" si="141"/>
        <v>HP</v>
      </c>
      <c r="S1538" s="17"/>
      <c r="T1538" s="10"/>
    </row>
    <row r="1539" spans="1:20" ht="27" customHeight="1" x14ac:dyDescent="0.25">
      <c r="A1539" s="8" t="s">
        <v>3533</v>
      </c>
      <c r="B1539" s="9"/>
      <c r="C1539" s="9"/>
      <c r="D1539" s="8"/>
      <c r="E1539" s="8"/>
      <c r="F1539" s="8"/>
      <c r="G1539" s="10"/>
      <c r="H1539" s="8" t="s">
        <v>3548</v>
      </c>
      <c r="I1539" s="10" t="s">
        <v>3549</v>
      </c>
      <c r="J1539" s="11" t="s">
        <v>33</v>
      </c>
      <c r="K1539" s="18">
        <v>629000</v>
      </c>
      <c r="L1539" s="12">
        <f>ROUNDUP(K1539*(1+P1539)/(1-Q1539),0)</f>
        <v>898572</v>
      </c>
      <c r="M1539" s="8">
        <v>1</v>
      </c>
      <c r="N1539" s="8" t="s">
        <v>27</v>
      </c>
      <c r="O1539" s="13"/>
      <c r="P1539" s="14">
        <v>0</v>
      </c>
      <c r="Q1539" s="15">
        <v>0.3</v>
      </c>
      <c r="R1539" s="16" t="str">
        <f t="shared" si="141"/>
        <v>HP</v>
      </c>
      <c r="S1539" s="17"/>
      <c r="T1539" s="10"/>
    </row>
    <row r="1540" spans="1:20" ht="27" customHeight="1" x14ac:dyDescent="0.25">
      <c r="A1540" s="8" t="s">
        <v>3533</v>
      </c>
      <c r="B1540" s="9"/>
      <c r="C1540" s="9"/>
      <c r="D1540" s="8"/>
      <c r="E1540" s="8"/>
      <c r="F1540" s="8"/>
      <c r="G1540" s="10"/>
      <c r="H1540" s="8" t="s">
        <v>3550</v>
      </c>
      <c r="I1540" s="10" t="s">
        <v>3551</v>
      </c>
      <c r="J1540" s="11" t="s">
        <v>33</v>
      </c>
      <c r="K1540" s="18">
        <v>1400000</v>
      </c>
      <c r="L1540" s="12">
        <f>ROUNDUP(K1540*(1+P1540)/(1-Q1540),0)</f>
        <v>2000000</v>
      </c>
      <c r="M1540" s="8">
        <v>1</v>
      </c>
      <c r="N1540" s="8" t="s">
        <v>27</v>
      </c>
      <c r="O1540" s="13"/>
      <c r="P1540" s="14">
        <v>0</v>
      </c>
      <c r="Q1540" s="15">
        <v>0.3</v>
      </c>
      <c r="R1540" s="16" t="str">
        <f t="shared" si="141"/>
        <v>HP</v>
      </c>
      <c r="S1540" s="17"/>
      <c r="T1540" s="10"/>
    </row>
    <row r="1541" spans="1:20" ht="27" customHeight="1" x14ac:dyDescent="0.25">
      <c r="A1541" s="8" t="s">
        <v>3533</v>
      </c>
      <c r="B1541" s="9"/>
      <c r="C1541" s="9"/>
      <c r="D1541" s="8"/>
      <c r="E1541" s="8"/>
      <c r="F1541" s="8"/>
      <c r="G1541" s="10"/>
      <c r="H1541" s="8" t="s">
        <v>3552</v>
      </c>
      <c r="I1541" s="10" t="s">
        <v>3553</v>
      </c>
      <c r="J1541" s="11" t="s">
        <v>33</v>
      </c>
      <c r="K1541" s="18">
        <v>3521709</v>
      </c>
      <c r="L1541" s="12">
        <f>IF(J1541="P",ROUNDUP(K1541/(1-Q1541),-2),K1541*(1+P1541)/(1-Q1541))</f>
        <v>5031100</v>
      </c>
      <c r="M1541" s="8">
        <v>1</v>
      </c>
      <c r="N1541" s="8" t="s">
        <v>27</v>
      </c>
      <c r="O1541" s="13">
        <f>F1541</f>
        <v>0</v>
      </c>
      <c r="P1541" s="14">
        <v>0</v>
      </c>
      <c r="Q1541" s="15">
        <v>0.3</v>
      </c>
      <c r="R1541" s="16" t="str">
        <f t="shared" si="141"/>
        <v>HP</v>
      </c>
      <c r="S1541" s="17"/>
      <c r="T1541" s="10"/>
    </row>
    <row r="1542" spans="1:20" ht="27" customHeight="1" x14ac:dyDescent="0.25">
      <c r="A1542" s="8" t="s">
        <v>3554</v>
      </c>
      <c r="B1542" s="9"/>
      <c r="C1542" s="9"/>
      <c r="D1542" s="8"/>
      <c r="E1542" s="8"/>
      <c r="F1542" s="8" t="s">
        <v>22</v>
      </c>
      <c r="G1542" s="10" t="s">
        <v>3555</v>
      </c>
      <c r="H1542" s="8" t="s">
        <v>3556</v>
      </c>
      <c r="I1542" s="10" t="s">
        <v>3557</v>
      </c>
      <c r="J1542" s="11" t="s">
        <v>33</v>
      </c>
      <c r="K1542" s="18">
        <v>2160000</v>
      </c>
      <c r="L1542" s="12">
        <f>IF(J1542="P",ROUNDUP(K1542/(1-Q1542),-2),K1542*(1+P1542)/(1-Q1542))</f>
        <v>3085800</v>
      </c>
      <c r="M1542" s="8">
        <v>1</v>
      </c>
      <c r="N1542" s="8" t="s">
        <v>27</v>
      </c>
      <c r="O1542" s="13"/>
      <c r="P1542" s="14">
        <v>0.2</v>
      </c>
      <c r="Q1542" s="15">
        <v>0.3</v>
      </c>
      <c r="R1542" s="16" t="str">
        <f t="shared" si="141"/>
        <v>HP (ARUBA)</v>
      </c>
      <c r="S1542" s="17"/>
      <c r="T1542" s="10" t="str">
        <f>G1542</f>
        <v>SWITCH DE 24 PUERTOS RJ-45 10/100/1000 CON DETECCIÓN AUTOMÁTICA.</v>
      </c>
    </row>
    <row r="1543" spans="1:20" ht="27" customHeight="1" x14ac:dyDescent="0.25">
      <c r="A1543" s="8" t="s">
        <v>3558</v>
      </c>
      <c r="B1543" s="9"/>
      <c r="C1543" s="9"/>
      <c r="D1543" s="8"/>
      <c r="E1543" s="8"/>
      <c r="F1543" s="8"/>
      <c r="G1543" s="10"/>
      <c r="H1543" s="8" t="s">
        <v>3559</v>
      </c>
      <c r="I1543" s="10" t="s">
        <v>3560</v>
      </c>
      <c r="J1543" s="11" t="s">
        <v>26</v>
      </c>
      <c r="K1543" s="18">
        <v>1115</v>
      </c>
      <c r="L1543" s="12">
        <f t="shared" ref="L1543:L1557" si="142">K1543*(1+P1543)/(1-Q1543)</f>
        <v>1664.1791044776121</v>
      </c>
      <c r="M1543" s="8">
        <v>1</v>
      </c>
      <c r="N1543" s="8" t="s">
        <v>27</v>
      </c>
      <c r="O1543" s="13"/>
      <c r="P1543" s="14">
        <v>0</v>
      </c>
      <c r="Q1543" s="15">
        <v>0.33</v>
      </c>
      <c r="R1543" s="16" t="str">
        <f t="shared" si="141"/>
        <v>HRT</v>
      </c>
      <c r="S1543" s="17"/>
      <c r="T1543" s="10"/>
    </row>
    <row r="1544" spans="1:20" ht="27" customHeight="1" x14ac:dyDescent="0.25">
      <c r="A1544" s="8" t="s">
        <v>3561</v>
      </c>
      <c r="B1544" s="9"/>
      <c r="C1544" s="9"/>
      <c r="D1544" s="8"/>
      <c r="E1544" s="8"/>
      <c r="F1544" s="8"/>
      <c r="G1544" s="10"/>
      <c r="H1544" s="8" t="s">
        <v>3562</v>
      </c>
      <c r="I1544" s="10" t="s">
        <v>3563</v>
      </c>
      <c r="J1544" s="11" t="s">
        <v>26</v>
      </c>
      <c r="K1544" s="18">
        <v>8.06</v>
      </c>
      <c r="L1544" s="12">
        <f t="shared" si="142"/>
        <v>16.12</v>
      </c>
      <c r="M1544" s="8">
        <v>1</v>
      </c>
      <c r="N1544" s="8" t="s">
        <v>27</v>
      </c>
      <c r="O1544" s="13"/>
      <c r="P1544" s="14">
        <v>0.2</v>
      </c>
      <c r="Q1544" s="15">
        <v>0.4</v>
      </c>
      <c r="R1544" s="16" t="str">
        <f t="shared" si="141"/>
        <v>HUBBELL</v>
      </c>
      <c r="S1544" s="17"/>
      <c r="T1544" s="10"/>
    </row>
    <row r="1545" spans="1:20" ht="27" customHeight="1" x14ac:dyDescent="0.25">
      <c r="A1545" s="8" t="s">
        <v>3561</v>
      </c>
      <c r="B1545" s="9"/>
      <c r="C1545" s="9"/>
      <c r="D1545" s="8"/>
      <c r="E1545" s="8"/>
      <c r="F1545" s="8"/>
      <c r="G1545" s="10"/>
      <c r="H1545" s="8" t="s">
        <v>3564</v>
      </c>
      <c r="I1545" s="10" t="s">
        <v>3565</v>
      </c>
      <c r="J1545" s="11" t="s">
        <v>26</v>
      </c>
      <c r="K1545" s="18">
        <v>2.71</v>
      </c>
      <c r="L1545" s="12">
        <f t="shared" si="142"/>
        <v>5.42</v>
      </c>
      <c r="M1545" s="8">
        <v>1</v>
      </c>
      <c r="N1545" s="8" t="s">
        <v>27</v>
      </c>
      <c r="O1545" s="13"/>
      <c r="P1545" s="14">
        <v>0.2</v>
      </c>
      <c r="Q1545" s="15">
        <v>0.4</v>
      </c>
      <c r="R1545" s="16" t="str">
        <f t="shared" si="141"/>
        <v>HUBBELL</v>
      </c>
      <c r="S1545" s="17"/>
      <c r="T1545" s="10"/>
    </row>
    <row r="1546" spans="1:20" ht="27" customHeight="1" x14ac:dyDescent="0.25">
      <c r="A1546" s="8" t="s">
        <v>3561</v>
      </c>
      <c r="B1546" s="9"/>
      <c r="C1546" s="9"/>
      <c r="D1546" s="8"/>
      <c r="E1546" s="8"/>
      <c r="F1546" s="8"/>
      <c r="G1546" s="10"/>
      <c r="H1546" s="8" t="s">
        <v>3566</v>
      </c>
      <c r="I1546" s="10" t="s">
        <v>3567</v>
      </c>
      <c r="J1546" s="11" t="s">
        <v>26</v>
      </c>
      <c r="K1546" s="18">
        <v>3.3</v>
      </c>
      <c r="L1546" s="12">
        <f t="shared" si="142"/>
        <v>6.6</v>
      </c>
      <c r="M1546" s="8">
        <v>1</v>
      </c>
      <c r="N1546" s="8" t="s">
        <v>27</v>
      </c>
      <c r="O1546" s="13"/>
      <c r="P1546" s="14">
        <v>0.2</v>
      </c>
      <c r="Q1546" s="15">
        <v>0.4</v>
      </c>
      <c r="R1546" s="16" t="str">
        <f t="shared" si="141"/>
        <v>HUBBELL</v>
      </c>
      <c r="S1546" s="17"/>
      <c r="T1546" s="10"/>
    </row>
    <row r="1547" spans="1:20" ht="27" customHeight="1" x14ac:dyDescent="0.25">
      <c r="A1547" s="8" t="s">
        <v>3561</v>
      </c>
      <c r="B1547" s="9"/>
      <c r="C1547" s="9"/>
      <c r="D1547" s="8"/>
      <c r="E1547" s="8"/>
      <c r="F1547" s="8"/>
      <c r="G1547" s="10"/>
      <c r="H1547" s="8" t="s">
        <v>3568</v>
      </c>
      <c r="I1547" s="10" t="s">
        <v>3569</v>
      </c>
      <c r="J1547" s="11" t="s">
        <v>26</v>
      </c>
      <c r="K1547" s="18">
        <v>9.94</v>
      </c>
      <c r="L1547" s="12">
        <f t="shared" si="142"/>
        <v>19.88</v>
      </c>
      <c r="M1547" s="8">
        <v>1</v>
      </c>
      <c r="N1547" s="8" t="s">
        <v>27</v>
      </c>
      <c r="O1547" s="13"/>
      <c r="P1547" s="14">
        <v>0.2</v>
      </c>
      <c r="Q1547" s="15">
        <v>0.4</v>
      </c>
      <c r="R1547" s="16" t="str">
        <f t="shared" si="141"/>
        <v>HUBBELL</v>
      </c>
      <c r="S1547" s="17"/>
      <c r="T1547" s="10"/>
    </row>
    <row r="1548" spans="1:20" ht="27" customHeight="1" x14ac:dyDescent="0.25">
      <c r="A1548" s="8" t="s">
        <v>3561</v>
      </c>
      <c r="B1548" s="9"/>
      <c r="C1548" s="9"/>
      <c r="D1548" s="8"/>
      <c r="E1548" s="8"/>
      <c r="F1548" s="8"/>
      <c r="G1548" s="10"/>
      <c r="H1548" s="8" t="s">
        <v>3570</v>
      </c>
      <c r="I1548" s="10" t="s">
        <v>3571</v>
      </c>
      <c r="J1548" s="11" t="s">
        <v>26</v>
      </c>
      <c r="K1548" s="18">
        <v>4.9400000000000004</v>
      </c>
      <c r="L1548" s="12">
        <f t="shared" si="142"/>
        <v>9.8800000000000008</v>
      </c>
      <c r="M1548" s="8">
        <v>1</v>
      </c>
      <c r="N1548" s="8" t="s">
        <v>27</v>
      </c>
      <c r="O1548" s="13"/>
      <c r="P1548" s="14">
        <v>0.2</v>
      </c>
      <c r="Q1548" s="15">
        <v>0.4</v>
      </c>
      <c r="R1548" s="16" t="str">
        <f t="shared" si="141"/>
        <v>HUBBELL</v>
      </c>
      <c r="S1548" s="17"/>
      <c r="T1548" s="10"/>
    </row>
    <row r="1549" spans="1:20" ht="27" customHeight="1" x14ac:dyDescent="0.25">
      <c r="A1549" s="8" t="s">
        <v>3561</v>
      </c>
      <c r="B1549" s="9"/>
      <c r="C1549" s="9"/>
      <c r="D1549" s="8"/>
      <c r="E1549" s="8"/>
      <c r="F1549" s="8"/>
      <c r="G1549" s="10"/>
      <c r="H1549" s="8" t="s">
        <v>3572</v>
      </c>
      <c r="I1549" s="10" t="s">
        <v>3573</v>
      </c>
      <c r="J1549" s="11" t="s">
        <v>26</v>
      </c>
      <c r="K1549" s="18">
        <v>1.96</v>
      </c>
      <c r="L1549" s="12">
        <f t="shared" si="142"/>
        <v>3.92</v>
      </c>
      <c r="M1549" s="8">
        <v>1</v>
      </c>
      <c r="N1549" s="8" t="s">
        <v>27</v>
      </c>
      <c r="O1549" s="13"/>
      <c r="P1549" s="14">
        <v>0.2</v>
      </c>
      <c r="Q1549" s="15">
        <v>0.4</v>
      </c>
      <c r="R1549" s="16" t="str">
        <f t="shared" si="141"/>
        <v>HUBBELL</v>
      </c>
      <c r="S1549" s="17"/>
      <c r="T1549" s="10"/>
    </row>
    <row r="1550" spans="1:20" ht="27" customHeight="1" x14ac:dyDescent="0.25">
      <c r="A1550" s="8" t="s">
        <v>3561</v>
      </c>
      <c r="B1550" s="9"/>
      <c r="C1550" s="9"/>
      <c r="D1550" s="8"/>
      <c r="E1550" s="8"/>
      <c r="F1550" s="8"/>
      <c r="G1550" s="10"/>
      <c r="H1550" s="8" t="s">
        <v>3574</v>
      </c>
      <c r="I1550" s="10" t="s">
        <v>3575</v>
      </c>
      <c r="J1550" s="11" t="s">
        <v>26</v>
      </c>
      <c r="K1550" s="18">
        <v>7.88</v>
      </c>
      <c r="L1550" s="12">
        <f t="shared" si="142"/>
        <v>15.76</v>
      </c>
      <c r="M1550" s="8">
        <v>1</v>
      </c>
      <c r="N1550" s="8" t="s">
        <v>27</v>
      </c>
      <c r="O1550" s="13"/>
      <c r="P1550" s="14">
        <v>0.2</v>
      </c>
      <c r="Q1550" s="15">
        <v>0.4</v>
      </c>
      <c r="R1550" s="16" t="str">
        <f t="shared" si="141"/>
        <v>HUBBELL</v>
      </c>
      <c r="S1550" s="17"/>
      <c r="T1550" s="10"/>
    </row>
    <row r="1551" spans="1:20" ht="27" customHeight="1" x14ac:dyDescent="0.25">
      <c r="A1551" s="8" t="s">
        <v>3561</v>
      </c>
      <c r="B1551" s="9"/>
      <c r="C1551" s="9"/>
      <c r="D1551" s="8"/>
      <c r="E1551" s="8"/>
      <c r="F1551" s="8"/>
      <c r="G1551" s="10"/>
      <c r="H1551" s="8" t="s">
        <v>3576</v>
      </c>
      <c r="I1551" s="10" t="s">
        <v>3577</v>
      </c>
      <c r="J1551" s="11" t="s">
        <v>26</v>
      </c>
      <c r="K1551" s="18">
        <v>3.77</v>
      </c>
      <c r="L1551" s="12">
        <f t="shared" si="142"/>
        <v>7.54</v>
      </c>
      <c r="M1551" s="8">
        <v>1</v>
      </c>
      <c r="N1551" s="8" t="s">
        <v>27</v>
      </c>
      <c r="O1551" s="13"/>
      <c r="P1551" s="14">
        <v>0.2</v>
      </c>
      <c r="Q1551" s="15">
        <v>0.4</v>
      </c>
      <c r="R1551" s="16" t="str">
        <f t="shared" si="141"/>
        <v>HUBBELL</v>
      </c>
      <c r="S1551" s="17"/>
      <c r="T1551" s="10"/>
    </row>
    <row r="1552" spans="1:20" ht="27" customHeight="1" x14ac:dyDescent="0.25">
      <c r="A1552" s="8" t="s">
        <v>3561</v>
      </c>
      <c r="B1552" s="9"/>
      <c r="C1552" s="9"/>
      <c r="D1552" s="8"/>
      <c r="E1552" s="8"/>
      <c r="F1552" s="8"/>
      <c r="G1552" s="10"/>
      <c r="H1552" s="8" t="s">
        <v>3578</v>
      </c>
      <c r="I1552" s="10" t="s">
        <v>3579</v>
      </c>
      <c r="J1552" s="11" t="s">
        <v>26</v>
      </c>
      <c r="K1552" s="18">
        <v>1.03</v>
      </c>
      <c r="L1552" s="12">
        <f t="shared" si="142"/>
        <v>2.06</v>
      </c>
      <c r="M1552" s="8">
        <v>1</v>
      </c>
      <c r="N1552" s="8" t="s">
        <v>27</v>
      </c>
      <c r="O1552" s="13"/>
      <c r="P1552" s="14">
        <v>0.2</v>
      </c>
      <c r="Q1552" s="15">
        <v>0.4</v>
      </c>
      <c r="R1552" s="16" t="str">
        <f t="shared" si="141"/>
        <v>HUBBELL</v>
      </c>
      <c r="S1552" s="17"/>
      <c r="T1552" s="10"/>
    </row>
    <row r="1553" spans="1:20" ht="27" customHeight="1" x14ac:dyDescent="0.25">
      <c r="A1553" s="8" t="s">
        <v>3561</v>
      </c>
      <c r="B1553" s="9"/>
      <c r="C1553" s="9"/>
      <c r="D1553" s="8"/>
      <c r="E1553" s="8"/>
      <c r="F1553" s="8"/>
      <c r="G1553" s="10"/>
      <c r="H1553" s="8" t="s">
        <v>3580</v>
      </c>
      <c r="I1553" s="10" t="s">
        <v>3581</v>
      </c>
      <c r="J1553" s="11" t="s">
        <v>26</v>
      </c>
      <c r="K1553" s="18">
        <v>3.53</v>
      </c>
      <c r="L1553" s="12">
        <f t="shared" si="142"/>
        <v>7.06</v>
      </c>
      <c r="M1553" s="8">
        <v>1</v>
      </c>
      <c r="N1553" s="8" t="s">
        <v>27</v>
      </c>
      <c r="O1553" s="13"/>
      <c r="P1553" s="14">
        <v>0.2</v>
      </c>
      <c r="Q1553" s="15">
        <v>0.4</v>
      </c>
      <c r="R1553" s="16" t="str">
        <f t="shared" si="141"/>
        <v>HUBBELL</v>
      </c>
      <c r="S1553" s="17"/>
      <c r="T1553" s="10"/>
    </row>
    <row r="1554" spans="1:20" ht="27" customHeight="1" x14ac:dyDescent="0.25">
      <c r="A1554" s="8" t="s">
        <v>3561</v>
      </c>
      <c r="B1554" s="9"/>
      <c r="C1554" s="9"/>
      <c r="D1554" s="8"/>
      <c r="E1554" s="8"/>
      <c r="F1554" s="8"/>
      <c r="G1554" s="10"/>
      <c r="H1554" s="8" t="s">
        <v>3582</v>
      </c>
      <c r="I1554" s="10" t="s">
        <v>3583</v>
      </c>
      <c r="J1554" s="11" t="s">
        <v>26</v>
      </c>
      <c r="K1554" s="18">
        <v>8.77</v>
      </c>
      <c r="L1554" s="12">
        <f t="shared" si="142"/>
        <v>17.54</v>
      </c>
      <c r="M1554" s="8">
        <v>1</v>
      </c>
      <c r="N1554" s="8" t="s">
        <v>27</v>
      </c>
      <c r="O1554" s="13"/>
      <c r="P1554" s="14">
        <v>0.2</v>
      </c>
      <c r="Q1554" s="15">
        <v>0.4</v>
      </c>
      <c r="R1554" s="16" t="str">
        <f t="shared" si="141"/>
        <v>HUBBELL</v>
      </c>
      <c r="S1554" s="17"/>
      <c r="T1554" s="10"/>
    </row>
    <row r="1555" spans="1:20" ht="27" customHeight="1" x14ac:dyDescent="0.25">
      <c r="A1555" s="8" t="s">
        <v>3561</v>
      </c>
      <c r="B1555" s="9"/>
      <c r="C1555" s="9"/>
      <c r="D1555" s="8"/>
      <c r="E1555" s="8"/>
      <c r="F1555" s="8"/>
      <c r="G1555" s="10"/>
      <c r="H1555" s="8" t="s">
        <v>3584</v>
      </c>
      <c r="I1555" s="10" t="s">
        <v>3585</v>
      </c>
      <c r="J1555" s="11" t="s">
        <v>26</v>
      </c>
      <c r="K1555" s="18">
        <v>23.71</v>
      </c>
      <c r="L1555" s="12">
        <f t="shared" si="142"/>
        <v>47.42</v>
      </c>
      <c r="M1555" s="8">
        <v>1</v>
      </c>
      <c r="N1555" s="8" t="s">
        <v>27</v>
      </c>
      <c r="O1555" s="13"/>
      <c r="P1555" s="14">
        <v>0.2</v>
      </c>
      <c r="Q1555" s="15">
        <v>0.4</v>
      </c>
      <c r="R1555" s="16" t="str">
        <f t="shared" si="141"/>
        <v>HUBBELL</v>
      </c>
      <c r="S1555" s="17"/>
      <c r="T1555" s="10"/>
    </row>
    <row r="1556" spans="1:20" ht="27" customHeight="1" x14ac:dyDescent="0.25">
      <c r="A1556" s="8" t="s">
        <v>3561</v>
      </c>
      <c r="B1556" s="9"/>
      <c r="C1556" s="9"/>
      <c r="D1556" s="8"/>
      <c r="E1556" s="8"/>
      <c r="F1556" s="8"/>
      <c r="G1556" s="10"/>
      <c r="H1556" s="8" t="s">
        <v>3586</v>
      </c>
      <c r="I1556" s="10" t="s">
        <v>3587</v>
      </c>
      <c r="J1556" s="11" t="s">
        <v>26</v>
      </c>
      <c r="K1556" s="18">
        <v>15.47</v>
      </c>
      <c r="L1556" s="12">
        <f t="shared" si="142"/>
        <v>30.94</v>
      </c>
      <c r="M1556" s="8">
        <v>1</v>
      </c>
      <c r="N1556" s="8" t="s">
        <v>27</v>
      </c>
      <c r="O1556" s="13"/>
      <c r="P1556" s="14">
        <v>0.2</v>
      </c>
      <c r="Q1556" s="15">
        <v>0.4</v>
      </c>
      <c r="R1556" s="16" t="str">
        <f t="shared" si="141"/>
        <v>HUBBELL</v>
      </c>
      <c r="S1556" s="17"/>
      <c r="T1556" s="10"/>
    </row>
    <row r="1557" spans="1:20" ht="27" customHeight="1" x14ac:dyDescent="0.25">
      <c r="A1557" s="8" t="s">
        <v>3561</v>
      </c>
      <c r="B1557" s="9"/>
      <c r="C1557" s="9"/>
      <c r="D1557" s="8"/>
      <c r="E1557" s="8"/>
      <c r="F1557" s="8"/>
      <c r="G1557" s="10"/>
      <c r="H1557" s="8" t="s">
        <v>3588</v>
      </c>
      <c r="I1557" s="10" t="s">
        <v>3589</v>
      </c>
      <c r="J1557" s="11" t="s">
        <v>26</v>
      </c>
      <c r="K1557" s="18">
        <v>26.88</v>
      </c>
      <c r="L1557" s="12">
        <f t="shared" si="142"/>
        <v>53.760000000000005</v>
      </c>
      <c r="M1557" s="8">
        <v>1</v>
      </c>
      <c r="N1557" s="8" t="s">
        <v>27</v>
      </c>
      <c r="O1557" s="13"/>
      <c r="P1557" s="14">
        <v>0.2</v>
      </c>
      <c r="Q1557" s="15">
        <v>0.4</v>
      </c>
      <c r="R1557" s="16" t="str">
        <f t="shared" si="141"/>
        <v>HUBBELL</v>
      </c>
      <c r="S1557" s="17"/>
      <c r="T1557" s="10"/>
    </row>
    <row r="1558" spans="1:20" ht="27" customHeight="1" x14ac:dyDescent="0.25">
      <c r="A1558" s="8" t="s">
        <v>3561</v>
      </c>
      <c r="B1558" s="9"/>
      <c r="C1558" s="9"/>
      <c r="D1558" s="8"/>
      <c r="E1558" s="8"/>
      <c r="F1558" s="8"/>
      <c r="G1558" s="10"/>
      <c r="H1558" s="8" t="s">
        <v>3590</v>
      </c>
      <c r="I1558" s="10" t="s">
        <v>3591</v>
      </c>
      <c r="J1558" s="11" t="s">
        <v>26</v>
      </c>
      <c r="K1558" s="18">
        <f>234/2</f>
        <v>117</v>
      </c>
      <c r="L1558" s="12">
        <f>IF(J1558="P",ROUNDUP(K1558/(1-Q1558),-2),K1558*(1+P1558)/(1-Q1558))</f>
        <v>234.00000000000003</v>
      </c>
      <c r="M1558" s="8">
        <v>1</v>
      </c>
      <c r="N1558" s="8" t="s">
        <v>27</v>
      </c>
      <c r="O1558" s="13"/>
      <c r="P1558" s="14">
        <v>0.2</v>
      </c>
      <c r="Q1558" s="15">
        <v>0.4</v>
      </c>
      <c r="R1558" s="16" t="str">
        <f t="shared" si="141"/>
        <v>HUBBELL</v>
      </c>
      <c r="S1558" s="17"/>
      <c r="T1558" s="10"/>
    </row>
    <row r="1559" spans="1:20" ht="27" customHeight="1" x14ac:dyDescent="0.25">
      <c r="A1559" s="8" t="s">
        <v>3561</v>
      </c>
      <c r="B1559" s="9"/>
      <c r="C1559" s="9"/>
      <c r="D1559" s="8"/>
      <c r="E1559" s="8"/>
      <c r="F1559" s="8"/>
      <c r="G1559" s="10"/>
      <c r="H1559" s="8" t="s">
        <v>3592</v>
      </c>
      <c r="I1559" s="10" t="s">
        <v>3593</v>
      </c>
      <c r="J1559" s="11" t="s">
        <v>26</v>
      </c>
      <c r="K1559" s="18">
        <f>390.6/2</f>
        <v>195.3</v>
      </c>
      <c r="L1559" s="12">
        <f>IF(J1559="P",ROUNDUP(K1559/(1-Q1559),-2),K1559*(1+P1559)/(1-Q1559))</f>
        <v>390.6</v>
      </c>
      <c r="M1559" s="8">
        <v>1</v>
      </c>
      <c r="N1559" s="8" t="s">
        <v>27</v>
      </c>
      <c r="O1559" s="13"/>
      <c r="P1559" s="14">
        <v>0.2</v>
      </c>
      <c r="Q1559" s="15">
        <v>0.4</v>
      </c>
      <c r="R1559" s="16" t="str">
        <f t="shared" si="141"/>
        <v>HUBBELL</v>
      </c>
      <c r="S1559" s="17"/>
      <c r="T1559" s="10"/>
    </row>
    <row r="1560" spans="1:20" ht="27" customHeight="1" x14ac:dyDescent="0.25">
      <c r="A1560" s="8" t="s">
        <v>3561</v>
      </c>
      <c r="B1560" s="9"/>
      <c r="C1560" s="9"/>
      <c r="D1560" s="8"/>
      <c r="E1560" s="8"/>
      <c r="F1560" s="8"/>
      <c r="G1560" s="10"/>
      <c r="H1560" s="8" t="s">
        <v>3594</v>
      </c>
      <c r="I1560" s="10" t="s">
        <v>3595</v>
      </c>
      <c r="J1560" s="11" t="s">
        <v>26</v>
      </c>
      <c r="K1560" s="18">
        <v>9.9499999999999993</v>
      </c>
      <c r="L1560" s="12">
        <f>ROUNDUP(K1560*(1+P1560)/(1-Q1560),0)</f>
        <v>20</v>
      </c>
      <c r="M1560" s="8">
        <v>1</v>
      </c>
      <c r="N1560" s="8" t="s">
        <v>27</v>
      </c>
      <c r="O1560" s="13"/>
      <c r="P1560" s="14">
        <v>0.2</v>
      </c>
      <c r="Q1560" s="15">
        <v>0.4</v>
      </c>
      <c r="R1560" s="16" t="str">
        <f t="shared" si="141"/>
        <v>HUBBELL</v>
      </c>
      <c r="S1560" s="17"/>
      <c r="T1560" s="10"/>
    </row>
    <row r="1561" spans="1:20" ht="27" customHeight="1" x14ac:dyDescent="0.25">
      <c r="A1561" s="8" t="s">
        <v>3561</v>
      </c>
      <c r="B1561" s="9"/>
      <c r="C1561" s="9"/>
      <c r="D1561" s="8"/>
      <c r="E1561" s="8"/>
      <c r="F1561" s="8"/>
      <c r="G1561" s="10"/>
      <c r="H1561" s="8" t="s">
        <v>3596</v>
      </c>
      <c r="I1561" s="10" t="s">
        <v>3597</v>
      </c>
      <c r="J1561" s="11" t="s">
        <v>26</v>
      </c>
      <c r="K1561" s="18">
        <v>5.67</v>
      </c>
      <c r="L1561" s="12">
        <f>ROUNDUP(K1561*(1+P1561)/(1-Q1561),0)</f>
        <v>12</v>
      </c>
      <c r="M1561" s="8">
        <v>1</v>
      </c>
      <c r="N1561" s="8" t="s">
        <v>27</v>
      </c>
      <c r="O1561" s="13"/>
      <c r="P1561" s="14">
        <v>0.2</v>
      </c>
      <c r="Q1561" s="15">
        <v>0.4</v>
      </c>
      <c r="R1561" s="16" t="str">
        <f t="shared" si="141"/>
        <v>HUBBELL</v>
      </c>
      <c r="S1561" s="17"/>
      <c r="T1561" s="10"/>
    </row>
    <row r="1562" spans="1:20" ht="27" customHeight="1" x14ac:dyDescent="0.25">
      <c r="A1562" s="8" t="s">
        <v>3598</v>
      </c>
      <c r="B1562" s="9"/>
      <c r="C1562" s="9"/>
      <c r="D1562" s="8"/>
      <c r="E1562" s="8"/>
      <c r="F1562" s="8"/>
      <c r="G1562" s="10"/>
      <c r="H1562" s="8" t="s">
        <v>3599</v>
      </c>
      <c r="I1562" s="10" t="s">
        <v>3600</v>
      </c>
      <c r="J1562" s="11" t="s">
        <v>26</v>
      </c>
      <c r="K1562" s="18">
        <v>278</v>
      </c>
      <c r="L1562" s="12">
        <f>IF(J1562="P",ROUNDUP(K1562/(1-Q1562),-2),K1562*(1+P1562)/(1-Q1562))</f>
        <v>463.33333333333337</v>
      </c>
      <c r="M1562" s="8">
        <v>1</v>
      </c>
      <c r="N1562" s="8" t="s">
        <v>27</v>
      </c>
      <c r="O1562" s="13"/>
      <c r="P1562" s="14">
        <v>0</v>
      </c>
      <c r="Q1562" s="15">
        <v>0.4</v>
      </c>
      <c r="R1562" s="16" t="str">
        <f t="shared" si="141"/>
        <v>HUDDLY</v>
      </c>
      <c r="S1562" s="17"/>
      <c r="T1562" s="10"/>
    </row>
    <row r="1563" spans="1:20" ht="27" customHeight="1" x14ac:dyDescent="0.25">
      <c r="A1563" s="8" t="s">
        <v>3598</v>
      </c>
      <c r="B1563" s="9"/>
      <c r="C1563" s="9"/>
      <c r="D1563" s="8"/>
      <c r="E1563" s="8"/>
      <c r="F1563" s="8"/>
      <c r="G1563" s="10"/>
      <c r="H1563" s="8" t="s">
        <v>3601</v>
      </c>
      <c r="I1563" s="10" t="s">
        <v>3602</v>
      </c>
      <c r="J1563" s="11" t="s">
        <v>26</v>
      </c>
      <c r="K1563" s="18">
        <v>809</v>
      </c>
      <c r="L1563" s="12">
        <f>IF(J1563="P",ROUNDUP(K1563/(1-Q1563),-2),K1563*(1+P1563)/(1-Q1563))</f>
        <v>1155.7142857142858</v>
      </c>
      <c r="M1563" s="8">
        <v>1</v>
      </c>
      <c r="N1563" s="8" t="s">
        <v>27</v>
      </c>
      <c r="O1563" s="13"/>
      <c r="P1563" s="14">
        <v>0</v>
      </c>
      <c r="Q1563" s="15">
        <v>0.3</v>
      </c>
      <c r="R1563" s="16" t="str">
        <f t="shared" si="141"/>
        <v>HUDDLY</v>
      </c>
      <c r="S1563" s="17"/>
      <c r="T1563" s="10"/>
    </row>
    <row r="1564" spans="1:20" ht="27" customHeight="1" x14ac:dyDescent="0.25">
      <c r="A1564" s="8" t="s">
        <v>3603</v>
      </c>
      <c r="B1564" s="9" t="s">
        <v>3604</v>
      </c>
      <c r="C1564" s="9"/>
      <c r="D1564" s="8" t="s">
        <v>3605</v>
      </c>
      <c r="E1564" s="8"/>
      <c r="F1564" s="8" t="s">
        <v>22</v>
      </c>
      <c r="G1564" s="10" t="s">
        <v>3606</v>
      </c>
      <c r="H1564" s="8" t="s">
        <v>3607</v>
      </c>
      <c r="I1564" s="10" t="s">
        <v>3606</v>
      </c>
      <c r="J1564" s="11" t="s">
        <v>26</v>
      </c>
      <c r="K1564" s="18">
        <f>19.95/4</f>
        <v>4.9874999999999998</v>
      </c>
      <c r="L1564" s="12">
        <f>IF(J1564="P",ROUNDUP(K1564/(1-Q1564),-2),K1564*(1+P1564)/(1-Q1564))</f>
        <v>9.9749999999999996</v>
      </c>
      <c r="M1564" s="8">
        <v>1</v>
      </c>
      <c r="N1564" s="8" t="s">
        <v>27</v>
      </c>
      <c r="O1564" s="13"/>
      <c r="P1564" s="14">
        <v>0.2</v>
      </c>
      <c r="Q1564" s="15">
        <v>0.4</v>
      </c>
      <c r="R1564" s="16" t="str">
        <f t="shared" si="141"/>
        <v>HUDSON</v>
      </c>
      <c r="S1564" s="17"/>
      <c r="T1564" s="10" t="str">
        <f>G1564</f>
        <v>BOMBILLA INCANDESCENTE VINTAGE, 230 LUMENS, ATENUABLE, 60 VATIOS.</v>
      </c>
    </row>
    <row r="1565" spans="1:20" ht="27" customHeight="1" x14ac:dyDescent="0.25">
      <c r="A1565" s="8" t="s">
        <v>3608</v>
      </c>
      <c r="B1565" s="9"/>
      <c r="C1565" s="9"/>
      <c r="D1565" s="8"/>
      <c r="E1565" s="8"/>
      <c r="F1565" s="8"/>
      <c r="G1565" s="10"/>
      <c r="H1565" s="8" t="s">
        <v>3609</v>
      </c>
      <c r="I1565" s="10" t="s">
        <v>3610</v>
      </c>
      <c r="J1565" s="11" t="s">
        <v>33</v>
      </c>
      <c r="K1565" s="18">
        <v>30000</v>
      </c>
      <c r="L1565" s="12">
        <f>IF(J1565="P",ROUNDUP(K1565/(1-Q1565),-2),K1565*(1+P1565)/(1-Q1565))</f>
        <v>50000</v>
      </c>
      <c r="M1565" s="8">
        <v>1</v>
      </c>
      <c r="N1565" s="8" t="s">
        <v>27</v>
      </c>
      <c r="O1565" s="13"/>
      <c r="P1565" s="14">
        <v>0</v>
      </c>
      <c r="Q1565" s="15">
        <v>0.4</v>
      </c>
      <c r="R1565" s="16" t="str">
        <f t="shared" si="141"/>
        <v>HYCOMM</v>
      </c>
      <c r="S1565" s="17"/>
      <c r="T1565" s="10"/>
    </row>
    <row r="1566" spans="1:20" ht="27" customHeight="1" x14ac:dyDescent="0.25">
      <c r="A1566" s="8" t="s">
        <v>3611</v>
      </c>
      <c r="B1566" s="9"/>
      <c r="C1566" s="9"/>
      <c r="D1566" s="8"/>
      <c r="E1566" s="8"/>
      <c r="F1566" s="8" t="s">
        <v>22</v>
      </c>
      <c r="G1566" s="10" t="s">
        <v>3612</v>
      </c>
      <c r="H1566" s="8" t="s">
        <v>3613</v>
      </c>
      <c r="I1566" s="10" t="s">
        <v>3614</v>
      </c>
      <c r="J1566" s="11" t="s">
        <v>33</v>
      </c>
      <c r="K1566" s="18">
        <v>50000</v>
      </c>
      <c r="L1566" s="12">
        <f>IF(J1566="P",ROUNDUP(K1566/(1-P1566),-2),K1566*(1+O1566)/(1-P1566))</f>
        <v>50000</v>
      </c>
      <c r="M1566" s="8" t="s">
        <v>2520</v>
      </c>
      <c r="N1566" s="8" t="s">
        <v>2521</v>
      </c>
      <c r="O1566" s="13"/>
      <c r="P1566" s="14">
        <v>0</v>
      </c>
      <c r="Q1566" s="15">
        <v>0.4</v>
      </c>
      <c r="R1566" s="16" t="str">
        <f t="shared" si="141"/>
        <v>IDEA</v>
      </c>
      <c r="S1566" s="17"/>
      <c r="T1566" s="10" t="str">
        <f t="shared" ref="T1566:T1576" si="143">G1566</f>
        <v>ALQUILER DE VIDEO PLAYER 1080, CON SOFTWARE DE GESTIÓN.</v>
      </c>
    </row>
    <row r="1567" spans="1:20" ht="27" customHeight="1" x14ac:dyDescent="0.25">
      <c r="A1567" s="8" t="s">
        <v>3611</v>
      </c>
      <c r="B1567" s="9"/>
      <c r="C1567" s="9"/>
      <c r="D1567" s="8"/>
      <c r="E1567" s="8"/>
      <c r="F1567" s="8" t="s">
        <v>22</v>
      </c>
      <c r="G1567" s="10" t="s">
        <v>3615</v>
      </c>
      <c r="H1567" s="8" t="s">
        <v>3616</v>
      </c>
      <c r="I1567" s="10" t="s">
        <v>3615</v>
      </c>
      <c r="J1567" s="11" t="s">
        <v>26</v>
      </c>
      <c r="K1567" s="18">
        <v>179</v>
      </c>
      <c r="L1567" s="12">
        <f t="shared" ref="L1567:L1598" si="144">IF(J1567="P",ROUNDUP(K1567/(1-Q1567),-2),K1567*(1+P1567)/(1-Q1567))</f>
        <v>330.4615384615384</v>
      </c>
      <c r="M1567" s="8">
        <v>1</v>
      </c>
      <c r="N1567" s="8" t="s">
        <v>27</v>
      </c>
      <c r="O1567" s="13"/>
      <c r="P1567" s="14">
        <v>0.2</v>
      </c>
      <c r="Q1567" s="15">
        <v>0.35</v>
      </c>
      <c r="R1567" s="16" t="str">
        <f t="shared" si="141"/>
        <v>IDEA</v>
      </c>
      <c r="S1567" s="17"/>
      <c r="T1567" s="10" t="str">
        <f t="shared" si="143"/>
        <v>REPRODUCTOR DE DIGITAL SIGNAGE 1080P CON SOFTWARE DE GESTIÓN POR HORARIOS</v>
      </c>
    </row>
    <row r="1568" spans="1:20" ht="27" customHeight="1" x14ac:dyDescent="0.25">
      <c r="A1568" s="8" t="s">
        <v>3611</v>
      </c>
      <c r="B1568" s="9"/>
      <c r="C1568" s="9"/>
      <c r="D1568" s="8"/>
      <c r="E1568" s="8"/>
      <c r="F1568" s="8" t="s">
        <v>22</v>
      </c>
      <c r="G1568" s="10" t="s">
        <v>3617</v>
      </c>
      <c r="H1568" s="8" t="s">
        <v>3618</v>
      </c>
      <c r="I1568" s="10" t="s">
        <v>3617</v>
      </c>
      <c r="J1568" s="11" t="s">
        <v>26</v>
      </c>
      <c r="K1568" s="18">
        <v>45</v>
      </c>
      <c r="L1568" s="12">
        <f t="shared" si="144"/>
        <v>83.07692307692308</v>
      </c>
      <c r="M1568" s="8">
        <v>1</v>
      </c>
      <c r="N1568" s="8" t="s">
        <v>27</v>
      </c>
      <c r="O1568" s="13"/>
      <c r="P1568" s="14">
        <v>0.2</v>
      </c>
      <c r="Q1568" s="15">
        <v>0.35</v>
      </c>
      <c r="R1568" s="16" t="str">
        <f t="shared" si="141"/>
        <v>IDEA</v>
      </c>
      <c r="S1568" s="17"/>
      <c r="T1568" s="10" t="str">
        <f t="shared" si="143"/>
        <v>LICENCIA ESTÁNDAR PARA MANEJO POR HORARIO DE CONTENIDOS DESDE PC DE GESTIÓN</v>
      </c>
    </row>
    <row r="1569" spans="1:20" ht="27" customHeight="1" x14ac:dyDescent="0.25">
      <c r="A1569" s="8" t="s">
        <v>3611</v>
      </c>
      <c r="B1569" s="9" t="s">
        <v>93</v>
      </c>
      <c r="C1569" s="9"/>
      <c r="D1569" s="8" t="s">
        <v>93</v>
      </c>
      <c r="E1569" s="8"/>
      <c r="F1569" s="8" t="s">
        <v>22</v>
      </c>
      <c r="G1569" s="10" t="s">
        <v>3619</v>
      </c>
      <c r="H1569" s="8" t="s">
        <v>3620</v>
      </c>
      <c r="I1569" s="10" t="s">
        <v>3619</v>
      </c>
      <c r="J1569" s="11" t="s">
        <v>33</v>
      </c>
      <c r="K1569" s="18">
        <v>7845</v>
      </c>
      <c r="L1569" s="12">
        <f t="shared" si="144"/>
        <v>11300</v>
      </c>
      <c r="M1569" s="8">
        <v>1</v>
      </c>
      <c r="N1569" s="8" t="s">
        <v>27</v>
      </c>
      <c r="O1569" s="13"/>
      <c r="P1569" s="14">
        <v>0.2</v>
      </c>
      <c r="Q1569" s="15">
        <v>0.3</v>
      </c>
      <c r="R1569" s="16" t="str">
        <f t="shared" si="141"/>
        <v>IDEA</v>
      </c>
      <c r="S1569" s="17"/>
      <c r="T1569" s="10" t="str">
        <f t="shared" si="143"/>
        <v>KIT DE GUAYA PARA PANEL LED</v>
      </c>
    </row>
    <row r="1570" spans="1:20" ht="27" customHeight="1" x14ac:dyDescent="0.25">
      <c r="A1570" s="8" t="s">
        <v>3611</v>
      </c>
      <c r="B1570" s="9" t="s">
        <v>93</v>
      </c>
      <c r="C1570" s="9"/>
      <c r="D1570" s="8" t="s">
        <v>93</v>
      </c>
      <c r="E1570" s="8"/>
      <c r="F1570" s="8" t="s">
        <v>22</v>
      </c>
      <c r="G1570" s="10" t="s">
        <v>3621</v>
      </c>
      <c r="H1570" s="8" t="s">
        <v>3622</v>
      </c>
      <c r="I1570" s="10" t="s">
        <v>3621</v>
      </c>
      <c r="J1570" s="11" t="s">
        <v>33</v>
      </c>
      <c r="K1570" s="18">
        <v>15517</v>
      </c>
      <c r="L1570" s="12">
        <f t="shared" si="144"/>
        <v>22200</v>
      </c>
      <c r="M1570" s="8">
        <v>1</v>
      </c>
      <c r="N1570" s="8" t="s">
        <v>27</v>
      </c>
      <c r="O1570" s="13"/>
      <c r="P1570" s="14">
        <v>0.2</v>
      </c>
      <c r="Q1570" s="15">
        <v>0.3</v>
      </c>
      <c r="R1570" s="16" t="str">
        <f t="shared" si="141"/>
        <v>IDEA</v>
      </c>
      <c r="S1570" s="17"/>
      <c r="T1570" s="10" t="str">
        <f t="shared" si="143"/>
        <v>PANEL LED REDONDO DE SOBREPONER, 4000K, 12 VATIOS.</v>
      </c>
    </row>
    <row r="1571" spans="1:20" ht="27" customHeight="1" x14ac:dyDescent="0.25">
      <c r="A1571" s="8" t="s">
        <v>3611</v>
      </c>
      <c r="B1571" s="9" t="s">
        <v>93</v>
      </c>
      <c r="C1571" s="9"/>
      <c r="D1571" s="8" t="s">
        <v>93</v>
      </c>
      <c r="E1571" s="8"/>
      <c r="F1571" s="8" t="s">
        <v>22</v>
      </c>
      <c r="G1571" s="10" t="s">
        <v>3623</v>
      </c>
      <c r="H1571" s="8" t="s">
        <v>3624</v>
      </c>
      <c r="I1571" s="10" t="s">
        <v>3623</v>
      </c>
      <c r="J1571" s="11" t="s">
        <v>33</v>
      </c>
      <c r="K1571" s="18">
        <v>12586</v>
      </c>
      <c r="L1571" s="12">
        <f t="shared" si="144"/>
        <v>18000</v>
      </c>
      <c r="M1571" s="8">
        <v>1</v>
      </c>
      <c r="N1571" s="8" t="s">
        <v>27</v>
      </c>
      <c r="O1571" s="13"/>
      <c r="P1571" s="14">
        <v>0.2</v>
      </c>
      <c r="Q1571" s="15">
        <v>0.3</v>
      </c>
      <c r="R1571" s="16" t="str">
        <f t="shared" si="141"/>
        <v>IDEA</v>
      </c>
      <c r="S1571" s="17"/>
      <c r="T1571" s="10" t="str">
        <f t="shared" si="143"/>
        <v>PANEL LED REDONDO DE INCRUSTAR, 4000K, 12 VATIOS.</v>
      </c>
    </row>
    <row r="1572" spans="1:20" ht="27" customHeight="1" x14ac:dyDescent="0.25">
      <c r="A1572" s="8" t="s">
        <v>3611</v>
      </c>
      <c r="B1572" s="9" t="s">
        <v>93</v>
      </c>
      <c r="C1572" s="9"/>
      <c r="D1572" s="8" t="s">
        <v>93</v>
      </c>
      <c r="E1572" s="8"/>
      <c r="F1572" s="8" t="s">
        <v>22</v>
      </c>
      <c r="G1572" s="10" t="s">
        <v>3625</v>
      </c>
      <c r="H1572" s="8" t="s">
        <v>3626</v>
      </c>
      <c r="I1572" s="10" t="s">
        <v>3625</v>
      </c>
      <c r="J1572" s="11" t="s">
        <v>33</v>
      </c>
      <c r="K1572" s="18">
        <v>14569</v>
      </c>
      <c r="L1572" s="12">
        <f t="shared" si="144"/>
        <v>20900</v>
      </c>
      <c r="M1572" s="8">
        <v>1</v>
      </c>
      <c r="N1572" s="8" t="s">
        <v>27</v>
      </c>
      <c r="O1572" s="13"/>
      <c r="P1572" s="14">
        <v>0.2</v>
      </c>
      <c r="Q1572" s="15">
        <v>0.3</v>
      </c>
      <c r="R1572" s="16" t="str">
        <f t="shared" si="141"/>
        <v>IDEA</v>
      </c>
      <c r="S1572" s="17"/>
      <c r="T1572" s="10" t="str">
        <f t="shared" si="143"/>
        <v>PANEL DE EMPOTRAR, 4000K REDONDO. 18 VATIOS.</v>
      </c>
    </row>
    <row r="1573" spans="1:20" ht="27" customHeight="1" x14ac:dyDescent="0.25">
      <c r="A1573" s="8" t="s">
        <v>3611</v>
      </c>
      <c r="B1573" s="9"/>
      <c r="C1573" s="9"/>
      <c r="D1573" s="8"/>
      <c r="E1573" s="8"/>
      <c r="F1573" s="8" t="s">
        <v>22</v>
      </c>
      <c r="G1573" s="10" t="s">
        <v>3627</v>
      </c>
      <c r="H1573" s="8" t="s">
        <v>3628</v>
      </c>
      <c r="I1573" s="10" t="s">
        <v>3627</v>
      </c>
      <c r="J1573" s="11" t="s">
        <v>33</v>
      </c>
      <c r="K1573" s="18">
        <v>22000</v>
      </c>
      <c r="L1573" s="12">
        <f t="shared" si="144"/>
        <v>36700</v>
      </c>
      <c r="M1573" s="8">
        <v>1</v>
      </c>
      <c r="N1573" s="8" t="s">
        <v>27</v>
      </c>
      <c r="O1573" s="13"/>
      <c r="P1573" s="14">
        <v>0.2</v>
      </c>
      <c r="Q1573" s="15">
        <v>0.4</v>
      </c>
      <c r="R1573" s="16" t="str">
        <f t="shared" si="141"/>
        <v>IDEA</v>
      </c>
      <c r="S1573" s="17"/>
      <c r="T1573" s="10" t="str">
        <f t="shared" si="143"/>
        <v>PANEL LED DE SOBREPONER 12W, 4000K.</v>
      </c>
    </row>
    <row r="1574" spans="1:20" ht="27" customHeight="1" x14ac:dyDescent="0.25">
      <c r="A1574" s="8" t="s">
        <v>3611</v>
      </c>
      <c r="B1574" s="9"/>
      <c r="C1574" s="9"/>
      <c r="D1574" s="8"/>
      <c r="E1574" s="8"/>
      <c r="F1574" s="8" t="s">
        <v>22</v>
      </c>
      <c r="G1574" s="10" t="s">
        <v>3629</v>
      </c>
      <c r="H1574" s="8" t="s">
        <v>3630</v>
      </c>
      <c r="I1574" s="10" t="s">
        <v>3629</v>
      </c>
      <c r="J1574" s="11" t="s">
        <v>33</v>
      </c>
      <c r="K1574" s="18">
        <v>8900</v>
      </c>
      <c r="L1574" s="12">
        <f t="shared" si="144"/>
        <v>17800</v>
      </c>
      <c r="M1574" s="8">
        <v>1</v>
      </c>
      <c r="N1574" s="8" t="s">
        <v>27</v>
      </c>
      <c r="O1574" s="13"/>
      <c r="P1574" s="14">
        <v>0.2</v>
      </c>
      <c r="Q1574" s="15">
        <v>0.5</v>
      </c>
      <c r="R1574" s="16" t="str">
        <f t="shared" si="141"/>
        <v>IDEA</v>
      </c>
      <c r="S1574" s="17"/>
      <c r="T1574" s="10" t="str">
        <f t="shared" si="143"/>
        <v>BOMBILLO E28 DE 6 VATIOS LED BLANCO</v>
      </c>
    </row>
    <row r="1575" spans="1:20" ht="27" customHeight="1" x14ac:dyDescent="0.25">
      <c r="A1575" s="8" t="s">
        <v>3611</v>
      </c>
      <c r="B1575" s="9"/>
      <c r="C1575" s="9"/>
      <c r="D1575" s="8"/>
      <c r="E1575" s="8"/>
      <c r="F1575" s="8" t="s">
        <v>22</v>
      </c>
      <c r="G1575" s="10" t="s">
        <v>3631</v>
      </c>
      <c r="H1575" s="8" t="s">
        <v>3632</v>
      </c>
      <c r="I1575" s="10" t="s">
        <v>3631</v>
      </c>
      <c r="J1575" s="11" t="s">
        <v>33</v>
      </c>
      <c r="K1575" s="18">
        <v>42000</v>
      </c>
      <c r="L1575" s="12">
        <f t="shared" si="144"/>
        <v>84000</v>
      </c>
      <c r="M1575" s="8">
        <v>1</v>
      </c>
      <c r="N1575" s="8" t="s">
        <v>27</v>
      </c>
      <c r="O1575" s="13"/>
      <c r="P1575" s="14">
        <v>0.2</v>
      </c>
      <c r="Q1575" s="15">
        <v>0.5</v>
      </c>
      <c r="R1575" s="16" t="str">
        <f t="shared" si="141"/>
        <v>IDEA</v>
      </c>
      <c r="S1575" s="17"/>
      <c r="T1575" s="10" t="str">
        <f t="shared" si="143"/>
        <v>PANEL RECESADO DE INCRUSTAR, 13W, COLOR CÁLIDO 3.000K.</v>
      </c>
    </row>
    <row r="1576" spans="1:20" ht="27" customHeight="1" x14ac:dyDescent="0.25">
      <c r="A1576" s="8" t="s">
        <v>3611</v>
      </c>
      <c r="B1576" s="9"/>
      <c r="C1576" s="9"/>
      <c r="D1576" s="8"/>
      <c r="E1576" s="8"/>
      <c r="F1576" s="8" t="s">
        <v>22</v>
      </c>
      <c r="G1576" s="10" t="s">
        <v>3631</v>
      </c>
      <c r="H1576" s="8" t="s">
        <v>3632</v>
      </c>
      <c r="I1576" s="10" t="s">
        <v>3631</v>
      </c>
      <c r="J1576" s="11" t="s">
        <v>33</v>
      </c>
      <c r="K1576" s="18">
        <v>42000</v>
      </c>
      <c r="L1576" s="12">
        <f t="shared" si="144"/>
        <v>84000</v>
      </c>
      <c r="M1576" s="8">
        <v>1</v>
      </c>
      <c r="N1576" s="8" t="s">
        <v>27</v>
      </c>
      <c r="O1576" s="13"/>
      <c r="P1576" s="14">
        <v>0.2</v>
      </c>
      <c r="Q1576" s="15">
        <v>0.5</v>
      </c>
      <c r="R1576" s="16" t="str">
        <f t="shared" si="141"/>
        <v>IDEA</v>
      </c>
      <c r="S1576" s="17"/>
      <c r="T1576" s="10" t="str">
        <f t="shared" si="143"/>
        <v>PANEL RECESADO DE INCRUSTAR, 13W, COLOR CÁLIDO 3.000K.</v>
      </c>
    </row>
    <row r="1577" spans="1:20" ht="27" customHeight="1" x14ac:dyDescent="0.25">
      <c r="A1577" s="8" t="s">
        <v>3633</v>
      </c>
      <c r="B1577" s="9"/>
      <c r="C1577" s="9"/>
      <c r="D1577" s="8"/>
      <c r="E1577" s="8"/>
      <c r="F1577" s="8"/>
      <c r="G1577" s="10"/>
      <c r="H1577" s="8" t="s">
        <v>3634</v>
      </c>
      <c r="I1577" s="10" t="s">
        <v>3635</v>
      </c>
      <c r="J1577" s="11" t="s">
        <v>33</v>
      </c>
      <c r="K1577" s="18">
        <v>50000</v>
      </c>
      <c r="L1577" s="12">
        <f t="shared" si="144"/>
        <v>100000</v>
      </c>
      <c r="M1577" s="8">
        <v>1</v>
      </c>
      <c r="N1577" s="8" t="s">
        <v>27</v>
      </c>
      <c r="O1577" s="13">
        <f>F1577</f>
        <v>0</v>
      </c>
      <c r="P1577" s="14">
        <v>0</v>
      </c>
      <c r="Q1577" s="15">
        <v>0.5</v>
      </c>
      <c r="R1577" s="16" t="str">
        <f t="shared" si="141"/>
        <v>IFAN</v>
      </c>
      <c r="S1577" s="17"/>
      <c r="T1577" s="10"/>
    </row>
    <row r="1578" spans="1:20" ht="27" customHeight="1" x14ac:dyDescent="0.25">
      <c r="A1578" s="8" t="s">
        <v>3636</v>
      </c>
      <c r="B1578" s="9" t="s">
        <v>3636</v>
      </c>
      <c r="C1578" s="9"/>
      <c r="D1578" s="8" t="s">
        <v>1757</v>
      </c>
      <c r="E1578" s="8">
        <v>1</v>
      </c>
      <c r="F1578" s="8" t="s">
        <v>22</v>
      </c>
      <c r="G1578" s="10" t="s">
        <v>3637</v>
      </c>
      <c r="H1578" s="8" t="s">
        <v>3638</v>
      </c>
      <c r="I1578" s="10" t="s">
        <v>3637</v>
      </c>
      <c r="J1578" s="11" t="s">
        <v>33</v>
      </c>
      <c r="K1578" s="18">
        <f>299000</f>
        <v>299000</v>
      </c>
      <c r="L1578" s="12">
        <f t="shared" si="144"/>
        <v>498400</v>
      </c>
      <c r="M1578" s="8">
        <v>1</v>
      </c>
      <c r="N1578" s="8" t="s">
        <v>27</v>
      </c>
      <c r="O1578" s="13"/>
      <c r="P1578" s="14">
        <v>0.2</v>
      </c>
      <c r="Q1578" s="15">
        <v>0.4</v>
      </c>
      <c r="R1578" s="16" t="str">
        <f t="shared" si="141"/>
        <v>IG</v>
      </c>
      <c r="S1578" s="17"/>
      <c r="T1578" s="10" t="str">
        <f t="shared" ref="T1578:T1596" si="145">G1578</f>
        <v>PANTALLA ELÉCTRICA EN FORMATO CUADRANGULAR 180CM X 180CM.</v>
      </c>
    </row>
    <row r="1579" spans="1:20" ht="27" customHeight="1" x14ac:dyDescent="0.25">
      <c r="A1579" s="8" t="s">
        <v>3636</v>
      </c>
      <c r="B1579" s="9" t="s">
        <v>3636</v>
      </c>
      <c r="C1579" s="9"/>
      <c r="D1579" s="8" t="s">
        <v>1757</v>
      </c>
      <c r="E1579" s="8">
        <v>2</v>
      </c>
      <c r="F1579" s="8" t="s">
        <v>22</v>
      </c>
      <c r="G1579" s="10" t="s">
        <v>3639</v>
      </c>
      <c r="H1579" s="8" t="s">
        <v>3640</v>
      </c>
      <c r="I1579" s="10" t="s">
        <v>3639</v>
      </c>
      <c r="J1579" s="11" t="s">
        <v>33</v>
      </c>
      <c r="K1579" s="18">
        <f>339900</f>
        <v>339900</v>
      </c>
      <c r="L1579" s="12">
        <f t="shared" si="144"/>
        <v>566500</v>
      </c>
      <c r="M1579" s="8">
        <v>1</v>
      </c>
      <c r="N1579" s="8" t="s">
        <v>27</v>
      </c>
      <c r="O1579" s="13"/>
      <c r="P1579" s="14">
        <v>0.2</v>
      </c>
      <c r="Q1579" s="15">
        <v>0.4</v>
      </c>
      <c r="R1579" s="16" t="str">
        <f t="shared" si="141"/>
        <v>IG</v>
      </c>
      <c r="S1579" s="17"/>
      <c r="T1579" s="10" t="str">
        <f t="shared" si="145"/>
        <v>PANTALLA ELÉCTRICA EN FORMATO CUADRANGULAR 200CM X 200CM.</v>
      </c>
    </row>
    <row r="1580" spans="1:20" ht="27" customHeight="1" x14ac:dyDescent="0.25">
      <c r="A1580" s="8" t="s">
        <v>3636</v>
      </c>
      <c r="B1580" s="9" t="s">
        <v>3636</v>
      </c>
      <c r="C1580" s="9"/>
      <c r="D1580" s="8" t="s">
        <v>1757</v>
      </c>
      <c r="E1580" s="8">
        <v>3</v>
      </c>
      <c r="F1580" s="8" t="s">
        <v>22</v>
      </c>
      <c r="G1580" s="10" t="s">
        <v>3641</v>
      </c>
      <c r="H1580" s="8" t="s">
        <v>3642</v>
      </c>
      <c r="I1580" s="10" t="s">
        <v>3641</v>
      </c>
      <c r="J1580" s="11" t="s">
        <v>33</v>
      </c>
      <c r="K1580" s="18">
        <f>421000</f>
        <v>421000</v>
      </c>
      <c r="L1580" s="12">
        <f t="shared" si="144"/>
        <v>701700</v>
      </c>
      <c r="M1580" s="8">
        <v>1</v>
      </c>
      <c r="N1580" s="8" t="s">
        <v>27</v>
      </c>
      <c r="O1580" s="13"/>
      <c r="P1580" s="14">
        <v>0.2</v>
      </c>
      <c r="Q1580" s="15">
        <v>0.4</v>
      </c>
      <c r="R1580" s="16" t="str">
        <f t="shared" si="141"/>
        <v>IG</v>
      </c>
      <c r="S1580" s="17"/>
      <c r="T1580" s="10" t="str">
        <f t="shared" si="145"/>
        <v>PANTALLA ELÉCTRICA EN FORMATO CUADRANGULAR 244CM X 244CM.</v>
      </c>
    </row>
    <row r="1581" spans="1:20" ht="27" customHeight="1" x14ac:dyDescent="0.25">
      <c r="A1581" s="8" t="s">
        <v>3636</v>
      </c>
      <c r="B1581" s="9" t="s">
        <v>3636</v>
      </c>
      <c r="C1581" s="9"/>
      <c r="D1581" s="8" t="s">
        <v>1757</v>
      </c>
      <c r="E1581" s="8">
        <v>4</v>
      </c>
      <c r="F1581" s="8" t="s">
        <v>22</v>
      </c>
      <c r="G1581" s="10" t="s">
        <v>3643</v>
      </c>
      <c r="H1581" s="8" t="s">
        <v>3644</v>
      </c>
      <c r="I1581" s="10" t="s">
        <v>3643</v>
      </c>
      <c r="J1581" s="11" t="s">
        <v>33</v>
      </c>
      <c r="K1581" s="18">
        <f>699900</f>
        <v>699900</v>
      </c>
      <c r="L1581" s="12">
        <f t="shared" si="144"/>
        <v>1166500</v>
      </c>
      <c r="M1581" s="8">
        <v>1</v>
      </c>
      <c r="N1581" s="8" t="s">
        <v>27</v>
      </c>
      <c r="O1581" s="13"/>
      <c r="P1581" s="14">
        <v>0.2</v>
      </c>
      <c r="Q1581" s="15">
        <v>0.4</v>
      </c>
      <c r="R1581" s="16" t="str">
        <f t="shared" si="141"/>
        <v>IG</v>
      </c>
      <c r="S1581" s="17"/>
      <c r="T1581" s="10" t="str">
        <f t="shared" si="145"/>
        <v>PANTALLA ELÉCTRICA EN FORMATO CUADRANGULAR 305CM X 305CM.</v>
      </c>
    </row>
    <row r="1582" spans="1:20" ht="27" customHeight="1" x14ac:dyDescent="0.25">
      <c r="A1582" s="8" t="s">
        <v>3636</v>
      </c>
      <c r="B1582" s="9" t="s">
        <v>3636</v>
      </c>
      <c r="C1582" s="9"/>
      <c r="D1582" s="8" t="s">
        <v>1757</v>
      </c>
      <c r="E1582" s="8">
        <v>5</v>
      </c>
      <c r="F1582" s="8" t="s">
        <v>22</v>
      </c>
      <c r="G1582" s="10" t="s">
        <v>3645</v>
      </c>
      <c r="H1582" s="8" t="s">
        <v>3646</v>
      </c>
      <c r="I1582" s="10" t="s">
        <v>3645</v>
      </c>
      <c r="J1582" s="11" t="s">
        <v>33</v>
      </c>
      <c r="K1582" s="18">
        <f>1310000</f>
        <v>1310000</v>
      </c>
      <c r="L1582" s="12">
        <f t="shared" si="144"/>
        <v>2183400</v>
      </c>
      <c r="M1582" s="8">
        <v>1</v>
      </c>
      <c r="N1582" s="8" t="s">
        <v>27</v>
      </c>
      <c r="O1582" s="13"/>
      <c r="P1582" s="14">
        <v>0.2</v>
      </c>
      <c r="Q1582" s="15">
        <v>0.4</v>
      </c>
      <c r="R1582" s="16" t="str">
        <f t="shared" si="141"/>
        <v>IG</v>
      </c>
      <c r="S1582" s="17"/>
      <c r="T1582" s="10" t="str">
        <f t="shared" si="145"/>
        <v>PANTALLA ELÉCTRICA EN FORMATO CUADRANGULAR 366CM X 366CM.</v>
      </c>
    </row>
    <row r="1583" spans="1:20" ht="27" customHeight="1" x14ac:dyDescent="0.25">
      <c r="A1583" s="8" t="s">
        <v>3636</v>
      </c>
      <c r="B1583" s="9" t="s">
        <v>3636</v>
      </c>
      <c r="C1583" s="9"/>
      <c r="D1583" s="8" t="s">
        <v>1757</v>
      </c>
      <c r="E1583" s="8">
        <v>6</v>
      </c>
      <c r="F1583" s="8" t="s">
        <v>22</v>
      </c>
      <c r="G1583" s="10" t="s">
        <v>3647</v>
      </c>
      <c r="H1583" s="8" t="s">
        <v>3648</v>
      </c>
      <c r="I1583" s="10" t="s">
        <v>3647</v>
      </c>
      <c r="J1583" s="11" t="s">
        <v>33</v>
      </c>
      <c r="K1583" s="18">
        <f>377300</f>
        <v>377300</v>
      </c>
      <c r="L1583" s="12">
        <f t="shared" si="144"/>
        <v>628900</v>
      </c>
      <c r="M1583" s="8">
        <v>1</v>
      </c>
      <c r="N1583" s="8" t="s">
        <v>27</v>
      </c>
      <c r="O1583" s="13"/>
      <c r="P1583" s="14">
        <v>0.2</v>
      </c>
      <c r="Q1583" s="15">
        <v>0.4</v>
      </c>
      <c r="R1583" s="16" t="str">
        <f t="shared" si="141"/>
        <v>IG</v>
      </c>
      <c r="S1583" s="17"/>
      <c r="T1583" s="10" t="str">
        <f t="shared" si="145"/>
        <v>PANTALLA ELÉCTRICA EN FORMATO 4:3, CON MEDIDAS DE 234CM X 177CM.</v>
      </c>
    </row>
    <row r="1584" spans="1:20" ht="27" customHeight="1" x14ac:dyDescent="0.25">
      <c r="A1584" s="8" t="s">
        <v>3636</v>
      </c>
      <c r="B1584" s="9" t="s">
        <v>3636</v>
      </c>
      <c r="C1584" s="9"/>
      <c r="D1584" s="8" t="s">
        <v>1757</v>
      </c>
      <c r="E1584" s="8">
        <v>7</v>
      </c>
      <c r="F1584" s="8" t="s">
        <v>22</v>
      </c>
      <c r="G1584" s="10" t="s">
        <v>3649</v>
      </c>
      <c r="H1584" s="8" t="s">
        <v>3650</v>
      </c>
      <c r="I1584" s="10" t="s">
        <v>3649</v>
      </c>
      <c r="J1584" s="11" t="s">
        <v>33</v>
      </c>
      <c r="K1584" s="18">
        <f>616600</f>
        <v>616600</v>
      </c>
      <c r="L1584" s="12">
        <f t="shared" si="144"/>
        <v>1027700</v>
      </c>
      <c r="M1584" s="8">
        <v>1</v>
      </c>
      <c r="N1584" s="8" t="s">
        <v>27</v>
      </c>
      <c r="O1584" s="13"/>
      <c r="P1584" s="14">
        <v>0.2</v>
      </c>
      <c r="Q1584" s="15">
        <v>0.4</v>
      </c>
      <c r="R1584" s="16" t="str">
        <f t="shared" si="141"/>
        <v>IG</v>
      </c>
      <c r="S1584" s="17"/>
      <c r="T1584" s="10" t="str">
        <f t="shared" si="145"/>
        <v>PANTALLA ELÉCTRICA EN FORMATO 4:3, CON MEDIDAS DE 274 cm X 208 cm.</v>
      </c>
    </row>
    <row r="1585" spans="1:20" ht="27" customHeight="1" x14ac:dyDescent="0.25">
      <c r="A1585" s="8" t="s">
        <v>3636</v>
      </c>
      <c r="B1585" s="9" t="s">
        <v>3636</v>
      </c>
      <c r="C1585" s="9"/>
      <c r="D1585" s="8" t="s">
        <v>1757</v>
      </c>
      <c r="E1585" s="8">
        <v>8</v>
      </c>
      <c r="F1585" s="8" t="s">
        <v>22</v>
      </c>
      <c r="G1585" s="10" t="s">
        <v>3651</v>
      </c>
      <c r="H1585" s="8" t="s">
        <v>3652</v>
      </c>
      <c r="I1585" s="10" t="s">
        <v>3651</v>
      </c>
      <c r="J1585" s="11" t="s">
        <v>33</v>
      </c>
      <c r="K1585" s="18">
        <f>782700</f>
        <v>782700</v>
      </c>
      <c r="L1585" s="12">
        <f t="shared" si="144"/>
        <v>1304500</v>
      </c>
      <c r="M1585" s="8">
        <v>1</v>
      </c>
      <c r="N1585" s="8" t="s">
        <v>27</v>
      </c>
      <c r="O1585" s="13"/>
      <c r="P1585" s="14">
        <v>0.2</v>
      </c>
      <c r="Q1585" s="15">
        <v>0.4</v>
      </c>
      <c r="R1585" s="16" t="str">
        <f t="shared" si="141"/>
        <v>IG</v>
      </c>
      <c r="S1585" s="17"/>
      <c r="T1585" s="10" t="str">
        <f t="shared" si="145"/>
        <v>PANTALLA ELÉCTRICA EN FORMATO 4:3, CON MEDIDAS DE 356 cm X 259 cm</v>
      </c>
    </row>
    <row r="1586" spans="1:20" ht="27" customHeight="1" x14ac:dyDescent="0.25">
      <c r="A1586" s="8" t="s">
        <v>3636</v>
      </c>
      <c r="B1586" s="9" t="s">
        <v>3636</v>
      </c>
      <c r="C1586" s="9"/>
      <c r="D1586" s="8" t="s">
        <v>1757</v>
      </c>
      <c r="E1586" s="8">
        <v>9</v>
      </c>
      <c r="F1586" s="8" t="s">
        <v>22</v>
      </c>
      <c r="G1586" s="10" t="s">
        <v>3653</v>
      </c>
      <c r="H1586" s="8" t="s">
        <v>3654</v>
      </c>
      <c r="I1586" s="10" t="s">
        <v>3653</v>
      </c>
      <c r="J1586" s="11" t="s">
        <v>33</v>
      </c>
      <c r="K1586" s="18">
        <f>1390000</f>
        <v>1390000</v>
      </c>
      <c r="L1586" s="12">
        <f t="shared" si="144"/>
        <v>2316700</v>
      </c>
      <c r="M1586" s="8">
        <v>1</v>
      </c>
      <c r="N1586" s="8" t="s">
        <v>27</v>
      </c>
      <c r="O1586" s="13"/>
      <c r="P1586" s="14">
        <v>0.2</v>
      </c>
      <c r="Q1586" s="15">
        <v>0.4</v>
      </c>
      <c r="R1586" s="16" t="str">
        <f t="shared" si="141"/>
        <v>IG</v>
      </c>
      <c r="S1586" s="17"/>
      <c r="T1586" s="10" t="str">
        <f t="shared" si="145"/>
        <v>PANTALLA ELÉCTRICA EN FORMATO 4:3, CON MEDIDAS DE 406 cm X 308 cm.</v>
      </c>
    </row>
    <row r="1587" spans="1:20" ht="27" customHeight="1" x14ac:dyDescent="0.25">
      <c r="A1587" s="8" t="s">
        <v>3636</v>
      </c>
      <c r="B1587" s="9" t="s">
        <v>3636</v>
      </c>
      <c r="C1587" s="9"/>
      <c r="D1587" s="8" t="s">
        <v>1757</v>
      </c>
      <c r="E1587" s="8">
        <v>10</v>
      </c>
      <c r="F1587" s="8" t="s">
        <v>22</v>
      </c>
      <c r="G1587" s="10" t="s">
        <v>3655</v>
      </c>
      <c r="H1587" s="8" t="s">
        <v>3656</v>
      </c>
      <c r="I1587" s="10" t="s">
        <v>3655</v>
      </c>
      <c r="J1587" s="11" t="s">
        <v>33</v>
      </c>
      <c r="K1587" s="18">
        <f>5690000</f>
        <v>5690000</v>
      </c>
      <c r="L1587" s="12">
        <f t="shared" si="144"/>
        <v>8128600</v>
      </c>
      <c r="M1587" s="8">
        <v>1</v>
      </c>
      <c r="N1587" s="8" t="s">
        <v>27</v>
      </c>
      <c r="O1587" s="13"/>
      <c r="P1587" s="14">
        <v>0.2</v>
      </c>
      <c r="Q1587" s="15">
        <v>0.3</v>
      </c>
      <c r="R1587" s="16" t="str">
        <f t="shared" si="141"/>
        <v>IG</v>
      </c>
      <c r="S1587" s="17"/>
      <c r="T1587" s="10" t="str">
        <f t="shared" si="145"/>
        <v>PANTALLA ELÉCTRICA EN FORMATO 4:3, CON MEDIDAS DE 508 cm X 384 cm.</v>
      </c>
    </row>
    <row r="1588" spans="1:20" ht="27" customHeight="1" x14ac:dyDescent="0.25">
      <c r="A1588" s="8" t="s">
        <v>3636</v>
      </c>
      <c r="B1588" s="9" t="s">
        <v>3636</v>
      </c>
      <c r="C1588" s="9"/>
      <c r="D1588" s="8" t="s">
        <v>1757</v>
      </c>
      <c r="E1588" s="8">
        <v>11</v>
      </c>
      <c r="F1588" s="8" t="s">
        <v>22</v>
      </c>
      <c r="G1588" s="10" t="s">
        <v>3657</v>
      </c>
      <c r="H1588" s="8" t="s">
        <v>3658</v>
      </c>
      <c r="I1588" s="10" t="s">
        <v>3657</v>
      </c>
      <c r="J1588" s="11" t="s">
        <v>33</v>
      </c>
      <c r="K1588" s="18">
        <f>7429500</f>
        <v>7429500</v>
      </c>
      <c r="L1588" s="12">
        <f t="shared" si="144"/>
        <v>10613600</v>
      </c>
      <c r="M1588" s="8">
        <v>1</v>
      </c>
      <c r="N1588" s="8" t="s">
        <v>27</v>
      </c>
      <c r="O1588" s="13"/>
      <c r="P1588" s="14">
        <v>0.2</v>
      </c>
      <c r="Q1588" s="15">
        <v>0.3</v>
      </c>
      <c r="R1588" s="16" t="str">
        <f t="shared" si="141"/>
        <v>IG</v>
      </c>
      <c r="S1588" s="17"/>
      <c r="T1588" s="10" t="str">
        <f t="shared" si="145"/>
        <v>PANTALLA ELÉCTRICA EN FORMATO 4:3, CON MEDIDAS DE 610 cm X 460 cm.</v>
      </c>
    </row>
    <row r="1589" spans="1:20" ht="27" customHeight="1" x14ac:dyDescent="0.25">
      <c r="A1589" s="8" t="s">
        <v>3636</v>
      </c>
      <c r="B1589" s="9" t="s">
        <v>3636</v>
      </c>
      <c r="C1589" s="9"/>
      <c r="D1589" s="8" t="s">
        <v>1757</v>
      </c>
      <c r="E1589" s="8">
        <v>12</v>
      </c>
      <c r="F1589" s="8" t="s">
        <v>22</v>
      </c>
      <c r="G1589" s="10" t="s">
        <v>3659</v>
      </c>
      <c r="H1589" s="8" t="s">
        <v>3660</v>
      </c>
      <c r="I1589" s="10" t="s">
        <v>3659</v>
      </c>
      <c r="J1589" s="11" t="s">
        <v>33</v>
      </c>
      <c r="K1589" s="18">
        <f>13376000</f>
        <v>13376000</v>
      </c>
      <c r="L1589" s="12">
        <f t="shared" si="144"/>
        <v>19108600</v>
      </c>
      <c r="M1589" s="8">
        <v>1</v>
      </c>
      <c r="N1589" s="8" t="s">
        <v>27</v>
      </c>
      <c r="O1589" s="13"/>
      <c r="P1589" s="14">
        <v>0.2</v>
      </c>
      <c r="Q1589" s="15">
        <v>0.3</v>
      </c>
      <c r="R1589" s="16" t="str">
        <f t="shared" si="141"/>
        <v>IG</v>
      </c>
      <c r="S1589" s="17"/>
      <c r="T1589" s="10" t="str">
        <f t="shared" si="145"/>
        <v>PANTALLA ELÉCTRICA EN FORMATO 4:3, CON MEDIDAS DE 800 cm X 600 cm.</v>
      </c>
    </row>
    <row r="1590" spans="1:20" ht="27" customHeight="1" x14ac:dyDescent="0.25">
      <c r="A1590" s="8" t="s">
        <v>3636</v>
      </c>
      <c r="B1590" s="9" t="s">
        <v>3636</v>
      </c>
      <c r="C1590" s="9"/>
      <c r="D1590" s="8" t="s">
        <v>1757</v>
      </c>
      <c r="E1590" s="8">
        <v>13</v>
      </c>
      <c r="F1590" s="8" t="s">
        <v>22</v>
      </c>
      <c r="G1590" s="10" t="s">
        <v>3661</v>
      </c>
      <c r="H1590" s="8" t="s">
        <v>3662</v>
      </c>
      <c r="I1590" s="10" t="s">
        <v>3661</v>
      </c>
      <c r="J1590" s="11" t="s">
        <v>33</v>
      </c>
      <c r="K1590" s="18">
        <f>1050000</f>
        <v>1050000</v>
      </c>
      <c r="L1590" s="12">
        <f t="shared" si="144"/>
        <v>1500000</v>
      </c>
      <c r="M1590" s="8">
        <v>1</v>
      </c>
      <c r="N1590" s="8" t="s">
        <v>27</v>
      </c>
      <c r="O1590" s="13"/>
      <c r="P1590" s="14">
        <v>0.2</v>
      </c>
      <c r="Q1590" s="15">
        <v>0.3</v>
      </c>
      <c r="R1590" s="16" t="str">
        <f t="shared" si="141"/>
        <v>IG</v>
      </c>
      <c r="S1590" s="17"/>
      <c r="T1590" s="10" t="str">
        <f t="shared" si="145"/>
        <v>ASCENSOR GENÉRICO PARA VIDEO BEAM TIPO TIJERA 30cm x 30cm DESCIENDE 120cm</v>
      </c>
    </row>
    <row r="1591" spans="1:20" ht="27" customHeight="1" x14ac:dyDescent="0.25">
      <c r="A1591" s="8" t="s">
        <v>3636</v>
      </c>
      <c r="B1591" s="9" t="s">
        <v>3636</v>
      </c>
      <c r="C1591" s="9"/>
      <c r="D1591" s="8" t="s">
        <v>568</v>
      </c>
      <c r="E1591" s="8">
        <v>1</v>
      </c>
      <c r="F1591" s="8" t="s">
        <v>22</v>
      </c>
      <c r="G1591" s="10" t="s">
        <v>3663</v>
      </c>
      <c r="H1591" s="8" t="s">
        <v>3664</v>
      </c>
      <c r="I1591" s="10" t="s">
        <v>3663</v>
      </c>
      <c r="J1591" s="11" t="s">
        <v>33</v>
      </c>
      <c r="K1591" s="18">
        <f>1250000</f>
        <v>1250000</v>
      </c>
      <c r="L1591" s="12">
        <f t="shared" si="144"/>
        <v>1785800</v>
      </c>
      <c r="M1591" s="8">
        <v>1</v>
      </c>
      <c r="N1591" s="8" t="s">
        <v>27</v>
      </c>
      <c r="O1591" s="13"/>
      <c r="P1591" s="14">
        <v>0.2</v>
      </c>
      <c r="Q1591" s="15">
        <v>0.3</v>
      </c>
      <c r="R1591" s="16" t="str">
        <f t="shared" si="141"/>
        <v>IG</v>
      </c>
      <c r="S1591" s="17"/>
      <c r="T1591" s="10" t="str">
        <f t="shared" si="145"/>
        <v>ASCENSOR GENÉRICO PARA VIDEO BEAN TIPO TIJERA 40cm x 40cm DESCIENDE 120cm</v>
      </c>
    </row>
    <row r="1592" spans="1:20" ht="27" customHeight="1" x14ac:dyDescent="0.25">
      <c r="A1592" s="8" t="s">
        <v>3636</v>
      </c>
      <c r="B1592" s="9" t="s">
        <v>3636</v>
      </c>
      <c r="C1592" s="9"/>
      <c r="D1592" s="8" t="s">
        <v>568</v>
      </c>
      <c r="E1592" s="8">
        <v>2</v>
      </c>
      <c r="F1592" s="8" t="s">
        <v>22</v>
      </c>
      <c r="G1592" s="10" t="s">
        <v>3665</v>
      </c>
      <c r="H1592" s="8" t="s">
        <v>3666</v>
      </c>
      <c r="I1592" s="10" t="s">
        <v>3665</v>
      </c>
      <c r="J1592" s="11" t="s">
        <v>33</v>
      </c>
      <c r="K1592" s="18">
        <f>1400000</f>
        <v>1400000</v>
      </c>
      <c r="L1592" s="12">
        <f t="shared" si="144"/>
        <v>2000000</v>
      </c>
      <c r="M1592" s="8">
        <v>1</v>
      </c>
      <c r="N1592" s="8" t="s">
        <v>27</v>
      </c>
      <c r="O1592" s="13"/>
      <c r="P1592" s="14">
        <v>0.2</v>
      </c>
      <c r="Q1592" s="15">
        <v>0.3</v>
      </c>
      <c r="R1592" s="16" t="str">
        <f t="shared" si="141"/>
        <v>IG</v>
      </c>
      <c r="S1592" s="17"/>
      <c r="T1592" s="10" t="str">
        <f t="shared" si="145"/>
        <v>ASCENSOR GENÉRICO PARA VIDEO BEAN TIPO TIJERA 50cm x 50cm DESCIENDE 120cm</v>
      </c>
    </row>
    <row r="1593" spans="1:20" ht="27" customHeight="1" x14ac:dyDescent="0.25">
      <c r="A1593" s="8" t="s">
        <v>3636</v>
      </c>
      <c r="B1593" s="9" t="s">
        <v>3636</v>
      </c>
      <c r="C1593" s="9"/>
      <c r="D1593" s="8" t="s">
        <v>568</v>
      </c>
      <c r="E1593" s="8">
        <v>3</v>
      </c>
      <c r="F1593" s="8" t="s">
        <v>22</v>
      </c>
      <c r="G1593" s="10" t="s">
        <v>3667</v>
      </c>
      <c r="H1593" s="8" t="s">
        <v>3668</v>
      </c>
      <c r="I1593" s="10" t="s">
        <v>3667</v>
      </c>
      <c r="J1593" s="11" t="s">
        <v>33</v>
      </c>
      <c r="K1593" s="18">
        <f>1614000</f>
        <v>1614000</v>
      </c>
      <c r="L1593" s="12">
        <f t="shared" si="144"/>
        <v>2305800</v>
      </c>
      <c r="M1593" s="8">
        <v>1</v>
      </c>
      <c r="N1593" s="8" t="s">
        <v>27</v>
      </c>
      <c r="O1593" s="13"/>
      <c r="P1593" s="14">
        <v>0.2</v>
      </c>
      <c r="Q1593" s="15">
        <v>0.3</v>
      </c>
      <c r="R1593" s="16" t="str">
        <f t="shared" si="141"/>
        <v>IG</v>
      </c>
      <c r="S1593" s="17"/>
      <c r="T1593" s="10" t="str">
        <f t="shared" si="145"/>
        <v>ASCENSOR GENÉRICO PARA VIDEO BEAM TIPO RIEL 40cm x 41cm x 30 DESCIENDE 50cm</v>
      </c>
    </row>
    <row r="1594" spans="1:20" ht="27" customHeight="1" x14ac:dyDescent="0.25">
      <c r="A1594" s="8" t="s">
        <v>3669</v>
      </c>
      <c r="B1594" s="9"/>
      <c r="C1594" s="9"/>
      <c r="D1594" s="8"/>
      <c r="E1594" s="8"/>
      <c r="F1594" s="8" t="s">
        <v>22</v>
      </c>
      <c r="G1594" s="10" t="s">
        <v>3670</v>
      </c>
      <c r="H1594" s="8" t="s">
        <v>3671</v>
      </c>
      <c r="I1594" s="10" t="s">
        <v>3670</v>
      </c>
      <c r="J1594" s="11" t="s">
        <v>33</v>
      </c>
      <c r="K1594" s="18">
        <v>74000</v>
      </c>
      <c r="L1594" s="12">
        <f t="shared" si="144"/>
        <v>123400</v>
      </c>
      <c r="M1594" s="8">
        <v>1</v>
      </c>
      <c r="N1594" s="8" t="s">
        <v>27</v>
      </c>
      <c r="O1594" s="13"/>
      <c r="P1594" s="14">
        <v>0.2</v>
      </c>
      <c r="Q1594" s="15">
        <v>0.4</v>
      </c>
      <c r="R1594" s="16" t="str">
        <f t="shared" si="141"/>
        <v>IKEA</v>
      </c>
      <c r="S1594" s="17"/>
      <c r="T1594" s="10" t="str">
        <f t="shared" si="145"/>
        <v>LÁMPARA SATINADA DE PARED TIPO TABACO DOBLE IKEA.</v>
      </c>
    </row>
    <row r="1595" spans="1:20" ht="27" customHeight="1" x14ac:dyDescent="0.25">
      <c r="A1595" s="8" t="s">
        <v>3672</v>
      </c>
      <c r="B1595" s="9"/>
      <c r="C1595" s="9"/>
      <c r="D1595" s="8"/>
      <c r="E1595" s="8"/>
      <c r="F1595" s="8" t="s">
        <v>22</v>
      </c>
      <c r="G1595" s="10" t="s">
        <v>3673</v>
      </c>
      <c r="H1595" s="8" t="s">
        <v>3674</v>
      </c>
      <c r="I1595" s="10" t="s">
        <v>3673</v>
      </c>
      <c r="J1595" s="11" t="s">
        <v>33</v>
      </c>
      <c r="K1595" s="18">
        <v>2000</v>
      </c>
      <c r="L1595" s="12">
        <f t="shared" si="144"/>
        <v>3400</v>
      </c>
      <c r="M1595" s="8">
        <v>1</v>
      </c>
      <c r="N1595" s="8" t="s">
        <v>27</v>
      </c>
      <c r="O1595" s="13" t="s">
        <v>588</v>
      </c>
      <c r="P1595" s="14">
        <v>0</v>
      </c>
      <c r="Q1595" s="15">
        <v>0.4</v>
      </c>
      <c r="R1595" s="16" t="str">
        <f t="shared" si="141"/>
        <v>ILUMAX</v>
      </c>
      <c r="S1595" s="17"/>
      <c r="T1595" s="10" t="str">
        <f t="shared" si="145"/>
        <v>BOMBILLO TIPO VELA INCANDESCENTE DE 20W CON ROSCA E12</v>
      </c>
    </row>
    <row r="1596" spans="1:20" ht="27" customHeight="1" x14ac:dyDescent="0.25">
      <c r="A1596" s="8" t="s">
        <v>3672</v>
      </c>
      <c r="B1596" s="9"/>
      <c r="C1596" s="9"/>
      <c r="D1596" s="8"/>
      <c r="E1596" s="8"/>
      <c r="F1596" s="8" t="s">
        <v>22</v>
      </c>
      <c r="G1596" s="10" t="s">
        <v>3675</v>
      </c>
      <c r="H1596" s="8" t="s">
        <v>3676</v>
      </c>
      <c r="I1596" s="10" t="s">
        <v>3675</v>
      </c>
      <c r="J1596" s="11" t="s">
        <v>33</v>
      </c>
      <c r="K1596" s="18">
        <v>8000</v>
      </c>
      <c r="L1596" s="12">
        <f t="shared" si="144"/>
        <v>13400</v>
      </c>
      <c r="M1596" s="8">
        <v>1</v>
      </c>
      <c r="N1596" s="8" t="s">
        <v>27</v>
      </c>
      <c r="O1596" s="13" t="s">
        <v>588</v>
      </c>
      <c r="P1596" s="14">
        <v>0</v>
      </c>
      <c r="Q1596" s="15">
        <v>0.4</v>
      </c>
      <c r="R1596" s="16" t="str">
        <f t="shared" si="141"/>
        <v>ILUMAX</v>
      </c>
      <c r="S1596" s="17"/>
      <c r="T1596" s="10" t="str">
        <f t="shared" si="145"/>
        <v>BOMBILLO TIPO VELA LED DE 6W CON ROSCA E14</v>
      </c>
    </row>
    <row r="1597" spans="1:20" ht="27" customHeight="1" x14ac:dyDescent="0.25">
      <c r="A1597" s="8" t="s">
        <v>3672</v>
      </c>
      <c r="B1597" s="9"/>
      <c r="C1597" s="9"/>
      <c r="D1597" s="8"/>
      <c r="E1597" s="8"/>
      <c r="F1597" s="8"/>
      <c r="G1597" s="10"/>
      <c r="H1597" s="8" t="s">
        <v>3677</v>
      </c>
      <c r="I1597" s="10" t="s">
        <v>3678</v>
      </c>
      <c r="J1597" s="11" t="s">
        <v>33</v>
      </c>
      <c r="K1597" s="18">
        <v>9250</v>
      </c>
      <c r="L1597" s="12">
        <f t="shared" si="144"/>
        <v>15500</v>
      </c>
      <c r="M1597" s="8">
        <v>1</v>
      </c>
      <c r="N1597" s="8" t="s">
        <v>27</v>
      </c>
      <c r="O1597" s="13"/>
      <c r="P1597" s="14">
        <v>0</v>
      </c>
      <c r="Q1597" s="15">
        <v>0.4</v>
      </c>
      <c r="R1597" s="16" t="str">
        <f t="shared" si="141"/>
        <v>ILUMAX</v>
      </c>
      <c r="S1597" s="17"/>
      <c r="T1597" s="10"/>
    </row>
    <row r="1598" spans="1:20" ht="27" customHeight="1" x14ac:dyDescent="0.25">
      <c r="A1598" s="8" t="s">
        <v>3672</v>
      </c>
      <c r="B1598" s="9"/>
      <c r="C1598" s="9"/>
      <c r="D1598" s="8"/>
      <c r="E1598" s="8"/>
      <c r="F1598" s="8"/>
      <c r="G1598" s="10"/>
      <c r="H1598" s="8" t="s">
        <v>3679</v>
      </c>
      <c r="I1598" s="10" t="s">
        <v>3680</v>
      </c>
      <c r="J1598" s="11" t="s">
        <v>33</v>
      </c>
      <c r="K1598" s="18">
        <f>9500/1.19</f>
        <v>7983.1932773109247</v>
      </c>
      <c r="L1598" s="12">
        <f t="shared" si="144"/>
        <v>11500</v>
      </c>
      <c r="M1598" s="8">
        <v>1</v>
      </c>
      <c r="N1598" s="8" t="s">
        <v>27</v>
      </c>
      <c r="O1598" s="13"/>
      <c r="P1598" s="14">
        <v>0.2</v>
      </c>
      <c r="Q1598" s="15">
        <v>0.3</v>
      </c>
      <c r="R1598" s="16" t="str">
        <f t="shared" si="141"/>
        <v>ILUMAX</v>
      </c>
      <c r="S1598" s="17"/>
      <c r="T1598" s="10"/>
    </row>
    <row r="1599" spans="1:20" ht="27" customHeight="1" x14ac:dyDescent="0.25">
      <c r="A1599" s="8" t="s">
        <v>3672</v>
      </c>
      <c r="B1599" s="9"/>
      <c r="C1599" s="9"/>
      <c r="D1599" s="8"/>
      <c r="E1599" s="8"/>
      <c r="F1599" s="8"/>
      <c r="G1599" s="10"/>
      <c r="H1599" s="8" t="s">
        <v>3681</v>
      </c>
      <c r="I1599" s="10" t="s">
        <v>3682</v>
      </c>
      <c r="J1599" s="11" t="s">
        <v>33</v>
      </c>
      <c r="K1599" s="18">
        <v>7983</v>
      </c>
      <c r="L1599" s="12">
        <f>ROUNDUP(K1599*(1+P1599)/(1-Q1599),0)</f>
        <v>11405</v>
      </c>
      <c r="M1599" s="8">
        <v>1</v>
      </c>
      <c r="N1599" s="8" t="s">
        <v>27</v>
      </c>
      <c r="O1599" s="13"/>
      <c r="P1599" s="14">
        <v>0</v>
      </c>
      <c r="Q1599" s="15">
        <v>0.3</v>
      </c>
      <c r="R1599" s="16" t="str">
        <f t="shared" si="141"/>
        <v>ILUMAX</v>
      </c>
      <c r="S1599" s="17"/>
      <c r="T1599" s="10"/>
    </row>
    <row r="1600" spans="1:20" ht="27" customHeight="1" x14ac:dyDescent="0.25">
      <c r="A1600" s="8" t="s">
        <v>3672</v>
      </c>
      <c r="B1600" s="9"/>
      <c r="C1600" s="9"/>
      <c r="D1600" s="8"/>
      <c r="E1600" s="8"/>
      <c r="F1600" s="8"/>
      <c r="G1600" s="10"/>
      <c r="H1600" s="8" t="s">
        <v>3683</v>
      </c>
      <c r="I1600" s="10" t="s">
        <v>3684</v>
      </c>
      <c r="J1600" s="11" t="s">
        <v>33</v>
      </c>
      <c r="K1600" s="18">
        <v>4330</v>
      </c>
      <c r="L1600" s="12">
        <f>ROUNDUP(K1600*(1+P1600)/(1-Q1600),0)</f>
        <v>6186</v>
      </c>
      <c r="M1600" s="8">
        <v>1</v>
      </c>
      <c r="N1600" s="8" t="s">
        <v>27</v>
      </c>
      <c r="O1600" s="13"/>
      <c r="P1600" s="14">
        <v>0</v>
      </c>
      <c r="Q1600" s="15">
        <v>0.3</v>
      </c>
      <c r="R1600" s="16" t="str">
        <f t="shared" si="141"/>
        <v>ILUMAX</v>
      </c>
      <c r="S1600" s="17"/>
      <c r="T1600" s="10"/>
    </row>
    <row r="1601" spans="1:20" ht="27" customHeight="1" x14ac:dyDescent="0.25">
      <c r="A1601" s="8" t="s">
        <v>3685</v>
      </c>
      <c r="B1601" s="9"/>
      <c r="C1601" s="9"/>
      <c r="D1601" s="8"/>
      <c r="E1601" s="8"/>
      <c r="F1601" s="8"/>
      <c r="G1601" s="10"/>
      <c r="H1601" s="8" t="s">
        <v>3686</v>
      </c>
      <c r="I1601" s="10" t="s">
        <v>3687</v>
      </c>
      <c r="J1601" s="11" t="s">
        <v>33</v>
      </c>
      <c r="K1601" s="18">
        <v>75000</v>
      </c>
      <c r="L1601" s="12">
        <f>K1601*(1+P1601)/(1-Q1601)</f>
        <v>180000</v>
      </c>
      <c r="M1601" s="8">
        <v>1</v>
      </c>
      <c r="N1601" s="8" t="s">
        <v>27</v>
      </c>
      <c r="O1601" s="13"/>
      <c r="P1601" s="14">
        <v>0.2</v>
      </c>
      <c r="Q1601" s="15">
        <v>0.5</v>
      </c>
      <c r="R1601" s="16" t="str">
        <f t="shared" ref="R1601:R1664" si="146">A1601</f>
        <v>ILUMINARTE</v>
      </c>
      <c r="S1601" s="17"/>
      <c r="T1601" s="10"/>
    </row>
    <row r="1602" spans="1:20" ht="27" customHeight="1" x14ac:dyDescent="0.25">
      <c r="A1602" s="8" t="s">
        <v>3685</v>
      </c>
      <c r="B1602" s="9"/>
      <c r="C1602" s="9"/>
      <c r="D1602" s="8"/>
      <c r="E1602" s="8"/>
      <c r="F1602" s="8"/>
      <c r="G1602" s="10"/>
      <c r="H1602" s="8" t="s">
        <v>3688</v>
      </c>
      <c r="I1602" s="10" t="s">
        <v>3689</v>
      </c>
      <c r="J1602" s="11" t="s">
        <v>33</v>
      </c>
      <c r="K1602" s="18">
        <v>101500</v>
      </c>
      <c r="L1602" s="12">
        <f>K1602*(1+P1602)/(1-Q1602)</f>
        <v>145000</v>
      </c>
      <c r="M1602" s="8">
        <v>1</v>
      </c>
      <c r="N1602" s="8" t="s">
        <v>27</v>
      </c>
      <c r="O1602" s="13"/>
      <c r="P1602" s="14">
        <v>0</v>
      </c>
      <c r="Q1602" s="15">
        <v>0.3</v>
      </c>
      <c r="R1602" s="16" t="str">
        <f t="shared" si="146"/>
        <v>ILUMINARTE</v>
      </c>
      <c r="S1602" s="17"/>
      <c r="T1602" s="10"/>
    </row>
    <row r="1603" spans="1:20" ht="27" customHeight="1" x14ac:dyDescent="0.25">
      <c r="A1603" s="8" t="s">
        <v>3690</v>
      </c>
      <c r="B1603" s="9" t="s">
        <v>3691</v>
      </c>
      <c r="C1603" s="9"/>
      <c r="D1603" s="8" t="s">
        <v>28</v>
      </c>
      <c r="E1603" s="8">
        <v>1</v>
      </c>
      <c r="F1603" s="8" t="s">
        <v>22</v>
      </c>
      <c r="G1603" s="10" t="s">
        <v>3692</v>
      </c>
      <c r="H1603" s="8" t="s">
        <v>3693</v>
      </c>
      <c r="I1603" s="10" t="s">
        <v>3692</v>
      </c>
      <c r="J1603" s="11" t="s">
        <v>26</v>
      </c>
      <c r="K1603" s="18">
        <v>18.79</v>
      </c>
      <c r="L1603" s="12">
        <f>IF(J1603="P",ROUNDUP(K1603/(1-Q1603),-2),K1603*(1+P1603)/(1-Q1603))</f>
        <v>32.21142857142857</v>
      </c>
      <c r="M1603" s="8">
        <v>1</v>
      </c>
      <c r="N1603" s="8" t="s">
        <v>27</v>
      </c>
      <c r="O1603" s="13"/>
      <c r="P1603" s="14">
        <v>0.2</v>
      </c>
      <c r="Q1603" s="15">
        <v>0.3</v>
      </c>
      <c r="R1603" s="16" t="str">
        <f t="shared" si="146"/>
        <v>IMBAPRICE</v>
      </c>
      <c r="S1603" s="17"/>
      <c r="T1603" s="10" t="str">
        <f>G1603</f>
        <v>CABLE RCA DE AUDIO X 2 CON LONGITUD DE 50 PIES.</v>
      </c>
    </row>
    <row r="1604" spans="1:20" ht="27" customHeight="1" x14ac:dyDescent="0.25">
      <c r="A1604" s="8" t="s">
        <v>3694</v>
      </c>
      <c r="B1604" s="9"/>
      <c r="C1604" s="9"/>
      <c r="D1604" s="8"/>
      <c r="E1604" s="8"/>
      <c r="F1604" s="8"/>
      <c r="G1604" s="10"/>
      <c r="H1604" s="8" t="s">
        <v>3695</v>
      </c>
      <c r="I1604" s="10" t="s">
        <v>3696</v>
      </c>
      <c r="J1604" s="11" t="s">
        <v>33</v>
      </c>
      <c r="K1604" s="18">
        <v>135000</v>
      </c>
      <c r="L1604" s="12">
        <f>IF(J1604="P",ROUNDUP(K1604/(1-Q1604),-2),K1604*(1+P1604)/(1-Q1604))</f>
        <v>192900</v>
      </c>
      <c r="M1604" s="8">
        <v>1</v>
      </c>
      <c r="N1604" s="8" t="s">
        <v>27</v>
      </c>
      <c r="O1604" s="13">
        <f>F1604</f>
        <v>0</v>
      </c>
      <c r="P1604" s="14">
        <v>0</v>
      </c>
      <c r="Q1604" s="15">
        <v>0.3</v>
      </c>
      <c r="R1604" s="16" t="str">
        <f t="shared" si="146"/>
        <v>IMOU</v>
      </c>
      <c r="S1604" s="17"/>
      <c r="T1604" s="10"/>
    </row>
    <row r="1605" spans="1:20" ht="27" customHeight="1" x14ac:dyDescent="0.25">
      <c r="A1605" s="8" t="s">
        <v>3697</v>
      </c>
      <c r="B1605" s="9"/>
      <c r="C1605" s="9"/>
      <c r="D1605" s="8"/>
      <c r="E1605" s="8"/>
      <c r="F1605" s="8"/>
      <c r="G1605" s="10"/>
      <c r="H1605" s="8" t="s">
        <v>3698</v>
      </c>
      <c r="I1605" s="10" t="s">
        <v>3699</v>
      </c>
      <c r="J1605" s="11" t="s">
        <v>33</v>
      </c>
      <c r="K1605" s="18">
        <v>8900</v>
      </c>
      <c r="L1605" s="12">
        <f>IF(J1605="P",ROUNDUP(K1605/(1-Q1605),-2),K1605*(1+P1605)/(1-Q1605))</f>
        <v>12800</v>
      </c>
      <c r="M1605" s="8">
        <v>1</v>
      </c>
      <c r="N1605" s="8" t="s">
        <v>27</v>
      </c>
      <c r="O1605" s="13" t="s">
        <v>588</v>
      </c>
      <c r="P1605" s="14">
        <v>0</v>
      </c>
      <c r="Q1605" s="15">
        <v>0.3</v>
      </c>
      <c r="R1605" s="16" t="str">
        <f t="shared" si="146"/>
        <v>INFINITE</v>
      </c>
      <c r="S1605" s="17"/>
      <c r="T1605" s="10"/>
    </row>
    <row r="1606" spans="1:20" ht="27" customHeight="1" x14ac:dyDescent="0.25">
      <c r="A1606" s="8" t="s">
        <v>3697</v>
      </c>
      <c r="B1606" s="9"/>
      <c r="C1606" s="9"/>
      <c r="D1606" s="8"/>
      <c r="E1606" s="8"/>
      <c r="F1606" s="8"/>
      <c r="G1606" s="10"/>
      <c r="H1606" s="8" t="s">
        <v>3700</v>
      </c>
      <c r="I1606" s="10" t="s">
        <v>3701</v>
      </c>
      <c r="J1606" s="11" t="s">
        <v>33</v>
      </c>
      <c r="K1606" s="18">
        <v>310924</v>
      </c>
      <c r="L1606" s="12">
        <f>ROUNDUP(K1606*(1+P1606)/(1-Q1606),0)</f>
        <v>444178</v>
      </c>
      <c r="M1606" s="8">
        <v>1</v>
      </c>
      <c r="N1606" s="8" t="s">
        <v>27</v>
      </c>
      <c r="O1606" s="13"/>
      <c r="P1606" s="14">
        <v>0</v>
      </c>
      <c r="Q1606" s="15">
        <v>0.3</v>
      </c>
      <c r="R1606" s="16" t="str">
        <f t="shared" si="146"/>
        <v>INFINITE</v>
      </c>
      <c r="S1606" s="17"/>
      <c r="T1606" s="10"/>
    </row>
    <row r="1607" spans="1:20" ht="27" customHeight="1" x14ac:dyDescent="0.25">
      <c r="A1607" s="8" t="s">
        <v>3702</v>
      </c>
      <c r="B1607" s="9" t="s">
        <v>93</v>
      </c>
      <c r="C1607" s="9"/>
      <c r="D1607" s="8" t="s">
        <v>93</v>
      </c>
      <c r="E1607" s="8"/>
      <c r="F1607" s="8" t="s">
        <v>22</v>
      </c>
      <c r="G1607" s="10" t="s">
        <v>3703</v>
      </c>
      <c r="H1607" s="8" t="s">
        <v>3704</v>
      </c>
      <c r="I1607" s="10" t="s">
        <v>3703</v>
      </c>
      <c r="J1607" s="11" t="s">
        <v>33</v>
      </c>
      <c r="K1607" s="18">
        <v>3879.31</v>
      </c>
      <c r="L1607" s="12">
        <f>IF(J1607="P",ROUNDUP(K1607/(1-Q1607),-2),K1607*(1+P1607)/(1-Q1607))</f>
        <v>5600</v>
      </c>
      <c r="M1607" s="8">
        <v>1</v>
      </c>
      <c r="N1607" s="8" t="s">
        <v>27</v>
      </c>
      <c r="O1607" s="13"/>
      <c r="P1607" s="14">
        <v>0.2</v>
      </c>
      <c r="Q1607" s="15">
        <v>0.3</v>
      </c>
      <c r="R1607" s="16" t="str">
        <f t="shared" si="146"/>
        <v>INFINITY</v>
      </c>
      <c r="S1607" s="17"/>
      <c r="T1607" s="10" t="str">
        <f t="shared" ref="T1607:T1619" si="147">G1607</f>
        <v>TUBO T5 28W</v>
      </c>
    </row>
    <row r="1608" spans="1:20" ht="27" customHeight="1" x14ac:dyDescent="0.25">
      <c r="A1608" s="8" t="s">
        <v>3702</v>
      </c>
      <c r="B1608" s="9"/>
      <c r="C1608" s="9"/>
      <c r="D1608" s="8" t="s">
        <v>45</v>
      </c>
      <c r="E1608" s="8"/>
      <c r="F1608" s="8" t="s">
        <v>22</v>
      </c>
      <c r="G1608" s="10" t="s">
        <v>3705</v>
      </c>
      <c r="H1608" s="8" t="s">
        <v>3706</v>
      </c>
      <c r="I1608" s="10" t="s">
        <v>3705</v>
      </c>
      <c r="J1608" s="11" t="s">
        <v>26</v>
      </c>
      <c r="K1608" s="18">
        <v>85</v>
      </c>
      <c r="L1608" s="12">
        <f>IF(J1608="P",ROUNDUP(K1608/(1-Q1608),-2),K1608*(1+P1608)/(1-Q1608))</f>
        <v>145.71428571428572</v>
      </c>
      <c r="M1608" s="8">
        <v>1</v>
      </c>
      <c r="N1608" s="8" t="s">
        <v>27</v>
      </c>
      <c r="O1608" s="13"/>
      <c r="P1608" s="14">
        <v>0.2</v>
      </c>
      <c r="Q1608" s="15">
        <v>0.3</v>
      </c>
      <c r="R1608" s="16" t="str">
        <f t="shared" si="146"/>
        <v>INFINITY</v>
      </c>
      <c r="S1608" s="17" t="s">
        <v>3707</v>
      </c>
      <c r="T1608" s="10" t="str">
        <f t="shared" si="147"/>
        <v>PARLANTES PARA AMBIENTE SALINO Y RESISTENTES AL AGUA DE 6.5", POTENCIA DE 200W</v>
      </c>
    </row>
    <row r="1609" spans="1:20" ht="27" customHeight="1" x14ac:dyDescent="0.25">
      <c r="A1609" s="8" t="s">
        <v>3708</v>
      </c>
      <c r="B1609" s="9"/>
      <c r="C1609" s="9"/>
      <c r="D1609" s="8" t="s">
        <v>45</v>
      </c>
      <c r="E1609" s="8"/>
      <c r="F1609" s="8" t="s">
        <v>22</v>
      </c>
      <c r="G1609" s="10" t="s">
        <v>3709</v>
      </c>
      <c r="H1609" s="8" t="s">
        <v>3710</v>
      </c>
      <c r="I1609" s="10" t="s">
        <v>3711</v>
      </c>
      <c r="J1609" s="11" t="s">
        <v>33</v>
      </c>
      <c r="K1609" s="18">
        <v>2100900</v>
      </c>
      <c r="L1609" s="12">
        <f>ROUNDUP(K1609*(1+P1609)/(1-Q1609),0)</f>
        <v>3001286</v>
      </c>
      <c r="M1609" s="8">
        <v>1</v>
      </c>
      <c r="N1609" s="8" t="s">
        <v>27</v>
      </c>
      <c r="O1609" s="13"/>
      <c r="P1609" s="14">
        <v>0</v>
      </c>
      <c r="Q1609" s="15">
        <v>0.3</v>
      </c>
      <c r="R1609" s="16" t="str">
        <f t="shared" si="146"/>
        <v>INFOCUS</v>
      </c>
      <c r="S1609" s="17"/>
      <c r="T1609" s="10" t="str">
        <f t="shared" si="147"/>
        <v>PROYECTOR FULL HD 1080P, 3200 LUMENS.</v>
      </c>
    </row>
    <row r="1610" spans="1:20" ht="27" customHeight="1" x14ac:dyDescent="0.25">
      <c r="A1610" s="8" t="s">
        <v>3708</v>
      </c>
      <c r="B1610" s="9"/>
      <c r="C1610" s="9"/>
      <c r="D1610" s="8" t="s">
        <v>45</v>
      </c>
      <c r="E1610" s="8"/>
      <c r="F1610" s="8" t="s">
        <v>22</v>
      </c>
      <c r="G1610" s="10" t="s">
        <v>3712</v>
      </c>
      <c r="H1610" s="8" t="s">
        <v>3713</v>
      </c>
      <c r="I1610" s="10" t="s">
        <v>3712</v>
      </c>
      <c r="J1610" s="11" t="s">
        <v>33</v>
      </c>
      <c r="K1610" s="18">
        <v>2100900</v>
      </c>
      <c r="L1610" s="12">
        <f>IF(J1610="P",ROUNDUP(K1610/(1-Q1610),-2),K1610*(1+P1610)/(1-Q1610))</f>
        <v>3001300</v>
      </c>
      <c r="M1610" s="8">
        <v>1</v>
      </c>
      <c r="N1610" s="8" t="s">
        <v>27</v>
      </c>
      <c r="O1610" s="13"/>
      <c r="P1610" s="14">
        <v>0</v>
      </c>
      <c r="Q1610" s="15">
        <v>0.3</v>
      </c>
      <c r="R1610" s="16" t="str">
        <f t="shared" si="146"/>
        <v>INFOCUS</v>
      </c>
      <c r="S1610" s="17"/>
      <c r="T1610" s="10" t="str">
        <f t="shared" si="147"/>
        <v>PROYECTOR DE RESOLUCIÓN 1920X108, CONTRASTE 15.0000:1, 3.200 LUMENS</v>
      </c>
    </row>
    <row r="1611" spans="1:20" ht="27" customHeight="1" x14ac:dyDescent="0.25">
      <c r="A1611" s="8" t="s">
        <v>3708</v>
      </c>
      <c r="B1611" s="9"/>
      <c r="C1611" s="9"/>
      <c r="D1611" s="8" t="s">
        <v>45</v>
      </c>
      <c r="E1611" s="8"/>
      <c r="F1611" s="8" t="s">
        <v>22</v>
      </c>
      <c r="G1611" s="10" t="s">
        <v>3714</v>
      </c>
      <c r="H1611" s="8" t="s">
        <v>3715</v>
      </c>
      <c r="I1611" s="10" t="s">
        <v>3714</v>
      </c>
      <c r="J1611" s="11" t="s">
        <v>26</v>
      </c>
      <c r="K1611" s="18">
        <v>570</v>
      </c>
      <c r="L1611" s="12">
        <f>ROUNDUP(K1611*(1+P1611)/(1-Q1611),0)</f>
        <v>978</v>
      </c>
      <c r="M1611" s="8">
        <v>1</v>
      </c>
      <c r="N1611" s="8" t="s">
        <v>27</v>
      </c>
      <c r="O1611" s="13"/>
      <c r="P1611" s="14">
        <v>0.2</v>
      </c>
      <c r="Q1611" s="15">
        <v>0.3</v>
      </c>
      <c r="R1611" s="16" t="str">
        <f t="shared" si="146"/>
        <v>INFOCUS</v>
      </c>
      <c r="S1611" s="17"/>
      <c r="T1611" s="10" t="str">
        <f t="shared" si="147"/>
        <v>PROYECTOR DE RESOLUCIÓN 1920X1080, CONTRASTE 28.0000:1, 3.600 LUMENS</v>
      </c>
    </row>
    <row r="1612" spans="1:20" ht="27" customHeight="1" x14ac:dyDescent="0.25">
      <c r="A1612" s="8" t="s">
        <v>3716</v>
      </c>
      <c r="B1612" s="9"/>
      <c r="C1612" s="9"/>
      <c r="D1612" s="8"/>
      <c r="E1612" s="8"/>
      <c r="F1612" s="8" t="s">
        <v>22</v>
      </c>
      <c r="G1612" s="10" t="s">
        <v>3717</v>
      </c>
      <c r="H1612" s="8" t="s">
        <v>3718</v>
      </c>
      <c r="I1612" s="10" t="s">
        <v>3719</v>
      </c>
      <c r="J1612" s="11" t="s">
        <v>26</v>
      </c>
      <c r="K1612" s="18">
        <v>448</v>
      </c>
      <c r="L1612" s="12">
        <f t="shared" ref="L1612:L1621" si="148">IF(J1612="P",ROUNDUP(K1612/(1-Q1612),-2),K1612*(1+P1612)/(1-Q1612))</f>
        <v>768.00000000000011</v>
      </c>
      <c r="M1612" s="8">
        <v>1</v>
      </c>
      <c r="N1612" s="8" t="s">
        <v>27</v>
      </c>
      <c r="O1612" s="13"/>
      <c r="P1612" s="14">
        <v>0.2</v>
      </c>
      <c r="Q1612" s="15">
        <v>0.3</v>
      </c>
      <c r="R1612" s="16" t="str">
        <f t="shared" si="146"/>
        <v>INTERLOGYX</v>
      </c>
      <c r="S1612" s="17"/>
      <c r="T1612" s="10" t="str">
        <f t="shared" si="147"/>
        <v>KIT DE ALARMA CON PANTALLA TÁCTIL, UN SENSOR DE PRESENCIA INALÁMBRICO.</v>
      </c>
    </row>
    <row r="1613" spans="1:20" ht="27" customHeight="1" x14ac:dyDescent="0.25">
      <c r="A1613" s="8" t="s">
        <v>3716</v>
      </c>
      <c r="B1613" s="9"/>
      <c r="C1613" s="9"/>
      <c r="D1613" s="8"/>
      <c r="E1613" s="8"/>
      <c r="F1613" s="8" t="s">
        <v>22</v>
      </c>
      <c r="G1613" s="10" t="s">
        <v>3720</v>
      </c>
      <c r="H1613" s="8" t="s">
        <v>3721</v>
      </c>
      <c r="I1613" s="10" t="s">
        <v>3720</v>
      </c>
      <c r="J1613" s="11" t="s">
        <v>26</v>
      </c>
      <c r="K1613" s="18">
        <v>79</v>
      </c>
      <c r="L1613" s="12">
        <f t="shared" si="148"/>
        <v>135.42857142857144</v>
      </c>
      <c r="M1613" s="8">
        <v>1</v>
      </c>
      <c r="N1613" s="8" t="s">
        <v>27</v>
      </c>
      <c r="O1613" s="13"/>
      <c r="P1613" s="14">
        <v>0.2</v>
      </c>
      <c r="Q1613" s="15">
        <v>0.3</v>
      </c>
      <c r="R1613" s="16" t="str">
        <f t="shared" si="146"/>
        <v>INTERLOGYX</v>
      </c>
      <c r="S1613" s="17"/>
      <c r="T1613" s="10" t="str">
        <f t="shared" si="147"/>
        <v>SENSOR DE PRESENCIA INALÁMBRICO ANTI MASCOTA.</v>
      </c>
    </row>
    <row r="1614" spans="1:20" ht="27" customHeight="1" x14ac:dyDescent="0.25">
      <c r="A1614" s="8" t="s">
        <v>3716</v>
      </c>
      <c r="B1614" s="9"/>
      <c r="C1614" s="9"/>
      <c r="D1614" s="8"/>
      <c r="E1614" s="8"/>
      <c r="F1614" s="8" t="s">
        <v>22</v>
      </c>
      <c r="G1614" s="10" t="s">
        <v>3722</v>
      </c>
      <c r="H1614" s="8" t="s">
        <v>3723</v>
      </c>
      <c r="I1614" s="10" t="s">
        <v>3724</v>
      </c>
      <c r="J1614" s="11" t="s">
        <v>26</v>
      </c>
      <c r="K1614" s="18">
        <v>49.5</v>
      </c>
      <c r="L1614" s="12">
        <f t="shared" si="148"/>
        <v>70.714285714285722</v>
      </c>
      <c r="M1614" s="8">
        <v>1</v>
      </c>
      <c r="N1614" s="8" t="s">
        <v>27</v>
      </c>
      <c r="O1614" s="13" t="s">
        <v>588</v>
      </c>
      <c r="P1614" s="14">
        <v>0</v>
      </c>
      <c r="Q1614" s="15">
        <v>0.3</v>
      </c>
      <c r="R1614" s="16" t="str">
        <f t="shared" si="146"/>
        <v>INTERLOGYX</v>
      </c>
      <c r="S1614" s="17"/>
      <c r="T1614" s="10" t="str">
        <f t="shared" si="147"/>
        <v>DETECTOR DE HUMO INALÁMBRICO PARA FUNCIONAMIENTO STAND ALONE.</v>
      </c>
    </row>
    <row r="1615" spans="1:20" ht="27" customHeight="1" x14ac:dyDescent="0.25">
      <c r="A1615" s="8" t="s">
        <v>3716</v>
      </c>
      <c r="B1615" s="9"/>
      <c r="C1615" s="9"/>
      <c r="D1615" s="8"/>
      <c r="E1615" s="8"/>
      <c r="F1615" s="8" t="s">
        <v>22</v>
      </c>
      <c r="G1615" s="10" t="s">
        <v>3725</v>
      </c>
      <c r="H1615" s="8" t="s">
        <v>3726</v>
      </c>
      <c r="I1615" s="10" t="s">
        <v>3725</v>
      </c>
      <c r="J1615" s="11" t="s">
        <v>33</v>
      </c>
      <c r="K1615" s="18">
        <v>360000</v>
      </c>
      <c r="L1615" s="12">
        <f t="shared" si="148"/>
        <v>600000</v>
      </c>
      <c r="M1615" s="8">
        <v>1</v>
      </c>
      <c r="N1615" s="8" t="s">
        <v>27</v>
      </c>
      <c r="O1615" s="13"/>
      <c r="P1615" s="14">
        <v>0</v>
      </c>
      <c r="Q1615" s="15">
        <v>0.4</v>
      </c>
      <c r="R1615" s="16" t="str">
        <f t="shared" si="146"/>
        <v>INTERLOGYX</v>
      </c>
      <c r="S1615" s="17"/>
      <c r="T1615" s="10" t="str">
        <f t="shared" si="147"/>
        <v>CÁMARA IP 1080P PARA EXTERIORES.</v>
      </c>
    </row>
    <row r="1616" spans="1:20" ht="27" customHeight="1" x14ac:dyDescent="0.25">
      <c r="A1616" s="8" t="s">
        <v>3716</v>
      </c>
      <c r="B1616" s="9"/>
      <c r="C1616" s="9"/>
      <c r="D1616" s="8" t="s">
        <v>45</v>
      </c>
      <c r="E1616" s="8"/>
      <c r="F1616" s="8" t="s">
        <v>22</v>
      </c>
      <c r="G1616" s="10" t="s">
        <v>3727</v>
      </c>
      <c r="H1616" s="8" t="s">
        <v>3728</v>
      </c>
      <c r="I1616" s="10" t="s">
        <v>3729</v>
      </c>
      <c r="J1616" s="11" t="s">
        <v>26</v>
      </c>
      <c r="K1616" s="18">
        <v>110</v>
      </c>
      <c r="L1616" s="12">
        <f t="shared" si="148"/>
        <v>188.57142857142858</v>
      </c>
      <c r="M1616" s="8">
        <v>1</v>
      </c>
      <c r="N1616" s="8" t="s">
        <v>27</v>
      </c>
      <c r="O1616" s="13" t="s">
        <v>588</v>
      </c>
      <c r="P1616" s="14">
        <v>0.2</v>
      </c>
      <c r="Q1616" s="15">
        <v>0.3</v>
      </c>
      <c r="R1616" s="16" t="str">
        <f t="shared" si="146"/>
        <v>INTERLOGYX</v>
      </c>
      <c r="S1616" s="17"/>
      <c r="T1616" s="10" t="str">
        <f t="shared" si="147"/>
        <v xml:space="preserve">CÁMARA IP 1080P COMPATIBLE CON ALARMA INTERLOGYX. </v>
      </c>
    </row>
    <row r="1617" spans="1:20" ht="27" customHeight="1" x14ac:dyDescent="0.25">
      <c r="A1617" s="8" t="s">
        <v>3716</v>
      </c>
      <c r="B1617" s="9"/>
      <c r="C1617" s="9"/>
      <c r="D1617" s="8" t="s">
        <v>45</v>
      </c>
      <c r="E1617" s="8"/>
      <c r="F1617" s="8" t="s">
        <v>22</v>
      </c>
      <c r="G1617" s="10" t="s">
        <v>3730</v>
      </c>
      <c r="H1617" s="8" t="s">
        <v>3731</v>
      </c>
      <c r="I1617" s="10" t="s">
        <v>3730</v>
      </c>
      <c r="J1617" s="11" t="s">
        <v>33</v>
      </c>
      <c r="K1617" s="18">
        <v>64000</v>
      </c>
      <c r="L1617" s="12">
        <f t="shared" si="148"/>
        <v>91500</v>
      </c>
      <c r="M1617" s="8">
        <v>1</v>
      </c>
      <c r="N1617" s="8" t="s">
        <v>27</v>
      </c>
      <c r="O1617" s="13" t="s">
        <v>588</v>
      </c>
      <c r="P1617" s="14">
        <v>0.2</v>
      </c>
      <c r="Q1617" s="15">
        <v>0.3</v>
      </c>
      <c r="R1617" s="16" t="str">
        <f t="shared" si="146"/>
        <v>INTERLOGYX</v>
      </c>
      <c r="S1617" s="17"/>
      <c r="T1617" s="10" t="str">
        <f t="shared" si="147"/>
        <v>SENSOR INALÁMBRICO DE PRESENCIA ANTI MASCOTAS</v>
      </c>
    </row>
    <row r="1618" spans="1:20" ht="27" customHeight="1" x14ac:dyDescent="0.25">
      <c r="A1618" s="8" t="s">
        <v>3732</v>
      </c>
      <c r="B1618" s="9"/>
      <c r="C1618" s="9"/>
      <c r="D1618" s="8"/>
      <c r="E1618" s="8"/>
      <c r="F1618" s="8" t="s">
        <v>22</v>
      </c>
      <c r="G1618" s="10" t="s">
        <v>3733</v>
      </c>
      <c r="H1618" s="8" t="s">
        <v>3734</v>
      </c>
      <c r="I1618" s="10" t="s">
        <v>3733</v>
      </c>
      <c r="J1618" s="11" t="s">
        <v>26</v>
      </c>
      <c r="K1618" s="18">
        <v>199</v>
      </c>
      <c r="L1618" s="12">
        <f t="shared" si="148"/>
        <v>341.14285714285717</v>
      </c>
      <c r="M1618" s="8">
        <v>1</v>
      </c>
      <c r="N1618" s="8" t="s">
        <v>27</v>
      </c>
      <c r="O1618" s="13"/>
      <c r="P1618" s="14">
        <v>0.2</v>
      </c>
      <c r="Q1618" s="15">
        <v>0.3</v>
      </c>
      <c r="R1618" s="16" t="str">
        <f t="shared" si="146"/>
        <v>IPORT</v>
      </c>
      <c r="S1618" s="17"/>
      <c r="T1618" s="10" t="str">
        <f t="shared" si="147"/>
        <v>SOPORTE AUTO CARGADOR PARA MESA DE UNIDAD IPAD MINI.</v>
      </c>
    </row>
    <row r="1619" spans="1:20" ht="27" customHeight="1" x14ac:dyDescent="0.25">
      <c r="A1619" s="8" t="s">
        <v>3735</v>
      </c>
      <c r="B1619" s="9"/>
      <c r="C1619" s="9"/>
      <c r="D1619" s="8"/>
      <c r="E1619" s="8"/>
      <c r="F1619" s="8" t="s">
        <v>22</v>
      </c>
      <c r="G1619" s="10" t="s">
        <v>3736</v>
      </c>
      <c r="H1619" s="8" t="s">
        <v>3737</v>
      </c>
      <c r="I1619" s="10" t="s">
        <v>3736</v>
      </c>
      <c r="J1619" s="11" t="s">
        <v>26</v>
      </c>
      <c r="K1619" s="18">
        <f>63+15</f>
        <v>78</v>
      </c>
      <c r="L1619" s="12">
        <f t="shared" si="148"/>
        <v>156</v>
      </c>
      <c r="M1619" s="8">
        <v>1</v>
      </c>
      <c r="N1619" s="8" t="s">
        <v>27</v>
      </c>
      <c r="O1619" s="13"/>
      <c r="P1619" s="14">
        <v>0.2</v>
      </c>
      <c r="Q1619" s="15">
        <v>0.4</v>
      </c>
      <c r="R1619" s="16" t="str">
        <f t="shared" si="146"/>
        <v>IRVINE</v>
      </c>
      <c r="S1619" s="17" t="s">
        <v>3738</v>
      </c>
      <c r="T1619" s="10" t="str">
        <f t="shared" si="147"/>
        <v>CAJA ELÉCTRICA DE INCRUSTAR PARA PISO DE MADERA DE 2 GANG</v>
      </c>
    </row>
    <row r="1620" spans="1:20" ht="27" customHeight="1" x14ac:dyDescent="0.25">
      <c r="A1620" s="8" t="s">
        <v>3739</v>
      </c>
      <c r="B1620" s="9"/>
      <c r="C1620" s="9"/>
      <c r="D1620" s="8"/>
      <c r="E1620" s="8"/>
      <c r="F1620" s="8"/>
      <c r="G1620" s="10"/>
      <c r="H1620" s="8" t="s">
        <v>3740</v>
      </c>
      <c r="I1620" s="10" t="s">
        <v>3741</v>
      </c>
      <c r="J1620" s="11" t="s">
        <v>33</v>
      </c>
      <c r="K1620" s="18">
        <v>231000</v>
      </c>
      <c r="L1620" s="12">
        <f t="shared" si="148"/>
        <v>385000</v>
      </c>
      <c r="M1620" s="8">
        <v>1</v>
      </c>
      <c r="N1620" s="8" t="s">
        <v>27</v>
      </c>
      <c r="O1620" s="13" t="s">
        <v>588</v>
      </c>
      <c r="P1620" s="14">
        <v>0</v>
      </c>
      <c r="Q1620" s="15">
        <v>0.4</v>
      </c>
      <c r="R1620" s="16" t="str">
        <f t="shared" si="146"/>
        <v>IT</v>
      </c>
      <c r="S1620" s="17"/>
      <c r="T1620" s="10"/>
    </row>
    <row r="1621" spans="1:20" ht="27" customHeight="1" x14ac:dyDescent="0.25">
      <c r="A1621" s="8" t="s">
        <v>3742</v>
      </c>
      <c r="B1621" s="9"/>
      <c r="C1621" s="9"/>
      <c r="D1621" s="8"/>
      <c r="E1621" s="8"/>
      <c r="F1621" s="8" t="s">
        <v>22</v>
      </c>
      <c r="G1621" s="10" t="s">
        <v>3743</v>
      </c>
      <c r="H1621" s="8" t="s">
        <v>3744</v>
      </c>
      <c r="I1621" s="10" t="s">
        <v>3745</v>
      </c>
      <c r="J1621" s="11" t="s">
        <v>26</v>
      </c>
      <c r="K1621" s="18">
        <v>190</v>
      </c>
      <c r="L1621" s="12">
        <f t="shared" si="148"/>
        <v>253.33333333333334</v>
      </c>
      <c r="M1621" s="8">
        <v>1</v>
      </c>
      <c r="N1621" s="8" t="s">
        <v>27</v>
      </c>
      <c r="O1621" s="13" t="s">
        <v>588</v>
      </c>
      <c r="P1621" s="14">
        <v>0</v>
      </c>
      <c r="Q1621" s="15">
        <v>0.25</v>
      </c>
      <c r="R1621" s="16" t="str">
        <f t="shared" si="146"/>
        <v>J_TECH</v>
      </c>
      <c r="S1621" s="17"/>
      <c r="T1621" s="10" t="str">
        <f>G1621</f>
        <v>TRANSMISOR INALÁMBRICO HDMI WIRELESS POR SALIDA HDMI.</v>
      </c>
    </row>
    <row r="1622" spans="1:20" ht="27" customHeight="1" x14ac:dyDescent="0.25">
      <c r="A1622" s="8" t="s">
        <v>3746</v>
      </c>
      <c r="B1622" s="9"/>
      <c r="C1622" s="9"/>
      <c r="D1622" s="8"/>
      <c r="E1622" s="8"/>
      <c r="F1622" s="8"/>
      <c r="G1622" s="10"/>
      <c r="H1622" s="8" t="s">
        <v>3747</v>
      </c>
      <c r="I1622" s="10" t="s">
        <v>3748</v>
      </c>
      <c r="J1622" s="11" t="s">
        <v>26</v>
      </c>
      <c r="K1622" s="18">
        <v>140</v>
      </c>
      <c r="L1622" s="12">
        <f>K1622*(1+P1622)/(1-Q1622)</f>
        <v>224</v>
      </c>
      <c r="M1622" s="8">
        <v>1</v>
      </c>
      <c r="N1622" s="8" t="s">
        <v>27</v>
      </c>
      <c r="O1622" s="13"/>
      <c r="P1622" s="14">
        <v>0.2</v>
      </c>
      <c r="Q1622" s="15">
        <v>0.25</v>
      </c>
      <c r="R1622" s="16" t="str">
        <f t="shared" si="146"/>
        <v>JABRA</v>
      </c>
      <c r="S1622" s="17"/>
      <c r="T1622" s="10"/>
    </row>
    <row r="1623" spans="1:20" ht="27" customHeight="1" x14ac:dyDescent="0.25">
      <c r="A1623" s="8" t="s">
        <v>3749</v>
      </c>
      <c r="B1623" s="9"/>
      <c r="C1623" s="9"/>
      <c r="D1623" s="8" t="s">
        <v>45</v>
      </c>
      <c r="E1623" s="8"/>
      <c r="F1623" s="8" t="s">
        <v>22</v>
      </c>
      <c r="G1623" s="10" t="s">
        <v>3750</v>
      </c>
      <c r="H1623" s="8" t="s">
        <v>3751</v>
      </c>
      <c r="I1623" s="10" t="s">
        <v>3750</v>
      </c>
      <c r="J1623" s="11" t="s">
        <v>26</v>
      </c>
      <c r="K1623" s="18">
        <v>104</v>
      </c>
      <c r="L1623" s="12">
        <f t="shared" ref="L1623:L1628" si="149">IF(J1623="P",ROUNDUP(K1623/(1-Q1623),-2),K1623*(1+P1623)/(1-Q1623))</f>
        <v>148.57142857142858</v>
      </c>
      <c r="M1623" s="8">
        <v>1</v>
      </c>
      <c r="N1623" s="8" t="s">
        <v>27</v>
      </c>
      <c r="O1623" s="13"/>
      <c r="P1623" s="14">
        <v>0</v>
      </c>
      <c r="Q1623" s="15">
        <v>0.3</v>
      </c>
      <c r="R1623" s="16" t="str">
        <f t="shared" si="146"/>
        <v>JBL</v>
      </c>
      <c r="S1623" s="17"/>
      <c r="T1623" s="10" t="str">
        <f t="shared" ref="T1623:T1635" si="150">G1623</f>
        <v xml:space="preserve">ALTAVOZ DE 70V, CON TRANSFORMADOR DE 7.5, 15 y 30W. </v>
      </c>
    </row>
    <row r="1624" spans="1:20" ht="27" customHeight="1" x14ac:dyDescent="0.25">
      <c r="A1624" s="8" t="s">
        <v>3749</v>
      </c>
      <c r="B1624" s="9"/>
      <c r="C1624" s="9"/>
      <c r="D1624" s="8" t="s">
        <v>45</v>
      </c>
      <c r="E1624" s="8"/>
      <c r="F1624" s="8" t="s">
        <v>22</v>
      </c>
      <c r="G1624" s="10" t="s">
        <v>3750</v>
      </c>
      <c r="H1624" s="8" t="s">
        <v>3752</v>
      </c>
      <c r="I1624" s="10" t="s">
        <v>3750</v>
      </c>
      <c r="J1624" s="11" t="s">
        <v>26</v>
      </c>
      <c r="K1624" s="18">
        <v>58</v>
      </c>
      <c r="L1624" s="12">
        <f t="shared" si="149"/>
        <v>82.857142857142861</v>
      </c>
      <c r="M1624" s="8">
        <v>1</v>
      </c>
      <c r="N1624" s="8" t="s">
        <v>27</v>
      </c>
      <c r="O1624" s="13"/>
      <c r="P1624" s="14">
        <v>0</v>
      </c>
      <c r="Q1624" s="15">
        <v>0.3</v>
      </c>
      <c r="R1624" s="16" t="str">
        <f t="shared" si="146"/>
        <v>JBL</v>
      </c>
      <c r="S1624" s="17"/>
      <c r="T1624" s="10" t="str">
        <f t="shared" si="150"/>
        <v xml:space="preserve">ALTAVOZ DE 70V, CON TRANSFORMADOR DE 7.5, 15 y 30W. </v>
      </c>
    </row>
    <row r="1625" spans="1:20" ht="27" customHeight="1" x14ac:dyDescent="0.25">
      <c r="A1625" s="8" t="s">
        <v>3749</v>
      </c>
      <c r="B1625" s="9"/>
      <c r="C1625" s="9"/>
      <c r="D1625" s="8" t="s">
        <v>45</v>
      </c>
      <c r="E1625" s="8"/>
      <c r="F1625" s="8" t="s">
        <v>22</v>
      </c>
      <c r="G1625" s="10" t="s">
        <v>3753</v>
      </c>
      <c r="H1625" s="8" t="s">
        <v>3754</v>
      </c>
      <c r="I1625" s="10" t="s">
        <v>3753</v>
      </c>
      <c r="J1625" s="11" t="s">
        <v>26</v>
      </c>
      <c r="K1625" s="18">
        <f>454*0.7</f>
        <v>317.79999999999995</v>
      </c>
      <c r="L1625" s="12">
        <f t="shared" si="149"/>
        <v>453.99999999999994</v>
      </c>
      <c r="M1625" s="8">
        <v>1</v>
      </c>
      <c r="N1625" s="8" t="s">
        <v>27</v>
      </c>
      <c r="O1625" s="13"/>
      <c r="P1625" s="14">
        <v>0</v>
      </c>
      <c r="Q1625" s="15">
        <v>0.3</v>
      </c>
      <c r="R1625" s="16" t="str">
        <f t="shared" si="146"/>
        <v>JBL</v>
      </c>
      <c r="S1625" s="17"/>
      <c r="T1625" s="10" t="str">
        <f t="shared" si="150"/>
        <v>AMPLIFICADOR DE 120W PARA 2 CANALES EN 4 U 8 OHM</v>
      </c>
    </row>
    <row r="1626" spans="1:20" ht="27" customHeight="1" x14ac:dyDescent="0.25">
      <c r="A1626" s="8" t="s">
        <v>3749</v>
      </c>
      <c r="B1626" s="9"/>
      <c r="C1626" s="9"/>
      <c r="D1626" s="8" t="s">
        <v>45</v>
      </c>
      <c r="E1626" s="8"/>
      <c r="F1626" s="8" t="s">
        <v>22</v>
      </c>
      <c r="G1626" s="10" t="s">
        <v>3755</v>
      </c>
      <c r="H1626" s="8" t="s">
        <v>3756</v>
      </c>
      <c r="I1626" s="10" t="s">
        <v>3755</v>
      </c>
      <c r="J1626" s="11" t="s">
        <v>26</v>
      </c>
      <c r="K1626" s="18">
        <f>547*0.7</f>
        <v>382.9</v>
      </c>
      <c r="L1626" s="12">
        <f t="shared" si="149"/>
        <v>547</v>
      </c>
      <c r="M1626" s="8">
        <v>1</v>
      </c>
      <c r="N1626" s="8" t="s">
        <v>27</v>
      </c>
      <c r="O1626" s="13"/>
      <c r="P1626" s="14">
        <v>0</v>
      </c>
      <c r="Q1626" s="15">
        <v>0.3</v>
      </c>
      <c r="R1626" s="16" t="str">
        <f t="shared" si="146"/>
        <v>JBL</v>
      </c>
      <c r="S1626" s="17"/>
      <c r="T1626" s="10" t="str">
        <f t="shared" si="150"/>
        <v>MEZCLADOR SELECTOR DE DOS CANALES</v>
      </c>
    </row>
    <row r="1627" spans="1:20" ht="27" customHeight="1" x14ac:dyDescent="0.25">
      <c r="A1627" s="8" t="s">
        <v>3749</v>
      </c>
      <c r="B1627" s="9"/>
      <c r="C1627" s="9"/>
      <c r="D1627" s="8" t="s">
        <v>45</v>
      </c>
      <c r="E1627" s="8"/>
      <c r="F1627" s="8" t="s">
        <v>22</v>
      </c>
      <c r="G1627" s="10" t="s">
        <v>3757</v>
      </c>
      <c r="H1627" s="8" t="s">
        <v>3758</v>
      </c>
      <c r="I1627" s="10" t="s">
        <v>3757</v>
      </c>
      <c r="J1627" s="11" t="s">
        <v>26</v>
      </c>
      <c r="K1627" s="18">
        <f>131*0.7</f>
        <v>91.699999999999989</v>
      </c>
      <c r="L1627" s="12">
        <f t="shared" si="149"/>
        <v>131</v>
      </c>
      <c r="M1627" s="8">
        <v>1</v>
      </c>
      <c r="N1627" s="8" t="s">
        <v>27</v>
      </c>
      <c r="O1627" s="13"/>
      <c r="P1627" s="14">
        <v>0</v>
      </c>
      <c r="Q1627" s="15">
        <v>0.3</v>
      </c>
      <c r="R1627" s="16" t="str">
        <f t="shared" si="146"/>
        <v>JBL</v>
      </c>
      <c r="S1627" s="17"/>
      <c r="T1627" s="10" t="str">
        <f t="shared" si="150"/>
        <v>ALTAVOZ DE 70V U 8 OHM, POTENCIA DE 60W.</v>
      </c>
    </row>
    <row r="1628" spans="1:20" ht="27" customHeight="1" x14ac:dyDescent="0.25">
      <c r="A1628" s="8" t="s">
        <v>3749</v>
      </c>
      <c r="B1628" s="9"/>
      <c r="C1628" s="9"/>
      <c r="D1628" s="8" t="s">
        <v>45</v>
      </c>
      <c r="E1628" s="8"/>
      <c r="F1628" s="8" t="s">
        <v>22</v>
      </c>
      <c r="G1628" s="10" t="s">
        <v>3759</v>
      </c>
      <c r="H1628" s="8" t="s">
        <v>3760</v>
      </c>
      <c r="I1628" s="10" t="s">
        <v>3759</v>
      </c>
      <c r="J1628" s="11" t="s">
        <v>26</v>
      </c>
      <c r="K1628" s="18">
        <f>132*0.7</f>
        <v>92.399999999999991</v>
      </c>
      <c r="L1628" s="12">
        <f t="shared" si="149"/>
        <v>132</v>
      </c>
      <c r="M1628" s="8">
        <v>1</v>
      </c>
      <c r="N1628" s="8" t="s">
        <v>27</v>
      </c>
      <c r="O1628" s="13"/>
      <c r="P1628" s="14">
        <v>0</v>
      </c>
      <c r="Q1628" s="15">
        <v>0.3</v>
      </c>
      <c r="R1628" s="16" t="str">
        <f t="shared" si="146"/>
        <v>JBL</v>
      </c>
      <c r="S1628" s="17"/>
      <c r="T1628" s="10" t="str">
        <f t="shared" si="150"/>
        <v>MICRÓFONO SELECTOR DE CUELLO CON BOTÓN DE PERIFONEO</v>
      </c>
    </row>
    <row r="1629" spans="1:20" ht="27" customHeight="1" x14ac:dyDescent="0.25">
      <c r="A1629" s="8" t="s">
        <v>3749</v>
      </c>
      <c r="B1629" s="9"/>
      <c r="C1629" s="9"/>
      <c r="D1629" s="8" t="s">
        <v>45</v>
      </c>
      <c r="E1629" s="8"/>
      <c r="F1629" s="8" t="s">
        <v>22</v>
      </c>
      <c r="G1629" s="10" t="s">
        <v>3761</v>
      </c>
      <c r="H1629" s="8" t="s">
        <v>3762</v>
      </c>
      <c r="I1629" s="10" t="s">
        <v>3761</v>
      </c>
      <c r="J1629" s="11" t="s">
        <v>26</v>
      </c>
      <c r="K1629" s="18">
        <v>50</v>
      </c>
      <c r="L1629" s="12">
        <f>ROUNDUP(K1629*(1+P1629)/(1-Q1629),0)</f>
        <v>86</v>
      </c>
      <c r="M1629" s="8">
        <v>1</v>
      </c>
      <c r="N1629" s="8" t="s">
        <v>27</v>
      </c>
      <c r="O1629" s="13"/>
      <c r="P1629" s="14">
        <v>0.2</v>
      </c>
      <c r="Q1629" s="15">
        <v>0.3</v>
      </c>
      <c r="R1629" s="16" t="str">
        <f t="shared" si="146"/>
        <v>JBL</v>
      </c>
      <c r="S1629" s="17"/>
      <c r="T1629" s="10" t="str">
        <f t="shared" si="150"/>
        <v>PARLANTE DE 8" A 6W EN LÍNEA DE 70V</v>
      </c>
    </row>
    <row r="1630" spans="1:20" ht="27" customHeight="1" x14ac:dyDescent="0.25">
      <c r="A1630" s="8" t="s">
        <v>3749</v>
      </c>
      <c r="B1630" s="9"/>
      <c r="C1630" s="9"/>
      <c r="D1630" s="8" t="s">
        <v>45</v>
      </c>
      <c r="E1630" s="8"/>
      <c r="F1630" s="8" t="s">
        <v>22</v>
      </c>
      <c r="G1630" s="10" t="s">
        <v>3763</v>
      </c>
      <c r="H1630" s="8" t="s">
        <v>3764</v>
      </c>
      <c r="I1630" s="10" t="s">
        <v>3763</v>
      </c>
      <c r="J1630" s="11" t="s">
        <v>26</v>
      </c>
      <c r="K1630" s="18">
        <v>50</v>
      </c>
      <c r="L1630" s="12">
        <f>ROUNDUP(K1630*(1+P1630)/(1-Q1630),0)</f>
        <v>100</v>
      </c>
      <c r="M1630" s="8">
        <v>1</v>
      </c>
      <c r="N1630" s="8" t="s">
        <v>27</v>
      </c>
      <c r="O1630" s="13"/>
      <c r="P1630" s="14">
        <v>0.2</v>
      </c>
      <c r="Q1630" s="15">
        <v>0.4</v>
      </c>
      <c r="R1630" s="16" t="str">
        <f t="shared" si="146"/>
        <v>JBL</v>
      </c>
      <c r="S1630" s="17"/>
      <c r="T1630" s="10" t="str">
        <f t="shared" si="150"/>
        <v>ALTAVOCES DE INTEMPERIE TIPO MARINO, MEMBRANA DE 6.5W, IMPEDANCIA DE 4 OHM.</v>
      </c>
    </row>
    <row r="1631" spans="1:20" ht="27" customHeight="1" x14ac:dyDescent="0.25">
      <c r="A1631" s="8" t="s">
        <v>3749</v>
      </c>
      <c r="B1631" s="9"/>
      <c r="C1631" s="9"/>
      <c r="D1631" s="8" t="s">
        <v>45</v>
      </c>
      <c r="E1631" s="8"/>
      <c r="F1631" s="8" t="s">
        <v>22</v>
      </c>
      <c r="G1631" s="10" t="str">
        <f>B1631&amp;"-"&amp;D1631&amp;"-"&amp;E1631&amp;F1631</f>
        <v>-PROG_-BLANCO</v>
      </c>
      <c r="H1631" s="8" t="s">
        <v>3765</v>
      </c>
      <c r="I1631" s="10" t="s">
        <v>3766</v>
      </c>
      <c r="J1631" s="11" t="s">
        <v>26</v>
      </c>
      <c r="K1631" s="18">
        <v>237</v>
      </c>
      <c r="L1631" s="12">
        <f t="shared" ref="L1631:L1636" si="151">K1631*(1+P1631)/(1-Q1631)</f>
        <v>296.25</v>
      </c>
      <c r="M1631" s="8">
        <v>1</v>
      </c>
      <c r="N1631" s="8" t="s">
        <v>27</v>
      </c>
      <c r="O1631" s="13"/>
      <c r="P1631" s="14">
        <v>0</v>
      </c>
      <c r="Q1631" s="15">
        <v>0.2</v>
      </c>
      <c r="R1631" s="16" t="str">
        <f t="shared" si="146"/>
        <v>JBL</v>
      </c>
      <c r="S1631" s="17"/>
      <c r="T1631" s="10" t="str">
        <f t="shared" si="150"/>
        <v>-PROG_-BLANCO</v>
      </c>
    </row>
    <row r="1632" spans="1:20" ht="27" customHeight="1" x14ac:dyDescent="0.25">
      <c r="A1632" s="8" t="s">
        <v>3749</v>
      </c>
      <c r="B1632" s="9"/>
      <c r="C1632" s="9"/>
      <c r="D1632" s="8" t="s">
        <v>45</v>
      </c>
      <c r="E1632" s="8"/>
      <c r="F1632" s="8" t="s">
        <v>22</v>
      </c>
      <c r="G1632" s="10" t="str">
        <f>B1632&amp;"-"&amp;D1632&amp;"-"&amp;E1632&amp;F1632</f>
        <v>-PROG_-BLANCO</v>
      </c>
      <c r="H1632" s="8" t="s">
        <v>3767</v>
      </c>
      <c r="I1632" s="10" t="s">
        <v>3768</v>
      </c>
      <c r="J1632" s="11" t="s">
        <v>26</v>
      </c>
      <c r="K1632" s="18">
        <f>475*0.7</f>
        <v>332.5</v>
      </c>
      <c r="L1632" s="12">
        <f t="shared" si="151"/>
        <v>475.00000000000006</v>
      </c>
      <c r="M1632" s="8">
        <v>1</v>
      </c>
      <c r="N1632" s="8" t="s">
        <v>27</v>
      </c>
      <c r="O1632" s="13"/>
      <c r="P1632" s="14">
        <v>0</v>
      </c>
      <c r="Q1632" s="15">
        <v>0.3</v>
      </c>
      <c r="R1632" s="16" t="str">
        <f t="shared" si="146"/>
        <v>JBL</v>
      </c>
      <c r="S1632" s="17"/>
      <c r="T1632" s="10" t="str">
        <f t="shared" si="150"/>
        <v>-PROG_-BLANCO</v>
      </c>
    </row>
    <row r="1633" spans="1:20" ht="27" customHeight="1" x14ac:dyDescent="0.25">
      <c r="A1633" s="8" t="s">
        <v>3749</v>
      </c>
      <c r="B1633" s="9"/>
      <c r="C1633" s="9"/>
      <c r="D1633" s="8" t="s">
        <v>45</v>
      </c>
      <c r="E1633" s="8"/>
      <c r="F1633" s="8" t="s">
        <v>22</v>
      </c>
      <c r="G1633" s="10" t="str">
        <f>B1633&amp;"-"&amp;D1633&amp;"-"&amp;E1633&amp;F1633</f>
        <v>-PROG_-BLANCO</v>
      </c>
      <c r="H1633" s="8" t="s">
        <v>3769</v>
      </c>
      <c r="I1633" s="10" t="s">
        <v>3770</v>
      </c>
      <c r="J1633" s="11" t="s">
        <v>26</v>
      </c>
      <c r="K1633" s="18">
        <v>539</v>
      </c>
      <c r="L1633" s="12">
        <f t="shared" si="151"/>
        <v>770</v>
      </c>
      <c r="M1633" s="8">
        <v>1</v>
      </c>
      <c r="N1633" s="8" t="s">
        <v>27</v>
      </c>
      <c r="O1633" s="13"/>
      <c r="P1633" s="14">
        <v>0</v>
      </c>
      <c r="Q1633" s="15">
        <v>0.3</v>
      </c>
      <c r="R1633" s="16" t="str">
        <f t="shared" si="146"/>
        <v>JBL</v>
      </c>
      <c r="S1633" s="17"/>
      <c r="T1633" s="10" t="str">
        <f t="shared" si="150"/>
        <v>-PROG_-BLANCO</v>
      </c>
    </row>
    <row r="1634" spans="1:20" ht="27" customHeight="1" x14ac:dyDescent="0.25">
      <c r="A1634" s="8" t="s">
        <v>3749</v>
      </c>
      <c r="B1634" s="9"/>
      <c r="C1634" s="9"/>
      <c r="D1634" s="8" t="s">
        <v>45</v>
      </c>
      <c r="E1634" s="8"/>
      <c r="F1634" s="8" t="s">
        <v>22</v>
      </c>
      <c r="G1634" s="10" t="str">
        <f>B1634&amp;"-"&amp;D1634&amp;"-"&amp;E1634&amp;F1634</f>
        <v>-PROG_-BLANCO</v>
      </c>
      <c r="H1634" s="8" t="s">
        <v>3771</v>
      </c>
      <c r="I1634" s="10" t="s">
        <v>3772</v>
      </c>
      <c r="J1634" s="11" t="s">
        <v>26</v>
      </c>
      <c r="K1634" s="18">
        <f>536*0.7</f>
        <v>375.2</v>
      </c>
      <c r="L1634" s="12">
        <f t="shared" si="151"/>
        <v>536</v>
      </c>
      <c r="M1634" s="8">
        <v>1</v>
      </c>
      <c r="N1634" s="8" t="s">
        <v>27</v>
      </c>
      <c r="O1634" s="13"/>
      <c r="P1634" s="14">
        <v>0</v>
      </c>
      <c r="Q1634" s="15">
        <v>0.3</v>
      </c>
      <c r="R1634" s="16" t="str">
        <f t="shared" si="146"/>
        <v>JBL</v>
      </c>
      <c r="S1634" s="17"/>
      <c r="T1634" s="10" t="str">
        <f t="shared" si="150"/>
        <v>-PROG_-BLANCO</v>
      </c>
    </row>
    <row r="1635" spans="1:20" ht="27" customHeight="1" x14ac:dyDescent="0.25">
      <c r="A1635" s="8" t="s">
        <v>3749</v>
      </c>
      <c r="B1635" s="9"/>
      <c r="C1635" s="9"/>
      <c r="D1635" s="8" t="s">
        <v>45</v>
      </c>
      <c r="E1635" s="8"/>
      <c r="F1635" s="8" t="s">
        <v>22</v>
      </c>
      <c r="G1635" s="10" t="str">
        <f>B1635&amp;"-"&amp;D1635&amp;"-"&amp;E1635&amp;F1635</f>
        <v>-PROG_-BLANCO</v>
      </c>
      <c r="H1635" s="8" t="s">
        <v>3773</v>
      </c>
      <c r="I1635" s="10" t="s">
        <v>3774</v>
      </c>
      <c r="J1635" s="11" t="s">
        <v>26</v>
      </c>
      <c r="K1635" s="18">
        <f>145*0.7</f>
        <v>101.5</v>
      </c>
      <c r="L1635" s="12">
        <f t="shared" si="151"/>
        <v>145</v>
      </c>
      <c r="M1635" s="8">
        <v>1</v>
      </c>
      <c r="N1635" s="8" t="s">
        <v>27</v>
      </c>
      <c r="O1635" s="13"/>
      <c r="P1635" s="14">
        <v>0</v>
      </c>
      <c r="Q1635" s="15">
        <v>0.3</v>
      </c>
      <c r="R1635" s="16" t="str">
        <f t="shared" si="146"/>
        <v>JBL</v>
      </c>
      <c r="S1635" s="17"/>
      <c r="T1635" s="10" t="str">
        <f t="shared" si="150"/>
        <v>-PROG_-BLANCO</v>
      </c>
    </row>
    <row r="1636" spans="1:20" ht="27" customHeight="1" x14ac:dyDescent="0.25">
      <c r="A1636" s="8" t="s">
        <v>3749</v>
      </c>
      <c r="B1636" s="9"/>
      <c r="C1636" s="9"/>
      <c r="D1636" s="8"/>
      <c r="E1636" s="8"/>
      <c r="F1636" s="8"/>
      <c r="G1636" s="10"/>
      <c r="H1636" s="8" t="s">
        <v>3775</v>
      </c>
      <c r="I1636" s="10" t="s">
        <v>3776</v>
      </c>
      <c r="J1636" s="11" t="s">
        <v>26</v>
      </c>
      <c r="K1636" s="18">
        <v>325</v>
      </c>
      <c r="L1636" s="12">
        <f t="shared" si="151"/>
        <v>464.28571428571433</v>
      </c>
      <c r="M1636" s="8">
        <v>1</v>
      </c>
      <c r="N1636" s="8" t="s">
        <v>27</v>
      </c>
      <c r="O1636" s="13"/>
      <c r="P1636" s="14">
        <v>0</v>
      </c>
      <c r="Q1636" s="15">
        <v>0.3</v>
      </c>
      <c r="R1636" s="16" t="str">
        <f t="shared" si="146"/>
        <v>JBL</v>
      </c>
      <c r="S1636" s="17"/>
      <c r="T1636" s="10"/>
    </row>
    <row r="1637" spans="1:20" ht="27" customHeight="1" x14ac:dyDescent="0.25">
      <c r="A1637" s="8" t="s">
        <v>3749</v>
      </c>
      <c r="B1637" s="9"/>
      <c r="C1637" s="9"/>
      <c r="D1637" s="8"/>
      <c r="E1637" s="8"/>
      <c r="F1637" s="8"/>
      <c r="G1637" s="10"/>
      <c r="H1637" s="8" t="s">
        <v>3777</v>
      </c>
      <c r="I1637" s="10" t="s">
        <v>3778</v>
      </c>
      <c r="J1637" s="11" t="s">
        <v>26</v>
      </c>
      <c r="K1637" s="18">
        <v>65</v>
      </c>
      <c r="L1637" s="12">
        <f t="shared" ref="L1637:L1647" si="152">IF(J1637="P",ROUNDUP(K1637/(1-Q1637),-2),K1637*(1+P1637)/(1-Q1637))</f>
        <v>130</v>
      </c>
      <c r="M1637" s="8">
        <v>1</v>
      </c>
      <c r="N1637" s="8" t="s">
        <v>110</v>
      </c>
      <c r="O1637" s="13"/>
      <c r="P1637" s="14">
        <v>0.2</v>
      </c>
      <c r="Q1637" s="15">
        <v>0.4</v>
      </c>
      <c r="R1637" s="16" t="str">
        <f t="shared" si="146"/>
        <v>JBL</v>
      </c>
      <c r="S1637" s="17"/>
      <c r="T1637" s="10"/>
    </row>
    <row r="1638" spans="1:20" ht="27" customHeight="1" x14ac:dyDescent="0.25">
      <c r="A1638" s="8" t="s">
        <v>3749</v>
      </c>
      <c r="B1638" s="9"/>
      <c r="C1638" s="9"/>
      <c r="D1638" s="8"/>
      <c r="E1638" s="8"/>
      <c r="F1638" s="8"/>
      <c r="G1638" s="10"/>
      <c r="H1638" s="8" t="s">
        <v>3779</v>
      </c>
      <c r="I1638" s="10" t="s">
        <v>3780</v>
      </c>
      <c r="J1638" s="11" t="s">
        <v>33</v>
      </c>
      <c r="K1638" s="18">
        <v>698000</v>
      </c>
      <c r="L1638" s="12">
        <f t="shared" si="152"/>
        <v>1163400</v>
      </c>
      <c r="M1638" s="8">
        <v>1</v>
      </c>
      <c r="N1638" s="8" t="s">
        <v>110</v>
      </c>
      <c r="O1638" s="13"/>
      <c r="P1638" s="14">
        <v>0</v>
      </c>
      <c r="Q1638" s="15">
        <v>0.4</v>
      </c>
      <c r="R1638" s="16" t="str">
        <f t="shared" si="146"/>
        <v>JBL</v>
      </c>
      <c r="S1638" s="17"/>
      <c r="T1638" s="10"/>
    </row>
    <row r="1639" spans="1:20" ht="27" customHeight="1" x14ac:dyDescent="0.25">
      <c r="A1639" s="8" t="s">
        <v>3749</v>
      </c>
      <c r="B1639" s="9"/>
      <c r="C1639" s="9"/>
      <c r="D1639" s="8"/>
      <c r="E1639" s="8"/>
      <c r="F1639" s="8"/>
      <c r="G1639" s="10"/>
      <c r="H1639" s="8" t="s">
        <v>3781</v>
      </c>
      <c r="I1639" s="10" t="s">
        <v>3782</v>
      </c>
      <c r="J1639" s="11" t="s">
        <v>26</v>
      </c>
      <c r="K1639" s="18">
        <v>194</v>
      </c>
      <c r="L1639" s="12">
        <f t="shared" si="152"/>
        <v>277.14285714285717</v>
      </c>
      <c r="M1639" s="8">
        <v>1</v>
      </c>
      <c r="N1639" s="8" t="s">
        <v>27</v>
      </c>
      <c r="O1639" s="13"/>
      <c r="P1639" s="14">
        <v>0</v>
      </c>
      <c r="Q1639" s="15">
        <v>0.3</v>
      </c>
      <c r="R1639" s="16" t="str">
        <f t="shared" si="146"/>
        <v>JBL</v>
      </c>
      <c r="S1639" s="17"/>
      <c r="T1639" s="10"/>
    </row>
    <row r="1640" spans="1:20" ht="27" customHeight="1" x14ac:dyDescent="0.25">
      <c r="A1640" s="8" t="s">
        <v>3749</v>
      </c>
      <c r="B1640" s="9"/>
      <c r="C1640" s="9"/>
      <c r="D1640" s="8"/>
      <c r="E1640" s="8"/>
      <c r="F1640" s="8"/>
      <c r="G1640" s="10"/>
      <c r="H1640" s="8" t="s">
        <v>3783</v>
      </c>
      <c r="I1640" s="10" t="s">
        <v>3784</v>
      </c>
      <c r="J1640" s="11" t="s">
        <v>33</v>
      </c>
      <c r="K1640" s="18">
        <v>1934625</v>
      </c>
      <c r="L1640" s="12">
        <f t="shared" si="152"/>
        <v>2763800</v>
      </c>
      <c r="M1640" s="8">
        <v>1</v>
      </c>
      <c r="N1640" s="8" t="s">
        <v>27</v>
      </c>
      <c r="O1640" s="13"/>
      <c r="P1640" s="14">
        <v>0</v>
      </c>
      <c r="Q1640" s="15">
        <v>0.3</v>
      </c>
      <c r="R1640" s="16" t="str">
        <f t="shared" si="146"/>
        <v>JBL</v>
      </c>
      <c r="S1640" s="17"/>
      <c r="T1640" s="10"/>
    </row>
    <row r="1641" spans="1:20" ht="27" customHeight="1" x14ac:dyDescent="0.25">
      <c r="A1641" s="8" t="s">
        <v>3749</v>
      </c>
      <c r="B1641" s="9"/>
      <c r="C1641" s="9"/>
      <c r="D1641" s="8"/>
      <c r="E1641" s="8"/>
      <c r="F1641" s="8"/>
      <c r="G1641" s="10"/>
      <c r="H1641" s="8" t="s">
        <v>3785</v>
      </c>
      <c r="I1641" s="10" t="s">
        <v>3786</v>
      </c>
      <c r="J1641" s="11" t="s">
        <v>33</v>
      </c>
      <c r="K1641" s="18">
        <v>630000</v>
      </c>
      <c r="L1641" s="12">
        <f t="shared" si="152"/>
        <v>900000</v>
      </c>
      <c r="M1641" s="8">
        <v>1</v>
      </c>
      <c r="N1641" s="8" t="s">
        <v>27</v>
      </c>
      <c r="O1641" s="13"/>
      <c r="P1641" s="14">
        <v>0</v>
      </c>
      <c r="Q1641" s="15">
        <v>0.3</v>
      </c>
      <c r="R1641" s="16" t="str">
        <f t="shared" si="146"/>
        <v>JBL</v>
      </c>
      <c r="S1641" s="17"/>
      <c r="T1641" s="10"/>
    </row>
    <row r="1642" spans="1:20" ht="27" customHeight="1" x14ac:dyDescent="0.25">
      <c r="A1642" s="8" t="s">
        <v>3787</v>
      </c>
      <c r="B1642" s="9"/>
      <c r="C1642" s="9"/>
      <c r="D1642" s="8"/>
      <c r="E1642" s="8"/>
      <c r="F1642" s="8" t="s">
        <v>22</v>
      </c>
      <c r="G1642" s="10" t="s">
        <v>3788</v>
      </c>
      <c r="H1642" s="8" t="s">
        <v>3789</v>
      </c>
      <c r="I1642" s="10" t="s">
        <v>3788</v>
      </c>
      <c r="J1642" s="11" t="s">
        <v>33</v>
      </c>
      <c r="K1642" s="18">
        <v>38000</v>
      </c>
      <c r="L1642" s="12">
        <f t="shared" si="152"/>
        <v>63400</v>
      </c>
      <c r="M1642" s="8">
        <v>1</v>
      </c>
      <c r="N1642" s="8" t="s">
        <v>27</v>
      </c>
      <c r="O1642" s="13"/>
      <c r="P1642" s="14">
        <v>0.2</v>
      </c>
      <c r="Q1642" s="15">
        <v>0.4</v>
      </c>
      <c r="R1642" s="16" t="str">
        <f t="shared" si="146"/>
        <v>JD</v>
      </c>
      <c r="S1642" s="17"/>
      <c r="T1642" s="10" t="str">
        <f>G1642</f>
        <v>SOPORTE UNIVERSAL FIJO PARA VIDEO BEAM</v>
      </c>
    </row>
    <row r="1643" spans="1:20" ht="27" customHeight="1" x14ac:dyDescent="0.25">
      <c r="A1643" s="8" t="s">
        <v>3790</v>
      </c>
      <c r="B1643" s="9"/>
      <c r="C1643" s="9"/>
      <c r="D1643" s="8"/>
      <c r="E1643" s="8"/>
      <c r="F1643" s="8"/>
      <c r="G1643" s="10"/>
      <c r="H1643" s="8" t="s">
        <v>3791</v>
      </c>
      <c r="I1643" s="10" t="s">
        <v>3792</v>
      </c>
      <c r="J1643" s="11" t="s">
        <v>33</v>
      </c>
      <c r="K1643" s="18">
        <v>32000</v>
      </c>
      <c r="L1643" s="12">
        <f t="shared" si="152"/>
        <v>45800</v>
      </c>
      <c r="M1643" s="8">
        <v>1</v>
      </c>
      <c r="N1643" s="8" t="s">
        <v>27</v>
      </c>
      <c r="O1643" s="13">
        <f>F1643</f>
        <v>0</v>
      </c>
      <c r="P1643" s="14">
        <v>0</v>
      </c>
      <c r="Q1643" s="15">
        <v>0.3</v>
      </c>
      <c r="R1643" s="16" t="str">
        <f t="shared" si="146"/>
        <v>JFL</v>
      </c>
      <c r="S1643" s="17"/>
      <c r="T1643" s="10"/>
    </row>
    <row r="1644" spans="1:20" ht="27" customHeight="1" x14ac:dyDescent="0.25">
      <c r="A1644" s="8" t="s">
        <v>3790</v>
      </c>
      <c r="B1644" s="9"/>
      <c r="C1644" s="9"/>
      <c r="D1644" s="8"/>
      <c r="E1644" s="8"/>
      <c r="F1644" s="8"/>
      <c r="G1644" s="10"/>
      <c r="H1644" s="8" t="s">
        <v>3793</v>
      </c>
      <c r="I1644" s="10" t="s">
        <v>3794</v>
      </c>
      <c r="J1644" s="11" t="s">
        <v>33</v>
      </c>
      <c r="K1644" s="18">
        <v>8000</v>
      </c>
      <c r="L1644" s="12">
        <f t="shared" si="152"/>
        <v>53400</v>
      </c>
      <c r="M1644" s="8">
        <v>1</v>
      </c>
      <c r="N1644" s="8" t="s">
        <v>27</v>
      </c>
      <c r="O1644" s="13">
        <f>F1644</f>
        <v>0</v>
      </c>
      <c r="P1644" s="14">
        <v>0</v>
      </c>
      <c r="Q1644" s="15">
        <v>0.85</v>
      </c>
      <c r="R1644" s="16" t="str">
        <f t="shared" si="146"/>
        <v>JFL</v>
      </c>
      <c r="S1644" s="17"/>
      <c r="T1644" s="10"/>
    </row>
    <row r="1645" spans="1:20" ht="27" customHeight="1" x14ac:dyDescent="0.25">
      <c r="A1645" s="8" t="s">
        <v>3795</v>
      </c>
      <c r="B1645" s="9"/>
      <c r="C1645" s="9"/>
      <c r="D1645" s="8"/>
      <c r="E1645" s="8"/>
      <c r="F1645" s="8" t="s">
        <v>22</v>
      </c>
      <c r="G1645" s="10" t="s">
        <v>3796</v>
      </c>
      <c r="H1645" s="8" t="s">
        <v>3797</v>
      </c>
      <c r="I1645" s="10" t="s">
        <v>3796</v>
      </c>
      <c r="J1645" s="11" t="s">
        <v>26</v>
      </c>
      <c r="K1645" s="18">
        <v>13</v>
      </c>
      <c r="L1645" s="12">
        <f t="shared" si="152"/>
        <v>26</v>
      </c>
      <c r="M1645" s="8">
        <v>1</v>
      </c>
      <c r="N1645" s="8" t="s">
        <v>27</v>
      </c>
      <c r="O1645" s="13"/>
      <c r="P1645" s="14">
        <v>0.2</v>
      </c>
      <c r="Q1645" s="15">
        <v>0.4</v>
      </c>
      <c r="R1645" s="16" t="str">
        <f t="shared" si="146"/>
        <v>JIDETECH</v>
      </c>
      <c r="S1645" s="17"/>
      <c r="T1645" s="10" t="str">
        <f>G1645</f>
        <v>SPLITTER VGA DE DOS SALIDAS</v>
      </c>
    </row>
    <row r="1646" spans="1:20" ht="27" customHeight="1" x14ac:dyDescent="0.25">
      <c r="A1646" s="8" t="s">
        <v>3798</v>
      </c>
      <c r="B1646" s="9"/>
      <c r="C1646" s="9"/>
      <c r="D1646" s="8" t="s">
        <v>45</v>
      </c>
      <c r="E1646" s="8"/>
      <c r="F1646" s="8" t="s">
        <v>22</v>
      </c>
      <c r="G1646" s="10" t="s">
        <v>3799</v>
      </c>
      <c r="H1646" s="8" t="s">
        <v>3800</v>
      </c>
      <c r="I1646" s="10" t="s">
        <v>3799</v>
      </c>
      <c r="J1646" s="11" t="s">
        <v>26</v>
      </c>
      <c r="K1646" s="18">
        <v>1900</v>
      </c>
      <c r="L1646" s="12">
        <f t="shared" si="152"/>
        <v>3257.1428571428573</v>
      </c>
      <c r="M1646" s="8">
        <v>1</v>
      </c>
      <c r="N1646" s="8" t="s">
        <v>27</v>
      </c>
      <c r="O1646" s="13"/>
      <c r="P1646" s="14">
        <v>0.2</v>
      </c>
      <c r="Q1646" s="15">
        <v>0.3</v>
      </c>
      <c r="R1646" s="16" t="str">
        <f t="shared" si="146"/>
        <v>JTECH</v>
      </c>
      <c r="S1646" s="17" t="s">
        <v>3801</v>
      </c>
      <c r="T1646" s="10" t="str">
        <f>G1646</f>
        <v>MATRIZ 8x8 HDBASE T, HDMI, SIN COMPRESIÓN DE VIDEO.</v>
      </c>
    </row>
    <row r="1647" spans="1:20" ht="27" customHeight="1" x14ac:dyDescent="0.25">
      <c r="A1647" s="8" t="s">
        <v>3802</v>
      </c>
      <c r="B1647" s="9" t="s">
        <v>3802</v>
      </c>
      <c r="C1647" s="9"/>
      <c r="D1647" s="8" t="s">
        <v>2470</v>
      </c>
      <c r="E1647" s="8">
        <v>1</v>
      </c>
      <c r="F1647" s="8" t="s">
        <v>22</v>
      </c>
      <c r="G1647" s="10" t="s">
        <v>3803</v>
      </c>
      <c r="H1647" s="8" t="s">
        <v>3804</v>
      </c>
      <c r="I1647" s="10" t="s">
        <v>3805</v>
      </c>
      <c r="J1647" s="11" t="s">
        <v>26</v>
      </c>
      <c r="K1647" s="18">
        <v>3495</v>
      </c>
      <c r="L1647" s="12">
        <f t="shared" si="152"/>
        <v>4934.1176470588234</v>
      </c>
      <c r="M1647" s="8">
        <v>2</v>
      </c>
      <c r="N1647" s="8" t="s">
        <v>27</v>
      </c>
      <c r="O1647" s="13"/>
      <c r="P1647" s="14">
        <v>0.2</v>
      </c>
      <c r="Q1647" s="15">
        <v>0.15</v>
      </c>
      <c r="R1647" s="16" t="str">
        <f t="shared" si="146"/>
        <v>JVC</v>
      </c>
      <c r="S1647" s="17"/>
      <c r="T1647" s="10" t="str">
        <f>G1647</f>
        <v>PROYECTOR DE LA SERIE REFERENCE D-ILA. JVC. CONTRASTE 60.000:1. 4K READY.</v>
      </c>
    </row>
    <row r="1648" spans="1:20" ht="27" customHeight="1" x14ac:dyDescent="0.25">
      <c r="A1648" s="8" t="s">
        <v>3802</v>
      </c>
      <c r="B1648" s="9"/>
      <c r="C1648" s="9"/>
      <c r="D1648" s="8" t="s">
        <v>45</v>
      </c>
      <c r="E1648" s="8"/>
      <c r="F1648" s="8" t="s">
        <v>22</v>
      </c>
      <c r="G1648" s="10" t="s">
        <v>3806</v>
      </c>
      <c r="H1648" s="8" t="s">
        <v>3807</v>
      </c>
      <c r="I1648" s="10" t="s">
        <v>3806</v>
      </c>
      <c r="J1648" s="11" t="s">
        <v>26</v>
      </c>
      <c r="K1648" s="18">
        <v>2677</v>
      </c>
      <c r="L1648" s="12">
        <f>ROUNDUP(K1648*(1+P1648)/(1-Q1648),0)</f>
        <v>4016</v>
      </c>
      <c r="M1648" s="8">
        <v>1</v>
      </c>
      <c r="N1648" s="8" t="s">
        <v>27</v>
      </c>
      <c r="O1648" s="13"/>
      <c r="P1648" s="14">
        <v>0.2</v>
      </c>
      <c r="Q1648" s="15">
        <v>0.2</v>
      </c>
      <c r="R1648" s="16" t="str">
        <f t="shared" si="146"/>
        <v>JVC</v>
      </c>
      <c r="S1648" s="17"/>
      <c r="T1648" s="10" t="str">
        <f>G1648</f>
        <v>PROYECTOR DILA DE 3000 LUMENS 4K</v>
      </c>
    </row>
    <row r="1649" spans="1:20" ht="27" customHeight="1" x14ac:dyDescent="0.25">
      <c r="A1649" s="8" t="s">
        <v>3802</v>
      </c>
      <c r="B1649" s="9"/>
      <c r="C1649" s="9"/>
      <c r="D1649" s="8"/>
      <c r="E1649" s="8"/>
      <c r="F1649" s="8"/>
      <c r="G1649" s="10"/>
      <c r="H1649" s="8" t="s">
        <v>3807</v>
      </c>
      <c r="I1649" s="10" t="s">
        <v>3808</v>
      </c>
      <c r="J1649" s="11" t="s">
        <v>26</v>
      </c>
      <c r="K1649" s="18">
        <v>2677</v>
      </c>
      <c r="L1649" s="12">
        <f>IF(J1649="P",ROUNDUP(K1649/(1-Q1649),-2),K1649*(1+P1649)/(1-Q1649))</f>
        <v>4015.5</v>
      </c>
      <c r="M1649" s="8">
        <v>1</v>
      </c>
      <c r="N1649" s="8" t="s">
        <v>27</v>
      </c>
      <c r="O1649" s="13"/>
      <c r="P1649" s="14">
        <v>0.2</v>
      </c>
      <c r="Q1649" s="15">
        <v>0.2</v>
      </c>
      <c r="R1649" s="16" t="str">
        <f t="shared" si="146"/>
        <v>JVC</v>
      </c>
      <c r="S1649" s="17"/>
      <c r="T1649" s="10"/>
    </row>
    <row r="1650" spans="1:20" ht="27" customHeight="1" x14ac:dyDescent="0.25">
      <c r="A1650" s="8" t="s">
        <v>3802</v>
      </c>
      <c r="B1650" s="9"/>
      <c r="C1650" s="9"/>
      <c r="D1650" s="8"/>
      <c r="E1650" s="8"/>
      <c r="F1650" s="8"/>
      <c r="G1650" s="10"/>
      <c r="H1650" s="8" t="s">
        <v>3809</v>
      </c>
      <c r="I1650" s="10" t="s">
        <v>3810</v>
      </c>
      <c r="J1650" s="11" t="s">
        <v>26</v>
      </c>
      <c r="K1650" s="18">
        <v>2677</v>
      </c>
      <c r="L1650" s="12">
        <f>ROUNDUP(K1650*(1+P1650)/(1-Q1650),0)</f>
        <v>3780</v>
      </c>
      <c r="M1650" s="8">
        <v>1</v>
      </c>
      <c r="N1650" s="8" t="s">
        <v>27</v>
      </c>
      <c r="O1650" s="13"/>
      <c r="P1650" s="14">
        <v>0.2</v>
      </c>
      <c r="Q1650" s="15">
        <v>0.15</v>
      </c>
      <c r="R1650" s="16" t="str">
        <f t="shared" si="146"/>
        <v>JVC</v>
      </c>
      <c r="S1650" s="17"/>
      <c r="T1650" s="10"/>
    </row>
    <row r="1651" spans="1:20" ht="27" customHeight="1" x14ac:dyDescent="0.25">
      <c r="A1651" s="8" t="s">
        <v>3811</v>
      </c>
      <c r="B1651" s="9"/>
      <c r="C1651" s="9"/>
      <c r="D1651" s="8"/>
      <c r="E1651" s="8"/>
      <c r="F1651" s="8"/>
      <c r="G1651" s="10"/>
      <c r="H1651" s="8" t="s">
        <v>3811</v>
      </c>
      <c r="I1651" s="10" t="s">
        <v>3812</v>
      </c>
      <c r="J1651" s="11" t="s">
        <v>33</v>
      </c>
      <c r="K1651" s="18">
        <v>500000</v>
      </c>
      <c r="L1651" s="12">
        <f>IF(J1651="P",ROUNDUP(K1651/(1-Q1651),-2),K1651*(1+P1651)/(1-Q1651))</f>
        <v>833400</v>
      </c>
      <c r="M1651" s="8">
        <v>1</v>
      </c>
      <c r="N1651" s="8" t="s">
        <v>27</v>
      </c>
      <c r="O1651" s="13"/>
      <c r="P1651" s="14">
        <v>0</v>
      </c>
      <c r="Q1651" s="15">
        <v>0.4</v>
      </c>
      <c r="R1651" s="16" t="str">
        <f t="shared" si="146"/>
        <v>K_IMPLE</v>
      </c>
      <c r="S1651" s="17"/>
      <c r="T1651" s="10"/>
    </row>
    <row r="1652" spans="1:20" ht="27" customHeight="1" x14ac:dyDescent="0.25">
      <c r="A1652" s="8" t="s">
        <v>3813</v>
      </c>
      <c r="B1652" s="9" t="s">
        <v>3814</v>
      </c>
      <c r="C1652" s="9"/>
      <c r="D1652" s="8" t="s">
        <v>1216</v>
      </c>
      <c r="E1652" s="8">
        <v>1</v>
      </c>
      <c r="F1652" s="8" t="s">
        <v>22</v>
      </c>
      <c r="G1652" s="10" t="s">
        <v>3815</v>
      </c>
      <c r="H1652" s="8" t="s">
        <v>3816</v>
      </c>
      <c r="I1652" s="10" t="s">
        <v>1219</v>
      </c>
      <c r="J1652" s="11" t="s">
        <v>33</v>
      </c>
      <c r="K1652" s="18" t="e">
        <f>#REF!*0.8</f>
        <v>#REF!</v>
      </c>
      <c r="L1652" s="12" t="e">
        <f>IF(J1652="P",ROUNDUP(K1652/(1-Q1652),-2),K1652*(1+P1652)/(1-Q1652))</f>
        <v>#REF!</v>
      </c>
      <c r="M1652" s="8">
        <v>1</v>
      </c>
      <c r="N1652" s="8" t="s">
        <v>27</v>
      </c>
      <c r="O1652" s="13"/>
      <c r="P1652" s="14">
        <v>0.2</v>
      </c>
      <c r="Q1652" s="15">
        <v>0.2</v>
      </c>
      <c r="R1652" s="16" t="str">
        <f t="shared" si="146"/>
        <v>KALLEY</v>
      </c>
      <c r="S1652" s="17"/>
      <c r="T1652" s="10" t="str">
        <f>G1652</f>
        <v>MONITOR LED DE 20", RESOLUCIÓN:1366 X 768, ENTRADAS: 2 HDMI.</v>
      </c>
    </row>
    <row r="1653" spans="1:20" ht="27" customHeight="1" x14ac:dyDescent="0.25">
      <c r="A1653" s="8" t="s">
        <v>3817</v>
      </c>
      <c r="B1653" s="9"/>
      <c r="C1653" s="9"/>
      <c r="D1653" s="8"/>
      <c r="E1653" s="8"/>
      <c r="F1653" s="8"/>
      <c r="G1653" s="10"/>
      <c r="H1653" s="8" t="s">
        <v>3818</v>
      </c>
      <c r="I1653" s="10" t="s">
        <v>3819</v>
      </c>
      <c r="J1653" s="11" t="s">
        <v>33</v>
      </c>
      <c r="K1653" s="18">
        <v>595000</v>
      </c>
      <c r="L1653" s="12">
        <f>ROUNDUP(K1653*(1+P1653)/(1-Q1653),0)</f>
        <v>850000</v>
      </c>
      <c r="M1653" s="8">
        <v>1</v>
      </c>
      <c r="N1653" s="8" t="s">
        <v>27</v>
      </c>
      <c r="O1653" s="13"/>
      <c r="P1653" s="14">
        <v>0</v>
      </c>
      <c r="Q1653" s="15">
        <v>0.3</v>
      </c>
      <c r="R1653" s="16" t="str">
        <f t="shared" si="146"/>
        <v>KASSANI</v>
      </c>
      <c r="S1653" s="17"/>
      <c r="T1653" s="10"/>
    </row>
    <row r="1654" spans="1:20" ht="27" customHeight="1" x14ac:dyDescent="0.25">
      <c r="A1654" s="8" t="s">
        <v>3817</v>
      </c>
      <c r="B1654" s="9"/>
      <c r="C1654" s="9"/>
      <c r="D1654" s="8"/>
      <c r="E1654" s="8"/>
      <c r="F1654" s="8"/>
      <c r="G1654" s="10"/>
      <c r="H1654" s="8" t="s">
        <v>3820</v>
      </c>
      <c r="I1654" s="10" t="s">
        <v>3819</v>
      </c>
      <c r="J1654" s="11" t="s">
        <v>33</v>
      </c>
      <c r="K1654" s="18">
        <v>835000</v>
      </c>
      <c r="L1654" s="12">
        <f>ROUNDUP(K1654*(1+P1654)/(1-Q1654),0)</f>
        <v>1192858</v>
      </c>
      <c r="M1654" s="8">
        <v>1</v>
      </c>
      <c r="N1654" s="8" t="s">
        <v>27</v>
      </c>
      <c r="O1654" s="13"/>
      <c r="P1654" s="14">
        <v>0</v>
      </c>
      <c r="Q1654" s="15">
        <v>0.3</v>
      </c>
      <c r="R1654" s="16" t="str">
        <f t="shared" si="146"/>
        <v>KASSANI</v>
      </c>
      <c r="S1654" s="17"/>
      <c r="T1654" s="10"/>
    </row>
    <row r="1655" spans="1:20" ht="27" customHeight="1" x14ac:dyDescent="0.25">
      <c r="A1655" s="8" t="s">
        <v>3821</v>
      </c>
      <c r="B1655" s="9" t="s">
        <v>3821</v>
      </c>
      <c r="C1655" s="9"/>
      <c r="D1655" s="8" t="s">
        <v>548</v>
      </c>
      <c r="E1655" s="8">
        <v>1</v>
      </c>
      <c r="F1655" s="8" t="s">
        <v>22</v>
      </c>
      <c r="G1655" s="10" t="s">
        <v>3822</v>
      </c>
      <c r="H1655" s="8" t="s">
        <v>3823</v>
      </c>
      <c r="I1655" s="10" t="s">
        <v>3824</v>
      </c>
      <c r="J1655" s="11" t="s">
        <v>26</v>
      </c>
      <c r="K1655" s="18">
        <v>97</v>
      </c>
      <c r="L1655" s="12">
        <f t="shared" ref="L1655:L1673" si="153">IF(J1655="P",ROUNDUP(K1655/(1-Q1655),-2),K1655*(1+P1655)/(1-Q1655))</f>
        <v>166.28571428571428</v>
      </c>
      <c r="M1655" s="8">
        <v>3</v>
      </c>
      <c r="N1655" s="8" t="s">
        <v>27</v>
      </c>
      <c r="O1655" s="13"/>
      <c r="P1655" s="14">
        <v>0.2</v>
      </c>
      <c r="Q1655" s="15">
        <v>0.3</v>
      </c>
      <c r="R1655" s="16" t="str">
        <f t="shared" si="146"/>
        <v>KEF</v>
      </c>
      <c r="S1655" s="17"/>
      <c r="T1655" s="10" t="str">
        <f t="shared" ref="T1655:T1680" si="154">G1655</f>
        <v>ALTAVOZ CUADRADO CON DRIVER DE 160mm, MANEJO DE POTENCIA 10 - 100W.</v>
      </c>
    </row>
    <row r="1656" spans="1:20" ht="27" customHeight="1" x14ac:dyDescent="0.25">
      <c r="A1656" s="8" t="s">
        <v>3821</v>
      </c>
      <c r="B1656" s="9" t="s">
        <v>3821</v>
      </c>
      <c r="C1656" s="9"/>
      <c r="D1656" s="8" t="s">
        <v>548</v>
      </c>
      <c r="E1656" s="8">
        <v>2</v>
      </c>
      <c r="F1656" s="8" t="s">
        <v>22</v>
      </c>
      <c r="G1656" s="10" t="s">
        <v>3825</v>
      </c>
      <c r="H1656" s="8" t="s">
        <v>3826</v>
      </c>
      <c r="I1656" s="10" t="s">
        <v>3827</v>
      </c>
      <c r="J1656" s="11" t="s">
        <v>26</v>
      </c>
      <c r="K1656" s="18">
        <v>136</v>
      </c>
      <c r="L1656" s="12">
        <f t="shared" si="153"/>
        <v>233.14285714285714</v>
      </c>
      <c r="M1656" s="8">
        <v>3</v>
      </c>
      <c r="N1656" s="8" t="s">
        <v>27</v>
      </c>
      <c r="O1656" s="13"/>
      <c r="P1656" s="14">
        <v>0.2</v>
      </c>
      <c r="Q1656" s="15">
        <v>0.3</v>
      </c>
      <c r="R1656" s="16" t="str">
        <f t="shared" si="146"/>
        <v>KEF</v>
      </c>
      <c r="S1656" s="17"/>
      <c r="T1656" s="10" t="str">
        <f t="shared" si="154"/>
        <v>ALTAVOZ CUADRADO CON DRIVER DE 130mm, MANEJO DE POTENCIA 10 - 100W.</v>
      </c>
    </row>
    <row r="1657" spans="1:20" ht="27" customHeight="1" x14ac:dyDescent="0.25">
      <c r="A1657" s="8" t="s">
        <v>3821</v>
      </c>
      <c r="B1657" s="9" t="s">
        <v>3821</v>
      </c>
      <c r="C1657" s="9"/>
      <c r="D1657" s="8" t="s">
        <v>548</v>
      </c>
      <c r="E1657" s="8">
        <v>3</v>
      </c>
      <c r="F1657" s="8" t="s">
        <v>22</v>
      </c>
      <c r="G1657" s="10" t="s">
        <v>3825</v>
      </c>
      <c r="H1657" s="8" t="s">
        <v>3828</v>
      </c>
      <c r="I1657" s="10" t="s">
        <v>3829</v>
      </c>
      <c r="J1657" s="11" t="s">
        <v>26</v>
      </c>
      <c r="K1657" s="18">
        <v>230</v>
      </c>
      <c r="L1657" s="12">
        <f t="shared" si="153"/>
        <v>424.61538461538458</v>
      </c>
      <c r="M1657" s="8">
        <v>3</v>
      </c>
      <c r="N1657" s="8" t="s">
        <v>27</v>
      </c>
      <c r="O1657" s="13"/>
      <c r="P1657" s="14">
        <v>0.2</v>
      </c>
      <c r="Q1657" s="15">
        <v>0.35</v>
      </c>
      <c r="R1657" s="16" t="str">
        <f t="shared" si="146"/>
        <v>KEF</v>
      </c>
      <c r="S1657" s="17"/>
      <c r="T1657" s="10" t="str">
        <f t="shared" si="154"/>
        <v>ALTAVOZ CUADRADO CON DRIVER DE 130mm, MANEJO DE POTENCIA 10 - 100W.</v>
      </c>
    </row>
    <row r="1658" spans="1:20" ht="27" customHeight="1" x14ac:dyDescent="0.25">
      <c r="A1658" s="8" t="s">
        <v>3821</v>
      </c>
      <c r="B1658" s="9" t="s">
        <v>3821</v>
      </c>
      <c r="C1658" s="9"/>
      <c r="D1658" s="8" t="s">
        <v>548</v>
      </c>
      <c r="E1658" s="8">
        <v>4</v>
      </c>
      <c r="F1658" s="8" t="s">
        <v>22</v>
      </c>
      <c r="G1658" s="10" t="s">
        <v>3830</v>
      </c>
      <c r="H1658" s="8" t="s">
        <v>3831</v>
      </c>
      <c r="I1658" s="10" t="s">
        <v>3830</v>
      </c>
      <c r="J1658" s="11" t="s">
        <v>26</v>
      </c>
      <c r="K1658" s="18">
        <f>292/2</f>
        <v>146</v>
      </c>
      <c r="L1658" s="12">
        <f t="shared" si="153"/>
        <v>292</v>
      </c>
      <c r="M1658" s="8">
        <v>3</v>
      </c>
      <c r="N1658" s="8" t="s">
        <v>27</v>
      </c>
      <c r="O1658" s="13"/>
      <c r="P1658" s="14">
        <v>0.2</v>
      </c>
      <c r="Q1658" s="15">
        <v>0.4</v>
      </c>
      <c r="R1658" s="16" t="str">
        <f t="shared" si="146"/>
        <v>KEF</v>
      </c>
      <c r="S1658" s="17"/>
      <c r="T1658" s="10" t="str">
        <f t="shared" si="154"/>
        <v>ALTAVOCES HIGH END QUALITY DE LA SERIE Q DE KEF.</v>
      </c>
    </row>
    <row r="1659" spans="1:20" ht="27" customHeight="1" x14ac:dyDescent="0.25">
      <c r="A1659" s="8" t="s">
        <v>3821</v>
      </c>
      <c r="B1659" s="9" t="s">
        <v>3821</v>
      </c>
      <c r="C1659" s="9"/>
      <c r="D1659" s="8" t="s">
        <v>548</v>
      </c>
      <c r="E1659" s="8">
        <v>5</v>
      </c>
      <c r="F1659" s="8" t="s">
        <v>22</v>
      </c>
      <c r="G1659" s="10" t="s">
        <v>3830</v>
      </c>
      <c r="H1659" s="8" t="s">
        <v>3832</v>
      </c>
      <c r="I1659" s="10" t="s">
        <v>3830</v>
      </c>
      <c r="J1659" s="11" t="s">
        <v>26</v>
      </c>
      <c r="K1659" s="18">
        <v>292</v>
      </c>
      <c r="L1659" s="12">
        <f t="shared" si="153"/>
        <v>584</v>
      </c>
      <c r="M1659" s="8">
        <v>3</v>
      </c>
      <c r="N1659" s="8" t="s">
        <v>27</v>
      </c>
      <c r="O1659" s="13"/>
      <c r="P1659" s="14">
        <v>0.2</v>
      </c>
      <c r="Q1659" s="15">
        <v>0.4</v>
      </c>
      <c r="R1659" s="16" t="str">
        <f t="shared" si="146"/>
        <v>KEF</v>
      </c>
      <c r="S1659" s="17"/>
      <c r="T1659" s="10" t="str">
        <f t="shared" si="154"/>
        <v>ALTAVOCES HIGH END QUALITY DE LA SERIE Q DE KEF.</v>
      </c>
    </row>
    <row r="1660" spans="1:20" ht="27" customHeight="1" x14ac:dyDescent="0.25">
      <c r="A1660" s="8" t="s">
        <v>3821</v>
      </c>
      <c r="B1660" s="9" t="s">
        <v>3821</v>
      </c>
      <c r="C1660" s="9"/>
      <c r="D1660" s="8" t="s">
        <v>563</v>
      </c>
      <c r="E1660" s="8">
        <v>1</v>
      </c>
      <c r="F1660" s="8" t="s">
        <v>22</v>
      </c>
      <c r="G1660" s="10" t="s">
        <v>3833</v>
      </c>
      <c r="H1660" s="8" t="s">
        <v>3834</v>
      </c>
      <c r="I1660" s="10" t="s">
        <v>3833</v>
      </c>
      <c r="J1660" s="11" t="s">
        <v>26</v>
      </c>
      <c r="K1660" s="18">
        <v>372</v>
      </c>
      <c r="L1660" s="12">
        <f t="shared" si="153"/>
        <v>744</v>
      </c>
      <c r="M1660" s="8">
        <v>3</v>
      </c>
      <c r="N1660" s="8" t="s">
        <v>27</v>
      </c>
      <c r="O1660" s="13"/>
      <c r="P1660" s="14">
        <v>0.2</v>
      </c>
      <c r="Q1660" s="15">
        <v>0.4</v>
      </c>
      <c r="R1660" s="16" t="str">
        <f t="shared" si="146"/>
        <v>KEF</v>
      </c>
      <c r="S1660" s="17"/>
      <c r="T1660" s="10" t="str">
        <f t="shared" si="154"/>
        <v>SUBWOOFER HIGH END QUALITY DE LA SERIE Q DE KEF.</v>
      </c>
    </row>
    <row r="1661" spans="1:20" ht="27" customHeight="1" x14ac:dyDescent="0.25">
      <c r="A1661" s="8" t="s">
        <v>3821</v>
      </c>
      <c r="B1661" s="9" t="s">
        <v>3821</v>
      </c>
      <c r="C1661" s="9"/>
      <c r="D1661" s="8" t="s">
        <v>563</v>
      </c>
      <c r="E1661" s="8">
        <v>2</v>
      </c>
      <c r="F1661" s="8" t="s">
        <v>22</v>
      </c>
      <c r="G1661" s="10" t="s">
        <v>3835</v>
      </c>
      <c r="H1661" s="8" t="s">
        <v>3836</v>
      </c>
      <c r="I1661" s="10" t="s">
        <v>3837</v>
      </c>
      <c r="J1661" s="11" t="s">
        <v>26</v>
      </c>
      <c r="K1661" s="18">
        <v>292</v>
      </c>
      <c r="L1661" s="12">
        <f t="shared" si="153"/>
        <v>539.07692307692298</v>
      </c>
      <c r="M1661" s="8">
        <v>3</v>
      </c>
      <c r="N1661" s="8" t="s">
        <v>27</v>
      </c>
      <c r="O1661" s="13"/>
      <c r="P1661" s="14">
        <v>0.2</v>
      </c>
      <c r="Q1661" s="15">
        <v>0.35</v>
      </c>
      <c r="R1661" s="16" t="str">
        <f t="shared" si="146"/>
        <v>KEF</v>
      </c>
      <c r="S1661" s="17"/>
      <c r="T1661" s="10" t="str">
        <f t="shared" si="154"/>
        <v>SUBWOOFER CON DRIVER DE 8 PULGADAS, FRECUENCIA 38-150Hz, 14.5 LITROS.</v>
      </c>
    </row>
    <row r="1662" spans="1:20" ht="27" customHeight="1" x14ac:dyDescent="0.25">
      <c r="A1662" s="8" t="s">
        <v>3821</v>
      </c>
      <c r="B1662" s="9" t="s">
        <v>3821</v>
      </c>
      <c r="C1662" s="9"/>
      <c r="D1662" s="8" t="s">
        <v>205</v>
      </c>
      <c r="E1662" s="8">
        <v>1</v>
      </c>
      <c r="F1662" s="8" t="s">
        <v>22</v>
      </c>
      <c r="G1662" s="10" t="s">
        <v>3838</v>
      </c>
      <c r="H1662" s="8" t="s">
        <v>3839</v>
      </c>
      <c r="I1662" s="10" t="s">
        <v>3838</v>
      </c>
      <c r="J1662" s="11" t="s">
        <v>26</v>
      </c>
      <c r="K1662" s="18">
        <v>45</v>
      </c>
      <c r="L1662" s="12">
        <f t="shared" si="153"/>
        <v>77.142857142857153</v>
      </c>
      <c r="M1662" s="8">
        <v>3</v>
      </c>
      <c r="N1662" s="8" t="s">
        <v>27</v>
      </c>
      <c r="O1662" s="13"/>
      <c r="P1662" s="14">
        <v>0.2</v>
      </c>
      <c r="Q1662" s="15">
        <v>0.3</v>
      </c>
      <c r="R1662" s="16" t="str">
        <f t="shared" si="146"/>
        <v>KEF</v>
      </c>
      <c r="S1662" s="17"/>
      <c r="T1662" s="10" t="str">
        <f t="shared" si="154"/>
        <v>UNIDAD DE POTENCIA PARA ALTAVOZ MOTORIZADO.</v>
      </c>
    </row>
    <row r="1663" spans="1:20" ht="27" customHeight="1" x14ac:dyDescent="0.25">
      <c r="A1663" s="8" t="s">
        <v>3821</v>
      </c>
      <c r="B1663" s="9" t="s">
        <v>3821</v>
      </c>
      <c r="C1663" s="9"/>
      <c r="D1663" s="8" t="s">
        <v>205</v>
      </c>
      <c r="E1663" s="8">
        <v>2</v>
      </c>
      <c r="F1663" s="8" t="s">
        <v>22</v>
      </c>
      <c r="G1663" s="10" t="s">
        <v>3840</v>
      </c>
      <c r="H1663" s="8" t="s">
        <v>3841</v>
      </c>
      <c r="I1663" s="10" t="s">
        <v>3842</v>
      </c>
      <c r="J1663" s="11" t="s">
        <v>26</v>
      </c>
      <c r="K1663" s="18">
        <v>102</v>
      </c>
      <c r="L1663" s="12">
        <f t="shared" si="153"/>
        <v>174.85714285714286</v>
      </c>
      <c r="M1663" s="8">
        <v>3</v>
      </c>
      <c r="N1663" s="8" t="s">
        <v>27</v>
      </c>
      <c r="O1663" s="13"/>
      <c r="P1663" s="14">
        <v>0.2</v>
      </c>
      <c r="Q1663" s="15">
        <v>0.3</v>
      </c>
      <c r="R1663" s="16" t="str">
        <f t="shared" si="146"/>
        <v>KEF</v>
      </c>
      <c r="S1663" s="17"/>
      <c r="T1663" s="10" t="str">
        <f t="shared" si="154"/>
        <v>ALTAVOZ SATÉLITE DE SOBREPONER EN COLOR BLANCO.</v>
      </c>
    </row>
    <row r="1664" spans="1:20" ht="27" customHeight="1" x14ac:dyDescent="0.25">
      <c r="A1664" s="8" t="s">
        <v>3821</v>
      </c>
      <c r="B1664" s="9" t="s">
        <v>3821</v>
      </c>
      <c r="C1664" s="9"/>
      <c r="D1664" s="8" t="s">
        <v>205</v>
      </c>
      <c r="E1664" s="8">
        <v>3</v>
      </c>
      <c r="F1664" s="8" t="s">
        <v>22</v>
      </c>
      <c r="G1664" s="10" t="s">
        <v>3843</v>
      </c>
      <c r="H1664" s="8" t="s">
        <v>3844</v>
      </c>
      <c r="I1664" s="10" t="s">
        <v>3845</v>
      </c>
      <c r="J1664" s="11" t="s">
        <v>26</v>
      </c>
      <c r="K1664" s="18">
        <v>102</v>
      </c>
      <c r="L1664" s="12">
        <f t="shared" si="153"/>
        <v>174.85714285714286</v>
      </c>
      <c r="M1664" s="8">
        <v>3</v>
      </c>
      <c r="N1664" s="8" t="s">
        <v>27</v>
      </c>
      <c r="O1664" s="13"/>
      <c r="P1664" s="14">
        <v>0.2</v>
      </c>
      <c r="Q1664" s="15">
        <v>0.3</v>
      </c>
      <c r="R1664" s="16" t="str">
        <f t="shared" si="146"/>
        <v>KEF</v>
      </c>
      <c r="S1664" s="17"/>
      <c r="T1664" s="10" t="str">
        <f t="shared" si="154"/>
        <v>ALTAVOZ SATÉLITE DE SOBREPONER EN COLOR NEGRO.</v>
      </c>
    </row>
    <row r="1665" spans="1:20" ht="27" customHeight="1" x14ac:dyDescent="0.25">
      <c r="A1665" s="8" t="s">
        <v>3821</v>
      </c>
      <c r="B1665" s="9" t="s">
        <v>3821</v>
      </c>
      <c r="C1665" s="9"/>
      <c r="D1665" s="8" t="s">
        <v>548</v>
      </c>
      <c r="E1665" s="8">
        <v>6</v>
      </c>
      <c r="F1665" s="8" t="s">
        <v>22</v>
      </c>
      <c r="G1665" s="10" t="s">
        <v>3846</v>
      </c>
      <c r="H1665" s="8" t="s">
        <v>3847</v>
      </c>
      <c r="I1665" s="10" t="s">
        <v>3848</v>
      </c>
      <c r="J1665" s="11" t="s">
        <v>26</v>
      </c>
      <c r="K1665" s="18">
        <v>103</v>
      </c>
      <c r="L1665" s="12">
        <f t="shared" si="153"/>
        <v>206</v>
      </c>
      <c r="M1665" s="8">
        <v>3</v>
      </c>
      <c r="N1665" s="8" t="s">
        <v>27</v>
      </c>
      <c r="O1665" s="13"/>
      <c r="P1665" s="14">
        <v>0.2</v>
      </c>
      <c r="Q1665" s="15">
        <v>0.4</v>
      </c>
      <c r="R1665" s="16" t="str">
        <f t="shared" ref="R1665:R1728" si="155">A1665</f>
        <v>KEF</v>
      </c>
      <c r="S1665" s="17"/>
      <c r="T1665" s="10" t="str">
        <f t="shared" si="154"/>
        <v>ALTAVOZ A 70V CON TAP CENTRAL A 8, 15, 30 Y 60 VATIOS.</v>
      </c>
    </row>
    <row r="1666" spans="1:20" ht="27" customHeight="1" x14ac:dyDescent="0.25">
      <c r="A1666" s="8" t="s">
        <v>3821</v>
      </c>
      <c r="B1666" s="9" t="s">
        <v>3821</v>
      </c>
      <c r="C1666" s="9"/>
      <c r="D1666" s="8" t="s">
        <v>548</v>
      </c>
      <c r="E1666" s="8">
        <v>6</v>
      </c>
      <c r="F1666" s="8" t="s">
        <v>22</v>
      </c>
      <c r="G1666" s="10" t="s">
        <v>3849</v>
      </c>
      <c r="H1666" s="8" t="s">
        <v>3850</v>
      </c>
      <c r="I1666" s="10" t="s">
        <v>3851</v>
      </c>
      <c r="J1666" s="11" t="s">
        <v>26</v>
      </c>
      <c r="K1666" s="18">
        <v>19</v>
      </c>
      <c r="L1666" s="12">
        <f t="shared" si="153"/>
        <v>38</v>
      </c>
      <c r="M1666" s="8">
        <v>3</v>
      </c>
      <c r="N1666" s="8" t="s">
        <v>27</v>
      </c>
      <c r="O1666" s="13"/>
      <c r="P1666" s="14">
        <v>0.2</v>
      </c>
      <c r="Q1666" s="15">
        <v>0.4</v>
      </c>
      <c r="R1666" s="16" t="str">
        <f t="shared" si="155"/>
        <v>KEF</v>
      </c>
      <c r="S1666" s="17"/>
      <c r="T1666" s="10" t="str">
        <f t="shared" si="154"/>
        <v>ALTAVOZ CON RESPUESTA EN FRECUENCIA ENTRE 125 Y 20Khz.</v>
      </c>
    </row>
    <row r="1667" spans="1:20" ht="27" customHeight="1" x14ac:dyDescent="0.25">
      <c r="A1667" s="8" t="s">
        <v>3821</v>
      </c>
      <c r="B1667" s="9" t="s">
        <v>3821</v>
      </c>
      <c r="C1667" s="9"/>
      <c r="D1667" s="8" t="s">
        <v>548</v>
      </c>
      <c r="E1667" s="8">
        <v>6</v>
      </c>
      <c r="F1667" s="8" t="s">
        <v>22</v>
      </c>
      <c r="G1667" s="10" t="s">
        <v>3852</v>
      </c>
      <c r="H1667" s="8" t="s">
        <v>3853</v>
      </c>
      <c r="I1667" s="10" t="s">
        <v>3854</v>
      </c>
      <c r="J1667" s="11" t="s">
        <v>26</v>
      </c>
      <c r="K1667" s="18">
        <f>116/2</f>
        <v>58</v>
      </c>
      <c r="L1667" s="12">
        <f t="shared" si="153"/>
        <v>116</v>
      </c>
      <c r="M1667" s="8">
        <v>3</v>
      </c>
      <c r="N1667" s="8" t="s">
        <v>27</v>
      </c>
      <c r="O1667" s="13"/>
      <c r="P1667" s="14">
        <v>0.2</v>
      </c>
      <c r="Q1667" s="15">
        <v>0.4</v>
      </c>
      <c r="R1667" s="16" t="str">
        <f t="shared" si="155"/>
        <v>KEF</v>
      </c>
      <c r="S1667" s="17"/>
      <c r="T1667" s="10" t="str">
        <f t="shared" si="154"/>
        <v>ALTAVOZ CUADRADOS DE 8 OHM, POTENCIA HASTA 100 VATIOS.</v>
      </c>
    </row>
    <row r="1668" spans="1:20" ht="27" customHeight="1" x14ac:dyDescent="0.25">
      <c r="A1668" s="8" t="s">
        <v>3821</v>
      </c>
      <c r="B1668" s="9" t="s">
        <v>3821</v>
      </c>
      <c r="C1668" s="9"/>
      <c r="D1668" s="8" t="s">
        <v>548</v>
      </c>
      <c r="E1668" s="8">
        <v>6</v>
      </c>
      <c r="F1668" s="8" t="s">
        <v>22</v>
      </c>
      <c r="G1668" s="10" t="s">
        <v>3855</v>
      </c>
      <c r="H1668" s="8" t="s">
        <v>3856</v>
      </c>
      <c r="I1668" s="10" t="s">
        <v>3855</v>
      </c>
      <c r="J1668" s="11" t="s">
        <v>26</v>
      </c>
      <c r="K1668" s="18">
        <v>292</v>
      </c>
      <c r="L1668" s="12">
        <f t="shared" si="153"/>
        <v>584</v>
      </c>
      <c r="M1668" s="8">
        <v>3</v>
      </c>
      <c r="N1668" s="8" t="s">
        <v>27</v>
      </c>
      <c r="O1668" s="13"/>
      <c r="P1668" s="14">
        <v>0.2</v>
      </c>
      <c r="Q1668" s="15">
        <v>0.4</v>
      </c>
      <c r="R1668" s="16" t="str">
        <f t="shared" si="155"/>
        <v>KEF</v>
      </c>
      <c r="S1668" s="17"/>
      <c r="T1668" s="10" t="str">
        <f t="shared" si="154"/>
        <v>BARRA DE SONIDO PARA AMPLIFICADOR EXTERNO.</v>
      </c>
    </row>
    <row r="1669" spans="1:20" ht="27" customHeight="1" x14ac:dyDescent="0.25">
      <c r="A1669" s="8" t="s">
        <v>3821</v>
      </c>
      <c r="B1669" s="9" t="s">
        <v>3821</v>
      </c>
      <c r="C1669" s="9"/>
      <c r="D1669" s="8" t="s">
        <v>548</v>
      </c>
      <c r="E1669" s="8">
        <v>6</v>
      </c>
      <c r="F1669" s="8" t="s">
        <v>22</v>
      </c>
      <c r="G1669" s="10" t="s">
        <v>3857</v>
      </c>
      <c r="H1669" s="8" t="s">
        <v>3858</v>
      </c>
      <c r="I1669" s="10" t="s">
        <v>3859</v>
      </c>
      <c r="J1669" s="11" t="s">
        <v>26</v>
      </c>
      <c r="K1669" s="18">
        <v>111</v>
      </c>
      <c r="L1669" s="12">
        <f t="shared" si="153"/>
        <v>231.25</v>
      </c>
      <c r="M1669" s="8">
        <v>3</v>
      </c>
      <c r="N1669" s="8" t="s">
        <v>27</v>
      </c>
      <c r="O1669" s="13"/>
      <c r="P1669" s="14">
        <v>0.25</v>
      </c>
      <c r="Q1669" s="15">
        <v>0.4</v>
      </c>
      <c r="R1669" s="16" t="str">
        <f t="shared" si="155"/>
        <v>KEF</v>
      </c>
      <c r="S1669" s="17"/>
      <c r="T1669" s="10" t="str">
        <f t="shared" si="154"/>
        <v>ALTAVOZ CIRCULAR CON DRIVER DE 130mm, MANEJO DE POTENCIA 10 - 100W.</v>
      </c>
    </row>
    <row r="1670" spans="1:20" ht="27" customHeight="1" x14ac:dyDescent="0.25">
      <c r="A1670" s="8" t="s">
        <v>3821</v>
      </c>
      <c r="B1670" s="9" t="s">
        <v>3821</v>
      </c>
      <c r="C1670" s="9"/>
      <c r="D1670" s="8" t="s">
        <v>548</v>
      </c>
      <c r="E1670" s="8">
        <v>6</v>
      </c>
      <c r="F1670" s="8" t="s">
        <v>22</v>
      </c>
      <c r="G1670" s="10" t="s">
        <v>3822</v>
      </c>
      <c r="H1670" s="8" t="s">
        <v>3860</v>
      </c>
      <c r="I1670" s="10" t="s">
        <v>3824</v>
      </c>
      <c r="J1670" s="11" t="s">
        <v>26</v>
      </c>
      <c r="K1670" s="18">
        <v>58</v>
      </c>
      <c r="L1670" s="12">
        <f t="shared" si="153"/>
        <v>116</v>
      </c>
      <c r="M1670" s="8">
        <v>3</v>
      </c>
      <c r="N1670" s="8" t="s">
        <v>27</v>
      </c>
      <c r="O1670" s="13"/>
      <c r="P1670" s="14">
        <v>0.2</v>
      </c>
      <c r="Q1670" s="15">
        <v>0.4</v>
      </c>
      <c r="R1670" s="16" t="str">
        <f t="shared" si="155"/>
        <v>KEF</v>
      </c>
      <c r="S1670" s="17"/>
      <c r="T1670" s="10" t="str">
        <f t="shared" si="154"/>
        <v>ALTAVOZ CUADRADO CON DRIVER DE 160mm, MANEJO DE POTENCIA 10 - 100W.</v>
      </c>
    </row>
    <row r="1671" spans="1:20" ht="27" customHeight="1" x14ac:dyDescent="0.25">
      <c r="A1671" s="8" t="s">
        <v>3821</v>
      </c>
      <c r="B1671" s="9" t="s">
        <v>3821</v>
      </c>
      <c r="C1671" s="9"/>
      <c r="D1671" s="8" t="s">
        <v>548</v>
      </c>
      <c r="E1671" s="8">
        <v>6</v>
      </c>
      <c r="F1671" s="8" t="s">
        <v>22</v>
      </c>
      <c r="G1671" s="10" t="s">
        <v>3861</v>
      </c>
      <c r="H1671" s="8" t="s">
        <v>3862</v>
      </c>
      <c r="I1671" s="10" t="s">
        <v>3861</v>
      </c>
      <c r="J1671" s="11" t="s">
        <v>26</v>
      </c>
      <c r="K1671" s="18">
        <v>292</v>
      </c>
      <c r="L1671" s="12">
        <f t="shared" si="153"/>
        <v>584</v>
      </c>
      <c r="M1671" s="8">
        <v>3</v>
      </c>
      <c r="N1671" s="8" t="s">
        <v>27</v>
      </c>
      <c r="O1671" s="13"/>
      <c r="P1671" s="14">
        <v>0.2</v>
      </c>
      <c r="Q1671" s="15">
        <v>0.4</v>
      </c>
      <c r="R1671" s="16" t="str">
        <f t="shared" si="155"/>
        <v>KEF</v>
      </c>
      <c r="S1671" s="17"/>
      <c r="T1671" s="10" t="str">
        <f t="shared" si="154"/>
        <v>SUBWOOFER CON AMPLIFICADOR INTERNO DE 250 VATIOS. COLOR BLANCO.</v>
      </c>
    </row>
    <row r="1672" spans="1:20" ht="27" customHeight="1" x14ac:dyDescent="0.25">
      <c r="A1672" s="8" t="s">
        <v>3821</v>
      </c>
      <c r="B1672" s="9" t="s">
        <v>3821</v>
      </c>
      <c r="C1672" s="9"/>
      <c r="D1672" s="8" t="s">
        <v>548</v>
      </c>
      <c r="E1672" s="8">
        <v>6</v>
      </c>
      <c r="F1672" s="8" t="s">
        <v>22</v>
      </c>
      <c r="G1672" s="10" t="s">
        <v>3863</v>
      </c>
      <c r="H1672" s="8" t="s">
        <v>3864</v>
      </c>
      <c r="I1672" s="10" t="s">
        <v>3865</v>
      </c>
      <c r="J1672" s="11" t="s">
        <v>26</v>
      </c>
      <c r="K1672" s="18">
        <v>86</v>
      </c>
      <c r="L1672" s="12">
        <f t="shared" si="153"/>
        <v>172</v>
      </c>
      <c r="M1672" s="8">
        <v>3</v>
      </c>
      <c r="N1672" s="8" t="s">
        <v>27</v>
      </c>
      <c r="O1672" s="13"/>
      <c r="P1672" s="14">
        <v>0.2</v>
      </c>
      <c r="Q1672" s="15">
        <v>0.4</v>
      </c>
      <c r="R1672" s="16" t="str">
        <f t="shared" si="155"/>
        <v>KEF</v>
      </c>
      <c r="S1672" s="17"/>
      <c r="T1672" s="10" t="str">
        <f t="shared" si="154"/>
        <v>ALTAVOZ REDONDO CON DRIVER DE 160mm, MANEJO DE POTENCIA 10 - 100W.</v>
      </c>
    </row>
    <row r="1673" spans="1:20" ht="27" customHeight="1" x14ac:dyDescent="0.25">
      <c r="A1673" s="8" t="s">
        <v>3821</v>
      </c>
      <c r="B1673" s="9"/>
      <c r="C1673" s="9"/>
      <c r="D1673" s="8"/>
      <c r="E1673" s="8"/>
      <c r="F1673" s="8" t="s">
        <v>22</v>
      </c>
      <c r="G1673" s="10" t="s">
        <v>3863</v>
      </c>
      <c r="H1673" s="8" t="s">
        <v>3866</v>
      </c>
      <c r="I1673" s="10" t="s">
        <v>3865</v>
      </c>
      <c r="J1673" s="11" t="s">
        <v>26</v>
      </c>
      <c r="K1673" s="18">
        <v>106</v>
      </c>
      <c r="L1673" s="12">
        <f t="shared" si="153"/>
        <v>212</v>
      </c>
      <c r="M1673" s="8">
        <v>3</v>
      </c>
      <c r="N1673" s="8" t="s">
        <v>27</v>
      </c>
      <c r="O1673" s="13"/>
      <c r="P1673" s="14">
        <v>0.2</v>
      </c>
      <c r="Q1673" s="15">
        <v>0.4</v>
      </c>
      <c r="R1673" s="16" t="str">
        <f t="shared" si="155"/>
        <v>KEF</v>
      </c>
      <c r="S1673" s="17"/>
      <c r="T1673" s="10" t="str">
        <f t="shared" si="154"/>
        <v>ALTAVOZ REDONDO CON DRIVER DE 160mm, MANEJO DE POTENCIA 10 - 100W.</v>
      </c>
    </row>
    <row r="1674" spans="1:20" ht="27" customHeight="1" x14ac:dyDescent="0.25">
      <c r="A1674" s="8" t="s">
        <v>3821</v>
      </c>
      <c r="B1674" s="9"/>
      <c r="C1674" s="9"/>
      <c r="D1674" s="8" t="s">
        <v>45</v>
      </c>
      <c r="E1674" s="8"/>
      <c r="F1674" s="8" t="s">
        <v>22</v>
      </c>
      <c r="G1674" s="10" t="s">
        <v>3867</v>
      </c>
      <c r="H1674" s="8" t="s">
        <v>3868</v>
      </c>
      <c r="I1674" s="10" t="s">
        <v>3867</v>
      </c>
      <c r="J1674" s="11" t="s">
        <v>26</v>
      </c>
      <c r="K1674" s="18">
        <v>195</v>
      </c>
      <c r="L1674" s="12">
        <f>ROUNDUP(K1674*(1+P1674)/(1-Q1674),0)</f>
        <v>335</v>
      </c>
      <c r="M1674" s="8">
        <v>1</v>
      </c>
      <c r="N1674" s="8" t="s">
        <v>27</v>
      </c>
      <c r="O1674" s="13"/>
      <c r="P1674" s="14">
        <v>0.2</v>
      </c>
      <c r="Q1674" s="15">
        <v>0.3</v>
      </c>
      <c r="R1674" s="16" t="str">
        <f t="shared" si="155"/>
        <v>KEF</v>
      </c>
      <c r="S1674" s="17"/>
      <c r="T1674" s="10" t="str">
        <f t="shared" si="154"/>
        <v>SUBWOOFER COMPACTO DE PARED CON CUATRO MEMBRANAS ACÚSTICAS.</v>
      </c>
    </row>
    <row r="1675" spans="1:20" ht="27" customHeight="1" x14ac:dyDescent="0.25">
      <c r="A1675" s="8" t="s">
        <v>3821</v>
      </c>
      <c r="B1675" s="9"/>
      <c r="C1675" s="9"/>
      <c r="D1675" s="8" t="s">
        <v>45</v>
      </c>
      <c r="E1675" s="8"/>
      <c r="F1675" s="8" t="s">
        <v>22</v>
      </c>
      <c r="G1675" s="10" t="s">
        <v>3869</v>
      </c>
      <c r="H1675" s="8" t="s">
        <v>3870</v>
      </c>
      <c r="I1675" s="10" t="s">
        <v>3869</v>
      </c>
      <c r="J1675" s="11" t="s">
        <v>26</v>
      </c>
      <c r="K1675" s="18">
        <v>232</v>
      </c>
      <c r="L1675" s="12">
        <f>ROUNDUP(K1675*(1+P1675)/(1-Q1675),0)</f>
        <v>398</v>
      </c>
      <c r="M1675" s="8">
        <v>1</v>
      </c>
      <c r="N1675" s="8" t="s">
        <v>27</v>
      </c>
      <c r="O1675" s="13"/>
      <c r="P1675" s="14">
        <v>0.2</v>
      </c>
      <c r="Q1675" s="15">
        <v>0.3</v>
      </c>
      <c r="R1675" s="16" t="str">
        <f t="shared" si="155"/>
        <v>KEF</v>
      </c>
      <c r="S1675" s="17"/>
      <c r="T1675" s="10" t="str">
        <f t="shared" si="154"/>
        <v>ALTAVOZ COMPACTO DE PARED CON CUATRO MEMBRANAS ACÚSTICAS.</v>
      </c>
    </row>
    <row r="1676" spans="1:20" ht="27" customHeight="1" x14ac:dyDescent="0.25">
      <c r="A1676" s="8" t="s">
        <v>3821</v>
      </c>
      <c r="B1676" s="9"/>
      <c r="C1676" s="9"/>
      <c r="D1676" s="8" t="s">
        <v>45</v>
      </c>
      <c r="E1676" s="8"/>
      <c r="F1676" s="8" t="s">
        <v>22</v>
      </c>
      <c r="G1676" s="10" t="s">
        <v>3871</v>
      </c>
      <c r="H1676" s="8" t="s">
        <v>3872</v>
      </c>
      <c r="I1676" s="10" t="s">
        <v>3871</v>
      </c>
      <c r="J1676" s="11" t="s">
        <v>26</v>
      </c>
      <c r="K1676" s="18">
        <v>145</v>
      </c>
      <c r="L1676" s="12">
        <f>ROUNDUP(K1676*(1+P1676)/(1-Q1676),0)</f>
        <v>249</v>
      </c>
      <c r="M1676" s="8">
        <v>1</v>
      </c>
      <c r="N1676" s="8" t="s">
        <v>27</v>
      </c>
      <c r="O1676" s="13"/>
      <c r="P1676" s="14">
        <v>0.2</v>
      </c>
      <c r="Q1676" s="15">
        <v>0.3</v>
      </c>
      <c r="R1676" s="16" t="str">
        <f t="shared" si="155"/>
        <v>KEF</v>
      </c>
      <c r="S1676" s="17"/>
      <c r="T1676" s="10" t="str">
        <f t="shared" si="154"/>
        <v>ALTAVOZ CUADRADO DE HASTA 150W, FRECUENCIAS DE 35Hz, HASTA 34.000Hz.</v>
      </c>
    </row>
    <row r="1677" spans="1:20" ht="27" customHeight="1" x14ac:dyDescent="0.25">
      <c r="A1677" s="8" t="s">
        <v>3821</v>
      </c>
      <c r="B1677" s="9"/>
      <c r="C1677" s="9"/>
      <c r="D1677" s="8" t="s">
        <v>45</v>
      </c>
      <c r="E1677" s="8"/>
      <c r="F1677" s="8" t="s">
        <v>22</v>
      </c>
      <c r="G1677" s="10" t="s">
        <v>3873</v>
      </c>
      <c r="H1677" s="8" t="s">
        <v>3874</v>
      </c>
      <c r="I1677" s="10" t="s">
        <v>3873</v>
      </c>
      <c r="J1677" s="11" t="s">
        <v>26</v>
      </c>
      <c r="K1677" s="18">
        <v>289</v>
      </c>
      <c r="L1677" s="12">
        <f>ROUNDUP(K1677*(1+P1677)/(1-Q1677),0)</f>
        <v>496</v>
      </c>
      <c r="M1677" s="8">
        <v>1</v>
      </c>
      <c r="N1677" s="8" t="s">
        <v>27</v>
      </c>
      <c r="O1677" s="13"/>
      <c r="P1677" s="14">
        <v>0.2</v>
      </c>
      <c r="Q1677" s="15">
        <v>0.3</v>
      </c>
      <c r="R1677" s="16" t="str">
        <f t="shared" si="155"/>
        <v>KEF</v>
      </c>
      <c r="S1677" s="17"/>
      <c r="T1677" s="10" t="str">
        <f t="shared" si="154"/>
        <v>ALTAVOZ MOTORIZADO EN FORMATO CUADRADO DE HASTA 100W</v>
      </c>
    </row>
    <row r="1678" spans="1:20" ht="27" customHeight="1" x14ac:dyDescent="0.25">
      <c r="A1678" s="8" t="s">
        <v>3821</v>
      </c>
      <c r="B1678" s="9"/>
      <c r="C1678" s="9"/>
      <c r="D1678" s="8" t="s">
        <v>45</v>
      </c>
      <c r="E1678" s="8"/>
      <c r="F1678" s="8" t="s">
        <v>22</v>
      </c>
      <c r="G1678" s="10" t="s">
        <v>3875</v>
      </c>
      <c r="H1678" s="8" t="s">
        <v>3876</v>
      </c>
      <c r="I1678" s="10" t="s">
        <v>3877</v>
      </c>
      <c r="J1678" s="11" t="s">
        <v>26</v>
      </c>
      <c r="K1678" s="18">
        <v>77</v>
      </c>
      <c r="L1678" s="12">
        <f>IF(J1678="P",ROUNDUP(K1678/(1-Q1678),-2),K1678*(1+P1678)/(1-Q1678))</f>
        <v>110</v>
      </c>
      <c r="M1678" s="8">
        <v>1</v>
      </c>
      <c r="N1678" s="8" t="s">
        <v>27</v>
      </c>
      <c r="O1678" s="13"/>
      <c r="P1678" s="14">
        <v>0</v>
      </c>
      <c r="Q1678" s="15">
        <v>0.3</v>
      </c>
      <c r="R1678" s="16" t="str">
        <f t="shared" si="155"/>
        <v>KEF</v>
      </c>
      <c r="S1678" s="17"/>
      <c r="T1678" s="10" t="str">
        <f t="shared" si="154"/>
        <v>ALTAVOCES DE PARED O TECHO EN FORMATO CUADRADO, POTENCIA DE 50W.</v>
      </c>
    </row>
    <row r="1679" spans="1:20" ht="27" customHeight="1" x14ac:dyDescent="0.25">
      <c r="A1679" s="8" t="s">
        <v>3821</v>
      </c>
      <c r="B1679" s="9" t="s">
        <v>3821</v>
      </c>
      <c r="C1679" s="9"/>
      <c r="D1679" s="8" t="s">
        <v>563</v>
      </c>
      <c r="E1679" s="8">
        <v>2</v>
      </c>
      <c r="F1679" s="8" t="s">
        <v>22</v>
      </c>
      <c r="G1679" s="10" t="s">
        <v>3835</v>
      </c>
      <c r="H1679" s="8" t="s">
        <v>3878</v>
      </c>
      <c r="I1679" s="10" t="s">
        <v>3879</v>
      </c>
      <c r="J1679" s="11" t="s">
        <v>26</v>
      </c>
      <c r="K1679" s="18">
        <v>292</v>
      </c>
      <c r="L1679" s="12">
        <v>539.07692307692298</v>
      </c>
      <c r="M1679" s="8">
        <v>3</v>
      </c>
      <c r="N1679" s="8" t="s">
        <v>27</v>
      </c>
      <c r="O1679" s="13"/>
      <c r="P1679" s="14">
        <v>0.2</v>
      </c>
      <c r="Q1679" s="15">
        <v>0.35</v>
      </c>
      <c r="R1679" s="16" t="str">
        <f t="shared" si="155"/>
        <v>KEF</v>
      </c>
      <c r="S1679" s="17"/>
      <c r="T1679" s="10" t="str">
        <f t="shared" si="154"/>
        <v>SUBWOOFER CON DRIVER DE 8 PULGADAS, FRECUENCIA 38-150Hz, 14.5 LITROS.</v>
      </c>
    </row>
    <row r="1680" spans="1:20" ht="27" customHeight="1" x14ac:dyDescent="0.25">
      <c r="A1680" s="8" t="s">
        <v>3821</v>
      </c>
      <c r="B1680" s="9"/>
      <c r="C1680" s="9"/>
      <c r="D1680" s="8" t="s">
        <v>45</v>
      </c>
      <c r="E1680" s="8"/>
      <c r="F1680" s="8"/>
      <c r="G1680" s="10" t="s">
        <v>3880</v>
      </c>
      <c r="H1680" s="8" t="s">
        <v>3881</v>
      </c>
      <c r="I1680" s="10" t="s">
        <v>3880</v>
      </c>
      <c r="J1680" s="11" t="s">
        <v>26</v>
      </c>
      <c r="K1680" s="18">
        <v>159</v>
      </c>
      <c r="L1680" s="12">
        <f>ROUNDUP(K1680*(1+P1680)/(1-Q1680),0)</f>
        <v>318</v>
      </c>
      <c r="M1680" s="8">
        <v>1</v>
      </c>
      <c r="N1680" s="8" t="s">
        <v>27</v>
      </c>
      <c r="O1680" s="13"/>
      <c r="P1680" s="14">
        <v>0.2</v>
      </c>
      <c r="Q1680" s="15">
        <v>0.4</v>
      </c>
      <c r="R1680" s="16" t="str">
        <f t="shared" si="155"/>
        <v>KEF</v>
      </c>
      <c r="S1680" s="17"/>
      <c r="T1680" s="10" t="str">
        <f t="shared" si="154"/>
        <v xml:space="preserve">ALTAVOZ ULTRA DELGADO DE 100W, </v>
      </c>
    </row>
    <row r="1681" spans="1:29" ht="27" customHeight="1" x14ac:dyDescent="0.25">
      <c r="A1681" s="8" t="s">
        <v>3821</v>
      </c>
      <c r="B1681" s="9"/>
      <c r="C1681" s="9"/>
      <c r="D1681" s="8"/>
      <c r="E1681" s="8"/>
      <c r="F1681" s="8"/>
      <c r="G1681" s="10"/>
      <c r="H1681" s="8" t="s">
        <v>3882</v>
      </c>
      <c r="I1681" s="10" t="s">
        <v>3883</v>
      </c>
      <c r="J1681" s="11" t="s">
        <v>26</v>
      </c>
      <c r="K1681" s="18">
        <v>319</v>
      </c>
      <c r="L1681" s="12">
        <f>ROUNDUP(K1681*(1+P1681)/(1-Q1681),0)</f>
        <v>593</v>
      </c>
      <c r="M1681" s="8">
        <v>1</v>
      </c>
      <c r="N1681" s="8" t="s">
        <v>27</v>
      </c>
      <c r="O1681" s="13"/>
      <c r="P1681" s="14">
        <v>0.3</v>
      </c>
      <c r="Q1681" s="15">
        <v>0.3</v>
      </c>
      <c r="R1681" s="16" t="str">
        <f t="shared" si="155"/>
        <v>KEF</v>
      </c>
      <c r="S1681" s="17"/>
      <c r="T1681" s="10"/>
    </row>
    <row r="1682" spans="1:29" ht="27" customHeight="1" x14ac:dyDescent="0.25">
      <c r="A1682" s="8" t="s">
        <v>3884</v>
      </c>
      <c r="B1682" s="9"/>
      <c r="C1682" s="9"/>
      <c r="D1682" s="8"/>
      <c r="E1682" s="8"/>
      <c r="F1682" s="8" t="s">
        <v>22</v>
      </c>
      <c r="G1682" s="10" t="s">
        <v>3885</v>
      </c>
      <c r="H1682" s="8" t="s">
        <v>3886</v>
      </c>
      <c r="I1682" s="10" t="s">
        <v>3887</v>
      </c>
      <c r="J1682" s="11" t="s">
        <v>26</v>
      </c>
      <c r="K1682" s="18">
        <v>181</v>
      </c>
      <c r="L1682" s="12">
        <f t="shared" ref="L1682:L1693" si="156">IF(J1682="P",ROUNDUP(K1682/(1-Q1682),-2),K1682*(1+P1682)/(1-Q1682))</f>
        <v>434.4</v>
      </c>
      <c r="M1682" s="8">
        <v>1</v>
      </c>
      <c r="N1682" s="8" t="s">
        <v>27</v>
      </c>
      <c r="O1682" s="13"/>
      <c r="P1682" s="14">
        <v>0.2</v>
      </c>
      <c r="Q1682" s="15">
        <v>0.5</v>
      </c>
      <c r="R1682" s="16" t="str">
        <f t="shared" si="155"/>
        <v>KERUI</v>
      </c>
      <c r="S1682" s="17" t="s">
        <v>3888</v>
      </c>
      <c r="T1682" s="10" t="str">
        <f t="shared" ref="T1682:T1687" si="157">G1682</f>
        <v>KIT DE ALARMA CON CONECTIVIDAD WIFI. UN PANEL DE ALARMA, 15 SENSORES MAGNÉTICOS INALÁMBRICOS.</v>
      </c>
    </row>
    <row r="1683" spans="1:29" ht="27" customHeight="1" x14ac:dyDescent="0.25">
      <c r="A1683" s="8" t="s">
        <v>3884</v>
      </c>
      <c r="B1683" s="9"/>
      <c r="C1683" s="9"/>
      <c r="D1683" s="8"/>
      <c r="E1683" s="8"/>
      <c r="F1683" s="8" t="s">
        <v>22</v>
      </c>
      <c r="G1683" s="10" t="s">
        <v>3889</v>
      </c>
      <c r="H1683" s="8" t="s">
        <v>3890</v>
      </c>
      <c r="I1683" s="10" t="s">
        <v>3889</v>
      </c>
      <c r="J1683" s="11" t="s">
        <v>26</v>
      </c>
      <c r="K1683" s="18">
        <v>11</v>
      </c>
      <c r="L1683" s="12">
        <f t="shared" si="156"/>
        <v>26.4</v>
      </c>
      <c r="M1683" s="8">
        <v>1</v>
      </c>
      <c r="N1683" s="8" t="s">
        <v>27</v>
      </c>
      <c r="O1683" s="13"/>
      <c r="P1683" s="14">
        <v>0.2</v>
      </c>
      <c r="Q1683" s="15">
        <v>0.5</v>
      </c>
      <c r="R1683" s="16" t="str">
        <f t="shared" si="155"/>
        <v>KERUI</v>
      </c>
      <c r="S1683" s="17" t="s">
        <v>3891</v>
      </c>
      <c r="T1683" s="10" t="str">
        <f t="shared" si="157"/>
        <v xml:space="preserve">SENSOR DE MOVIMIENTO INALÁMBRICO DE 27 PIES DE ALCANCE </v>
      </c>
    </row>
    <row r="1684" spans="1:29" ht="27" customHeight="1" x14ac:dyDescent="0.25">
      <c r="A1684" s="8" t="s">
        <v>3884</v>
      </c>
      <c r="B1684" s="9"/>
      <c r="C1684" s="9"/>
      <c r="D1684" s="8"/>
      <c r="E1684" s="8"/>
      <c r="F1684" s="8" t="s">
        <v>22</v>
      </c>
      <c r="G1684" s="10" t="s">
        <v>3892</v>
      </c>
      <c r="H1684" s="8" t="s">
        <v>3893</v>
      </c>
      <c r="I1684" s="10" t="s">
        <v>3892</v>
      </c>
      <c r="J1684" s="11" t="s">
        <v>26</v>
      </c>
      <c r="K1684" s="18">
        <v>11</v>
      </c>
      <c r="L1684" s="12">
        <f t="shared" si="156"/>
        <v>26.4</v>
      </c>
      <c r="M1684" s="8">
        <v>1</v>
      </c>
      <c r="N1684" s="8" t="s">
        <v>27</v>
      </c>
      <c r="O1684" s="13"/>
      <c r="P1684" s="14">
        <v>0.2</v>
      </c>
      <c r="Q1684" s="15">
        <v>0.5</v>
      </c>
      <c r="R1684" s="16" t="str">
        <f t="shared" si="155"/>
        <v>KERUI</v>
      </c>
      <c r="S1684" s="17" t="s">
        <v>3894</v>
      </c>
      <c r="T1684" s="10" t="str">
        <f t="shared" si="157"/>
        <v>SENSORES INALÁMBRICO TIPO CORTINA</v>
      </c>
    </row>
    <row r="1685" spans="1:29" ht="27" customHeight="1" x14ac:dyDescent="0.25">
      <c r="A1685" s="8" t="s">
        <v>3884</v>
      </c>
      <c r="B1685" s="9"/>
      <c r="C1685" s="9"/>
      <c r="D1685" s="8"/>
      <c r="E1685" s="8"/>
      <c r="F1685" s="8" t="s">
        <v>22</v>
      </c>
      <c r="G1685" s="10" t="s">
        <v>3895</v>
      </c>
      <c r="H1685" s="8" t="s">
        <v>3896</v>
      </c>
      <c r="I1685" s="10" t="s">
        <v>3895</v>
      </c>
      <c r="J1685" s="11" t="s">
        <v>26</v>
      </c>
      <c r="K1685" s="18">
        <v>71</v>
      </c>
      <c r="L1685" s="12">
        <f t="shared" si="156"/>
        <v>170.4</v>
      </c>
      <c r="M1685" s="8">
        <v>1</v>
      </c>
      <c r="N1685" s="8" t="s">
        <v>27</v>
      </c>
      <c r="O1685" s="13"/>
      <c r="P1685" s="14">
        <v>0.2</v>
      </c>
      <c r="Q1685" s="15">
        <v>0.5</v>
      </c>
      <c r="R1685" s="16" t="str">
        <f t="shared" si="155"/>
        <v>KERUI</v>
      </c>
      <c r="S1685" s="17" t="s">
        <v>3897</v>
      </c>
      <c r="T1685" s="10" t="str">
        <f t="shared" si="157"/>
        <v>SIRENA EXTERNA CON CARGA SOLAR.</v>
      </c>
    </row>
    <row r="1686" spans="1:29" ht="27" customHeight="1" x14ac:dyDescent="0.25">
      <c r="A1686" s="8" t="s">
        <v>3884</v>
      </c>
      <c r="B1686" s="9"/>
      <c r="C1686" s="9"/>
      <c r="D1686" s="8"/>
      <c r="E1686" s="8"/>
      <c r="F1686" s="8" t="s">
        <v>22</v>
      </c>
      <c r="G1686" s="10" t="s">
        <v>3898</v>
      </c>
      <c r="H1686" s="8" t="s">
        <v>3899</v>
      </c>
      <c r="I1686" s="10" t="s">
        <v>3898</v>
      </c>
      <c r="J1686" s="11" t="s">
        <v>26</v>
      </c>
      <c r="K1686" s="18">
        <v>46</v>
      </c>
      <c r="L1686" s="12">
        <f t="shared" si="156"/>
        <v>110.39999999999999</v>
      </c>
      <c r="M1686" s="8">
        <v>1</v>
      </c>
      <c r="N1686" s="8" t="s">
        <v>27</v>
      </c>
      <c r="O1686" s="13"/>
      <c r="P1686" s="14">
        <v>0.2</v>
      </c>
      <c r="Q1686" s="15">
        <v>0.5</v>
      </c>
      <c r="R1686" s="16" t="str">
        <f t="shared" si="155"/>
        <v>KERUI</v>
      </c>
      <c r="S1686" s="17"/>
      <c r="T1686" s="10" t="str">
        <f t="shared" si="157"/>
        <v>REPETIDOR DE SEÑAL PARA SENSOR</v>
      </c>
    </row>
    <row r="1687" spans="1:29" ht="27" customHeight="1" x14ac:dyDescent="0.25">
      <c r="A1687" s="8" t="s">
        <v>3884</v>
      </c>
      <c r="B1687" s="9"/>
      <c r="C1687" s="9"/>
      <c r="D1687" s="8"/>
      <c r="E1687" s="8"/>
      <c r="F1687" s="8" t="s">
        <v>22</v>
      </c>
      <c r="G1687" s="10" t="s">
        <v>3900</v>
      </c>
      <c r="H1687" s="8" t="s">
        <v>3901</v>
      </c>
      <c r="I1687" s="10" t="s">
        <v>3900</v>
      </c>
      <c r="J1687" s="11" t="s">
        <v>33</v>
      </c>
      <c r="K1687" s="18">
        <v>499900</v>
      </c>
      <c r="L1687" s="12">
        <f t="shared" si="156"/>
        <v>624900</v>
      </c>
      <c r="M1687" s="8">
        <v>1</v>
      </c>
      <c r="N1687" s="8" t="s">
        <v>27</v>
      </c>
      <c r="O1687" s="13"/>
      <c r="P1687" s="14">
        <v>0</v>
      </c>
      <c r="Q1687" s="15">
        <v>0.2</v>
      </c>
      <c r="R1687" s="16" t="str">
        <f t="shared" si="155"/>
        <v>KERUI</v>
      </c>
      <c r="S1687" s="17"/>
      <c r="T1687" s="10" t="str">
        <f t="shared" si="157"/>
        <v>SISTEMA DE ALARMA WIFI DE NOTIFICACIÓN CON DOS SENSORES DE PRESENCIA Y TECLADO.</v>
      </c>
    </row>
    <row r="1688" spans="1:29" ht="27" customHeight="1" x14ac:dyDescent="0.25">
      <c r="A1688" s="8" t="s">
        <v>3902</v>
      </c>
      <c r="B1688" s="9"/>
      <c r="C1688" s="9"/>
      <c r="D1688" s="8"/>
      <c r="E1688" s="8"/>
      <c r="F1688" s="8"/>
      <c r="G1688" s="10"/>
      <c r="H1688" s="8" t="s">
        <v>3903</v>
      </c>
      <c r="I1688" s="10" t="s">
        <v>3904</v>
      </c>
      <c r="J1688" s="11" t="s">
        <v>33</v>
      </c>
      <c r="K1688" s="18">
        <v>4500000</v>
      </c>
      <c r="L1688" s="12">
        <f t="shared" si="156"/>
        <v>6428600</v>
      </c>
      <c r="M1688" s="8">
        <v>1</v>
      </c>
      <c r="N1688" s="8" t="s">
        <v>27</v>
      </c>
      <c r="O1688" s="13"/>
      <c r="P1688" s="14">
        <v>0</v>
      </c>
      <c r="Q1688" s="15">
        <v>0.3</v>
      </c>
      <c r="R1688" s="16" t="str">
        <f t="shared" si="155"/>
        <v>KEY_DIGITAL</v>
      </c>
      <c r="S1688" s="17"/>
      <c r="T1688" s="10"/>
    </row>
    <row r="1689" spans="1:29" ht="27" customHeight="1" x14ac:dyDescent="0.25">
      <c r="A1689" s="8" t="s">
        <v>3905</v>
      </c>
      <c r="B1689" s="9" t="s">
        <v>3906</v>
      </c>
      <c r="C1689" s="9"/>
      <c r="D1689" s="8" t="s">
        <v>3907</v>
      </c>
      <c r="E1689" s="8">
        <v>1</v>
      </c>
      <c r="F1689" s="8" t="s">
        <v>22</v>
      </c>
      <c r="G1689" s="10" t="s">
        <v>3908</v>
      </c>
      <c r="H1689" s="8" t="s">
        <v>3909</v>
      </c>
      <c r="I1689" s="10" t="s">
        <v>3908</v>
      </c>
      <c r="J1689" s="11" t="s">
        <v>26</v>
      </c>
      <c r="K1689" s="18">
        <v>4.59</v>
      </c>
      <c r="L1689" s="12">
        <f t="shared" si="156"/>
        <v>7.8685714285714292</v>
      </c>
      <c r="M1689" s="8">
        <v>1</v>
      </c>
      <c r="N1689" s="8" t="s">
        <v>27</v>
      </c>
      <c r="O1689" s="13"/>
      <c r="P1689" s="14">
        <v>0.2</v>
      </c>
      <c r="Q1689" s="15">
        <v>0.3</v>
      </c>
      <c r="R1689" s="16" t="str">
        <f t="shared" si="155"/>
        <v>KINGSTON</v>
      </c>
      <c r="S1689" s="17"/>
      <c r="T1689" s="10" t="str">
        <f t="shared" ref="T1689:T1705" si="158">G1689</f>
        <v>MEMORIA USB DE 8 GIGAS.</v>
      </c>
    </row>
    <row r="1690" spans="1:29" ht="27" customHeight="1" x14ac:dyDescent="0.25">
      <c r="A1690" s="8" t="s">
        <v>3905</v>
      </c>
      <c r="B1690" s="9" t="s">
        <v>3906</v>
      </c>
      <c r="C1690" s="9"/>
      <c r="D1690" s="8" t="s">
        <v>602</v>
      </c>
      <c r="E1690" s="8"/>
      <c r="F1690" s="8" t="s">
        <v>22</v>
      </c>
      <c r="G1690" s="10" t="s">
        <v>3910</v>
      </c>
      <c r="H1690" s="8" t="s">
        <v>3911</v>
      </c>
      <c r="I1690" s="10" t="s">
        <v>3910</v>
      </c>
      <c r="J1690" s="11" t="s">
        <v>33</v>
      </c>
      <c r="K1690" s="18">
        <v>60344</v>
      </c>
      <c r="L1690" s="12">
        <f t="shared" si="156"/>
        <v>86300</v>
      </c>
      <c r="M1690" s="8">
        <v>1</v>
      </c>
      <c r="N1690" s="8" t="s">
        <v>27</v>
      </c>
      <c r="O1690" s="13"/>
      <c r="P1690" s="14">
        <v>0.2</v>
      </c>
      <c r="Q1690" s="15">
        <v>0.3</v>
      </c>
      <c r="R1690" s="16" t="str">
        <f t="shared" si="155"/>
        <v>KINGSTON</v>
      </c>
      <c r="S1690" s="17"/>
      <c r="T1690" s="10" t="str">
        <f t="shared" si="158"/>
        <v>MEMORIA USB DE 64G</v>
      </c>
    </row>
    <row r="1691" spans="1:29" ht="27" customHeight="1" x14ac:dyDescent="0.25">
      <c r="A1691" s="8" t="s">
        <v>3912</v>
      </c>
      <c r="B1691" s="9"/>
      <c r="C1691" s="9"/>
      <c r="D1691" s="8" t="s">
        <v>45</v>
      </c>
      <c r="E1691" s="8"/>
      <c r="F1691" s="8" t="s">
        <v>22</v>
      </c>
      <c r="G1691" s="10" t="s">
        <v>3913</v>
      </c>
      <c r="H1691" s="8" t="s">
        <v>3914</v>
      </c>
      <c r="I1691" s="10" t="s">
        <v>3913</v>
      </c>
      <c r="J1691" s="11" t="s">
        <v>33</v>
      </c>
      <c r="K1691" s="18">
        <v>350000</v>
      </c>
      <c r="L1691" s="12">
        <f t="shared" si="156"/>
        <v>437500</v>
      </c>
      <c r="M1691" s="8">
        <v>1</v>
      </c>
      <c r="N1691" s="8" t="s">
        <v>27</v>
      </c>
      <c r="O1691" s="13"/>
      <c r="P1691" s="14">
        <v>0.2</v>
      </c>
      <c r="Q1691" s="15">
        <v>0.2</v>
      </c>
      <c r="R1691" s="16" t="str">
        <f t="shared" si="155"/>
        <v>KK</v>
      </c>
      <c r="S1691" s="17"/>
      <c r="T1691" s="10" t="str">
        <f t="shared" si="158"/>
        <v>SENSOR DE EMBOLO PARA DETECCIÓN DE NIVELES DE COMBUSTIBLE</v>
      </c>
    </row>
    <row r="1692" spans="1:29" ht="27" customHeight="1" x14ac:dyDescent="0.25">
      <c r="A1692" s="8" t="s">
        <v>3915</v>
      </c>
      <c r="B1692" s="9" t="s">
        <v>2515</v>
      </c>
      <c r="C1692" s="9"/>
      <c r="D1692" s="8"/>
      <c r="E1692" s="8"/>
      <c r="F1692" s="8" t="s">
        <v>22</v>
      </c>
      <c r="G1692" s="10" t="s">
        <v>3916</v>
      </c>
      <c r="H1692" s="8" t="s">
        <v>3917</v>
      </c>
      <c r="I1692" s="10" t="s">
        <v>3918</v>
      </c>
      <c r="J1692" s="11" t="s">
        <v>26</v>
      </c>
      <c r="K1692" s="18">
        <v>34</v>
      </c>
      <c r="L1692" s="12">
        <f t="shared" si="156"/>
        <v>68</v>
      </c>
      <c r="M1692" s="8">
        <v>1</v>
      </c>
      <c r="N1692" s="8" t="s">
        <v>27</v>
      </c>
      <c r="O1692" s="13" t="s">
        <v>588</v>
      </c>
      <c r="P1692" s="14">
        <v>0.2</v>
      </c>
      <c r="Q1692" s="15">
        <v>0.4</v>
      </c>
      <c r="R1692" s="16" t="str">
        <f t="shared" si="155"/>
        <v>KLIPSCH</v>
      </c>
      <c r="S1692" s="17"/>
      <c r="T1692" s="10" t="str">
        <f t="shared" si="158"/>
        <v>ALTAVOZ ARQUITECTÓNICO SIN BORDE DE 8" 40 VATIOS.</v>
      </c>
      <c r="AB1692" s="112">
        <v>2</v>
      </c>
      <c r="AC1692" s="76" t="s">
        <v>3919</v>
      </c>
    </row>
    <row r="1693" spans="1:29" ht="27" customHeight="1" x14ac:dyDescent="0.25">
      <c r="A1693" s="8" t="s">
        <v>3915</v>
      </c>
      <c r="B1693" s="9" t="s">
        <v>2515</v>
      </c>
      <c r="C1693" s="9"/>
      <c r="D1693" s="8"/>
      <c r="E1693" s="8"/>
      <c r="F1693" s="8" t="s">
        <v>22</v>
      </c>
      <c r="G1693" s="10" t="s">
        <v>3920</v>
      </c>
      <c r="H1693" s="8" t="s">
        <v>3921</v>
      </c>
      <c r="I1693" s="10" t="s">
        <v>3922</v>
      </c>
      <c r="J1693" s="11" t="s">
        <v>26</v>
      </c>
      <c r="K1693" s="18">
        <v>53</v>
      </c>
      <c r="L1693" s="12">
        <f t="shared" si="156"/>
        <v>106</v>
      </c>
      <c r="M1693" s="8">
        <v>1</v>
      </c>
      <c r="N1693" s="8" t="s">
        <v>27</v>
      </c>
      <c r="O1693" s="13" t="s">
        <v>587</v>
      </c>
      <c r="P1693" s="14">
        <v>0.2</v>
      </c>
      <c r="Q1693" s="15">
        <v>0.4</v>
      </c>
      <c r="R1693" s="16" t="str">
        <f t="shared" si="155"/>
        <v>KLIPSCH</v>
      </c>
      <c r="S1693" s="17"/>
      <c r="T1693" s="10" t="str">
        <f t="shared" si="158"/>
        <v>ALTAVOZ ARQUITECTÓNICO SIN BORDE DE 6.5" 40 VATIOS.</v>
      </c>
    </row>
    <row r="1694" spans="1:29" ht="27" customHeight="1" x14ac:dyDescent="0.25">
      <c r="A1694" s="8" t="s">
        <v>3915</v>
      </c>
      <c r="B1694" s="9"/>
      <c r="C1694" s="9"/>
      <c r="D1694" s="8"/>
      <c r="E1694" s="8"/>
      <c r="F1694" s="8" t="s">
        <v>22</v>
      </c>
      <c r="G1694" s="10" t="s">
        <v>3923</v>
      </c>
      <c r="H1694" s="8" t="s">
        <v>3924</v>
      </c>
      <c r="I1694" s="10" t="s">
        <v>3923</v>
      </c>
      <c r="J1694" s="11" t="s">
        <v>26</v>
      </c>
      <c r="K1694" s="18">
        <v>60</v>
      </c>
      <c r="L1694" s="12">
        <f t="shared" ref="L1694:L1699" si="159">ROUNDUP(K1694*(1+P1694)/(1-Q1694),0)</f>
        <v>120</v>
      </c>
      <c r="M1694" s="8">
        <v>1</v>
      </c>
      <c r="N1694" s="8" t="s">
        <v>27</v>
      </c>
      <c r="O1694" s="13"/>
      <c r="P1694" s="14">
        <v>0.2</v>
      </c>
      <c r="Q1694" s="15">
        <v>0.4</v>
      </c>
      <c r="R1694" s="16" t="str">
        <f t="shared" si="155"/>
        <v>KLIPSCH</v>
      </c>
      <c r="S1694" s="17"/>
      <c r="T1694" s="10" t="str">
        <f t="shared" si="158"/>
        <v>ALTAVOZ ESTÉREO DE 8 OHM, 50 VATIOS.</v>
      </c>
    </row>
    <row r="1695" spans="1:29" ht="27" customHeight="1" x14ac:dyDescent="0.25">
      <c r="A1695" s="8" t="s">
        <v>3915</v>
      </c>
      <c r="B1695" s="9"/>
      <c r="C1695" s="9"/>
      <c r="D1695" s="8"/>
      <c r="E1695" s="8"/>
      <c r="F1695" s="8" t="s">
        <v>22</v>
      </c>
      <c r="G1695" s="10" t="s">
        <v>3925</v>
      </c>
      <c r="H1695" s="8" t="s">
        <v>3926</v>
      </c>
      <c r="I1695" s="10" t="s">
        <v>3925</v>
      </c>
      <c r="J1695" s="11" t="s">
        <v>26</v>
      </c>
      <c r="K1695" s="18">
        <v>32</v>
      </c>
      <c r="L1695" s="12">
        <f t="shared" si="159"/>
        <v>64</v>
      </c>
      <c r="M1695" s="8">
        <v>1</v>
      </c>
      <c r="N1695" s="8" t="s">
        <v>27</v>
      </c>
      <c r="O1695" s="13"/>
      <c r="P1695" s="14">
        <v>0.2</v>
      </c>
      <c r="Q1695" s="15">
        <v>0.4</v>
      </c>
      <c r="R1695" s="16" t="str">
        <f t="shared" si="155"/>
        <v>KLIPSCH</v>
      </c>
      <c r="S1695" s="17"/>
      <c r="T1695" s="10" t="str">
        <f t="shared" si="158"/>
        <v>CABINA PARA ALTAVOZ DE 6.5"</v>
      </c>
    </row>
    <row r="1696" spans="1:29" ht="27" customHeight="1" x14ac:dyDescent="0.25">
      <c r="A1696" s="8" t="s">
        <v>3915</v>
      </c>
      <c r="B1696" s="9"/>
      <c r="C1696" s="9"/>
      <c r="D1696" s="8"/>
      <c r="E1696" s="8"/>
      <c r="F1696" s="8" t="s">
        <v>22</v>
      </c>
      <c r="G1696" s="10" t="s">
        <v>3927</v>
      </c>
      <c r="H1696" s="8" t="s">
        <v>3928</v>
      </c>
      <c r="I1696" s="10" t="s">
        <v>3927</v>
      </c>
      <c r="J1696" s="11" t="s">
        <v>26</v>
      </c>
      <c r="K1696" s="18">
        <v>42</v>
      </c>
      <c r="L1696" s="12">
        <f t="shared" si="159"/>
        <v>84</v>
      </c>
      <c r="M1696" s="8">
        <v>1</v>
      </c>
      <c r="N1696" s="8" t="s">
        <v>27</v>
      </c>
      <c r="O1696" s="13"/>
      <c r="P1696" s="14">
        <v>0.2</v>
      </c>
      <c r="Q1696" s="15">
        <v>0.4</v>
      </c>
      <c r="R1696" s="16" t="str">
        <f t="shared" si="155"/>
        <v>KLIPSCH</v>
      </c>
      <c r="S1696" s="17"/>
      <c r="T1696" s="10" t="str">
        <f t="shared" si="158"/>
        <v>CABINA PARA ALTAVOZ DE 8"</v>
      </c>
    </row>
    <row r="1697" spans="1:20" ht="27" customHeight="1" x14ac:dyDescent="0.25">
      <c r="A1697" s="8" t="s">
        <v>3915</v>
      </c>
      <c r="B1697" s="9"/>
      <c r="C1697" s="9"/>
      <c r="D1697" s="8"/>
      <c r="E1697" s="8"/>
      <c r="F1697" s="8" t="s">
        <v>22</v>
      </c>
      <c r="G1697" s="10" t="s">
        <v>3929</v>
      </c>
      <c r="H1697" s="8" t="s">
        <v>3930</v>
      </c>
      <c r="I1697" s="10" t="s">
        <v>3929</v>
      </c>
      <c r="J1697" s="11" t="s">
        <v>26</v>
      </c>
      <c r="K1697" s="18">
        <v>185</v>
      </c>
      <c r="L1697" s="12">
        <f t="shared" si="159"/>
        <v>370</v>
      </c>
      <c r="M1697" s="8">
        <v>1</v>
      </c>
      <c r="N1697" s="8" t="s">
        <v>27</v>
      </c>
      <c r="O1697" s="13"/>
      <c r="P1697" s="14">
        <v>0.2</v>
      </c>
      <c r="Q1697" s="15">
        <v>0.4</v>
      </c>
      <c r="R1697" s="16" t="str">
        <f t="shared" si="155"/>
        <v>KLIPSCH</v>
      </c>
      <c r="S1697" s="17"/>
      <c r="T1697" s="10" t="str">
        <f t="shared" si="158"/>
        <v>ALTAVOZ PARA EXTERIOR DE SOBREPONER DE 50W, MEMBRANA ACÚSTICA DE 5". 8 OHM.</v>
      </c>
    </row>
    <row r="1698" spans="1:20" ht="27" customHeight="1" x14ac:dyDescent="0.25">
      <c r="A1698" s="8" t="s">
        <v>3915</v>
      </c>
      <c r="B1698" s="9"/>
      <c r="C1698" s="9"/>
      <c r="D1698" s="8" t="s">
        <v>45</v>
      </c>
      <c r="E1698" s="8"/>
      <c r="F1698" s="8" t="s">
        <v>22</v>
      </c>
      <c r="G1698" s="10" t="s">
        <v>3931</v>
      </c>
      <c r="H1698" s="8" t="s">
        <v>3932</v>
      </c>
      <c r="I1698" s="10" t="s">
        <v>3931</v>
      </c>
      <c r="J1698" s="11" t="s">
        <v>26</v>
      </c>
      <c r="K1698" s="18">
        <v>196</v>
      </c>
      <c r="L1698" s="12">
        <f t="shared" si="159"/>
        <v>336</v>
      </c>
      <c r="M1698" s="8">
        <v>1</v>
      </c>
      <c r="N1698" s="8" t="s">
        <v>27</v>
      </c>
      <c r="O1698" s="13"/>
      <c r="P1698" s="14">
        <v>0.2</v>
      </c>
      <c r="Q1698" s="15">
        <v>0.3</v>
      </c>
      <c r="R1698" s="16" t="str">
        <f t="shared" si="155"/>
        <v>KLIPSCH</v>
      </c>
      <c r="S1698" s="17"/>
      <c r="T1698" s="10" t="str">
        <f t="shared" si="158"/>
        <v>SUBWOOFER PASIVO DE 8 OHM CON DOBLE MEMBRANA.</v>
      </c>
    </row>
    <row r="1699" spans="1:20" ht="27" customHeight="1" x14ac:dyDescent="0.25">
      <c r="A1699" s="8" t="s">
        <v>3915</v>
      </c>
      <c r="B1699" s="9"/>
      <c r="C1699" s="9"/>
      <c r="D1699" s="8" t="s">
        <v>45</v>
      </c>
      <c r="E1699" s="8"/>
      <c r="F1699" s="8" t="s">
        <v>22</v>
      </c>
      <c r="G1699" s="10" t="s">
        <v>3933</v>
      </c>
      <c r="H1699" s="8" t="s">
        <v>3934</v>
      </c>
      <c r="I1699" s="10" t="s">
        <v>3933</v>
      </c>
      <c r="J1699" s="11" t="s">
        <v>26</v>
      </c>
      <c r="K1699" s="18">
        <v>325</v>
      </c>
      <c r="L1699" s="12">
        <f t="shared" si="159"/>
        <v>558</v>
      </c>
      <c r="M1699" s="8">
        <v>1</v>
      </c>
      <c r="N1699" s="8" t="s">
        <v>27</v>
      </c>
      <c r="O1699" s="13"/>
      <c r="P1699" s="14">
        <v>0.2</v>
      </c>
      <c r="Q1699" s="15">
        <v>0.3</v>
      </c>
      <c r="R1699" s="16" t="str">
        <f t="shared" si="155"/>
        <v>KLIPSCH</v>
      </c>
      <c r="S1699" s="17"/>
      <c r="T1699" s="10" t="str">
        <f t="shared" si="158"/>
        <v>AMPLIFICADOR PARA SUBWOOFER</v>
      </c>
    </row>
    <row r="1700" spans="1:20" ht="27" customHeight="1" x14ac:dyDescent="0.25">
      <c r="A1700" s="8" t="s">
        <v>3915</v>
      </c>
      <c r="B1700" s="9"/>
      <c r="C1700" s="9"/>
      <c r="D1700" s="8"/>
      <c r="E1700" s="8"/>
      <c r="F1700" s="8" t="s">
        <v>22</v>
      </c>
      <c r="G1700" s="10" t="s">
        <v>3935</v>
      </c>
      <c r="H1700" s="8" t="s">
        <v>3936</v>
      </c>
      <c r="I1700" s="10" t="s">
        <v>3935</v>
      </c>
      <c r="J1700" s="11" t="s">
        <v>26</v>
      </c>
      <c r="K1700" s="18">
        <v>75</v>
      </c>
      <c r="L1700" s="12">
        <f>IF(J1700="P",ROUNDUP(K1700/(1-Q1700),-2),K1700*(1+P1700)/(1-Q1700))</f>
        <v>150</v>
      </c>
      <c r="M1700" s="8">
        <v>1</v>
      </c>
      <c r="N1700" s="8" t="s">
        <v>27</v>
      </c>
      <c r="O1700" s="13"/>
      <c r="P1700" s="14">
        <v>0.2</v>
      </c>
      <c r="Q1700" s="15">
        <v>0.4</v>
      </c>
      <c r="R1700" s="16" t="str">
        <f t="shared" si="155"/>
        <v>KLIPSCH</v>
      </c>
      <c r="S1700" s="17"/>
      <c r="T1700" s="10" t="str">
        <f t="shared" si="158"/>
        <v>PARLANTES RECTANGULARES DE 8OHM CON MANEJO DE HASTA 100W DE POTENCIA.</v>
      </c>
    </row>
    <row r="1701" spans="1:20" ht="27" customHeight="1" x14ac:dyDescent="0.25">
      <c r="A1701" s="8" t="s">
        <v>3915</v>
      </c>
      <c r="B1701" s="9"/>
      <c r="C1701" s="9"/>
      <c r="D1701" s="8"/>
      <c r="E1701" s="8"/>
      <c r="F1701" s="8" t="s">
        <v>22</v>
      </c>
      <c r="G1701" s="10" t="s">
        <v>3935</v>
      </c>
      <c r="H1701" s="8" t="s">
        <v>3936</v>
      </c>
      <c r="I1701" s="10" t="s">
        <v>3935</v>
      </c>
      <c r="J1701" s="11" t="s">
        <v>26</v>
      </c>
      <c r="K1701" s="18">
        <v>75</v>
      </c>
      <c r="L1701" s="12">
        <f>IF(J1701="P",ROUNDUP(K1701/(1-Q1701),-2),K1701*(1+P1701)/(1-Q1701))</f>
        <v>128.57142857142858</v>
      </c>
      <c r="M1701" s="8">
        <v>1</v>
      </c>
      <c r="N1701" s="8" t="s">
        <v>27</v>
      </c>
      <c r="O1701" s="13"/>
      <c r="P1701" s="14">
        <v>0.2</v>
      </c>
      <c r="Q1701" s="15">
        <v>0.3</v>
      </c>
      <c r="R1701" s="16" t="str">
        <f t="shared" si="155"/>
        <v>KLIPSCH</v>
      </c>
      <c r="S1701" s="17"/>
      <c r="T1701" s="10" t="str">
        <f t="shared" si="158"/>
        <v>PARLANTES RECTANGULARES DE 8OHM CON MANEJO DE HASTA 100W DE POTENCIA.</v>
      </c>
    </row>
    <row r="1702" spans="1:20" ht="27" customHeight="1" x14ac:dyDescent="0.25">
      <c r="A1702" s="8" t="s">
        <v>3915</v>
      </c>
      <c r="B1702" s="9"/>
      <c r="C1702" s="9"/>
      <c r="D1702" s="8" t="s">
        <v>45</v>
      </c>
      <c r="E1702" s="8"/>
      <c r="F1702" s="8" t="s">
        <v>22</v>
      </c>
      <c r="G1702" s="10" t="s">
        <v>3937</v>
      </c>
      <c r="H1702" s="8" t="s">
        <v>3938</v>
      </c>
      <c r="I1702" s="10" t="s">
        <v>3937</v>
      </c>
      <c r="J1702" s="11" t="s">
        <v>26</v>
      </c>
      <c r="K1702" s="18">
        <f>173/2</f>
        <v>86.5</v>
      </c>
      <c r="L1702" s="12">
        <f>ROUNDUP(K1702*(1+P1702)/(1-Q1702),0)</f>
        <v>149</v>
      </c>
      <c r="M1702" s="8">
        <v>1</v>
      </c>
      <c r="N1702" s="8" t="s">
        <v>27</v>
      </c>
      <c r="O1702" s="13"/>
      <c r="P1702" s="14">
        <v>0.2</v>
      </c>
      <c r="Q1702" s="15">
        <v>0.3</v>
      </c>
      <c r="R1702" s="16" t="str">
        <f t="shared" si="155"/>
        <v>KLIPSCH</v>
      </c>
      <c r="S1702" s="17"/>
      <c r="T1702" s="10" t="str">
        <f t="shared" si="158"/>
        <v>PARLANTE DE LÍNEA DE 70V HASTA 15W.</v>
      </c>
    </row>
    <row r="1703" spans="1:20" ht="27" customHeight="1" x14ac:dyDescent="0.25">
      <c r="A1703" s="8" t="s">
        <v>3915</v>
      </c>
      <c r="B1703" s="9"/>
      <c r="C1703" s="9"/>
      <c r="D1703" s="8" t="s">
        <v>45</v>
      </c>
      <c r="E1703" s="8"/>
      <c r="F1703" s="8" t="s">
        <v>22</v>
      </c>
      <c r="G1703" s="10" t="s">
        <v>3939</v>
      </c>
      <c r="H1703" s="8" t="s">
        <v>3940</v>
      </c>
      <c r="I1703" s="10" t="s">
        <v>3939</v>
      </c>
      <c r="J1703" s="11" t="s">
        <v>26</v>
      </c>
      <c r="K1703" s="18">
        <v>110</v>
      </c>
      <c r="L1703" s="12">
        <f>ROUNDUP(K1703*(1+P1703)/(1-Q1703),0)</f>
        <v>275</v>
      </c>
      <c r="M1703" s="8">
        <v>1</v>
      </c>
      <c r="N1703" s="8" t="s">
        <v>27</v>
      </c>
      <c r="O1703" s="13"/>
      <c r="P1703" s="14">
        <v>0.25</v>
      </c>
      <c r="Q1703" s="15">
        <v>0.5</v>
      </c>
      <c r="R1703" s="16" t="str">
        <f t="shared" si="155"/>
        <v>KLIPSCH</v>
      </c>
      <c r="S1703" s="17"/>
      <c r="T1703" s="10" t="str">
        <f t="shared" si="158"/>
        <v>SUBWOOFER DE 8" CON AMPLIFICADOR DIGITAL 50W/150W, MEDIDAS; 34cm X30cmX30cm.</v>
      </c>
    </row>
    <row r="1704" spans="1:20" ht="27" customHeight="1" x14ac:dyDescent="0.25">
      <c r="A1704" s="8" t="s">
        <v>3915</v>
      </c>
      <c r="B1704" s="9"/>
      <c r="C1704" s="9"/>
      <c r="D1704" s="8" t="s">
        <v>45</v>
      </c>
      <c r="E1704" s="8"/>
      <c r="F1704" s="8" t="s">
        <v>22</v>
      </c>
      <c r="G1704" s="10" t="str">
        <f>B1704&amp;"-"&amp;D1704&amp;"-"&amp;E1704&amp;F1704</f>
        <v>-PROG_-BLANCO</v>
      </c>
      <c r="H1704" s="8" t="s">
        <v>3941</v>
      </c>
      <c r="I1704" s="10" t="s">
        <v>3942</v>
      </c>
      <c r="J1704" s="11" t="s">
        <v>26</v>
      </c>
      <c r="K1704" s="18">
        <v>83</v>
      </c>
      <c r="L1704" s="12">
        <f>K1704*(1+P1704)/(1-Q1704)</f>
        <v>142.28571428571428</v>
      </c>
      <c r="M1704" s="8">
        <v>1</v>
      </c>
      <c r="N1704" s="8" t="s">
        <v>27</v>
      </c>
      <c r="O1704" s="13"/>
      <c r="P1704" s="14">
        <v>0.2</v>
      </c>
      <c r="Q1704" s="15">
        <v>0.3</v>
      </c>
      <c r="R1704" s="16" t="str">
        <f t="shared" si="155"/>
        <v>KLIPSCH</v>
      </c>
      <c r="S1704" s="17"/>
      <c r="T1704" s="10" t="str">
        <f t="shared" si="158"/>
        <v>-PROG_-BLANCO</v>
      </c>
    </row>
    <row r="1705" spans="1:20" ht="27" customHeight="1" x14ac:dyDescent="0.25">
      <c r="A1705" s="8" t="s">
        <v>3915</v>
      </c>
      <c r="B1705" s="9"/>
      <c r="C1705" s="9"/>
      <c r="D1705" s="8" t="s">
        <v>45</v>
      </c>
      <c r="E1705" s="8"/>
      <c r="F1705" s="8" t="s">
        <v>22</v>
      </c>
      <c r="G1705" s="10" t="str">
        <f>B1705&amp;"-"&amp;D1705&amp;"-"&amp;E1705&amp;F1705</f>
        <v>-PROG_-BLANCO</v>
      </c>
      <c r="H1705" s="8" t="s">
        <v>3943</v>
      </c>
      <c r="I1705" s="10" t="s">
        <v>3944</v>
      </c>
      <c r="J1705" s="11" t="s">
        <v>26</v>
      </c>
      <c r="K1705" s="18">
        <v>473</v>
      </c>
      <c r="L1705" s="12">
        <f>K1705*(1+P1705)/(1-Q1705)</f>
        <v>810.85714285714289</v>
      </c>
      <c r="M1705" s="8">
        <v>1</v>
      </c>
      <c r="N1705" s="8" t="s">
        <v>27</v>
      </c>
      <c r="O1705" s="13"/>
      <c r="P1705" s="14">
        <v>0.2</v>
      </c>
      <c r="Q1705" s="15">
        <v>0.3</v>
      </c>
      <c r="R1705" s="16" t="str">
        <f t="shared" si="155"/>
        <v>KLIPSCH</v>
      </c>
      <c r="S1705" s="17"/>
      <c r="T1705" s="10" t="str">
        <f t="shared" si="158"/>
        <v>-PROG_-BLANCO</v>
      </c>
    </row>
    <row r="1706" spans="1:20" ht="27" customHeight="1" x14ac:dyDescent="0.25">
      <c r="A1706" s="8" t="s">
        <v>3915</v>
      </c>
      <c r="B1706" s="9"/>
      <c r="C1706" s="9"/>
      <c r="D1706" s="8"/>
      <c r="E1706" s="8"/>
      <c r="F1706" s="8"/>
      <c r="G1706" s="10"/>
      <c r="H1706" s="8" t="s">
        <v>3945</v>
      </c>
      <c r="I1706" s="10" t="s">
        <v>3946</v>
      </c>
      <c r="J1706" s="11" t="s">
        <v>26</v>
      </c>
      <c r="K1706" s="18">
        <v>112</v>
      </c>
      <c r="L1706" s="12">
        <f>IF(J1706="P",ROUNDUP(K1706/(1-Q1706),-2),K1706*(1+P1706)/(1-Q1706))</f>
        <v>199.00001498200339</v>
      </c>
      <c r="M1706" s="8">
        <v>1</v>
      </c>
      <c r="N1706" s="8" t="s">
        <v>27</v>
      </c>
      <c r="O1706" s="13"/>
      <c r="P1706" s="14">
        <v>0.2</v>
      </c>
      <c r="Q1706" s="15">
        <v>0.32462316642461309</v>
      </c>
      <c r="R1706" s="16" t="str">
        <f t="shared" si="155"/>
        <v>KLIPSCH</v>
      </c>
      <c r="S1706" s="17"/>
      <c r="T1706" s="10"/>
    </row>
    <row r="1707" spans="1:20" ht="27" customHeight="1" x14ac:dyDescent="0.25">
      <c r="A1707" s="8" t="s">
        <v>3915</v>
      </c>
      <c r="B1707" s="9"/>
      <c r="C1707" s="9"/>
      <c r="D1707" s="8"/>
      <c r="E1707" s="8"/>
      <c r="F1707" s="8"/>
      <c r="G1707" s="10"/>
      <c r="H1707" s="8" t="s">
        <v>3947</v>
      </c>
      <c r="I1707" s="10" t="s">
        <v>3948</v>
      </c>
      <c r="J1707" s="11" t="s">
        <v>26</v>
      </c>
      <c r="K1707" s="18">
        <v>416</v>
      </c>
      <c r="L1707" s="12">
        <f>IF(J1707="P",ROUNDUP(K1707/(1-Q1707),-2),K1707*(1+P1707)/(1-Q1707))</f>
        <v>713.14285714285722</v>
      </c>
      <c r="M1707" s="8">
        <v>1</v>
      </c>
      <c r="N1707" s="8" t="s">
        <v>27</v>
      </c>
      <c r="O1707" s="13"/>
      <c r="P1707" s="14">
        <v>0.2</v>
      </c>
      <c r="Q1707" s="15">
        <v>0.3</v>
      </c>
      <c r="R1707" s="16" t="str">
        <f t="shared" si="155"/>
        <v>KLIPSCH</v>
      </c>
      <c r="S1707" s="17"/>
      <c r="T1707" s="10"/>
    </row>
    <row r="1708" spans="1:20" ht="27" customHeight="1" x14ac:dyDescent="0.25">
      <c r="A1708" s="8" t="s">
        <v>3915</v>
      </c>
      <c r="B1708" s="9"/>
      <c r="C1708" s="9"/>
      <c r="D1708" s="8"/>
      <c r="E1708" s="8"/>
      <c r="F1708" s="8"/>
      <c r="G1708" s="10"/>
      <c r="H1708" s="8" t="s">
        <v>3949</v>
      </c>
      <c r="I1708" s="10" t="s">
        <v>3950</v>
      </c>
      <c r="J1708" s="11" t="s">
        <v>26</v>
      </c>
      <c r="K1708" s="18">
        <v>509</v>
      </c>
      <c r="L1708" s="12">
        <f>IF(J1708="P",ROUNDUP(K1708/(1-Q1708),-2),K1708*(1+P1708)/(1-Q1708))</f>
        <v>872.57142857142856</v>
      </c>
      <c r="M1708" s="8">
        <v>1</v>
      </c>
      <c r="N1708" s="8" t="s">
        <v>27</v>
      </c>
      <c r="O1708" s="13"/>
      <c r="P1708" s="14">
        <v>0.2</v>
      </c>
      <c r="Q1708" s="15">
        <v>0.3</v>
      </c>
      <c r="R1708" s="16" t="str">
        <f t="shared" si="155"/>
        <v>KLIPSCH</v>
      </c>
      <c r="S1708" s="17"/>
      <c r="T1708" s="10"/>
    </row>
    <row r="1709" spans="1:20" ht="27" customHeight="1" x14ac:dyDescent="0.25">
      <c r="A1709" s="8" t="s">
        <v>3915</v>
      </c>
      <c r="B1709" s="9"/>
      <c r="C1709" s="9"/>
      <c r="D1709" s="8"/>
      <c r="E1709" s="8"/>
      <c r="F1709" s="8"/>
      <c r="G1709" s="10"/>
      <c r="H1709" s="8" t="s">
        <v>3951</v>
      </c>
      <c r="I1709" s="10" t="s">
        <v>3952</v>
      </c>
      <c r="J1709" s="11" t="s">
        <v>26</v>
      </c>
      <c r="K1709" s="18">
        <v>120</v>
      </c>
      <c r="L1709" s="12">
        <f>IF(J1709="P",ROUNDUP(K1709/(1-Q1709),-2),K1709*(1+P1709)/(1-Q1709))</f>
        <v>205.71428571428572</v>
      </c>
      <c r="M1709" s="8">
        <v>1</v>
      </c>
      <c r="N1709" s="8" t="s">
        <v>27</v>
      </c>
      <c r="O1709" s="13"/>
      <c r="P1709" s="14">
        <v>0.2</v>
      </c>
      <c r="Q1709" s="15">
        <v>0.3</v>
      </c>
      <c r="R1709" s="16" t="str">
        <f t="shared" si="155"/>
        <v>KLIPSCH</v>
      </c>
      <c r="S1709" s="17"/>
      <c r="T1709" s="10"/>
    </row>
    <row r="1710" spans="1:20" ht="27" customHeight="1" x14ac:dyDescent="0.25">
      <c r="A1710" s="8" t="s">
        <v>3915</v>
      </c>
      <c r="B1710" s="9"/>
      <c r="C1710" s="9"/>
      <c r="D1710" s="8"/>
      <c r="E1710" s="8"/>
      <c r="F1710" s="8"/>
      <c r="G1710" s="10"/>
      <c r="H1710" s="8" t="s">
        <v>3953</v>
      </c>
      <c r="I1710" s="10" t="s">
        <v>3954</v>
      </c>
      <c r="J1710" s="11" t="s">
        <v>26</v>
      </c>
      <c r="K1710" s="18">
        <v>182</v>
      </c>
      <c r="L1710" s="12">
        <f>K1710*(1+P1710)/(1-Q1710)</f>
        <v>399.28571428571422</v>
      </c>
      <c r="M1710" s="8">
        <v>1</v>
      </c>
      <c r="N1710" s="8" t="s">
        <v>27</v>
      </c>
      <c r="O1710" s="13"/>
      <c r="P1710" s="14">
        <v>0.28999999999999998</v>
      </c>
      <c r="Q1710" s="15">
        <v>0.41199999999999998</v>
      </c>
      <c r="R1710" s="16" t="str">
        <f t="shared" si="155"/>
        <v>KLIPSCH</v>
      </c>
      <c r="S1710" s="17"/>
      <c r="T1710" s="10"/>
    </row>
    <row r="1711" spans="1:20" ht="27" customHeight="1" x14ac:dyDescent="0.25">
      <c r="A1711" s="8" t="s">
        <v>3915</v>
      </c>
      <c r="B1711" s="9"/>
      <c r="C1711" s="9"/>
      <c r="D1711" s="8"/>
      <c r="E1711" s="8"/>
      <c r="F1711" s="8"/>
      <c r="G1711" s="10"/>
      <c r="H1711" s="8" t="s">
        <v>3955</v>
      </c>
      <c r="I1711" s="10" t="s">
        <v>3956</v>
      </c>
      <c r="J1711" s="11" t="s">
        <v>26</v>
      </c>
      <c r="K1711" s="18">
        <v>339</v>
      </c>
      <c r="L1711" s="12">
        <f>IF(J1711="P",ROUNDUP(K1711/(1-Q1711),-2),K1711*(1+P1711)/(1-Q1711))</f>
        <v>662.109375</v>
      </c>
      <c r="M1711" s="8">
        <v>1</v>
      </c>
      <c r="N1711" s="8" t="s">
        <v>27</v>
      </c>
      <c r="O1711" s="13"/>
      <c r="P1711" s="14">
        <v>0.25</v>
      </c>
      <c r="Q1711" s="15">
        <v>0.36</v>
      </c>
      <c r="R1711" s="16" t="str">
        <f t="shared" si="155"/>
        <v>KLIPSCH</v>
      </c>
      <c r="S1711" s="17"/>
      <c r="T1711" s="10"/>
    </row>
    <row r="1712" spans="1:20" ht="27" customHeight="1" x14ac:dyDescent="0.25">
      <c r="A1712" s="8" t="s">
        <v>3915</v>
      </c>
      <c r="B1712" s="9"/>
      <c r="C1712" s="9"/>
      <c r="D1712" s="8"/>
      <c r="E1712" s="8"/>
      <c r="F1712" s="8"/>
      <c r="G1712" s="10"/>
      <c r="H1712" s="8" t="s">
        <v>3957</v>
      </c>
      <c r="I1712" s="10" t="s">
        <v>3958</v>
      </c>
      <c r="J1712" s="11" t="s">
        <v>26</v>
      </c>
      <c r="K1712" s="18">
        <f>135/2</f>
        <v>67.5</v>
      </c>
      <c r="L1712" s="12">
        <f>ROUNDUP(K1712*(1+P1712)/(1-Q1712),0)</f>
        <v>123</v>
      </c>
      <c r="M1712" s="8">
        <v>1</v>
      </c>
      <c r="N1712" s="8" t="s">
        <v>27</v>
      </c>
      <c r="O1712" s="13"/>
      <c r="P1712" s="14">
        <v>0.2</v>
      </c>
      <c r="Q1712" s="15">
        <v>0.34</v>
      </c>
      <c r="R1712" s="16" t="str">
        <f t="shared" si="155"/>
        <v>KLIPSCH</v>
      </c>
      <c r="S1712" s="17"/>
      <c r="T1712" s="10"/>
    </row>
    <row r="1713" spans="1:20" ht="27" customHeight="1" x14ac:dyDescent="0.25">
      <c r="A1713" s="8" t="s">
        <v>3915</v>
      </c>
      <c r="B1713" s="9"/>
      <c r="C1713" s="9"/>
      <c r="D1713" s="8"/>
      <c r="E1713" s="8"/>
      <c r="F1713" s="8"/>
      <c r="G1713" s="10"/>
      <c r="H1713" s="8" t="s">
        <v>3959</v>
      </c>
      <c r="I1713" s="10" t="s">
        <v>3960</v>
      </c>
      <c r="J1713" s="11" t="s">
        <v>26</v>
      </c>
      <c r="K1713" s="18">
        <v>163</v>
      </c>
      <c r="L1713" s="12">
        <f>IF(J1713="P",ROUNDUP(K1713/(1-Q1713),-2),K1713*(1+P1713)/(1-Q1713))</f>
        <v>203.75000175102471</v>
      </c>
      <c r="M1713" s="8">
        <v>1</v>
      </c>
      <c r="N1713" s="8" t="s">
        <v>27</v>
      </c>
      <c r="O1713" s="13"/>
      <c r="P1713" s="14">
        <v>0.2</v>
      </c>
      <c r="Q1713" s="15">
        <v>4.0000008250226843E-2</v>
      </c>
      <c r="R1713" s="16" t="str">
        <f t="shared" si="155"/>
        <v>KLIPSCH</v>
      </c>
      <c r="S1713" s="17"/>
      <c r="T1713" s="10"/>
    </row>
    <row r="1714" spans="1:20" ht="27" customHeight="1" x14ac:dyDescent="0.25">
      <c r="A1714" s="8" t="s">
        <v>3915</v>
      </c>
      <c r="B1714" s="9"/>
      <c r="C1714" s="9"/>
      <c r="D1714" s="8"/>
      <c r="E1714" s="8"/>
      <c r="F1714" s="8"/>
      <c r="G1714" s="10"/>
      <c r="H1714" s="8" t="s">
        <v>3961</v>
      </c>
      <c r="I1714" s="10" t="s">
        <v>3962</v>
      </c>
      <c r="J1714" s="11" t="s">
        <v>26</v>
      </c>
      <c r="K1714" s="18">
        <v>109</v>
      </c>
      <c r="L1714" s="12">
        <f>ROUNDUP(K1714*(1+P1714)/(1-Q1714),0)</f>
        <v>218</v>
      </c>
      <c r="M1714" s="8">
        <v>1</v>
      </c>
      <c r="N1714" s="8" t="s">
        <v>27</v>
      </c>
      <c r="O1714" s="13"/>
      <c r="P1714" s="14">
        <v>0.2</v>
      </c>
      <c r="Q1714" s="15">
        <v>0.4</v>
      </c>
      <c r="R1714" s="16" t="str">
        <f t="shared" si="155"/>
        <v>KLIPSCH</v>
      </c>
      <c r="S1714" s="17"/>
      <c r="T1714" s="10"/>
    </row>
    <row r="1715" spans="1:20" ht="27" customHeight="1" x14ac:dyDescent="0.25">
      <c r="A1715" s="8" t="s">
        <v>3915</v>
      </c>
      <c r="B1715" s="9"/>
      <c r="C1715" s="9"/>
      <c r="D1715" s="8"/>
      <c r="E1715" s="8"/>
      <c r="F1715" s="8"/>
      <c r="G1715" s="10"/>
      <c r="H1715" s="8" t="s">
        <v>3963</v>
      </c>
      <c r="I1715" s="10" t="s">
        <v>3964</v>
      </c>
      <c r="J1715" s="11" t="s">
        <v>26</v>
      </c>
      <c r="K1715" s="18">
        <v>144</v>
      </c>
      <c r="L1715" s="12">
        <f>K1715*(1+P1715)/(1-Q1715)</f>
        <v>345.59999999999997</v>
      </c>
      <c r="M1715" s="8">
        <v>1</v>
      </c>
      <c r="N1715" s="8" t="s">
        <v>27</v>
      </c>
      <c r="O1715" s="13"/>
      <c r="P1715" s="14">
        <v>0.2</v>
      </c>
      <c r="Q1715" s="15">
        <v>0.5</v>
      </c>
      <c r="R1715" s="16" t="str">
        <f t="shared" si="155"/>
        <v>KLIPSCH</v>
      </c>
      <c r="S1715" s="17"/>
      <c r="T1715" s="10"/>
    </row>
    <row r="1716" spans="1:20" ht="27" customHeight="1" x14ac:dyDescent="0.25">
      <c r="A1716" s="8" t="s">
        <v>3915</v>
      </c>
      <c r="B1716" s="9"/>
      <c r="C1716" s="9"/>
      <c r="D1716" s="8"/>
      <c r="E1716" s="8"/>
      <c r="F1716" s="8"/>
      <c r="G1716" s="10"/>
      <c r="H1716" s="8" t="s">
        <v>3957</v>
      </c>
      <c r="I1716" s="10" t="s">
        <v>3965</v>
      </c>
      <c r="J1716" s="11" t="s">
        <v>33</v>
      </c>
      <c r="K1716" s="18">
        <f>135/2</f>
        <v>67.5</v>
      </c>
      <c r="L1716" s="12">
        <f>K1716*(1+P1716)/(1-Q1716)</f>
        <v>147.27272727272725</v>
      </c>
      <c r="M1716" s="8">
        <v>1</v>
      </c>
      <c r="N1716" s="8" t="s">
        <v>27</v>
      </c>
      <c r="O1716" s="13"/>
      <c r="P1716" s="14">
        <v>0.2</v>
      </c>
      <c r="Q1716" s="15">
        <v>0.45</v>
      </c>
      <c r="R1716" s="16" t="str">
        <f t="shared" si="155"/>
        <v>KLIPSCH</v>
      </c>
      <c r="S1716" s="17"/>
      <c r="T1716" s="10"/>
    </row>
    <row r="1717" spans="1:20" ht="27" customHeight="1" x14ac:dyDescent="0.25">
      <c r="A1717" s="8" t="s">
        <v>3915</v>
      </c>
      <c r="B1717" s="9"/>
      <c r="C1717" s="9"/>
      <c r="D1717" s="8"/>
      <c r="E1717" s="8"/>
      <c r="F1717" s="8"/>
      <c r="G1717" s="10"/>
      <c r="H1717" s="8" t="s">
        <v>3966</v>
      </c>
      <c r="I1717" s="10" t="s">
        <v>3967</v>
      </c>
      <c r="J1717" s="11" t="s">
        <v>26</v>
      </c>
      <c r="K1717" s="18">
        <v>115</v>
      </c>
      <c r="L1717" s="12">
        <f>ROUNDUP(K1717*(1+P1717)/(1-Q1717),0)</f>
        <v>276</v>
      </c>
      <c r="M1717" s="8">
        <v>1</v>
      </c>
      <c r="N1717" s="8" t="s">
        <v>27</v>
      </c>
      <c r="O1717" s="13"/>
      <c r="P1717" s="14">
        <v>0.2</v>
      </c>
      <c r="Q1717" s="15">
        <v>0.5</v>
      </c>
      <c r="R1717" s="16" t="str">
        <f t="shared" si="155"/>
        <v>KLIPSCH</v>
      </c>
      <c r="S1717" s="17"/>
      <c r="T1717" s="10"/>
    </row>
    <row r="1718" spans="1:20" ht="27" customHeight="1" x14ac:dyDescent="0.25">
      <c r="A1718" s="8" t="s">
        <v>3915</v>
      </c>
      <c r="B1718" s="9"/>
      <c r="C1718" s="9"/>
      <c r="D1718" s="8"/>
      <c r="E1718" s="8"/>
      <c r="F1718" s="8"/>
      <c r="G1718" s="10"/>
      <c r="H1718" s="8" t="s">
        <v>3968</v>
      </c>
      <c r="I1718" s="10" t="s">
        <v>3969</v>
      </c>
      <c r="J1718" s="11" t="s">
        <v>26</v>
      </c>
      <c r="K1718" s="18">
        <v>91</v>
      </c>
      <c r="L1718" s="12">
        <f>ROUNDUP(K1718*(1+P1718)/(1-Q1718),0)</f>
        <v>219</v>
      </c>
      <c r="M1718" s="8">
        <v>1</v>
      </c>
      <c r="N1718" s="8" t="s">
        <v>27</v>
      </c>
      <c r="O1718" s="13"/>
      <c r="P1718" s="14">
        <v>0.2</v>
      </c>
      <c r="Q1718" s="15">
        <v>0.5</v>
      </c>
      <c r="R1718" s="16" t="str">
        <f t="shared" si="155"/>
        <v>KLIPSCH</v>
      </c>
      <c r="S1718" s="17"/>
      <c r="T1718" s="10"/>
    </row>
    <row r="1719" spans="1:20" ht="27" customHeight="1" x14ac:dyDescent="0.25">
      <c r="A1719" s="8" t="s">
        <v>3915</v>
      </c>
      <c r="B1719" s="9"/>
      <c r="C1719" s="9"/>
      <c r="D1719" s="8"/>
      <c r="E1719" s="8"/>
      <c r="F1719" s="8"/>
      <c r="G1719" s="10"/>
      <c r="H1719" s="8" t="s">
        <v>3970</v>
      </c>
      <c r="I1719" s="10" t="s">
        <v>3971</v>
      </c>
      <c r="J1719" s="11" t="s">
        <v>26</v>
      </c>
      <c r="K1719" s="18">
        <v>50</v>
      </c>
      <c r="L1719" s="12">
        <f>ROUNDUP(K1719*(1+P1719)/(1-Q1719),0)</f>
        <v>110</v>
      </c>
      <c r="M1719" s="8">
        <v>1</v>
      </c>
      <c r="N1719" s="8" t="s">
        <v>27</v>
      </c>
      <c r="O1719" s="13"/>
      <c r="P1719" s="14">
        <v>0.2</v>
      </c>
      <c r="Q1719" s="15">
        <v>0.45</v>
      </c>
      <c r="R1719" s="16" t="str">
        <f t="shared" si="155"/>
        <v>KLIPSCH</v>
      </c>
      <c r="S1719" s="17"/>
      <c r="T1719" s="10"/>
    </row>
    <row r="1720" spans="1:20" ht="27" customHeight="1" x14ac:dyDescent="0.25">
      <c r="A1720" s="8" t="s">
        <v>3915</v>
      </c>
      <c r="B1720" s="9"/>
      <c r="C1720" s="9"/>
      <c r="D1720" s="8"/>
      <c r="E1720" s="8"/>
      <c r="F1720" s="8"/>
      <c r="G1720" s="10"/>
      <c r="H1720" s="8" t="s">
        <v>3972</v>
      </c>
      <c r="I1720" s="10" t="s">
        <v>3973</v>
      </c>
      <c r="J1720" s="11" t="s">
        <v>26</v>
      </c>
      <c r="K1720" s="18">
        <v>27</v>
      </c>
      <c r="L1720" s="12">
        <f t="shared" ref="L1720:L1751" si="160">IF(J1720="P",ROUNDUP(K1720/(1-Q1720),-2),K1720*(1+P1720)/(1-Q1720))</f>
        <v>64.8</v>
      </c>
      <c r="M1720" s="8">
        <v>1</v>
      </c>
      <c r="N1720" s="8" t="s">
        <v>27</v>
      </c>
      <c r="O1720" s="13"/>
      <c r="P1720" s="14">
        <v>0.2</v>
      </c>
      <c r="Q1720" s="15">
        <v>0.5</v>
      </c>
      <c r="R1720" s="16" t="str">
        <f t="shared" si="155"/>
        <v>KLIPSCH</v>
      </c>
      <c r="S1720" s="17"/>
      <c r="T1720" s="10"/>
    </row>
    <row r="1721" spans="1:20" ht="27" customHeight="1" x14ac:dyDescent="0.25">
      <c r="A1721" s="8" t="s">
        <v>3974</v>
      </c>
      <c r="B1721" s="9" t="s">
        <v>94</v>
      </c>
      <c r="C1721" s="9"/>
      <c r="D1721" s="8" t="s">
        <v>94</v>
      </c>
      <c r="E1721" s="8"/>
      <c r="F1721" s="8" t="s">
        <v>22</v>
      </c>
      <c r="G1721" s="10" t="s">
        <v>3975</v>
      </c>
      <c r="H1721" s="8" t="s">
        <v>3976</v>
      </c>
      <c r="I1721" s="10" t="s">
        <v>3975</v>
      </c>
      <c r="J1721" s="11" t="s">
        <v>33</v>
      </c>
      <c r="K1721" s="18">
        <v>54000</v>
      </c>
      <c r="L1721" s="12">
        <f t="shared" si="160"/>
        <v>90000</v>
      </c>
      <c r="M1721" s="8">
        <v>1</v>
      </c>
      <c r="N1721" s="8" t="s">
        <v>27</v>
      </c>
      <c r="O1721" s="13"/>
      <c r="P1721" s="14">
        <v>0.2</v>
      </c>
      <c r="Q1721" s="15">
        <v>0.4</v>
      </c>
      <c r="R1721" s="16" t="str">
        <f t="shared" si="155"/>
        <v>KODAK</v>
      </c>
      <c r="S1721" s="17"/>
      <c r="T1721" s="10" t="str">
        <f t="shared" ref="T1721:T1784" si="161">G1721</f>
        <v>BOMBILLA TIPO EDISSON LED ATENUABLE</v>
      </c>
    </row>
    <row r="1722" spans="1:20" ht="27" customHeight="1" x14ac:dyDescent="0.25">
      <c r="A1722" s="8" t="s">
        <v>3977</v>
      </c>
      <c r="B1722" s="9" t="s">
        <v>2515</v>
      </c>
      <c r="C1722" s="9"/>
      <c r="D1722" s="8"/>
      <c r="E1722" s="8"/>
      <c r="F1722" s="8" t="s">
        <v>22</v>
      </c>
      <c r="G1722" s="10" t="s">
        <v>3978</v>
      </c>
      <c r="H1722" s="8" t="s">
        <v>3979</v>
      </c>
      <c r="I1722" s="10" t="s">
        <v>3978</v>
      </c>
      <c r="J1722" s="11" t="s">
        <v>33</v>
      </c>
      <c r="K1722" s="18">
        <v>1500</v>
      </c>
      <c r="L1722" s="12">
        <f t="shared" si="160"/>
        <v>1900</v>
      </c>
      <c r="M1722" s="8">
        <v>1</v>
      </c>
      <c r="N1722" s="8" t="s">
        <v>27</v>
      </c>
      <c r="O1722" s="13" t="s">
        <v>587</v>
      </c>
      <c r="P1722" s="14">
        <v>0</v>
      </c>
      <c r="Q1722" s="15">
        <v>0.2</v>
      </c>
      <c r="R1722" s="16" t="str">
        <f t="shared" si="155"/>
        <v>KOMODO</v>
      </c>
      <c r="S1722" s="17"/>
      <c r="T1722" s="10" t="str">
        <f t="shared" si="161"/>
        <v>SOLDADURA CADWELL 115 GR</v>
      </c>
    </row>
    <row r="1723" spans="1:20" ht="27" customHeight="1" x14ac:dyDescent="0.25">
      <c r="A1723" s="8" t="s">
        <v>3977</v>
      </c>
      <c r="B1723" s="9" t="s">
        <v>2515</v>
      </c>
      <c r="C1723" s="9"/>
      <c r="D1723" s="8"/>
      <c r="E1723" s="8"/>
      <c r="F1723" s="8" t="s">
        <v>22</v>
      </c>
      <c r="G1723" s="10" t="s">
        <v>3980</v>
      </c>
      <c r="H1723" s="8" t="s">
        <v>3981</v>
      </c>
      <c r="I1723" s="10" t="s">
        <v>3980</v>
      </c>
      <c r="J1723" s="11" t="s">
        <v>33</v>
      </c>
      <c r="K1723" s="18">
        <v>19200</v>
      </c>
      <c r="L1723" s="12">
        <f t="shared" si="160"/>
        <v>24000</v>
      </c>
      <c r="M1723" s="8">
        <v>1</v>
      </c>
      <c r="N1723" s="8" t="s">
        <v>27</v>
      </c>
      <c r="O1723" s="13" t="s">
        <v>588</v>
      </c>
      <c r="P1723" s="14">
        <v>0</v>
      </c>
      <c r="Q1723" s="15">
        <v>0.2</v>
      </c>
      <c r="R1723" s="16" t="str">
        <f t="shared" si="155"/>
        <v>KOMODO</v>
      </c>
      <c r="S1723" s="17"/>
      <c r="T1723" s="10" t="str">
        <f t="shared" si="161"/>
        <v>CABLE COBRE # 2/0 THHN</v>
      </c>
    </row>
    <row r="1724" spans="1:20" ht="27" customHeight="1" x14ac:dyDescent="0.25">
      <c r="A1724" s="8" t="s">
        <v>3977</v>
      </c>
      <c r="B1724" s="9" t="s">
        <v>2515</v>
      </c>
      <c r="C1724" s="9"/>
      <c r="D1724" s="8"/>
      <c r="E1724" s="8"/>
      <c r="F1724" s="8" t="s">
        <v>22</v>
      </c>
      <c r="G1724" s="10" t="s">
        <v>3982</v>
      </c>
      <c r="H1724" s="8" t="s">
        <v>3983</v>
      </c>
      <c r="I1724" s="10" t="s">
        <v>3982</v>
      </c>
      <c r="J1724" s="11" t="s">
        <v>33</v>
      </c>
      <c r="K1724" s="18">
        <v>177500</v>
      </c>
      <c r="L1724" s="12">
        <f t="shared" si="160"/>
        <v>221900</v>
      </c>
      <c r="M1724" s="8">
        <v>1</v>
      </c>
      <c r="N1724" s="8" t="s">
        <v>27</v>
      </c>
      <c r="O1724" s="13" t="s">
        <v>587</v>
      </c>
      <c r="P1724" s="14">
        <v>0</v>
      </c>
      <c r="Q1724" s="15">
        <v>0.2</v>
      </c>
      <c r="R1724" s="16" t="str">
        <f t="shared" si="155"/>
        <v>KOMODO</v>
      </c>
      <c r="S1724" s="17"/>
      <c r="T1724" s="10" t="str">
        <f t="shared" si="161"/>
        <v>CAJA INSPECCIÓN STP</v>
      </c>
    </row>
    <row r="1725" spans="1:20" ht="27" customHeight="1" x14ac:dyDescent="0.25">
      <c r="A1725" s="8" t="s">
        <v>3977</v>
      </c>
      <c r="B1725" s="9" t="s">
        <v>2515</v>
      </c>
      <c r="C1725" s="9"/>
      <c r="D1725" s="8"/>
      <c r="E1725" s="8"/>
      <c r="F1725" s="8" t="s">
        <v>22</v>
      </c>
      <c r="G1725" s="10" t="s">
        <v>3984</v>
      </c>
      <c r="H1725" s="8" t="s">
        <v>3985</v>
      </c>
      <c r="I1725" s="10" t="s">
        <v>3984</v>
      </c>
      <c r="J1725" s="11" t="s">
        <v>33</v>
      </c>
      <c r="K1725" s="18">
        <v>20000</v>
      </c>
      <c r="L1725" s="12">
        <f t="shared" si="160"/>
        <v>25000</v>
      </c>
      <c r="M1725" s="8">
        <v>1</v>
      </c>
      <c r="N1725" s="8" t="s">
        <v>27</v>
      </c>
      <c r="O1725" s="13" t="s">
        <v>588</v>
      </c>
      <c r="P1725" s="14">
        <v>0.2</v>
      </c>
      <c r="Q1725" s="15">
        <v>0.2</v>
      </c>
      <c r="R1725" s="16" t="str">
        <f t="shared" si="155"/>
        <v>KOMODO</v>
      </c>
      <c r="S1725" s="17"/>
      <c r="T1725" s="10" t="str">
        <f t="shared" si="161"/>
        <v>TRANSPORTE DE SUMINISTROS LIVIANOS DENTRO DEL PERÍMETRO URBANO DE BOGOTÁ</v>
      </c>
    </row>
    <row r="1726" spans="1:20" ht="27" customHeight="1" x14ac:dyDescent="0.25">
      <c r="A1726" s="8" t="s">
        <v>3977</v>
      </c>
      <c r="B1726" s="9" t="s">
        <v>2515</v>
      </c>
      <c r="C1726" s="9"/>
      <c r="D1726" s="8"/>
      <c r="E1726" s="8"/>
      <c r="F1726" s="8" t="s">
        <v>22</v>
      </c>
      <c r="G1726" s="10" t="s">
        <v>3986</v>
      </c>
      <c r="H1726" s="8" t="s">
        <v>3987</v>
      </c>
      <c r="I1726" s="10" t="s">
        <v>3986</v>
      </c>
      <c r="J1726" s="11" t="s">
        <v>33</v>
      </c>
      <c r="K1726" s="18">
        <v>150000</v>
      </c>
      <c r="L1726" s="12">
        <f t="shared" si="160"/>
        <v>187500</v>
      </c>
      <c r="M1726" s="8">
        <v>1</v>
      </c>
      <c r="N1726" s="8" t="s">
        <v>27</v>
      </c>
      <c r="O1726" s="13" t="s">
        <v>587</v>
      </c>
      <c r="P1726" s="14">
        <v>0.2</v>
      </c>
      <c r="Q1726" s="15">
        <v>0.2</v>
      </c>
      <c r="R1726" s="16" t="str">
        <f t="shared" si="155"/>
        <v>KOMODO</v>
      </c>
      <c r="S1726" s="17"/>
      <c r="T1726" s="10" t="str">
        <f t="shared" si="161"/>
        <v>ALQUILER DE UNA SEMANA DE SECCIONES DE ANDAMIO</v>
      </c>
    </row>
    <row r="1727" spans="1:20" ht="27" customHeight="1" x14ac:dyDescent="0.25">
      <c r="A1727" s="8" t="s">
        <v>3977</v>
      </c>
      <c r="B1727" s="9" t="s">
        <v>2515</v>
      </c>
      <c r="C1727" s="9"/>
      <c r="D1727" s="8"/>
      <c r="E1727" s="8"/>
      <c r="F1727" s="8" t="s">
        <v>22</v>
      </c>
      <c r="G1727" s="10" t="s">
        <v>3988</v>
      </c>
      <c r="H1727" s="8" t="s">
        <v>3989</v>
      </c>
      <c r="I1727" s="10" t="s">
        <v>3988</v>
      </c>
      <c r="J1727" s="11" t="s">
        <v>33</v>
      </c>
      <c r="K1727" s="18">
        <v>2000</v>
      </c>
      <c r="L1727" s="12">
        <f t="shared" si="160"/>
        <v>2500</v>
      </c>
      <c r="M1727" s="8">
        <v>1</v>
      </c>
      <c r="N1727" s="8" t="s">
        <v>27</v>
      </c>
      <c r="O1727" s="13" t="s">
        <v>588</v>
      </c>
      <c r="P1727" s="14">
        <v>0.2</v>
      </c>
      <c r="Q1727" s="15">
        <v>0.2</v>
      </c>
      <c r="R1727" s="16" t="str">
        <f t="shared" si="155"/>
        <v>KOMODO</v>
      </c>
      <c r="S1727" s="17"/>
      <c r="T1727" s="10" t="str">
        <f t="shared" si="161"/>
        <v>DIA DE ALQUILES DE EQUIPO DE ALTURAS</v>
      </c>
    </row>
    <row r="1728" spans="1:20" ht="27" customHeight="1" x14ac:dyDescent="0.25">
      <c r="A1728" s="8" t="s">
        <v>3977</v>
      </c>
      <c r="B1728" s="9"/>
      <c r="C1728" s="9"/>
      <c r="D1728" s="8"/>
      <c r="E1728" s="8"/>
      <c r="F1728" s="8" t="s">
        <v>22</v>
      </c>
      <c r="G1728" s="10" t="s">
        <v>3990</v>
      </c>
      <c r="H1728" s="8" t="s">
        <v>3991</v>
      </c>
      <c r="I1728" s="10" t="s">
        <v>3990</v>
      </c>
      <c r="J1728" s="11" t="s">
        <v>33</v>
      </c>
      <c r="K1728" s="18">
        <f>300000+40000</f>
        <v>340000</v>
      </c>
      <c r="L1728" s="12">
        <f t="shared" si="160"/>
        <v>425000</v>
      </c>
      <c r="M1728" s="8">
        <v>1</v>
      </c>
      <c r="N1728" s="8" t="s">
        <v>27</v>
      </c>
      <c r="O1728" s="13" t="s">
        <v>587</v>
      </c>
      <c r="P1728" s="14">
        <v>0.2</v>
      </c>
      <c r="Q1728" s="15">
        <v>0.2</v>
      </c>
      <c r="R1728" s="16" t="str">
        <f t="shared" si="155"/>
        <v>KOMODO</v>
      </c>
      <c r="S1728" s="17"/>
      <c r="T1728" s="10" t="str">
        <f t="shared" si="161"/>
        <v>DESPLAZAMIENTO A VALLEDUPAR</v>
      </c>
    </row>
    <row r="1729" spans="1:20" ht="27" customHeight="1" x14ac:dyDescent="0.25">
      <c r="A1729" s="8" t="s">
        <v>3977</v>
      </c>
      <c r="B1729" s="9" t="s">
        <v>2515</v>
      </c>
      <c r="C1729" s="9"/>
      <c r="D1729" s="8"/>
      <c r="E1729" s="8"/>
      <c r="F1729" s="8" t="s">
        <v>22</v>
      </c>
      <c r="G1729" s="10" t="s">
        <v>3992</v>
      </c>
      <c r="H1729" s="8" t="s">
        <v>3993</v>
      </c>
      <c r="I1729" s="10" t="s">
        <v>3992</v>
      </c>
      <c r="J1729" s="11" t="s">
        <v>33</v>
      </c>
      <c r="K1729" s="18">
        <v>35000</v>
      </c>
      <c r="L1729" s="12">
        <f t="shared" si="160"/>
        <v>43800</v>
      </c>
      <c r="M1729" s="8">
        <v>1</v>
      </c>
      <c r="N1729" s="8" t="s">
        <v>27</v>
      </c>
      <c r="O1729" s="13" t="s">
        <v>587</v>
      </c>
      <c r="P1729" s="14">
        <v>0.2</v>
      </c>
      <c r="Q1729" s="15">
        <v>0.2</v>
      </c>
      <c r="R1729" s="16" t="str">
        <f t="shared" ref="R1729:R1792" si="162">A1729</f>
        <v>KOMODO</v>
      </c>
      <c r="S1729" s="17"/>
      <c r="T1729" s="10" t="str">
        <f t="shared" si="161"/>
        <v>TRANSPORTE A LA CIUDAD DE BUCARAMANGA</v>
      </c>
    </row>
    <row r="1730" spans="1:20" ht="27" customHeight="1" x14ac:dyDescent="0.25">
      <c r="A1730" s="8" t="s">
        <v>3977</v>
      </c>
      <c r="B1730" s="9" t="s">
        <v>2515</v>
      </c>
      <c r="C1730" s="9"/>
      <c r="D1730" s="8"/>
      <c r="E1730" s="8"/>
      <c r="F1730" s="8" t="s">
        <v>22</v>
      </c>
      <c r="G1730" s="10" t="s">
        <v>3994</v>
      </c>
      <c r="H1730" s="8" t="s">
        <v>3995</v>
      </c>
      <c r="I1730" s="10" t="s">
        <v>3994</v>
      </c>
      <c r="J1730" s="11" t="s">
        <v>33</v>
      </c>
      <c r="K1730" s="18">
        <v>35000</v>
      </c>
      <c r="L1730" s="12">
        <f t="shared" si="160"/>
        <v>43800</v>
      </c>
      <c r="M1730" s="8">
        <v>1</v>
      </c>
      <c r="N1730" s="8" t="s">
        <v>27</v>
      </c>
      <c r="O1730" s="13" t="s">
        <v>588</v>
      </c>
      <c r="P1730" s="14">
        <v>0.2</v>
      </c>
      <c r="Q1730" s="15">
        <v>0.2</v>
      </c>
      <c r="R1730" s="16" t="str">
        <f t="shared" si="162"/>
        <v>KOMODO</v>
      </c>
      <c r="S1730" s="17"/>
      <c r="T1730" s="10" t="str">
        <f t="shared" si="161"/>
        <v>DESPLAZAMIENTO A SOPO Y ALREDEDORES</v>
      </c>
    </row>
    <row r="1731" spans="1:20" ht="27" customHeight="1" x14ac:dyDescent="0.25">
      <c r="A1731" s="8" t="s">
        <v>3977</v>
      </c>
      <c r="B1731" s="9" t="s">
        <v>2515</v>
      </c>
      <c r="C1731" s="9"/>
      <c r="D1731" s="8"/>
      <c r="E1731" s="8"/>
      <c r="F1731" s="8" t="s">
        <v>22</v>
      </c>
      <c r="G1731" s="10" t="s">
        <v>3996</v>
      </c>
      <c r="H1731" s="8" t="s">
        <v>3997</v>
      </c>
      <c r="I1731" s="10" t="s">
        <v>3998</v>
      </c>
      <c r="J1731" s="11" t="s">
        <v>33</v>
      </c>
      <c r="K1731" s="18">
        <v>700000</v>
      </c>
      <c r="L1731" s="12">
        <f t="shared" si="160"/>
        <v>875000</v>
      </c>
      <c r="M1731" s="8">
        <v>1</v>
      </c>
      <c r="N1731" s="8" t="s">
        <v>27</v>
      </c>
      <c r="O1731" s="13" t="s">
        <v>587</v>
      </c>
      <c r="P1731" s="14">
        <v>0.2</v>
      </c>
      <c r="Q1731" s="15">
        <v>0.2</v>
      </c>
      <c r="R1731" s="16" t="str">
        <f t="shared" si="162"/>
        <v>KOMODO</v>
      </c>
      <c r="S1731" s="17"/>
      <c r="T1731" s="10" t="str">
        <f t="shared" si="161"/>
        <v>DESPLAZAMIENTOS VIÁTICOS Y DIETAS ENTRE LA CIUDAD DE BOGOTÁ Y CALI POR UN DÍA.</v>
      </c>
    </row>
    <row r="1732" spans="1:20" ht="27" customHeight="1" x14ac:dyDescent="0.25">
      <c r="A1732" s="8" t="s">
        <v>3977</v>
      </c>
      <c r="B1732" s="9" t="s">
        <v>2515</v>
      </c>
      <c r="C1732" s="9"/>
      <c r="D1732" s="8"/>
      <c r="E1732" s="8"/>
      <c r="F1732" s="8" t="s">
        <v>22</v>
      </c>
      <c r="G1732" s="10" t="s">
        <v>3999</v>
      </c>
      <c r="H1732" s="8" t="s">
        <v>4000</v>
      </c>
      <c r="I1732" s="10" t="s">
        <v>3999</v>
      </c>
      <c r="J1732" s="11" t="s">
        <v>33</v>
      </c>
      <c r="K1732" s="18">
        <v>50000</v>
      </c>
      <c r="L1732" s="12">
        <f t="shared" si="160"/>
        <v>62500</v>
      </c>
      <c r="M1732" s="8">
        <v>1</v>
      </c>
      <c r="N1732" s="8" t="s">
        <v>27</v>
      </c>
      <c r="O1732" s="13" t="s">
        <v>588</v>
      </c>
      <c r="P1732" s="14">
        <v>0.2</v>
      </c>
      <c r="Q1732" s="15">
        <v>0.2</v>
      </c>
      <c r="R1732" s="16" t="str">
        <f t="shared" si="162"/>
        <v>KOMODO</v>
      </c>
      <c r="S1732" s="17"/>
      <c r="T1732" s="10" t="str">
        <f t="shared" si="161"/>
        <v>TRANSPORTE DE EQUIPOS EN EL ÁREA</v>
      </c>
    </row>
    <row r="1733" spans="1:20" ht="27" customHeight="1" x14ac:dyDescent="0.25">
      <c r="A1733" s="8" t="s">
        <v>3977</v>
      </c>
      <c r="B1733" s="9" t="s">
        <v>2515</v>
      </c>
      <c r="C1733" s="9"/>
      <c r="D1733" s="8"/>
      <c r="E1733" s="8"/>
      <c r="F1733" s="8" t="s">
        <v>22</v>
      </c>
      <c r="G1733" s="10" t="s">
        <v>4001</v>
      </c>
      <c r="H1733" s="8" t="s">
        <v>4002</v>
      </c>
      <c r="I1733" s="10" t="s">
        <v>4001</v>
      </c>
      <c r="J1733" s="11" t="s">
        <v>33</v>
      </c>
      <c r="K1733" s="18">
        <v>435000</v>
      </c>
      <c r="L1733" s="12">
        <f t="shared" si="160"/>
        <v>483400</v>
      </c>
      <c r="M1733" s="8">
        <v>1</v>
      </c>
      <c r="N1733" s="8" t="s">
        <v>27</v>
      </c>
      <c r="O1733" s="13" t="s">
        <v>587</v>
      </c>
      <c r="P1733" s="14">
        <v>0</v>
      </c>
      <c r="Q1733" s="15">
        <v>0.1</v>
      </c>
      <c r="R1733" s="16" t="str">
        <f t="shared" si="162"/>
        <v>KOMODO</v>
      </c>
      <c r="S1733" s="17"/>
      <c r="T1733" s="10" t="str">
        <f t="shared" si="161"/>
        <v>DESPLAZAMIENTO A BARRANQUILLA EN AVIÓN</v>
      </c>
    </row>
    <row r="1734" spans="1:20" ht="27" customHeight="1" x14ac:dyDescent="0.25">
      <c r="A1734" s="8" t="s">
        <v>3977</v>
      </c>
      <c r="B1734" s="9"/>
      <c r="C1734" s="9"/>
      <c r="D1734" s="8"/>
      <c r="E1734" s="8"/>
      <c r="F1734" s="8" t="s">
        <v>22</v>
      </c>
      <c r="G1734" s="10" t="s">
        <v>4003</v>
      </c>
      <c r="H1734" s="8" t="s">
        <v>4004</v>
      </c>
      <c r="I1734" s="10" t="s">
        <v>4003</v>
      </c>
      <c r="J1734" s="11" t="s">
        <v>33</v>
      </c>
      <c r="K1734" s="18">
        <v>1</v>
      </c>
      <c r="L1734" s="12">
        <f t="shared" si="160"/>
        <v>100</v>
      </c>
      <c r="M1734" s="8">
        <v>1</v>
      </c>
      <c r="N1734" s="8" t="s">
        <v>27</v>
      </c>
      <c r="O1734" s="13" t="s">
        <v>2520</v>
      </c>
      <c r="P1734" s="14">
        <v>0.2</v>
      </c>
      <c r="Q1734" s="15">
        <v>0.3</v>
      </c>
      <c r="R1734" s="16" t="str">
        <f t="shared" si="162"/>
        <v>KOMODO</v>
      </c>
      <c r="S1734" s="17"/>
      <c r="T1734" s="10" t="str">
        <f t="shared" si="161"/>
        <v>SSWS</v>
      </c>
    </row>
    <row r="1735" spans="1:20" ht="27" customHeight="1" x14ac:dyDescent="0.25">
      <c r="A1735" s="8" t="s">
        <v>3977</v>
      </c>
      <c r="B1735" s="9"/>
      <c r="C1735" s="9"/>
      <c r="D1735" s="8"/>
      <c r="E1735" s="8"/>
      <c r="F1735" s="8" t="s">
        <v>22</v>
      </c>
      <c r="G1735" s="10" t="s">
        <v>4005</v>
      </c>
      <c r="H1735" s="8" t="s">
        <v>4006</v>
      </c>
      <c r="I1735" s="10" t="s">
        <v>4005</v>
      </c>
      <c r="J1735" s="11" t="s">
        <v>33</v>
      </c>
      <c r="K1735" s="18">
        <v>6000</v>
      </c>
      <c r="L1735" s="12">
        <f t="shared" si="160"/>
        <v>10000</v>
      </c>
      <c r="M1735" s="8">
        <v>1</v>
      </c>
      <c r="N1735" s="8" t="s">
        <v>27</v>
      </c>
      <c r="O1735" s="13" t="s">
        <v>2520</v>
      </c>
      <c r="P1735" s="14">
        <v>0</v>
      </c>
      <c r="Q1735" s="15">
        <v>0.4</v>
      </c>
      <c r="R1735" s="16" t="str">
        <f t="shared" si="162"/>
        <v>KOMODO</v>
      </c>
      <c r="S1735" s="17"/>
      <c r="T1735" s="10" t="str">
        <f t="shared" si="161"/>
        <v>INSTALACIÓN DE TOMA CORRIENTE EN CAJA, NO INCLUYE ACOMETIDAS A SUMINISTROS.</v>
      </c>
    </row>
    <row r="1736" spans="1:20" ht="27" customHeight="1" x14ac:dyDescent="0.25">
      <c r="A1736" s="8" t="s">
        <v>3977</v>
      </c>
      <c r="B1736" s="9"/>
      <c r="C1736" s="9"/>
      <c r="D1736" s="8"/>
      <c r="E1736" s="8"/>
      <c r="F1736" s="8" t="s">
        <v>22</v>
      </c>
      <c r="G1736" s="10" t="s">
        <v>4007</v>
      </c>
      <c r="H1736" s="8" t="s">
        <v>4008</v>
      </c>
      <c r="I1736" s="10" t="s">
        <v>4007</v>
      </c>
      <c r="J1736" s="11" t="s">
        <v>33</v>
      </c>
      <c r="K1736" s="18">
        <v>105000</v>
      </c>
      <c r="L1736" s="12">
        <f t="shared" si="160"/>
        <v>175000</v>
      </c>
      <c r="M1736" s="8">
        <v>1</v>
      </c>
      <c r="N1736" s="8" t="s">
        <v>27</v>
      </c>
      <c r="O1736" s="13" t="s">
        <v>2520</v>
      </c>
      <c r="P1736" s="14">
        <v>0</v>
      </c>
      <c r="Q1736" s="15">
        <v>0.4</v>
      </c>
      <c r="R1736" s="16" t="str">
        <f t="shared" si="162"/>
        <v>KOMODO</v>
      </c>
      <c r="S1736" s="17"/>
      <c r="T1736" s="10" t="str">
        <f t="shared" si="161"/>
        <v>INSTALACIÓN DE MEDIDOR DE CORRIENTE EN RIEL</v>
      </c>
    </row>
    <row r="1737" spans="1:20" ht="27" customHeight="1" x14ac:dyDescent="0.25">
      <c r="A1737" s="8" t="s">
        <v>3977</v>
      </c>
      <c r="B1737" s="9" t="s">
        <v>2515</v>
      </c>
      <c r="C1737" s="9"/>
      <c r="D1737" s="8" t="s">
        <v>4009</v>
      </c>
      <c r="E1737" s="8" t="s">
        <v>4010</v>
      </c>
      <c r="F1737" s="8" t="s">
        <v>22</v>
      </c>
      <c r="G1737" s="10" t="s">
        <v>4011</v>
      </c>
      <c r="H1737" s="8" t="s">
        <v>4012</v>
      </c>
      <c r="I1737" s="10" t="s">
        <v>4013</v>
      </c>
      <c r="J1737" s="11" t="s">
        <v>33</v>
      </c>
      <c r="K1737" s="18">
        <v>20000</v>
      </c>
      <c r="L1737" s="12">
        <f t="shared" si="160"/>
        <v>33400</v>
      </c>
      <c r="M1737" s="8">
        <v>1</v>
      </c>
      <c r="N1737" s="8" t="s">
        <v>27</v>
      </c>
      <c r="O1737" s="13" t="s">
        <v>588</v>
      </c>
      <c r="P1737" s="14">
        <v>0.2</v>
      </c>
      <c r="Q1737" s="15">
        <v>0.4</v>
      </c>
      <c r="R1737" s="16" t="str">
        <f t="shared" si="162"/>
        <v>KOMODO</v>
      </c>
      <c r="S1737" s="17"/>
      <c r="T1737" s="10" t="str">
        <f t="shared" si="161"/>
        <v>INSTALACIÓN DE BALASTRO EN LÁMPARA.</v>
      </c>
    </row>
    <row r="1738" spans="1:20" ht="27" customHeight="1" x14ac:dyDescent="0.25">
      <c r="A1738" s="8" t="s">
        <v>3977</v>
      </c>
      <c r="B1738" s="9"/>
      <c r="C1738" s="9"/>
      <c r="D1738" s="8"/>
      <c r="E1738" s="8"/>
      <c r="F1738" s="8" t="s">
        <v>22</v>
      </c>
      <c r="G1738" s="10" t="s">
        <v>4014</v>
      </c>
      <c r="H1738" s="8" t="s">
        <v>4015</v>
      </c>
      <c r="I1738" s="10" t="s">
        <v>4014</v>
      </c>
      <c r="J1738" s="11" t="s">
        <v>33</v>
      </c>
      <c r="K1738" s="18">
        <v>1500</v>
      </c>
      <c r="L1738" s="12">
        <f t="shared" si="160"/>
        <v>2500</v>
      </c>
      <c r="M1738" s="8">
        <v>1</v>
      </c>
      <c r="N1738" s="8" t="s">
        <v>27</v>
      </c>
      <c r="O1738" s="13" t="s">
        <v>588</v>
      </c>
      <c r="P1738" s="14">
        <v>0.2</v>
      </c>
      <c r="Q1738" s="15">
        <v>0.4</v>
      </c>
      <c r="R1738" s="16" t="str">
        <f t="shared" si="162"/>
        <v>KOMODO</v>
      </c>
      <c r="S1738" s="17"/>
      <c r="T1738" s="10" t="str">
        <f t="shared" si="161"/>
        <v>LIMPIEZA DE SUPERFICIE DE LUMINARIA CON DESENGRASANTE Y/O VARSOL</v>
      </c>
    </row>
    <row r="1739" spans="1:20" ht="27" customHeight="1" x14ac:dyDescent="0.25">
      <c r="A1739" s="8" t="s">
        <v>3977</v>
      </c>
      <c r="B1739" s="9"/>
      <c r="C1739" s="9"/>
      <c r="D1739" s="8"/>
      <c r="E1739" s="8"/>
      <c r="F1739" s="8" t="s">
        <v>22</v>
      </c>
      <c r="G1739" s="10" t="s">
        <v>4016</v>
      </c>
      <c r="H1739" s="8" t="s">
        <v>4017</v>
      </c>
      <c r="I1739" s="10" t="s">
        <v>4016</v>
      </c>
      <c r="J1739" s="11" t="s">
        <v>33</v>
      </c>
      <c r="K1739" s="18">
        <v>9000</v>
      </c>
      <c r="L1739" s="12">
        <f t="shared" si="160"/>
        <v>15000</v>
      </c>
      <c r="M1739" s="8">
        <v>1</v>
      </c>
      <c r="N1739" s="8" t="s">
        <v>27</v>
      </c>
      <c r="O1739" s="13" t="s">
        <v>588</v>
      </c>
      <c r="P1739" s="14">
        <v>0.2</v>
      </c>
      <c r="Q1739" s="15">
        <v>0.4</v>
      </c>
      <c r="R1739" s="16" t="str">
        <f t="shared" si="162"/>
        <v>KOMODO</v>
      </c>
      <c r="S1739" s="17"/>
      <c r="T1739" s="10" t="str">
        <f t="shared" si="161"/>
        <v>DESINSTALACIÓN DE LUMINARIA Y ORGANIZACIÓN DE SOBRANTE.</v>
      </c>
    </row>
    <row r="1740" spans="1:20" ht="27" customHeight="1" x14ac:dyDescent="0.25">
      <c r="A1740" s="8" t="s">
        <v>3977</v>
      </c>
      <c r="B1740" s="9" t="s">
        <v>2515</v>
      </c>
      <c r="C1740" s="9"/>
      <c r="D1740" s="8" t="s">
        <v>4009</v>
      </c>
      <c r="E1740" s="8"/>
      <c r="F1740" s="8" t="s">
        <v>22</v>
      </c>
      <c r="G1740" s="10" t="s">
        <v>4018</v>
      </c>
      <c r="H1740" s="8" t="s">
        <v>4019</v>
      </c>
      <c r="I1740" s="10" t="s">
        <v>4020</v>
      </c>
      <c r="J1740" s="11" t="s">
        <v>33</v>
      </c>
      <c r="K1740" s="18">
        <f>1200000*1.53/20/8*4</f>
        <v>45900</v>
      </c>
      <c r="L1740" s="12">
        <f t="shared" si="160"/>
        <v>91800</v>
      </c>
      <c r="M1740" s="8">
        <v>1</v>
      </c>
      <c r="N1740" s="8" t="s">
        <v>27</v>
      </c>
      <c r="O1740" s="13" t="s">
        <v>588</v>
      </c>
      <c r="P1740" s="14">
        <v>0.2</v>
      </c>
      <c r="Q1740" s="15">
        <v>0.5</v>
      </c>
      <c r="R1740" s="16" t="str">
        <f t="shared" si="162"/>
        <v>KOMODO</v>
      </c>
      <c r="S1740" s="17"/>
      <c r="T1740" s="10" t="str">
        <f t="shared" si="161"/>
        <v>JORNADA DE 4 HORAS CON TÉCNICO ELÉCTRICO PARA REVISIONES ELÉCTRICAS.</v>
      </c>
    </row>
    <row r="1741" spans="1:20" ht="27" customHeight="1" x14ac:dyDescent="0.25">
      <c r="A1741" s="8" t="s">
        <v>3977</v>
      </c>
      <c r="B1741" s="9" t="s">
        <v>2515</v>
      </c>
      <c r="C1741" s="9"/>
      <c r="D1741" s="8" t="s">
        <v>4009</v>
      </c>
      <c r="E1741" s="8"/>
      <c r="F1741" s="8" t="s">
        <v>22</v>
      </c>
      <c r="G1741" s="10" t="s">
        <v>4021</v>
      </c>
      <c r="H1741" s="8" t="s">
        <v>4022</v>
      </c>
      <c r="I1741" s="10" t="s">
        <v>4021</v>
      </c>
      <c r="J1741" s="11" t="s">
        <v>33</v>
      </c>
      <c r="K1741" s="18">
        <v>20000</v>
      </c>
      <c r="L1741" s="12">
        <f t="shared" si="160"/>
        <v>33400</v>
      </c>
      <c r="M1741" s="8">
        <v>1</v>
      </c>
      <c r="N1741" s="8" t="s">
        <v>27</v>
      </c>
      <c r="O1741" s="13"/>
      <c r="P1741" s="14">
        <v>0.2</v>
      </c>
      <c r="Q1741" s="15">
        <v>0.4</v>
      </c>
      <c r="R1741" s="16" t="str">
        <f t="shared" si="162"/>
        <v>KOMODO</v>
      </c>
      <c r="S1741" s="17"/>
      <c r="T1741" s="10" t="str">
        <f t="shared" si="161"/>
        <v>REPOTENCIACIÓN Y CAMBIO DE TUBO FLUORESCENTE A REGLETA LED.</v>
      </c>
    </row>
    <row r="1742" spans="1:20" ht="27" customHeight="1" x14ac:dyDescent="0.25">
      <c r="A1742" s="8" t="s">
        <v>3977</v>
      </c>
      <c r="B1742" s="9" t="s">
        <v>2515</v>
      </c>
      <c r="C1742" s="9"/>
      <c r="D1742" s="8" t="s">
        <v>4009</v>
      </c>
      <c r="E1742" s="8" t="s">
        <v>4023</v>
      </c>
      <c r="F1742" s="8" t="s">
        <v>22</v>
      </c>
      <c r="G1742" s="10" t="s">
        <v>4024</v>
      </c>
      <c r="H1742" s="8" t="s">
        <v>4025</v>
      </c>
      <c r="I1742" s="10" t="s">
        <v>4026</v>
      </c>
      <c r="J1742" s="11" t="s">
        <v>33</v>
      </c>
      <c r="K1742" s="18">
        <v>50000</v>
      </c>
      <c r="L1742" s="12">
        <f t="shared" si="160"/>
        <v>83400</v>
      </c>
      <c r="M1742" s="8">
        <v>1</v>
      </c>
      <c r="N1742" s="8" t="s">
        <v>27</v>
      </c>
      <c r="O1742" s="13" t="s">
        <v>587</v>
      </c>
      <c r="P1742" s="14">
        <v>0.2</v>
      </c>
      <c r="Q1742" s="15">
        <v>0.4</v>
      </c>
      <c r="R1742" s="16" t="str">
        <f t="shared" si="162"/>
        <v>KOMODO</v>
      </c>
      <c r="S1742" s="17"/>
      <c r="T1742" s="10" t="str">
        <f t="shared" si="161"/>
        <v>INSTALACIÓN DE EQUIPO TIPO GRAFIK. NO INCLUYE ACOMETIDAS.</v>
      </c>
    </row>
    <row r="1743" spans="1:20" ht="27" customHeight="1" x14ac:dyDescent="0.25">
      <c r="A1743" s="8" t="s">
        <v>3977</v>
      </c>
      <c r="B1743" s="9" t="s">
        <v>2515</v>
      </c>
      <c r="C1743" s="9"/>
      <c r="D1743" s="8" t="s">
        <v>4009</v>
      </c>
      <c r="E1743" s="8" t="s">
        <v>4027</v>
      </c>
      <c r="F1743" s="8" t="s">
        <v>22</v>
      </c>
      <c r="G1743" s="10" t="s">
        <v>4028</v>
      </c>
      <c r="H1743" s="8" t="s">
        <v>4029</v>
      </c>
      <c r="I1743" s="10" t="s">
        <v>4030</v>
      </c>
      <c r="J1743" s="11" t="s">
        <v>33</v>
      </c>
      <c r="K1743" s="18">
        <v>650</v>
      </c>
      <c r="L1743" s="12">
        <f t="shared" si="160"/>
        <v>1100</v>
      </c>
      <c r="M1743" s="8">
        <v>1</v>
      </c>
      <c r="N1743" s="8" t="s">
        <v>27</v>
      </c>
      <c r="O1743" s="13" t="s">
        <v>588</v>
      </c>
      <c r="P1743" s="14">
        <v>0.2</v>
      </c>
      <c r="Q1743" s="15">
        <v>0.4</v>
      </c>
      <c r="R1743" s="16" t="str">
        <f t="shared" si="162"/>
        <v>KOMODO</v>
      </c>
      <c r="S1743" s="17"/>
      <c r="T1743" s="10" t="str">
        <f t="shared" si="161"/>
        <v>INSTALACIÓN DE METRO DE CABLE EN DUCTERIA O INFRA ESTRUCTURA EXISTENTE.</v>
      </c>
    </row>
    <row r="1744" spans="1:20" ht="27" customHeight="1" x14ac:dyDescent="0.25">
      <c r="A1744" s="8" t="s">
        <v>3977</v>
      </c>
      <c r="B1744" s="9" t="s">
        <v>2515</v>
      </c>
      <c r="C1744" s="9"/>
      <c r="D1744" s="8" t="s">
        <v>4009</v>
      </c>
      <c r="E1744" s="8" t="s">
        <v>869</v>
      </c>
      <c r="F1744" s="8" t="s">
        <v>22</v>
      </c>
      <c r="G1744" s="10" t="s">
        <v>4031</v>
      </c>
      <c r="H1744" s="8" t="s">
        <v>4032</v>
      </c>
      <c r="I1744" s="10" t="s">
        <v>4031</v>
      </c>
      <c r="J1744" s="11" t="s">
        <v>33</v>
      </c>
      <c r="K1744" s="18">
        <v>20000</v>
      </c>
      <c r="L1744" s="12">
        <f t="shared" si="160"/>
        <v>40000</v>
      </c>
      <c r="M1744" s="8">
        <v>1</v>
      </c>
      <c r="N1744" s="8" t="s">
        <v>27</v>
      </c>
      <c r="O1744" s="13" t="s">
        <v>587</v>
      </c>
      <c r="P1744" s="14">
        <v>0.2</v>
      </c>
      <c r="Q1744" s="15">
        <v>0.5</v>
      </c>
      <c r="R1744" s="16" t="str">
        <f t="shared" si="162"/>
        <v>KOMODO</v>
      </c>
      <c r="S1744" s="17"/>
      <c r="T1744" s="10" t="str">
        <f t="shared" si="161"/>
        <v>INSTALACIÓN DE ALTAVOZ, NO INCLUYE OBRAS CIVILES.</v>
      </c>
    </row>
    <row r="1745" spans="1:20" ht="27" customHeight="1" x14ac:dyDescent="0.25">
      <c r="A1745" s="8" t="s">
        <v>3977</v>
      </c>
      <c r="B1745" s="9" t="s">
        <v>2515</v>
      </c>
      <c r="C1745" s="9"/>
      <c r="D1745" s="8" t="s">
        <v>4009</v>
      </c>
      <c r="E1745" s="8" t="s">
        <v>4033</v>
      </c>
      <c r="F1745" s="8" t="s">
        <v>22</v>
      </c>
      <c r="G1745" s="10" t="s">
        <v>4034</v>
      </c>
      <c r="H1745" s="8" t="s">
        <v>4035</v>
      </c>
      <c r="I1745" s="10" t="s">
        <v>4034</v>
      </c>
      <c r="J1745" s="11" t="s">
        <v>33</v>
      </c>
      <c r="K1745" s="18">
        <v>20000</v>
      </c>
      <c r="L1745" s="12">
        <f t="shared" si="160"/>
        <v>40000</v>
      </c>
      <c r="M1745" s="8">
        <v>1</v>
      </c>
      <c r="N1745" s="8" t="s">
        <v>27</v>
      </c>
      <c r="O1745" s="13" t="s">
        <v>588</v>
      </c>
      <c r="P1745" s="14">
        <v>0.2</v>
      </c>
      <c r="Q1745" s="15">
        <v>0.5</v>
      </c>
      <c r="R1745" s="16" t="str">
        <f t="shared" si="162"/>
        <v>KOMODO</v>
      </c>
      <c r="S1745" s="17"/>
      <c r="T1745" s="10" t="str">
        <f t="shared" si="161"/>
        <v>INSTALACIÓN DE AMPLIFICADOR DE UNA ZONA, NO INCLUYE OBRAS CIVILES.</v>
      </c>
    </row>
    <row r="1746" spans="1:20" ht="27" customHeight="1" x14ac:dyDescent="0.25">
      <c r="A1746" s="8" t="s">
        <v>3977</v>
      </c>
      <c r="B1746" s="9" t="s">
        <v>2515</v>
      </c>
      <c r="C1746" s="9"/>
      <c r="D1746" s="8" t="s">
        <v>4009</v>
      </c>
      <c r="E1746" s="8" t="s">
        <v>4036</v>
      </c>
      <c r="F1746" s="8" t="s">
        <v>22</v>
      </c>
      <c r="G1746" s="10" t="s">
        <v>4037</v>
      </c>
      <c r="H1746" s="8" t="s">
        <v>4038</v>
      </c>
      <c r="I1746" s="10" t="s">
        <v>4037</v>
      </c>
      <c r="J1746" s="11" t="s">
        <v>33</v>
      </c>
      <c r="K1746" s="18">
        <v>25000</v>
      </c>
      <c r="L1746" s="12">
        <f t="shared" si="160"/>
        <v>50000</v>
      </c>
      <c r="M1746" s="8">
        <v>1</v>
      </c>
      <c r="N1746" s="8" t="s">
        <v>27</v>
      </c>
      <c r="O1746" s="13" t="s">
        <v>587</v>
      </c>
      <c r="P1746" s="14">
        <v>0.2</v>
      </c>
      <c r="Q1746" s="15">
        <v>0.5</v>
      </c>
      <c r="R1746" s="16" t="str">
        <f t="shared" si="162"/>
        <v>KOMODO</v>
      </c>
      <c r="S1746" s="17"/>
      <c r="T1746" s="10" t="str">
        <f t="shared" si="161"/>
        <v>INSTALACIÓN DE AMPLIFICADOR DE 2 ZONAS, NO INCLUYE OBRAS CIVILES.</v>
      </c>
    </row>
    <row r="1747" spans="1:20" ht="27" customHeight="1" x14ac:dyDescent="0.25">
      <c r="A1747" s="8" t="s">
        <v>3977</v>
      </c>
      <c r="B1747" s="9" t="s">
        <v>2515</v>
      </c>
      <c r="C1747" s="9"/>
      <c r="D1747" s="8" t="s">
        <v>4009</v>
      </c>
      <c r="E1747" s="8" t="s">
        <v>4039</v>
      </c>
      <c r="F1747" s="8" t="s">
        <v>22</v>
      </c>
      <c r="G1747" s="10" t="s">
        <v>4040</v>
      </c>
      <c r="H1747" s="8" t="s">
        <v>4041</v>
      </c>
      <c r="I1747" s="10" t="s">
        <v>4040</v>
      </c>
      <c r="J1747" s="11" t="s">
        <v>33</v>
      </c>
      <c r="K1747" s="18">
        <v>35000</v>
      </c>
      <c r="L1747" s="12">
        <f t="shared" si="160"/>
        <v>70000</v>
      </c>
      <c r="M1747" s="8">
        <v>1</v>
      </c>
      <c r="N1747" s="8" t="s">
        <v>27</v>
      </c>
      <c r="O1747" s="13" t="s">
        <v>588</v>
      </c>
      <c r="P1747" s="14">
        <v>0.2</v>
      </c>
      <c r="Q1747" s="15">
        <v>0.5</v>
      </c>
      <c r="R1747" s="16" t="str">
        <f t="shared" si="162"/>
        <v>KOMODO</v>
      </c>
      <c r="S1747" s="17"/>
      <c r="T1747" s="10" t="str">
        <f t="shared" si="161"/>
        <v>INSTALACIÓN DE AMPLIFICADOR DE 3 ZONAS, NO INCLUYE OBRAS CIVILES.</v>
      </c>
    </row>
    <row r="1748" spans="1:20" ht="27" customHeight="1" x14ac:dyDescent="0.25">
      <c r="A1748" s="8" t="s">
        <v>3977</v>
      </c>
      <c r="B1748" s="9" t="s">
        <v>2515</v>
      </c>
      <c r="C1748" s="9"/>
      <c r="D1748" s="8" t="s">
        <v>4009</v>
      </c>
      <c r="E1748" s="8" t="s">
        <v>4042</v>
      </c>
      <c r="F1748" s="8" t="s">
        <v>22</v>
      </c>
      <c r="G1748" s="10" t="s">
        <v>4043</v>
      </c>
      <c r="H1748" s="8" t="s">
        <v>4044</v>
      </c>
      <c r="I1748" s="10" t="s">
        <v>4043</v>
      </c>
      <c r="J1748" s="11" t="s">
        <v>33</v>
      </c>
      <c r="K1748" s="18">
        <v>45000</v>
      </c>
      <c r="L1748" s="12">
        <f t="shared" si="160"/>
        <v>90000</v>
      </c>
      <c r="M1748" s="8">
        <v>1</v>
      </c>
      <c r="N1748" s="8" t="s">
        <v>27</v>
      </c>
      <c r="O1748" s="13" t="s">
        <v>587</v>
      </c>
      <c r="P1748" s="14">
        <v>0.2</v>
      </c>
      <c r="Q1748" s="15">
        <v>0.5</v>
      </c>
      <c r="R1748" s="16" t="str">
        <f t="shared" si="162"/>
        <v>KOMODO</v>
      </c>
      <c r="S1748" s="17"/>
      <c r="T1748" s="10" t="str">
        <f t="shared" si="161"/>
        <v>INSTALACIÓN DE AMPLIFICADOR DE 4 ZONAS, NO INCLUYE OBRAS CIVILES.</v>
      </c>
    </row>
    <row r="1749" spans="1:20" ht="27" customHeight="1" x14ac:dyDescent="0.25">
      <c r="A1749" s="8" t="s">
        <v>3977</v>
      </c>
      <c r="B1749" s="9" t="s">
        <v>2515</v>
      </c>
      <c r="C1749" s="9"/>
      <c r="D1749" s="8" t="s">
        <v>4009</v>
      </c>
      <c r="E1749" s="8" t="s">
        <v>4045</v>
      </c>
      <c r="F1749" s="8" t="s">
        <v>22</v>
      </c>
      <c r="G1749" s="10" t="s">
        <v>4046</v>
      </c>
      <c r="H1749" s="8" t="s">
        <v>4047</v>
      </c>
      <c r="I1749" s="10" t="s">
        <v>4046</v>
      </c>
      <c r="J1749" s="11" t="s">
        <v>33</v>
      </c>
      <c r="K1749" s="18">
        <v>55000</v>
      </c>
      <c r="L1749" s="12">
        <f t="shared" si="160"/>
        <v>110000</v>
      </c>
      <c r="M1749" s="8">
        <v>1</v>
      </c>
      <c r="N1749" s="8" t="s">
        <v>27</v>
      </c>
      <c r="O1749" s="13" t="s">
        <v>588</v>
      </c>
      <c r="P1749" s="14">
        <v>0.2</v>
      </c>
      <c r="Q1749" s="15">
        <v>0.5</v>
      </c>
      <c r="R1749" s="16" t="str">
        <f t="shared" si="162"/>
        <v>KOMODO</v>
      </c>
      <c r="S1749" s="17"/>
      <c r="T1749" s="10" t="str">
        <f t="shared" si="161"/>
        <v>INSTALACIÓN DE AMPLIFICADOR DE 6 ZONAS, NO INCLUYE OBRAS CIVILES.</v>
      </c>
    </row>
    <row r="1750" spans="1:20" ht="27" customHeight="1" x14ac:dyDescent="0.25">
      <c r="A1750" s="8" t="s">
        <v>3977</v>
      </c>
      <c r="B1750" s="9" t="s">
        <v>2515</v>
      </c>
      <c r="C1750" s="9"/>
      <c r="D1750" s="8" t="s">
        <v>4009</v>
      </c>
      <c r="E1750" s="8" t="s">
        <v>4048</v>
      </c>
      <c r="F1750" s="8" t="s">
        <v>22</v>
      </c>
      <c r="G1750" s="10" t="s">
        <v>4049</v>
      </c>
      <c r="H1750" s="8" t="s">
        <v>4050</v>
      </c>
      <c r="I1750" s="10" t="s">
        <v>4049</v>
      </c>
      <c r="J1750" s="11" t="s">
        <v>33</v>
      </c>
      <c r="K1750" s="18">
        <v>65000</v>
      </c>
      <c r="L1750" s="12">
        <f t="shared" si="160"/>
        <v>130000</v>
      </c>
      <c r="M1750" s="8">
        <v>1</v>
      </c>
      <c r="N1750" s="8" t="s">
        <v>27</v>
      </c>
      <c r="O1750" s="13" t="s">
        <v>587</v>
      </c>
      <c r="P1750" s="14">
        <v>0.2</v>
      </c>
      <c r="Q1750" s="15">
        <v>0.5</v>
      </c>
      <c r="R1750" s="16" t="str">
        <f t="shared" si="162"/>
        <v>KOMODO</v>
      </c>
      <c r="S1750" s="17"/>
      <c r="T1750" s="10" t="str">
        <f t="shared" si="161"/>
        <v>INSTALACIÓN DE AMPLIFICADOR DE 8 ZONAS, NO INCLUYE OBRAS CIVILES.</v>
      </c>
    </row>
    <row r="1751" spans="1:20" ht="27" customHeight="1" x14ac:dyDescent="0.25">
      <c r="A1751" s="8" t="s">
        <v>3977</v>
      </c>
      <c r="B1751" s="9" t="s">
        <v>2515</v>
      </c>
      <c r="C1751" s="9"/>
      <c r="D1751" s="8" t="s">
        <v>4009</v>
      </c>
      <c r="E1751" s="8" t="s">
        <v>4051</v>
      </c>
      <c r="F1751" s="8" t="s">
        <v>22</v>
      </c>
      <c r="G1751" s="10" t="s">
        <v>4052</v>
      </c>
      <c r="H1751" s="8" t="s">
        <v>4053</v>
      </c>
      <c r="I1751" s="10" t="s">
        <v>4054</v>
      </c>
      <c r="J1751" s="11" t="s">
        <v>33</v>
      </c>
      <c r="K1751" s="18">
        <v>170000</v>
      </c>
      <c r="L1751" s="12">
        <f t="shared" si="160"/>
        <v>242900</v>
      </c>
      <c r="M1751" s="8">
        <v>1</v>
      </c>
      <c r="N1751" s="8" t="s">
        <v>27</v>
      </c>
      <c r="O1751" s="13" t="s">
        <v>588</v>
      </c>
      <c r="P1751" s="14">
        <v>0.2</v>
      </c>
      <c r="Q1751" s="15">
        <v>0.3</v>
      </c>
      <c r="R1751" s="16" t="str">
        <f t="shared" si="162"/>
        <v>KOMODO</v>
      </c>
      <c r="S1751" s="17"/>
      <c r="T1751" s="10" t="str">
        <f t="shared" si="161"/>
        <v>INSTALACIÓN DE CHAPA EN PUERTA DE MADERA O ALUMINIO.</v>
      </c>
    </row>
    <row r="1752" spans="1:20" ht="27" customHeight="1" x14ac:dyDescent="0.25">
      <c r="A1752" s="8" t="s">
        <v>3977</v>
      </c>
      <c r="B1752" s="9" t="s">
        <v>2515</v>
      </c>
      <c r="C1752" s="9"/>
      <c r="D1752" s="8" t="s">
        <v>4009</v>
      </c>
      <c r="E1752" s="8" t="s">
        <v>4055</v>
      </c>
      <c r="F1752" s="8" t="s">
        <v>22</v>
      </c>
      <c r="G1752" s="10" t="s">
        <v>4056</v>
      </c>
      <c r="H1752" s="8" t="s">
        <v>4057</v>
      </c>
      <c r="I1752" s="10" t="s">
        <v>4056</v>
      </c>
      <c r="J1752" s="11" t="s">
        <v>33</v>
      </c>
      <c r="K1752" s="18">
        <v>450</v>
      </c>
      <c r="L1752" s="12">
        <f t="shared" ref="L1752:L1783" si="163">IF(J1752="P",ROUNDUP(K1752/(1-Q1752),-2),K1752*(1+P1752)/(1-Q1752))</f>
        <v>700</v>
      </c>
      <c r="M1752" s="8">
        <v>1</v>
      </c>
      <c r="N1752" s="8" t="s">
        <v>27</v>
      </c>
      <c r="O1752" s="13" t="s">
        <v>587</v>
      </c>
      <c r="P1752" s="14">
        <v>0.2</v>
      </c>
      <c r="Q1752" s="15">
        <v>0.28000000000000003</v>
      </c>
      <c r="R1752" s="16" t="str">
        <f t="shared" si="162"/>
        <v>KOMODO</v>
      </c>
      <c r="S1752" s="17"/>
      <c r="T1752" s="10" t="str">
        <f t="shared" si="161"/>
        <v>INSTALACIÓN DE METRO DE CABLE EN DUCTERIA SUMINISTRADA POR TERCEROS.</v>
      </c>
    </row>
    <row r="1753" spans="1:20" ht="27" customHeight="1" x14ac:dyDescent="0.25">
      <c r="A1753" s="8" t="s">
        <v>3977</v>
      </c>
      <c r="B1753" s="9" t="s">
        <v>2515</v>
      </c>
      <c r="C1753" s="9"/>
      <c r="D1753" s="8" t="s">
        <v>4009</v>
      </c>
      <c r="E1753" s="8" t="s">
        <v>4058</v>
      </c>
      <c r="F1753" s="8" t="s">
        <v>22</v>
      </c>
      <c r="G1753" s="10" t="s">
        <v>4059</v>
      </c>
      <c r="H1753" s="8" t="s">
        <v>4060</v>
      </c>
      <c r="I1753" s="10" t="s">
        <v>4061</v>
      </c>
      <c r="J1753" s="11" t="s">
        <v>33</v>
      </c>
      <c r="K1753" s="18">
        <v>18000</v>
      </c>
      <c r="L1753" s="12">
        <f t="shared" si="163"/>
        <v>25800</v>
      </c>
      <c r="M1753" s="8">
        <v>1</v>
      </c>
      <c r="N1753" s="8" t="s">
        <v>27</v>
      </c>
      <c r="O1753" s="13" t="s">
        <v>588</v>
      </c>
      <c r="P1753" s="14">
        <v>0.2</v>
      </c>
      <c r="Q1753" s="15">
        <v>0.3</v>
      </c>
      <c r="R1753" s="16" t="str">
        <f t="shared" si="162"/>
        <v>KOMODO</v>
      </c>
      <c r="S1753" s="17"/>
      <c r="T1753" s="10" t="str">
        <f t="shared" si="161"/>
        <v xml:space="preserve">INSTALACIÓN DE INTERRUPTOR O DIMMER. </v>
      </c>
    </row>
    <row r="1754" spans="1:20" ht="27" customHeight="1" x14ac:dyDescent="0.25">
      <c r="A1754" s="8" t="s">
        <v>3977</v>
      </c>
      <c r="B1754" s="9" t="s">
        <v>2515</v>
      </c>
      <c r="C1754" s="9"/>
      <c r="D1754" s="8" t="s">
        <v>4009</v>
      </c>
      <c r="E1754" s="8" t="s">
        <v>188</v>
      </c>
      <c r="F1754" s="8" t="s">
        <v>22</v>
      </c>
      <c r="G1754" s="10" t="s">
        <v>4062</v>
      </c>
      <c r="H1754" s="8" t="s">
        <v>4063</v>
      </c>
      <c r="I1754" s="10" t="s">
        <v>4064</v>
      </c>
      <c r="J1754" s="11" t="s">
        <v>33</v>
      </c>
      <c r="K1754" s="18">
        <v>18000</v>
      </c>
      <c r="L1754" s="12">
        <f t="shared" si="163"/>
        <v>25800</v>
      </c>
      <c r="M1754" s="8">
        <v>1</v>
      </c>
      <c r="N1754" s="8" t="s">
        <v>27</v>
      </c>
      <c r="O1754" s="13" t="s">
        <v>587</v>
      </c>
      <c r="P1754" s="14">
        <v>0.2</v>
      </c>
      <c r="Q1754" s="15">
        <v>0.3</v>
      </c>
      <c r="R1754" s="16" t="str">
        <f t="shared" si="162"/>
        <v>KOMODO</v>
      </c>
      <c r="S1754" s="17"/>
      <c r="T1754" s="10" t="str">
        <f t="shared" si="161"/>
        <v>INSTALACIÓN DE TECLADO DE CONTROL.</v>
      </c>
    </row>
    <row r="1755" spans="1:20" ht="27" customHeight="1" x14ac:dyDescent="0.25">
      <c r="A1755" s="8" t="s">
        <v>3977</v>
      </c>
      <c r="B1755" s="9" t="s">
        <v>2515</v>
      </c>
      <c r="C1755" s="9"/>
      <c r="D1755" s="8" t="s">
        <v>4009</v>
      </c>
      <c r="E1755" s="8" t="s">
        <v>4065</v>
      </c>
      <c r="F1755" s="8" t="s">
        <v>22</v>
      </c>
      <c r="G1755" s="10" t="s">
        <v>4066</v>
      </c>
      <c r="H1755" s="8" t="s">
        <v>4067</v>
      </c>
      <c r="I1755" s="10" t="s">
        <v>4068</v>
      </c>
      <c r="J1755" s="11" t="s">
        <v>33</v>
      </c>
      <c r="K1755" s="18">
        <v>125000</v>
      </c>
      <c r="L1755" s="12">
        <f t="shared" si="163"/>
        <v>178600</v>
      </c>
      <c r="M1755" s="8">
        <v>1</v>
      </c>
      <c r="N1755" s="8" t="s">
        <v>27</v>
      </c>
      <c r="O1755" s="13" t="s">
        <v>588</v>
      </c>
      <c r="P1755" s="14">
        <v>0.2</v>
      </c>
      <c r="Q1755" s="15">
        <v>0.3</v>
      </c>
      <c r="R1755" s="16" t="str">
        <f t="shared" si="162"/>
        <v>KOMODO</v>
      </c>
      <c r="S1755" s="17"/>
      <c r="T1755" s="10" t="str">
        <f t="shared" si="161"/>
        <v>INSTALACIÓN DE EQUIPO DE PRESENTACIÓN INALÁMBRICA.</v>
      </c>
    </row>
    <row r="1756" spans="1:20" ht="27" customHeight="1" x14ac:dyDescent="0.25">
      <c r="A1756" s="8" t="s">
        <v>3977</v>
      </c>
      <c r="B1756" s="9" t="s">
        <v>2515</v>
      </c>
      <c r="C1756" s="9"/>
      <c r="D1756" s="8" t="s">
        <v>4009</v>
      </c>
      <c r="E1756" s="8" t="s">
        <v>208</v>
      </c>
      <c r="F1756" s="8" t="s">
        <v>22</v>
      </c>
      <c r="G1756" s="10" t="s">
        <v>4069</v>
      </c>
      <c r="H1756" s="8" t="s">
        <v>4070</v>
      </c>
      <c r="I1756" s="10" t="s">
        <v>4069</v>
      </c>
      <c r="J1756" s="11" t="s">
        <v>33</v>
      </c>
      <c r="K1756" s="18">
        <v>150000</v>
      </c>
      <c r="L1756" s="12">
        <f t="shared" si="163"/>
        <v>214300</v>
      </c>
      <c r="M1756" s="8">
        <v>1</v>
      </c>
      <c r="N1756" s="8" t="s">
        <v>27</v>
      </c>
      <c r="O1756" s="13" t="s">
        <v>587</v>
      </c>
      <c r="P1756" s="14">
        <v>0.2</v>
      </c>
      <c r="Q1756" s="15">
        <v>0.3</v>
      </c>
      <c r="R1756" s="16" t="str">
        <f t="shared" si="162"/>
        <v>KOMODO</v>
      </c>
      <c r="S1756" s="17"/>
      <c r="T1756" s="10" t="str">
        <f t="shared" si="161"/>
        <v>PROGRAMACIÓN E INTEGRACIÓN DE PROYECTOR MEDIANTE PROTOCOLO RS_232 O IP.</v>
      </c>
    </row>
    <row r="1757" spans="1:20" ht="27" customHeight="1" x14ac:dyDescent="0.25">
      <c r="A1757" s="8" t="s">
        <v>3977</v>
      </c>
      <c r="B1757" s="9" t="s">
        <v>2515</v>
      </c>
      <c r="C1757" s="9"/>
      <c r="D1757" s="8" t="s">
        <v>4009</v>
      </c>
      <c r="E1757" s="8" t="s">
        <v>4071</v>
      </c>
      <c r="F1757" s="8" t="s">
        <v>22</v>
      </c>
      <c r="G1757" s="10" t="s">
        <v>4072</v>
      </c>
      <c r="H1757" s="8" t="s">
        <v>4073</v>
      </c>
      <c r="I1757" s="10" t="s">
        <v>4072</v>
      </c>
      <c r="J1757" s="11" t="s">
        <v>33</v>
      </c>
      <c r="K1757" s="18">
        <v>120000</v>
      </c>
      <c r="L1757" s="12">
        <f t="shared" si="163"/>
        <v>171500</v>
      </c>
      <c r="M1757" s="8">
        <v>1</v>
      </c>
      <c r="N1757" s="8" t="s">
        <v>27</v>
      </c>
      <c r="O1757" s="13" t="s">
        <v>588</v>
      </c>
      <c r="P1757" s="14">
        <v>0.2</v>
      </c>
      <c r="Q1757" s="15">
        <v>0.3</v>
      </c>
      <c r="R1757" s="16" t="str">
        <f t="shared" si="162"/>
        <v>KOMODO</v>
      </c>
      <c r="S1757" s="17"/>
      <c r="T1757" s="10" t="str">
        <f t="shared" si="161"/>
        <v>PROGRAMACIÓN E INTEGRACIÓN DE TV MEDIANTE PROTOCOLO IR.</v>
      </c>
    </row>
    <row r="1758" spans="1:20" ht="27" customHeight="1" x14ac:dyDescent="0.25">
      <c r="A1758" s="8" t="s">
        <v>3977</v>
      </c>
      <c r="B1758" s="9" t="s">
        <v>2515</v>
      </c>
      <c r="C1758" s="9"/>
      <c r="D1758" s="8" t="s">
        <v>4009</v>
      </c>
      <c r="E1758" s="8" t="s">
        <v>268</v>
      </c>
      <c r="F1758" s="8" t="s">
        <v>22</v>
      </c>
      <c r="G1758" s="10" t="s">
        <v>4074</v>
      </c>
      <c r="H1758" s="8" t="s">
        <v>4075</v>
      </c>
      <c r="I1758" s="10" t="s">
        <v>4074</v>
      </c>
      <c r="J1758" s="11" t="s">
        <v>33</v>
      </c>
      <c r="K1758" s="18">
        <v>95000</v>
      </c>
      <c r="L1758" s="12">
        <f t="shared" si="163"/>
        <v>135800</v>
      </c>
      <c r="M1758" s="8">
        <v>1</v>
      </c>
      <c r="N1758" s="8" t="s">
        <v>27</v>
      </c>
      <c r="O1758" s="13" t="s">
        <v>587</v>
      </c>
      <c r="P1758" s="14">
        <v>0.2</v>
      </c>
      <c r="Q1758" s="15">
        <v>0.3</v>
      </c>
      <c r="R1758" s="16" t="str">
        <f t="shared" si="162"/>
        <v>KOMODO</v>
      </c>
      <c r="S1758" s="17"/>
      <c r="T1758" s="10" t="str">
        <f t="shared" si="161"/>
        <v>INSTALACIÓN DE PANTALLA TÁCTIL, NO INCLUYE ACOMETIDAS U OBRAS CIVILES.</v>
      </c>
    </row>
    <row r="1759" spans="1:20" ht="27" customHeight="1" x14ac:dyDescent="0.25">
      <c r="A1759" s="8" t="s">
        <v>3977</v>
      </c>
      <c r="B1759" s="9" t="s">
        <v>2515</v>
      </c>
      <c r="C1759" s="9"/>
      <c r="D1759" s="8" t="s">
        <v>4009</v>
      </c>
      <c r="E1759" s="8" t="s">
        <v>4076</v>
      </c>
      <c r="F1759" s="8" t="s">
        <v>22</v>
      </c>
      <c r="G1759" s="10" t="s">
        <v>4077</v>
      </c>
      <c r="H1759" s="8" t="s">
        <v>4078</v>
      </c>
      <c r="I1759" s="10" t="s">
        <v>4077</v>
      </c>
      <c r="J1759" s="11" t="s">
        <v>33</v>
      </c>
      <c r="K1759" s="18">
        <v>950000</v>
      </c>
      <c r="L1759" s="12">
        <f t="shared" si="163"/>
        <v>1357200</v>
      </c>
      <c r="M1759" s="8">
        <v>1</v>
      </c>
      <c r="N1759" s="8" t="s">
        <v>27</v>
      </c>
      <c r="O1759" s="13" t="s">
        <v>588</v>
      </c>
      <c r="P1759" s="14">
        <v>0.2</v>
      </c>
      <c r="Q1759" s="15">
        <v>0.3</v>
      </c>
      <c r="R1759" s="16" t="str">
        <f t="shared" si="162"/>
        <v>KOMODO</v>
      </c>
      <c r="S1759" s="17"/>
      <c r="T1759" s="10" t="str">
        <f t="shared" si="161"/>
        <v>INSTALACIÓN DE SWITCH DE AUDIO Y VIDEO ALL IN ONE.</v>
      </c>
    </row>
    <row r="1760" spans="1:20" ht="27" customHeight="1" x14ac:dyDescent="0.25">
      <c r="A1760" s="8" t="s">
        <v>3977</v>
      </c>
      <c r="B1760" s="9" t="s">
        <v>2515</v>
      </c>
      <c r="C1760" s="9"/>
      <c r="D1760" s="8" t="s">
        <v>4009</v>
      </c>
      <c r="E1760" s="8" t="s">
        <v>4079</v>
      </c>
      <c r="F1760" s="8" t="s">
        <v>22</v>
      </c>
      <c r="G1760" s="10" t="s">
        <v>4080</v>
      </c>
      <c r="H1760" s="8" t="s">
        <v>4081</v>
      </c>
      <c r="I1760" s="10" t="s">
        <v>4080</v>
      </c>
      <c r="J1760" s="11" t="s">
        <v>33</v>
      </c>
      <c r="K1760" s="18">
        <v>95000</v>
      </c>
      <c r="L1760" s="12">
        <f t="shared" si="163"/>
        <v>158400</v>
      </c>
      <c r="M1760" s="8">
        <v>1</v>
      </c>
      <c r="N1760" s="8" t="s">
        <v>27</v>
      </c>
      <c r="O1760" s="13" t="s">
        <v>587</v>
      </c>
      <c r="P1760" s="14">
        <v>0.2</v>
      </c>
      <c r="Q1760" s="15">
        <v>0.4</v>
      </c>
      <c r="R1760" s="16" t="str">
        <f t="shared" si="162"/>
        <v>KOMODO</v>
      </c>
      <c r="S1760" s="17"/>
      <c r="T1760" s="10" t="str">
        <f t="shared" si="161"/>
        <v>INSTALACIÓN DE UNIDAD DE POTENCIA. NO INCLUYE ACOMETIDAS ELÉCTRICAS.</v>
      </c>
    </row>
    <row r="1761" spans="1:20" ht="27" customHeight="1" x14ac:dyDescent="0.25">
      <c r="A1761" s="8" t="s">
        <v>3977</v>
      </c>
      <c r="B1761" s="9" t="s">
        <v>2515</v>
      </c>
      <c r="C1761" s="9"/>
      <c r="D1761" s="8" t="s">
        <v>4009</v>
      </c>
      <c r="E1761" s="8" t="s">
        <v>4082</v>
      </c>
      <c r="F1761" s="8" t="s">
        <v>22</v>
      </c>
      <c r="G1761" s="10" t="s">
        <v>4083</v>
      </c>
      <c r="H1761" s="8" t="s">
        <v>4084</v>
      </c>
      <c r="I1761" s="10" t="s">
        <v>4085</v>
      </c>
      <c r="J1761" s="11" t="s">
        <v>33</v>
      </c>
      <c r="K1761" s="18">
        <v>150000</v>
      </c>
      <c r="L1761" s="12">
        <f t="shared" si="163"/>
        <v>250000</v>
      </c>
      <c r="M1761" s="8">
        <v>1</v>
      </c>
      <c r="N1761" s="8" t="s">
        <v>27</v>
      </c>
      <c r="O1761" s="13" t="s">
        <v>588</v>
      </c>
      <c r="P1761" s="14">
        <v>0.2</v>
      </c>
      <c r="Q1761" s="15">
        <v>0.4</v>
      </c>
      <c r="R1761" s="16" t="str">
        <f t="shared" si="162"/>
        <v>KOMODO</v>
      </c>
      <c r="S1761" s="17"/>
      <c r="T1761" s="10" t="str">
        <f t="shared" si="161"/>
        <v>INSTALACIÓN DE SOPORTE TIPO ASCENSOR PARA PROYECTOR.</v>
      </c>
    </row>
    <row r="1762" spans="1:20" ht="27" customHeight="1" x14ac:dyDescent="0.25">
      <c r="A1762" s="8" t="s">
        <v>3977</v>
      </c>
      <c r="B1762" s="9" t="s">
        <v>2515</v>
      </c>
      <c r="C1762" s="9"/>
      <c r="D1762" s="8" t="s">
        <v>4009</v>
      </c>
      <c r="E1762" s="8" t="s">
        <v>4086</v>
      </c>
      <c r="F1762" s="8" t="s">
        <v>22</v>
      </c>
      <c r="G1762" s="10" t="s">
        <v>4087</v>
      </c>
      <c r="H1762" s="8" t="s">
        <v>4088</v>
      </c>
      <c r="I1762" s="10" t="s">
        <v>4089</v>
      </c>
      <c r="J1762" s="11" t="s">
        <v>33</v>
      </c>
      <c r="K1762" s="18">
        <v>125000</v>
      </c>
      <c r="L1762" s="12">
        <f t="shared" si="163"/>
        <v>208400</v>
      </c>
      <c r="M1762" s="8">
        <v>1</v>
      </c>
      <c r="N1762" s="8" t="s">
        <v>27</v>
      </c>
      <c r="O1762" s="13" t="s">
        <v>587</v>
      </c>
      <c r="P1762" s="14">
        <v>0.2</v>
      </c>
      <c r="Q1762" s="15">
        <v>0.4</v>
      </c>
      <c r="R1762" s="16" t="str">
        <f t="shared" si="162"/>
        <v>KOMODO</v>
      </c>
      <c r="S1762" s="17"/>
      <c r="T1762" s="10" t="str">
        <f t="shared" si="161"/>
        <v>INSTALACIÓN DE TELÓN MOTORIZADO. NO INCLUYE SALIDAS O ACOMETIDAS ELÉCTRICAS.</v>
      </c>
    </row>
    <row r="1763" spans="1:20" ht="27" customHeight="1" x14ac:dyDescent="0.25">
      <c r="A1763" s="8" t="s">
        <v>3977</v>
      </c>
      <c r="B1763" s="9" t="s">
        <v>2515</v>
      </c>
      <c r="C1763" s="9"/>
      <c r="D1763" s="8" t="s">
        <v>4009</v>
      </c>
      <c r="E1763" s="8" t="s">
        <v>4090</v>
      </c>
      <c r="F1763" s="8" t="s">
        <v>22</v>
      </c>
      <c r="G1763" s="10" t="s">
        <v>4091</v>
      </c>
      <c r="H1763" s="8" t="s">
        <v>4092</v>
      </c>
      <c r="I1763" s="10" t="s">
        <v>4093</v>
      </c>
      <c r="J1763" s="11" t="s">
        <v>33</v>
      </c>
      <c r="K1763" s="18">
        <f>35000*6</f>
        <v>210000</v>
      </c>
      <c r="L1763" s="12">
        <f t="shared" si="163"/>
        <v>350000</v>
      </c>
      <c r="M1763" s="8">
        <v>1</v>
      </c>
      <c r="N1763" s="8" t="s">
        <v>27</v>
      </c>
      <c r="O1763" s="13" t="s">
        <v>588</v>
      </c>
      <c r="P1763" s="14">
        <v>0.2</v>
      </c>
      <c r="Q1763" s="15">
        <v>0.4</v>
      </c>
      <c r="R1763" s="16" t="str">
        <f t="shared" si="162"/>
        <v>KOMODO</v>
      </c>
      <c r="S1763" s="17"/>
      <c r="T1763" s="10" t="str">
        <f t="shared" si="161"/>
        <v>INSTALACIÓN DE SISTEMA DE ALTAVOCES 5.1, NO INCLUYE ACOMETIDAS ELÉCTRICAS.</v>
      </c>
    </row>
    <row r="1764" spans="1:20" ht="27" customHeight="1" x14ac:dyDescent="0.25">
      <c r="A1764" s="8" t="s">
        <v>3977</v>
      </c>
      <c r="B1764" s="9" t="s">
        <v>2515</v>
      </c>
      <c r="C1764" s="9"/>
      <c r="D1764" s="8" t="s">
        <v>4009</v>
      </c>
      <c r="E1764" s="8">
        <v>5.0999999999999996</v>
      </c>
      <c r="F1764" s="8" t="s">
        <v>22</v>
      </c>
      <c r="G1764" s="10" t="s">
        <v>4091</v>
      </c>
      <c r="H1764" s="8" t="s">
        <v>4094</v>
      </c>
      <c r="I1764" s="10" t="s">
        <v>4095</v>
      </c>
      <c r="J1764" s="11" t="s">
        <v>33</v>
      </c>
      <c r="K1764" s="18">
        <v>125000</v>
      </c>
      <c r="L1764" s="12">
        <f t="shared" si="163"/>
        <v>208400</v>
      </c>
      <c r="M1764" s="8">
        <v>1</v>
      </c>
      <c r="N1764" s="8" t="s">
        <v>27</v>
      </c>
      <c r="O1764" s="13" t="s">
        <v>587</v>
      </c>
      <c r="P1764" s="14">
        <v>0.2</v>
      </c>
      <c r="Q1764" s="15">
        <v>0.4</v>
      </c>
      <c r="R1764" s="16" t="str">
        <f t="shared" si="162"/>
        <v>KOMODO</v>
      </c>
      <c r="S1764" s="17"/>
      <c r="T1764" s="10" t="str">
        <f t="shared" si="161"/>
        <v>INSTALACIÓN DE SISTEMA DE ALTAVOCES 5.1, NO INCLUYE ACOMETIDAS ELÉCTRICAS.</v>
      </c>
    </row>
    <row r="1765" spans="1:20" ht="27" customHeight="1" x14ac:dyDescent="0.25">
      <c r="A1765" s="8" t="s">
        <v>3977</v>
      </c>
      <c r="B1765" s="9" t="s">
        <v>2515</v>
      </c>
      <c r="C1765" s="9"/>
      <c r="D1765" s="8" t="s">
        <v>4009</v>
      </c>
      <c r="E1765" s="8" t="s">
        <v>4096</v>
      </c>
      <c r="F1765" s="8" t="s">
        <v>22</v>
      </c>
      <c r="G1765" s="10" t="s">
        <v>4097</v>
      </c>
      <c r="H1765" s="8" t="s">
        <v>4098</v>
      </c>
      <c r="I1765" s="10" t="s">
        <v>4099</v>
      </c>
      <c r="J1765" s="11" t="s">
        <v>33</v>
      </c>
      <c r="K1765" s="18">
        <v>65000</v>
      </c>
      <c r="L1765" s="12">
        <f t="shared" si="163"/>
        <v>108400</v>
      </c>
      <c r="M1765" s="8">
        <v>1</v>
      </c>
      <c r="N1765" s="8" t="s">
        <v>27</v>
      </c>
      <c r="O1765" s="13" t="s">
        <v>588</v>
      </c>
      <c r="P1765" s="14">
        <v>0.2</v>
      </c>
      <c r="Q1765" s="15">
        <v>0.4</v>
      </c>
      <c r="R1765" s="16" t="str">
        <f t="shared" si="162"/>
        <v>KOMODO</v>
      </c>
      <c r="S1765" s="17"/>
      <c r="T1765" s="10" t="str">
        <f t="shared" si="161"/>
        <v>INSTALACIÓN DE SISTEMA SOUND BAR, NO INCLUYE ACOMETIDAS ELÉCTRICAS.</v>
      </c>
    </row>
    <row r="1766" spans="1:20" ht="27" customHeight="1" x14ac:dyDescent="0.25">
      <c r="A1766" s="8" t="s">
        <v>3977</v>
      </c>
      <c r="B1766" s="9" t="s">
        <v>2515</v>
      </c>
      <c r="C1766" s="9"/>
      <c r="D1766" s="8" t="s">
        <v>4009</v>
      </c>
      <c r="E1766" s="8"/>
      <c r="F1766" s="8" t="s">
        <v>22</v>
      </c>
      <c r="G1766" s="10" t="s">
        <v>4100</v>
      </c>
      <c r="H1766" s="8" t="s">
        <v>4101</v>
      </c>
      <c r="I1766" s="10" t="s">
        <v>4100</v>
      </c>
      <c r="J1766" s="11" t="s">
        <v>33</v>
      </c>
      <c r="K1766" s="18">
        <v>55000</v>
      </c>
      <c r="L1766" s="12">
        <f t="shared" si="163"/>
        <v>110000</v>
      </c>
      <c r="M1766" s="8">
        <v>1</v>
      </c>
      <c r="N1766" s="8" t="s">
        <v>27</v>
      </c>
      <c r="O1766" s="13" t="s">
        <v>587</v>
      </c>
      <c r="P1766" s="14">
        <v>0.2</v>
      </c>
      <c r="Q1766" s="15">
        <v>0.5</v>
      </c>
      <c r="R1766" s="16" t="str">
        <f t="shared" si="162"/>
        <v>KOMODO</v>
      </c>
      <c r="S1766" s="17"/>
      <c r="T1766" s="10" t="str">
        <f t="shared" si="161"/>
        <v>INSTALACIÓN DE PANEL 0-10 VOLTIOS, DE LA SERIE QSN.</v>
      </c>
    </row>
    <row r="1767" spans="1:20" ht="27" customHeight="1" x14ac:dyDescent="0.25">
      <c r="A1767" s="8" t="s">
        <v>3977</v>
      </c>
      <c r="B1767" s="9" t="s">
        <v>2515</v>
      </c>
      <c r="C1767" s="9"/>
      <c r="D1767" s="8" t="s">
        <v>4009</v>
      </c>
      <c r="E1767" s="8"/>
      <c r="F1767" s="8" t="s">
        <v>22</v>
      </c>
      <c r="G1767" s="10" t="s">
        <v>4102</v>
      </c>
      <c r="H1767" s="8" t="s">
        <v>4103</v>
      </c>
      <c r="I1767" s="10" t="s">
        <v>4102</v>
      </c>
      <c r="J1767" s="11" t="s">
        <v>33</v>
      </c>
      <c r="K1767" s="18">
        <v>55000</v>
      </c>
      <c r="L1767" s="12">
        <f t="shared" si="163"/>
        <v>110000</v>
      </c>
      <c r="M1767" s="8">
        <v>1</v>
      </c>
      <c r="N1767" s="8" t="s">
        <v>27</v>
      </c>
      <c r="O1767" s="13" t="s">
        <v>588</v>
      </c>
      <c r="P1767" s="14">
        <v>0.2</v>
      </c>
      <c r="Q1767" s="15">
        <v>0.5</v>
      </c>
      <c r="R1767" s="16" t="str">
        <f t="shared" si="162"/>
        <v>KOMODO</v>
      </c>
      <c r="S1767" s="17"/>
      <c r="T1767" s="10" t="str">
        <f t="shared" si="161"/>
        <v>INSTALACIÓN DE PANEL DE 4 INTERRUPTORES DE LA SERIE QSN.</v>
      </c>
    </row>
    <row r="1768" spans="1:20" ht="27" customHeight="1" x14ac:dyDescent="0.25">
      <c r="A1768" s="8" t="s">
        <v>3977</v>
      </c>
      <c r="B1768" s="9" t="s">
        <v>2515</v>
      </c>
      <c r="C1768" s="9"/>
      <c r="D1768" s="8" t="s">
        <v>4009</v>
      </c>
      <c r="E1768" s="8"/>
      <c r="F1768" s="8" t="s">
        <v>22</v>
      </c>
      <c r="G1768" s="10" t="s">
        <v>4104</v>
      </c>
      <c r="H1768" s="8" t="s">
        <v>4105</v>
      </c>
      <c r="I1768" s="10" t="s">
        <v>4106</v>
      </c>
      <c r="J1768" s="11" t="s">
        <v>33</v>
      </c>
      <c r="K1768" s="18">
        <v>150000</v>
      </c>
      <c r="L1768" s="12">
        <f t="shared" si="163"/>
        <v>208400</v>
      </c>
      <c r="M1768" s="8">
        <v>1</v>
      </c>
      <c r="N1768" s="8" t="s">
        <v>27</v>
      </c>
      <c r="O1768" s="13" t="s">
        <v>587</v>
      </c>
      <c r="P1768" s="14">
        <v>0</v>
      </c>
      <c r="Q1768" s="15">
        <v>0.28000000000000003</v>
      </c>
      <c r="R1768" s="16" t="str">
        <f t="shared" si="162"/>
        <v>KOMODO</v>
      </c>
      <c r="S1768" s="17"/>
      <c r="T1768" s="10" t="str">
        <f t="shared" si="161"/>
        <v>INSTALACIÓN DE PROYECTOR EN SOPORTE FIJO.</v>
      </c>
    </row>
    <row r="1769" spans="1:20" ht="27" customHeight="1" x14ac:dyDescent="0.25">
      <c r="A1769" s="8" t="s">
        <v>3977</v>
      </c>
      <c r="B1769" s="9" t="s">
        <v>2515</v>
      </c>
      <c r="C1769" s="9"/>
      <c r="D1769" s="8" t="s">
        <v>4009</v>
      </c>
      <c r="E1769" s="8"/>
      <c r="F1769" s="8" t="s">
        <v>22</v>
      </c>
      <c r="G1769" s="10" t="s">
        <v>4107</v>
      </c>
      <c r="H1769" s="8" t="s">
        <v>4108</v>
      </c>
      <c r="I1769" s="10" t="s">
        <v>4109</v>
      </c>
      <c r="J1769" s="11" t="s">
        <v>33</v>
      </c>
      <c r="K1769" s="18">
        <v>150000</v>
      </c>
      <c r="L1769" s="12">
        <f t="shared" si="163"/>
        <v>208400</v>
      </c>
      <c r="M1769" s="8">
        <v>1</v>
      </c>
      <c r="N1769" s="8" t="s">
        <v>27</v>
      </c>
      <c r="O1769" s="13" t="s">
        <v>588</v>
      </c>
      <c r="P1769" s="14">
        <v>0</v>
      </c>
      <c r="Q1769" s="15">
        <v>0.28000000000000003</v>
      </c>
      <c r="R1769" s="16" t="str">
        <f t="shared" si="162"/>
        <v>KOMODO</v>
      </c>
      <c r="S1769" s="17"/>
      <c r="T1769" s="10" t="str">
        <f t="shared" si="161"/>
        <v>INSTALACIÓN DE TELÓN MOTORIZADO EN TECHO.</v>
      </c>
    </row>
    <row r="1770" spans="1:20" ht="27" customHeight="1" x14ac:dyDescent="0.25">
      <c r="A1770" s="8" t="s">
        <v>3977</v>
      </c>
      <c r="B1770" s="9" t="s">
        <v>2515</v>
      </c>
      <c r="C1770" s="9"/>
      <c r="D1770" s="8" t="s">
        <v>4009</v>
      </c>
      <c r="E1770" s="8"/>
      <c r="F1770" s="8" t="s">
        <v>22</v>
      </c>
      <c r="G1770" s="10" t="s">
        <v>4110</v>
      </c>
      <c r="H1770" s="8" t="s">
        <v>4111</v>
      </c>
      <c r="I1770" s="10" t="s">
        <v>4112</v>
      </c>
      <c r="J1770" s="11" t="s">
        <v>33</v>
      </c>
      <c r="K1770" s="18">
        <v>15000</v>
      </c>
      <c r="L1770" s="12">
        <f t="shared" si="163"/>
        <v>25000</v>
      </c>
      <c r="M1770" s="8">
        <v>1</v>
      </c>
      <c r="N1770" s="8" t="s">
        <v>27</v>
      </c>
      <c r="O1770" s="13" t="s">
        <v>587</v>
      </c>
      <c r="P1770" s="14">
        <v>0.2</v>
      </c>
      <c r="Q1770" s="15">
        <v>0.4</v>
      </c>
      <c r="R1770" s="16" t="str">
        <f t="shared" si="162"/>
        <v>KOMODO</v>
      </c>
      <c r="S1770" s="17"/>
      <c r="T1770" s="10" t="str">
        <f t="shared" si="161"/>
        <v>INSTALACIÓN DE LÁMPARA TIPO LED EN ESTRUCTURA TIPO DRYWALL O MODULAR.</v>
      </c>
    </row>
    <row r="1771" spans="1:20" ht="27" customHeight="1" x14ac:dyDescent="0.25">
      <c r="A1771" s="8" t="s">
        <v>3977</v>
      </c>
      <c r="B1771" s="9" t="s">
        <v>2515</v>
      </c>
      <c r="C1771" s="9"/>
      <c r="D1771" s="8" t="s">
        <v>4009</v>
      </c>
      <c r="E1771" s="8"/>
      <c r="F1771" s="8" t="s">
        <v>22</v>
      </c>
      <c r="G1771" s="10" t="s">
        <v>4113</v>
      </c>
      <c r="H1771" s="8" t="s">
        <v>4114</v>
      </c>
      <c r="I1771" s="10" t="s">
        <v>4115</v>
      </c>
      <c r="J1771" s="11" t="s">
        <v>33</v>
      </c>
      <c r="K1771" s="18">
        <v>45000</v>
      </c>
      <c r="L1771" s="12">
        <f t="shared" si="163"/>
        <v>75000</v>
      </c>
      <c r="M1771" s="8">
        <v>1</v>
      </c>
      <c r="N1771" s="8" t="s">
        <v>27</v>
      </c>
      <c r="O1771" s="13" t="s">
        <v>588</v>
      </c>
      <c r="P1771" s="14">
        <v>0.2</v>
      </c>
      <c r="Q1771" s="15">
        <v>0.4</v>
      </c>
      <c r="R1771" s="16" t="str">
        <f t="shared" si="162"/>
        <v>KOMODO</v>
      </c>
      <c r="S1771" s="17"/>
      <c r="T1771" s="10" t="str">
        <f t="shared" si="161"/>
        <v>INSTALACIÓN DE SALIDA PARA CÁMARA INTERIOR EN CAJA PLÁSTICA O SALIDA ELÉCTRICA.</v>
      </c>
    </row>
    <row r="1772" spans="1:20" ht="27" customHeight="1" x14ac:dyDescent="0.25">
      <c r="A1772" s="8" t="s">
        <v>3977</v>
      </c>
      <c r="B1772" s="9" t="s">
        <v>2515</v>
      </c>
      <c r="C1772" s="9"/>
      <c r="D1772" s="8" t="s">
        <v>4009</v>
      </c>
      <c r="E1772" s="8"/>
      <c r="F1772" s="8" t="s">
        <v>22</v>
      </c>
      <c r="G1772" s="10" t="s">
        <v>4116</v>
      </c>
      <c r="H1772" s="8" t="s">
        <v>4117</v>
      </c>
      <c r="I1772" s="10" t="s">
        <v>4118</v>
      </c>
      <c r="J1772" s="11" t="s">
        <v>33</v>
      </c>
      <c r="K1772" s="18">
        <v>80000</v>
      </c>
      <c r="L1772" s="12">
        <f t="shared" si="163"/>
        <v>133400</v>
      </c>
      <c r="M1772" s="8">
        <v>1</v>
      </c>
      <c r="N1772" s="8" t="s">
        <v>27</v>
      </c>
      <c r="O1772" s="13" t="s">
        <v>587</v>
      </c>
      <c r="P1772" s="14">
        <v>0.2</v>
      </c>
      <c r="Q1772" s="15">
        <v>0.4</v>
      </c>
      <c r="R1772" s="16" t="str">
        <f t="shared" si="162"/>
        <v>KOMODO</v>
      </c>
      <c r="S1772" s="17"/>
      <c r="T1772" s="10" t="str">
        <f t="shared" si="161"/>
        <v>INSTALACIÓN DE SALIDA PARA CÁMARA DE EXTERIOR EN CAJA PLÁSTICA.</v>
      </c>
    </row>
    <row r="1773" spans="1:20" ht="27" customHeight="1" x14ac:dyDescent="0.25">
      <c r="A1773" s="8" t="s">
        <v>3977</v>
      </c>
      <c r="B1773" s="9" t="s">
        <v>2515</v>
      </c>
      <c r="C1773" s="9"/>
      <c r="D1773" s="8" t="s">
        <v>4009</v>
      </c>
      <c r="E1773" s="8"/>
      <c r="F1773" s="8" t="s">
        <v>22</v>
      </c>
      <c r="G1773" s="10" t="s">
        <v>4119</v>
      </c>
      <c r="H1773" s="8" t="s">
        <v>4120</v>
      </c>
      <c r="I1773" s="10" t="s">
        <v>4121</v>
      </c>
      <c r="J1773" s="11" t="s">
        <v>33</v>
      </c>
      <c r="K1773" s="18">
        <v>15000</v>
      </c>
      <c r="L1773" s="12">
        <f t="shared" si="163"/>
        <v>25000</v>
      </c>
      <c r="M1773" s="8">
        <v>1</v>
      </c>
      <c r="N1773" s="8" t="s">
        <v>27</v>
      </c>
      <c r="O1773" s="13" t="s">
        <v>588</v>
      </c>
      <c r="P1773" s="14">
        <v>0.2</v>
      </c>
      <c r="Q1773" s="15">
        <v>0.4</v>
      </c>
      <c r="R1773" s="16" t="str">
        <f t="shared" si="162"/>
        <v>KOMODO</v>
      </c>
      <c r="S1773" s="17"/>
      <c r="T1773" s="10" t="str">
        <f t="shared" si="161"/>
        <v>INSTALACIÓN DE SENSOR DE PRESENCIA. NO INCLUYE INFRA ESTRUCTURA ELÉCTRICA.</v>
      </c>
    </row>
    <row r="1774" spans="1:20" ht="27" customHeight="1" x14ac:dyDescent="0.25">
      <c r="A1774" s="8" t="s">
        <v>3977</v>
      </c>
      <c r="B1774" s="9" t="s">
        <v>2515</v>
      </c>
      <c r="C1774" s="9"/>
      <c r="D1774" s="8" t="s">
        <v>4009</v>
      </c>
      <c r="E1774" s="8"/>
      <c r="F1774" s="8" t="s">
        <v>22</v>
      </c>
      <c r="G1774" s="10" t="s">
        <v>4122</v>
      </c>
      <c r="H1774" s="8" t="s">
        <v>4123</v>
      </c>
      <c r="I1774" s="10" t="s">
        <v>4122</v>
      </c>
      <c r="J1774" s="11" t="s">
        <v>33</v>
      </c>
      <c r="K1774" s="18">
        <v>18000</v>
      </c>
      <c r="L1774" s="12">
        <f t="shared" si="163"/>
        <v>30000</v>
      </c>
      <c r="M1774" s="8">
        <v>1</v>
      </c>
      <c r="N1774" s="8" t="s">
        <v>27</v>
      </c>
      <c r="O1774" s="13" t="s">
        <v>587</v>
      </c>
      <c r="P1774" s="14">
        <v>0.2</v>
      </c>
      <c r="Q1774" s="15">
        <v>0.4</v>
      </c>
      <c r="R1774" s="16" t="str">
        <f t="shared" si="162"/>
        <v>KOMODO</v>
      </c>
      <c r="S1774" s="17"/>
      <c r="T1774" s="10" t="str">
        <f t="shared" si="161"/>
        <v>INSTALACIÓN DE CAJA ELÉCTRICA FIGURADA.</v>
      </c>
    </row>
    <row r="1775" spans="1:20" ht="27" customHeight="1" x14ac:dyDescent="0.25">
      <c r="A1775" s="8" t="s">
        <v>3977</v>
      </c>
      <c r="B1775" s="9" t="s">
        <v>2515</v>
      </c>
      <c r="C1775" s="9"/>
      <c r="D1775" s="8" t="s">
        <v>4009</v>
      </c>
      <c r="E1775" s="8"/>
      <c r="F1775" s="8" t="s">
        <v>22</v>
      </c>
      <c r="G1775" s="10" t="s">
        <v>4124</v>
      </c>
      <c r="H1775" s="8" t="s">
        <v>4125</v>
      </c>
      <c r="I1775" s="10" t="s">
        <v>4124</v>
      </c>
      <c r="J1775" s="11" t="s">
        <v>33</v>
      </c>
      <c r="K1775" s="18">
        <v>20000</v>
      </c>
      <c r="L1775" s="12">
        <f t="shared" si="163"/>
        <v>33400</v>
      </c>
      <c r="M1775" s="8">
        <v>1</v>
      </c>
      <c r="N1775" s="8" t="s">
        <v>27</v>
      </c>
      <c r="O1775" s="13" t="s">
        <v>588</v>
      </c>
      <c r="P1775" s="14">
        <v>0.2</v>
      </c>
      <c r="Q1775" s="15">
        <v>0.4</v>
      </c>
      <c r="R1775" s="16" t="str">
        <f t="shared" si="162"/>
        <v>KOMODO</v>
      </c>
      <c r="S1775" s="17"/>
      <c r="T1775" s="10" t="str">
        <f t="shared" si="161"/>
        <v>INSTALACIÓN DE CONTACTOR PARA COMO INTERRUPTOR DE CARGAS.</v>
      </c>
    </row>
    <row r="1776" spans="1:20" ht="27" customHeight="1" x14ac:dyDescent="0.25">
      <c r="A1776" s="8" t="s">
        <v>3977</v>
      </c>
      <c r="B1776" s="9" t="s">
        <v>2515</v>
      </c>
      <c r="C1776" s="9"/>
      <c r="D1776" s="8" t="s">
        <v>4009</v>
      </c>
      <c r="E1776" s="8"/>
      <c r="F1776" s="8" t="s">
        <v>22</v>
      </c>
      <c r="G1776" s="10" t="s">
        <v>4126</v>
      </c>
      <c r="H1776" s="8" t="s">
        <v>4127</v>
      </c>
      <c r="I1776" s="10" t="s">
        <v>4128</v>
      </c>
      <c r="J1776" s="11" t="s">
        <v>33</v>
      </c>
      <c r="K1776" s="18">
        <f>250000</f>
        <v>250000</v>
      </c>
      <c r="L1776" s="12">
        <f t="shared" si="163"/>
        <v>416700</v>
      </c>
      <c r="M1776" s="8">
        <v>1</v>
      </c>
      <c r="N1776" s="8" t="s">
        <v>27</v>
      </c>
      <c r="O1776" s="13" t="s">
        <v>587</v>
      </c>
      <c r="P1776" s="14">
        <v>0.2</v>
      </c>
      <c r="Q1776" s="15">
        <v>0.4</v>
      </c>
      <c r="R1776" s="16" t="str">
        <f t="shared" si="162"/>
        <v>KOMODO</v>
      </c>
      <c r="S1776" s="17"/>
      <c r="T1776" s="10" t="str">
        <f t="shared" si="161"/>
        <v>INSTALACIÓN DE CONTROL DE ACCESO PARA DOS PUERTAS.</v>
      </c>
    </row>
    <row r="1777" spans="1:20" ht="27" customHeight="1" x14ac:dyDescent="0.25">
      <c r="A1777" s="8" t="s">
        <v>3977</v>
      </c>
      <c r="B1777" s="9" t="s">
        <v>2515</v>
      </c>
      <c r="C1777" s="9"/>
      <c r="D1777" s="8" t="s">
        <v>4009</v>
      </c>
      <c r="E1777" s="8"/>
      <c r="F1777" s="8" t="s">
        <v>22</v>
      </c>
      <c r="G1777" s="10" t="s">
        <v>4129</v>
      </c>
      <c r="H1777" s="8" t="s">
        <v>4130</v>
      </c>
      <c r="I1777" s="10" t="s">
        <v>4131</v>
      </c>
      <c r="J1777" s="11" t="s">
        <v>26</v>
      </c>
      <c r="K1777" s="18">
        <v>15</v>
      </c>
      <c r="L1777" s="12">
        <f t="shared" si="163"/>
        <v>22.5</v>
      </c>
      <c r="M1777" s="8">
        <v>1</v>
      </c>
      <c r="N1777" s="8" t="s">
        <v>27</v>
      </c>
      <c r="O1777" s="13" t="s">
        <v>588</v>
      </c>
      <c r="P1777" s="14">
        <v>0.2</v>
      </c>
      <c r="Q1777" s="15">
        <v>0.2</v>
      </c>
      <c r="R1777" s="16" t="str">
        <f t="shared" si="162"/>
        <v>KOMODO</v>
      </c>
      <c r="S1777" s="17"/>
      <c r="T1777" s="10" t="str">
        <f t="shared" si="161"/>
        <v>INSTALACIÓN DE EQUIPO AIRPORT, INCLUYE CONEXIÓNDENTRO DE LA RED LAN.</v>
      </c>
    </row>
    <row r="1778" spans="1:20" ht="27" customHeight="1" x14ac:dyDescent="0.25">
      <c r="A1778" s="8" t="s">
        <v>3977</v>
      </c>
      <c r="B1778" s="9" t="s">
        <v>2515</v>
      </c>
      <c r="C1778" s="9"/>
      <c r="D1778" s="8" t="s">
        <v>4009</v>
      </c>
      <c r="E1778" s="8"/>
      <c r="F1778" s="8" t="s">
        <v>22</v>
      </c>
      <c r="G1778" s="10" t="s">
        <v>4132</v>
      </c>
      <c r="H1778" s="8" t="s">
        <v>4133</v>
      </c>
      <c r="I1778" s="10" t="s">
        <v>4132</v>
      </c>
      <c r="J1778" s="11" t="s">
        <v>26</v>
      </c>
      <c r="K1778" s="18">
        <v>50</v>
      </c>
      <c r="L1778" s="12">
        <f t="shared" si="163"/>
        <v>75</v>
      </c>
      <c r="M1778" s="8">
        <v>1</v>
      </c>
      <c r="N1778" s="8" t="s">
        <v>27</v>
      </c>
      <c r="O1778" s="13" t="s">
        <v>587</v>
      </c>
      <c r="P1778" s="14">
        <v>0.2</v>
      </c>
      <c r="Q1778" s="15">
        <v>0.2</v>
      </c>
      <c r="R1778" s="16" t="str">
        <f t="shared" si="162"/>
        <v>KOMODO</v>
      </c>
      <c r="S1778" s="17"/>
      <c r="T1778" s="10" t="str">
        <f t="shared" si="161"/>
        <v>INSTALACIÓN DE PROCESADOR HOMEWORKS QS. INCLUYE SEGUIMIENTO DE OBRA.</v>
      </c>
    </row>
    <row r="1779" spans="1:20" ht="27" customHeight="1" x14ac:dyDescent="0.25">
      <c r="A1779" s="8" t="s">
        <v>3977</v>
      </c>
      <c r="B1779" s="9" t="s">
        <v>2515</v>
      </c>
      <c r="C1779" s="9"/>
      <c r="D1779" s="8" t="s">
        <v>4009</v>
      </c>
      <c r="E1779" s="8"/>
      <c r="F1779" s="8" t="s">
        <v>22</v>
      </c>
      <c r="G1779" s="10" t="s">
        <v>4134</v>
      </c>
      <c r="H1779" s="8" t="s">
        <v>4135</v>
      </c>
      <c r="I1779" s="10" t="s">
        <v>4136</v>
      </c>
      <c r="J1779" s="11" t="s">
        <v>33</v>
      </c>
      <c r="K1779" s="18">
        <v>3000</v>
      </c>
      <c r="L1779" s="12">
        <f t="shared" si="163"/>
        <v>6000</v>
      </c>
      <c r="M1779" s="8">
        <v>1</v>
      </c>
      <c r="N1779" s="8" t="s">
        <v>27</v>
      </c>
      <c r="O1779" s="13" t="s">
        <v>588</v>
      </c>
      <c r="P1779" s="14">
        <v>0.2</v>
      </c>
      <c r="Q1779" s="15">
        <v>0.5</v>
      </c>
      <c r="R1779" s="16" t="str">
        <f t="shared" si="162"/>
        <v>KOMODO</v>
      </c>
      <c r="S1779" s="17"/>
      <c r="T1779" s="10" t="str">
        <f t="shared" si="161"/>
        <v xml:space="preserve">INSTALACIÓN DE METRO LINEAL DE TUBERÍA MT DE SOBRE PONER. </v>
      </c>
    </row>
    <row r="1780" spans="1:20" ht="27" customHeight="1" x14ac:dyDescent="0.25">
      <c r="A1780" s="8" t="s">
        <v>3977</v>
      </c>
      <c r="B1780" s="9" t="s">
        <v>2515</v>
      </c>
      <c r="C1780" s="9"/>
      <c r="D1780" s="8" t="s">
        <v>4009</v>
      </c>
      <c r="E1780" s="8"/>
      <c r="F1780" s="8" t="s">
        <v>22</v>
      </c>
      <c r="G1780" s="10" t="s">
        <v>4137</v>
      </c>
      <c r="H1780" s="8" t="s">
        <v>4138</v>
      </c>
      <c r="I1780" s="10" t="s">
        <v>4137</v>
      </c>
      <c r="J1780" s="11" t="s">
        <v>33</v>
      </c>
      <c r="K1780" s="18">
        <v>3000</v>
      </c>
      <c r="L1780" s="12">
        <f t="shared" si="163"/>
        <v>6000</v>
      </c>
      <c r="M1780" s="8">
        <v>1</v>
      </c>
      <c r="N1780" s="8" t="s">
        <v>27</v>
      </c>
      <c r="O1780" s="13" t="s">
        <v>587</v>
      </c>
      <c r="P1780" s="14">
        <v>0.2</v>
      </c>
      <c r="Q1780" s="15">
        <v>0.5</v>
      </c>
      <c r="R1780" s="16" t="str">
        <f t="shared" si="162"/>
        <v>KOMODO</v>
      </c>
      <c r="S1780" s="17"/>
      <c r="T1780" s="10" t="str">
        <f t="shared" si="161"/>
        <v>INSTALACIÓN DE CAJA DE SOBRE PONER</v>
      </c>
    </row>
    <row r="1781" spans="1:20" ht="27" customHeight="1" x14ac:dyDescent="0.25">
      <c r="A1781" s="8" t="s">
        <v>3977</v>
      </c>
      <c r="B1781" s="9" t="s">
        <v>2515</v>
      </c>
      <c r="C1781" s="9"/>
      <c r="D1781" s="8" t="s">
        <v>4009</v>
      </c>
      <c r="E1781" s="8"/>
      <c r="F1781" s="8" t="s">
        <v>22</v>
      </c>
      <c r="G1781" s="10" t="s">
        <v>4137</v>
      </c>
      <c r="H1781" s="8" t="s">
        <v>4138</v>
      </c>
      <c r="I1781" s="10" t="s">
        <v>4137</v>
      </c>
      <c r="J1781" s="11" t="s">
        <v>33</v>
      </c>
      <c r="K1781" s="18">
        <v>3000</v>
      </c>
      <c r="L1781" s="12">
        <f t="shared" si="163"/>
        <v>6000</v>
      </c>
      <c r="M1781" s="8">
        <v>1</v>
      </c>
      <c r="N1781" s="8" t="s">
        <v>27</v>
      </c>
      <c r="O1781" s="13" t="s">
        <v>588</v>
      </c>
      <c r="P1781" s="14">
        <v>0.2</v>
      </c>
      <c r="Q1781" s="15">
        <v>0.5</v>
      </c>
      <c r="R1781" s="16" t="str">
        <f t="shared" si="162"/>
        <v>KOMODO</v>
      </c>
      <c r="S1781" s="17"/>
      <c r="T1781" s="10" t="str">
        <f t="shared" si="161"/>
        <v>INSTALACIÓN DE CAJA DE SOBRE PONER</v>
      </c>
    </row>
    <row r="1782" spans="1:20" ht="27" customHeight="1" x14ac:dyDescent="0.25">
      <c r="A1782" s="8" t="s">
        <v>3977</v>
      </c>
      <c r="B1782" s="9" t="s">
        <v>2515</v>
      </c>
      <c r="C1782" s="9"/>
      <c r="D1782" s="8" t="s">
        <v>4009</v>
      </c>
      <c r="E1782" s="8"/>
      <c r="F1782" s="8" t="s">
        <v>22</v>
      </c>
      <c r="G1782" s="10" t="s">
        <v>4139</v>
      </c>
      <c r="H1782" s="8" t="s">
        <v>4140</v>
      </c>
      <c r="I1782" s="10" t="s">
        <v>4141</v>
      </c>
      <c r="J1782" s="11" t="s">
        <v>33</v>
      </c>
      <c r="K1782" s="18">
        <v>9000</v>
      </c>
      <c r="L1782" s="12">
        <f t="shared" si="163"/>
        <v>18000</v>
      </c>
      <c r="M1782" s="8">
        <v>1</v>
      </c>
      <c r="N1782" s="8" t="s">
        <v>27</v>
      </c>
      <c r="O1782" s="13" t="s">
        <v>587</v>
      </c>
      <c r="P1782" s="14">
        <v>0.2</v>
      </c>
      <c r="Q1782" s="15">
        <v>0.5</v>
      </c>
      <c r="R1782" s="16" t="str">
        <f t="shared" si="162"/>
        <v>KOMODO</v>
      </c>
      <c r="S1782" s="17"/>
      <c r="T1782" s="10" t="str">
        <f t="shared" si="161"/>
        <v>INSTALACIÓN DE LÁMPARA HERMÉTICA CON VARILLA ROSCADA A PLACA.</v>
      </c>
    </row>
    <row r="1783" spans="1:20" ht="27" customHeight="1" x14ac:dyDescent="0.25">
      <c r="A1783" s="8" t="s">
        <v>3977</v>
      </c>
      <c r="B1783" s="9" t="s">
        <v>2515</v>
      </c>
      <c r="C1783" s="9"/>
      <c r="D1783" s="8" t="s">
        <v>4009</v>
      </c>
      <c r="E1783" s="8"/>
      <c r="F1783" s="8" t="s">
        <v>22</v>
      </c>
      <c r="G1783" s="10" t="s">
        <v>4142</v>
      </c>
      <c r="H1783" s="8" t="s">
        <v>4143</v>
      </c>
      <c r="I1783" s="10" t="s">
        <v>4144</v>
      </c>
      <c r="J1783" s="11" t="s">
        <v>33</v>
      </c>
      <c r="K1783" s="18">
        <v>50000</v>
      </c>
      <c r="L1783" s="12">
        <f t="shared" si="163"/>
        <v>83400</v>
      </c>
      <c r="M1783" s="8">
        <v>1</v>
      </c>
      <c r="N1783" s="8" t="s">
        <v>27</v>
      </c>
      <c r="O1783" s="13" t="s">
        <v>588</v>
      </c>
      <c r="P1783" s="14">
        <v>0.2</v>
      </c>
      <c r="Q1783" s="15">
        <v>0.4</v>
      </c>
      <c r="R1783" s="16" t="str">
        <f t="shared" si="162"/>
        <v>KOMODO</v>
      </c>
      <c r="S1783" s="17"/>
      <c r="T1783" s="10" t="str">
        <f t="shared" si="161"/>
        <v>INSTALACIÓN DE ROUTER EN RACK DE EQUIPOS, INCLUYE ACCESORIOS DE CONEXIÓN.</v>
      </c>
    </row>
    <row r="1784" spans="1:20" ht="27" customHeight="1" x14ac:dyDescent="0.25">
      <c r="A1784" s="8" t="s">
        <v>3977</v>
      </c>
      <c r="B1784" s="9" t="s">
        <v>2515</v>
      </c>
      <c r="C1784" s="9"/>
      <c r="D1784" s="8" t="s">
        <v>4009</v>
      </c>
      <c r="E1784" s="8"/>
      <c r="F1784" s="8" t="s">
        <v>22</v>
      </c>
      <c r="G1784" s="10" t="s">
        <v>4145</v>
      </c>
      <c r="H1784" s="8" t="s">
        <v>4146</v>
      </c>
      <c r="I1784" s="10" t="s">
        <v>4147</v>
      </c>
      <c r="J1784" s="11" t="s">
        <v>33</v>
      </c>
      <c r="K1784" s="18">
        <v>85000</v>
      </c>
      <c r="L1784" s="12">
        <f t="shared" ref="L1784:L1815" si="164">IF(J1784="P",ROUNDUP(K1784/(1-Q1784),-2),K1784*(1+P1784)/(1-Q1784))</f>
        <v>141700</v>
      </c>
      <c r="M1784" s="8">
        <v>1</v>
      </c>
      <c r="N1784" s="8" t="s">
        <v>27</v>
      </c>
      <c r="O1784" s="13" t="s">
        <v>587</v>
      </c>
      <c r="P1784" s="14">
        <v>0.2</v>
      </c>
      <c r="Q1784" s="15">
        <v>0.4</v>
      </c>
      <c r="R1784" s="16" t="str">
        <f t="shared" si="162"/>
        <v>KOMODO</v>
      </c>
      <c r="S1784" s="17"/>
      <c r="T1784" s="10" t="str">
        <f t="shared" si="161"/>
        <v>INSTALACIÓN DE PUNTO DE ACCESO INALÁMBRICO EN POSTES.</v>
      </c>
    </row>
    <row r="1785" spans="1:20" ht="27" customHeight="1" x14ac:dyDescent="0.25">
      <c r="A1785" s="8" t="s">
        <v>3977</v>
      </c>
      <c r="B1785" s="9" t="s">
        <v>2515</v>
      </c>
      <c r="C1785" s="9"/>
      <c r="D1785" s="8" t="s">
        <v>4009</v>
      </c>
      <c r="E1785" s="8"/>
      <c r="F1785" s="8" t="s">
        <v>22</v>
      </c>
      <c r="G1785" s="10" t="s">
        <v>4148</v>
      </c>
      <c r="H1785" s="8" t="s">
        <v>4149</v>
      </c>
      <c r="I1785" s="10" t="s">
        <v>4150</v>
      </c>
      <c r="J1785" s="11" t="s">
        <v>33</v>
      </c>
      <c r="K1785" s="18">
        <v>60000</v>
      </c>
      <c r="L1785" s="12">
        <f t="shared" si="164"/>
        <v>100000</v>
      </c>
      <c r="M1785" s="8">
        <v>1</v>
      </c>
      <c r="N1785" s="8" t="s">
        <v>27</v>
      </c>
      <c r="O1785" s="13" t="s">
        <v>588</v>
      </c>
      <c r="P1785" s="14">
        <v>0.2</v>
      </c>
      <c r="Q1785" s="15">
        <v>0.4</v>
      </c>
      <c r="R1785" s="16" t="str">
        <f t="shared" si="162"/>
        <v>KOMODO</v>
      </c>
      <c r="S1785" s="17"/>
      <c r="T1785" s="10" t="str">
        <f t="shared" ref="T1785:T1848" si="165">G1785</f>
        <v>INSTALACIÓN DE PUNTO DE ACCESO INALÁMBRICO EN INTERIOR.</v>
      </c>
    </row>
    <row r="1786" spans="1:20" ht="27" customHeight="1" x14ac:dyDescent="0.25">
      <c r="A1786" s="8" t="s">
        <v>3977</v>
      </c>
      <c r="B1786" s="9" t="s">
        <v>2515</v>
      </c>
      <c r="C1786" s="9"/>
      <c r="D1786" s="8" t="s">
        <v>4009</v>
      </c>
      <c r="E1786" s="8"/>
      <c r="F1786" s="8" t="s">
        <v>22</v>
      </c>
      <c r="G1786" s="10" t="s">
        <v>4151</v>
      </c>
      <c r="H1786" s="8" t="s">
        <v>4152</v>
      </c>
      <c r="I1786" s="10" t="s">
        <v>4151</v>
      </c>
      <c r="J1786" s="11" t="s">
        <v>33</v>
      </c>
      <c r="K1786" s="18">
        <v>50000</v>
      </c>
      <c r="L1786" s="12">
        <f t="shared" si="164"/>
        <v>83400</v>
      </c>
      <c r="M1786" s="8">
        <v>1</v>
      </c>
      <c r="N1786" s="8" t="s">
        <v>27</v>
      </c>
      <c r="O1786" s="13" t="s">
        <v>587</v>
      </c>
      <c r="P1786" s="14">
        <v>0.2</v>
      </c>
      <c r="Q1786" s="15">
        <v>0.4</v>
      </c>
      <c r="R1786" s="16" t="str">
        <f t="shared" si="162"/>
        <v>KOMODO</v>
      </c>
      <c r="S1786" s="17"/>
      <c r="T1786" s="10" t="str">
        <f t="shared" si="165"/>
        <v>INSTALACIÓN DE MANEJADOR DE PUNTOS DE ACCESO TIPO ROAMING.</v>
      </c>
    </row>
    <row r="1787" spans="1:20" ht="27" customHeight="1" x14ac:dyDescent="0.25">
      <c r="A1787" s="8" t="s">
        <v>3977</v>
      </c>
      <c r="B1787" s="9" t="s">
        <v>2515</v>
      </c>
      <c r="C1787" s="9"/>
      <c r="D1787" s="8" t="s">
        <v>4009</v>
      </c>
      <c r="E1787" s="8"/>
      <c r="F1787" s="8" t="s">
        <v>22</v>
      </c>
      <c r="G1787" s="10" t="s">
        <v>4153</v>
      </c>
      <c r="H1787" s="8" t="s">
        <v>4154</v>
      </c>
      <c r="I1787" s="10" t="s">
        <v>4155</v>
      </c>
      <c r="J1787" s="11" t="s">
        <v>33</v>
      </c>
      <c r="K1787" s="18">
        <v>50000</v>
      </c>
      <c r="L1787" s="12">
        <f t="shared" si="164"/>
        <v>83400</v>
      </c>
      <c r="M1787" s="8">
        <v>1</v>
      </c>
      <c r="N1787" s="8" t="s">
        <v>27</v>
      </c>
      <c r="O1787" s="13" t="s">
        <v>588</v>
      </c>
      <c r="P1787" s="14">
        <v>0.2</v>
      </c>
      <c r="Q1787" s="15">
        <v>0.4</v>
      </c>
      <c r="R1787" s="16" t="str">
        <f t="shared" si="162"/>
        <v>KOMODO</v>
      </c>
      <c r="S1787" s="17"/>
      <c r="T1787" s="10" t="str">
        <f t="shared" si="165"/>
        <v>INSTALACIÓN DE SWITCH DE DATOS.</v>
      </c>
    </row>
    <row r="1788" spans="1:20" ht="27" customHeight="1" x14ac:dyDescent="0.25">
      <c r="A1788" s="8" t="s">
        <v>3977</v>
      </c>
      <c r="B1788" s="9" t="s">
        <v>2515</v>
      </c>
      <c r="C1788" s="9"/>
      <c r="D1788" s="8" t="s">
        <v>4009</v>
      </c>
      <c r="E1788" s="8"/>
      <c r="F1788" s="8" t="s">
        <v>22</v>
      </c>
      <c r="G1788" s="10" t="s">
        <v>4126</v>
      </c>
      <c r="H1788" s="8" t="s">
        <v>4156</v>
      </c>
      <c r="I1788" s="10" t="s">
        <v>4128</v>
      </c>
      <c r="J1788" s="11" t="s">
        <v>26</v>
      </c>
      <c r="K1788" s="18">
        <v>150</v>
      </c>
      <c r="L1788" s="12">
        <f t="shared" si="164"/>
        <v>250</v>
      </c>
      <c r="M1788" s="8">
        <v>1</v>
      </c>
      <c r="N1788" s="8" t="s">
        <v>27</v>
      </c>
      <c r="O1788" s="13" t="s">
        <v>587</v>
      </c>
      <c r="P1788" s="14">
        <v>0.2</v>
      </c>
      <c r="Q1788" s="15">
        <v>0.28000000000000003</v>
      </c>
      <c r="R1788" s="16" t="str">
        <f t="shared" si="162"/>
        <v>KOMODO</v>
      </c>
      <c r="S1788" s="17"/>
      <c r="T1788" s="10" t="str">
        <f t="shared" si="165"/>
        <v>INSTALACIÓN DE CONTROL DE ACCESO PARA DOS PUERTAS.</v>
      </c>
    </row>
    <row r="1789" spans="1:20" ht="27" customHeight="1" x14ac:dyDescent="0.25">
      <c r="A1789" s="8" t="s">
        <v>3977</v>
      </c>
      <c r="B1789" s="9" t="s">
        <v>2515</v>
      </c>
      <c r="C1789" s="9"/>
      <c r="D1789" s="8" t="s">
        <v>4009</v>
      </c>
      <c r="E1789" s="8"/>
      <c r="F1789" s="8" t="s">
        <v>22</v>
      </c>
      <c r="G1789" s="10" t="s">
        <v>4157</v>
      </c>
      <c r="H1789" s="8" t="s">
        <v>4158</v>
      </c>
      <c r="I1789" s="10" t="s">
        <v>4157</v>
      </c>
      <c r="J1789" s="11" t="s">
        <v>26</v>
      </c>
      <c r="K1789" s="18">
        <v>200</v>
      </c>
      <c r="L1789" s="12">
        <f t="shared" si="164"/>
        <v>333.33333333333337</v>
      </c>
      <c r="M1789" s="8">
        <v>1</v>
      </c>
      <c r="N1789" s="8" t="s">
        <v>27</v>
      </c>
      <c r="O1789" s="13" t="s">
        <v>588</v>
      </c>
      <c r="P1789" s="14">
        <v>0.2</v>
      </c>
      <c r="Q1789" s="15">
        <v>0.28000000000000003</v>
      </c>
      <c r="R1789" s="16" t="str">
        <f t="shared" si="162"/>
        <v>KOMODO</v>
      </c>
      <c r="S1789" s="17"/>
      <c r="T1789" s="10" t="str">
        <f t="shared" si="165"/>
        <v>INSTALACIÓN DE TALANQUERA, NO INCLUYE OBRA CIVIL NI INFRA ESTRUCTURA ELÉCTRICA.</v>
      </c>
    </row>
    <row r="1790" spans="1:20" ht="27" customHeight="1" x14ac:dyDescent="0.25">
      <c r="A1790" s="8" t="s">
        <v>3977</v>
      </c>
      <c r="B1790" s="9" t="s">
        <v>2515</v>
      </c>
      <c r="C1790" s="9"/>
      <c r="D1790" s="8" t="s">
        <v>4009</v>
      </c>
      <c r="E1790" s="8"/>
      <c r="F1790" s="8" t="s">
        <v>22</v>
      </c>
      <c r="G1790" s="10" t="s">
        <v>4159</v>
      </c>
      <c r="H1790" s="8" t="s">
        <v>4160</v>
      </c>
      <c r="I1790" s="10" t="s">
        <v>4161</v>
      </c>
      <c r="J1790" s="11" t="s">
        <v>33</v>
      </c>
      <c r="K1790" s="18">
        <v>30000</v>
      </c>
      <c r="L1790" s="12">
        <f t="shared" si="164"/>
        <v>50000</v>
      </c>
      <c r="M1790" s="8">
        <v>1</v>
      </c>
      <c r="N1790" s="8" t="s">
        <v>27</v>
      </c>
      <c r="O1790" s="13" t="s">
        <v>587</v>
      </c>
      <c r="P1790" s="14">
        <v>0.2</v>
      </c>
      <c r="Q1790" s="15">
        <v>0.4</v>
      </c>
      <c r="R1790" s="16" t="str">
        <f t="shared" si="162"/>
        <v>KOMODO</v>
      </c>
      <c r="S1790" s="17"/>
      <c r="T1790" s="10" t="str">
        <f t="shared" si="165"/>
        <v>INSTALACIÓN DE LÁMPARA DE PISO.</v>
      </c>
    </row>
    <row r="1791" spans="1:20" ht="27" customHeight="1" x14ac:dyDescent="0.25">
      <c r="A1791" s="8" t="s">
        <v>3977</v>
      </c>
      <c r="B1791" s="9" t="s">
        <v>2515</v>
      </c>
      <c r="C1791" s="9"/>
      <c r="D1791" s="8" t="s">
        <v>4009</v>
      </c>
      <c r="E1791" s="8"/>
      <c r="F1791" s="8" t="s">
        <v>22</v>
      </c>
      <c r="G1791" s="10" t="s">
        <v>4162</v>
      </c>
      <c r="H1791" s="8" t="s">
        <v>4163</v>
      </c>
      <c r="I1791" s="10" t="s">
        <v>4164</v>
      </c>
      <c r="J1791" s="11" t="s">
        <v>33</v>
      </c>
      <c r="K1791" s="18">
        <v>30000</v>
      </c>
      <c r="L1791" s="12">
        <f t="shared" si="164"/>
        <v>50000</v>
      </c>
      <c r="M1791" s="8">
        <v>1</v>
      </c>
      <c r="N1791" s="8" t="s">
        <v>27</v>
      </c>
      <c r="O1791" s="13" t="s">
        <v>588</v>
      </c>
      <c r="P1791" s="14">
        <v>0.2</v>
      </c>
      <c r="Q1791" s="15">
        <v>0.4</v>
      </c>
      <c r="R1791" s="16" t="str">
        <f t="shared" si="162"/>
        <v>KOMODO</v>
      </c>
      <c r="S1791" s="17"/>
      <c r="T1791" s="10" t="str">
        <f t="shared" si="165"/>
        <v>INSTALACIÓN DE LÁMPARA TIPO PANEL EN DRYWALL.</v>
      </c>
    </row>
    <row r="1792" spans="1:20" ht="27" customHeight="1" x14ac:dyDescent="0.25">
      <c r="A1792" s="8" t="s">
        <v>3977</v>
      </c>
      <c r="B1792" s="9" t="s">
        <v>2515</v>
      </c>
      <c r="C1792" s="9"/>
      <c r="D1792" s="8" t="s">
        <v>4009</v>
      </c>
      <c r="E1792" s="8"/>
      <c r="F1792" s="8" t="s">
        <v>22</v>
      </c>
      <c r="G1792" s="10" t="s">
        <v>4165</v>
      </c>
      <c r="H1792" s="8" t="s">
        <v>4166</v>
      </c>
      <c r="I1792" s="10" t="s">
        <v>4165</v>
      </c>
      <c r="J1792" s="11" t="s">
        <v>33</v>
      </c>
      <c r="K1792" s="18">
        <v>120000</v>
      </c>
      <c r="L1792" s="12">
        <f t="shared" si="164"/>
        <v>200000</v>
      </c>
      <c r="M1792" s="8">
        <v>1</v>
      </c>
      <c r="N1792" s="8" t="s">
        <v>27</v>
      </c>
      <c r="O1792" s="13" t="s">
        <v>587</v>
      </c>
      <c r="P1792" s="14">
        <v>0.2</v>
      </c>
      <c r="Q1792" s="15">
        <v>0.4</v>
      </c>
      <c r="R1792" s="16" t="str">
        <f t="shared" si="162"/>
        <v>KOMODO</v>
      </c>
      <c r="S1792" s="17"/>
      <c r="T1792" s="10" t="str">
        <f t="shared" si="165"/>
        <v>INSTALACIÓN DE PANEL DE VIDEO WALL EN SOPORTE COMPATIBLE.</v>
      </c>
    </row>
    <row r="1793" spans="1:20" ht="27" customHeight="1" x14ac:dyDescent="0.25">
      <c r="A1793" s="8" t="s">
        <v>3977</v>
      </c>
      <c r="B1793" s="9" t="s">
        <v>2515</v>
      </c>
      <c r="C1793" s="9"/>
      <c r="D1793" s="8" t="s">
        <v>4009</v>
      </c>
      <c r="E1793" s="8"/>
      <c r="F1793" s="8" t="s">
        <v>22</v>
      </c>
      <c r="G1793" s="10" t="s">
        <v>4167</v>
      </c>
      <c r="H1793" s="8" t="s">
        <v>4168</v>
      </c>
      <c r="I1793" s="10" t="s">
        <v>4167</v>
      </c>
      <c r="J1793" s="11" t="s">
        <v>33</v>
      </c>
      <c r="K1793" s="18">
        <v>220000</v>
      </c>
      <c r="L1793" s="12">
        <f t="shared" si="164"/>
        <v>366700</v>
      </c>
      <c r="M1793" s="8">
        <v>1</v>
      </c>
      <c r="N1793" s="8" t="s">
        <v>27</v>
      </c>
      <c r="O1793" s="13" t="s">
        <v>588</v>
      </c>
      <c r="P1793" s="14">
        <v>0.2</v>
      </c>
      <c r="Q1793" s="15">
        <v>0.4</v>
      </c>
      <c r="R1793" s="16" t="str">
        <f t="shared" ref="R1793:R1856" si="166">A1793</f>
        <v>KOMODO</v>
      </c>
      <c r="S1793" s="17"/>
      <c r="T1793" s="10" t="str">
        <f t="shared" si="165"/>
        <v>INSTALACIÓN DE SISTEMA INTERACTIVO DE PRESENTACIÓN</v>
      </c>
    </row>
    <row r="1794" spans="1:20" ht="27" customHeight="1" x14ac:dyDescent="0.25">
      <c r="A1794" s="8" t="s">
        <v>3977</v>
      </c>
      <c r="B1794" s="9" t="s">
        <v>2515</v>
      </c>
      <c r="C1794" s="9"/>
      <c r="D1794" s="8" t="s">
        <v>4009</v>
      </c>
      <c r="E1794" s="8"/>
      <c r="F1794" s="8" t="s">
        <v>22</v>
      </c>
      <c r="G1794" s="10" t="s">
        <v>4169</v>
      </c>
      <c r="H1794" s="8" t="s">
        <v>4170</v>
      </c>
      <c r="I1794" s="10" t="s">
        <v>4169</v>
      </c>
      <c r="J1794" s="11" t="s">
        <v>33</v>
      </c>
      <c r="K1794" s="18">
        <v>50000</v>
      </c>
      <c r="L1794" s="12">
        <f t="shared" si="164"/>
        <v>83400</v>
      </c>
      <c r="M1794" s="8">
        <v>1</v>
      </c>
      <c r="N1794" s="8" t="s">
        <v>27</v>
      </c>
      <c r="O1794" s="13" t="s">
        <v>587</v>
      </c>
      <c r="P1794" s="14">
        <v>0</v>
      </c>
      <c r="Q1794" s="15">
        <v>0.4</v>
      </c>
      <c r="R1794" s="16" t="str">
        <f t="shared" si="166"/>
        <v>KOMODO</v>
      </c>
      <c r="S1794" s="17"/>
      <c r="T1794" s="10" t="str">
        <f t="shared" si="165"/>
        <v>INSTALACIÓN DE PUNTO ELÉCTRICO O DE DATOS</v>
      </c>
    </row>
    <row r="1795" spans="1:20" ht="27" customHeight="1" x14ac:dyDescent="0.25">
      <c r="A1795" s="8" t="s">
        <v>3977</v>
      </c>
      <c r="B1795" s="9" t="s">
        <v>2515</v>
      </c>
      <c r="C1795" s="9"/>
      <c r="D1795" s="8" t="s">
        <v>4009</v>
      </c>
      <c r="E1795" s="8"/>
      <c r="F1795" s="8" t="s">
        <v>22</v>
      </c>
      <c r="G1795" s="10" t="s">
        <v>4171</v>
      </c>
      <c r="H1795" s="8" t="s">
        <v>4172</v>
      </c>
      <c r="I1795" s="10" t="s">
        <v>4173</v>
      </c>
      <c r="J1795" s="11" t="s">
        <v>33</v>
      </c>
      <c r="K1795" s="18">
        <v>550000</v>
      </c>
      <c r="L1795" s="12">
        <f t="shared" si="164"/>
        <v>687500</v>
      </c>
      <c r="M1795" s="8">
        <v>1</v>
      </c>
      <c r="N1795" s="8" t="s">
        <v>27</v>
      </c>
      <c r="O1795" s="13" t="s">
        <v>588</v>
      </c>
      <c r="P1795" s="14">
        <v>0.2</v>
      </c>
      <c r="Q1795" s="15">
        <v>0.2</v>
      </c>
      <c r="R1795" s="16" t="str">
        <f t="shared" si="166"/>
        <v>KOMODO</v>
      </c>
      <c r="S1795" s="17"/>
      <c r="T1795" s="10" t="str">
        <f t="shared" si="165"/>
        <v>INSTALACIÓN Y FIGURADO DE TABLERO ELÉCTRICO HASTA 24 BREAKERS.</v>
      </c>
    </row>
    <row r="1796" spans="1:20" ht="27" customHeight="1" x14ac:dyDescent="0.25">
      <c r="A1796" s="8" t="s">
        <v>3977</v>
      </c>
      <c r="B1796" s="9" t="s">
        <v>2515</v>
      </c>
      <c r="C1796" s="9"/>
      <c r="D1796" s="8" t="s">
        <v>4009</v>
      </c>
      <c r="E1796" s="8"/>
      <c r="F1796" s="8" t="s">
        <v>22</v>
      </c>
      <c r="G1796" s="10" t="s">
        <v>4174</v>
      </c>
      <c r="H1796" s="8" t="s">
        <v>4175</v>
      </c>
      <c r="I1796" s="10" t="s">
        <v>4176</v>
      </c>
      <c r="J1796" s="11" t="s">
        <v>33</v>
      </c>
      <c r="K1796" s="18">
        <v>3500</v>
      </c>
      <c r="L1796" s="12">
        <f t="shared" si="164"/>
        <v>5000</v>
      </c>
      <c r="M1796" s="8">
        <v>1</v>
      </c>
      <c r="N1796" s="8" t="s">
        <v>27</v>
      </c>
      <c r="O1796" s="13" t="s">
        <v>587</v>
      </c>
      <c r="P1796" s="14">
        <v>0.2</v>
      </c>
      <c r="Q1796" s="15">
        <v>0.3</v>
      </c>
      <c r="R1796" s="16" t="str">
        <f t="shared" si="166"/>
        <v>KOMODO</v>
      </c>
      <c r="S1796" s="17"/>
      <c r="T1796" s="10" t="str">
        <f t="shared" si="165"/>
        <v>INSTALACIÓN DE LÁMPARA DE LECTURA EN CABECERO DE MADERA.</v>
      </c>
    </row>
    <row r="1797" spans="1:20" ht="27" customHeight="1" x14ac:dyDescent="0.25">
      <c r="A1797" s="8" t="s">
        <v>3977</v>
      </c>
      <c r="B1797" s="9" t="s">
        <v>2515</v>
      </c>
      <c r="C1797" s="9"/>
      <c r="D1797" s="8" t="s">
        <v>4009</v>
      </c>
      <c r="E1797" s="8"/>
      <c r="F1797" s="8" t="s">
        <v>22</v>
      </c>
      <c r="G1797" s="10" t="s">
        <v>4177</v>
      </c>
      <c r="H1797" s="8" t="s">
        <v>4178</v>
      </c>
      <c r="I1797" s="10" t="s">
        <v>4177</v>
      </c>
      <c r="J1797" s="11" t="s">
        <v>33</v>
      </c>
      <c r="K1797" s="18">
        <v>6500</v>
      </c>
      <c r="L1797" s="12">
        <f t="shared" si="164"/>
        <v>9300</v>
      </c>
      <c r="M1797" s="8">
        <v>1</v>
      </c>
      <c r="N1797" s="8" t="s">
        <v>27</v>
      </c>
      <c r="O1797" s="13" t="s">
        <v>588</v>
      </c>
      <c r="P1797" s="14">
        <v>0.2</v>
      </c>
      <c r="Q1797" s="15">
        <v>0.3</v>
      </c>
      <c r="R1797" s="16" t="str">
        <f t="shared" si="166"/>
        <v>KOMODO</v>
      </c>
      <c r="S1797" s="17"/>
      <c r="T1797" s="10" t="str">
        <f t="shared" si="165"/>
        <v>INSTALACIÓN DE METRO DE CABLOFIL CON SUJECIÓN A TECHO O PARED</v>
      </c>
    </row>
    <row r="1798" spans="1:20" ht="27" customHeight="1" x14ac:dyDescent="0.25">
      <c r="A1798" s="8" t="s">
        <v>3977</v>
      </c>
      <c r="B1798" s="9" t="s">
        <v>2515</v>
      </c>
      <c r="C1798" s="9"/>
      <c r="D1798" s="8" t="s">
        <v>4009</v>
      </c>
      <c r="E1798" s="8"/>
      <c r="F1798" s="8" t="s">
        <v>22</v>
      </c>
      <c r="G1798" s="10" t="s">
        <v>4179</v>
      </c>
      <c r="H1798" s="8" t="s">
        <v>4180</v>
      </c>
      <c r="I1798" s="10" t="s">
        <v>4179</v>
      </c>
      <c r="J1798" s="11" t="s">
        <v>33</v>
      </c>
      <c r="K1798" s="18">
        <v>50000</v>
      </c>
      <c r="L1798" s="12">
        <f t="shared" si="164"/>
        <v>71500</v>
      </c>
      <c r="M1798" s="8">
        <v>1</v>
      </c>
      <c r="N1798" s="8" t="s">
        <v>27</v>
      </c>
      <c r="O1798" s="13" t="s">
        <v>587</v>
      </c>
      <c r="P1798" s="14">
        <v>0.2</v>
      </c>
      <c r="Q1798" s="15">
        <v>0.3</v>
      </c>
      <c r="R1798" s="16" t="str">
        <f t="shared" si="166"/>
        <v>KOMODO</v>
      </c>
      <c r="S1798" s="17"/>
      <c r="T1798" s="10" t="str">
        <f t="shared" si="165"/>
        <v>INSTALACIÓN DE UPS</v>
      </c>
    </row>
    <row r="1799" spans="1:20" ht="27" customHeight="1" x14ac:dyDescent="0.25">
      <c r="A1799" s="8" t="s">
        <v>3977</v>
      </c>
      <c r="B1799" s="9" t="s">
        <v>2515</v>
      </c>
      <c r="C1799" s="9"/>
      <c r="D1799" s="8" t="s">
        <v>4009</v>
      </c>
      <c r="E1799" s="8"/>
      <c r="F1799" s="8" t="s">
        <v>22</v>
      </c>
      <c r="G1799" s="10" t="s">
        <v>4181</v>
      </c>
      <c r="H1799" s="8" t="s">
        <v>4182</v>
      </c>
      <c r="I1799" s="10" t="s">
        <v>4181</v>
      </c>
      <c r="J1799" s="11" t="s">
        <v>33</v>
      </c>
      <c r="K1799" s="18">
        <v>90000</v>
      </c>
      <c r="L1799" s="12">
        <f t="shared" si="164"/>
        <v>150000</v>
      </c>
      <c r="M1799" s="8">
        <v>1</v>
      </c>
      <c r="N1799" s="8" t="s">
        <v>27</v>
      </c>
      <c r="O1799" s="13" t="s">
        <v>588</v>
      </c>
      <c r="P1799" s="14">
        <v>0.2</v>
      </c>
      <c r="Q1799" s="15">
        <v>0.4</v>
      </c>
      <c r="R1799" s="16" t="str">
        <f t="shared" si="166"/>
        <v>KOMODO</v>
      </c>
      <c r="S1799" s="17"/>
      <c r="T1799" s="10" t="str">
        <f t="shared" si="165"/>
        <v>CONEXIÓN DE NVR, PONCHADO DE CABLES Y ORGANIZACIÓN DE CABLES</v>
      </c>
    </row>
    <row r="1800" spans="1:20" ht="27" customHeight="1" x14ac:dyDescent="0.25">
      <c r="A1800" s="8" t="s">
        <v>3977</v>
      </c>
      <c r="B1800" s="9" t="s">
        <v>2515</v>
      </c>
      <c r="C1800" s="9"/>
      <c r="D1800" s="8" t="s">
        <v>4009</v>
      </c>
      <c r="E1800" s="8"/>
      <c r="F1800" s="8" t="s">
        <v>22</v>
      </c>
      <c r="G1800" s="10" t="s">
        <v>4183</v>
      </c>
      <c r="H1800" s="67" t="s">
        <v>4184</v>
      </c>
      <c r="I1800" s="10" t="s">
        <v>4185</v>
      </c>
      <c r="J1800" s="11" t="s">
        <v>33</v>
      </c>
      <c r="K1800" s="18">
        <v>130000</v>
      </c>
      <c r="L1800" s="12">
        <f t="shared" si="164"/>
        <v>216700</v>
      </c>
      <c r="M1800" s="8">
        <v>1</v>
      </c>
      <c r="N1800" s="8" t="s">
        <v>27</v>
      </c>
      <c r="O1800" s="13" t="s">
        <v>587</v>
      </c>
      <c r="P1800" s="14">
        <v>0.2</v>
      </c>
      <c r="Q1800" s="15">
        <v>0.4</v>
      </c>
      <c r="R1800" s="16" t="str">
        <f t="shared" si="166"/>
        <v>KOMODO</v>
      </c>
      <c r="S1800" s="17"/>
      <c r="T1800" s="10" t="str">
        <f t="shared" si="165"/>
        <v>RECONFIGURACIÓN DE CABLEADO EN RACK DE HASTA 12 UNIDADES.</v>
      </c>
    </row>
    <row r="1801" spans="1:20" ht="27" customHeight="1" x14ac:dyDescent="0.25">
      <c r="A1801" s="8" t="s">
        <v>3977</v>
      </c>
      <c r="B1801" s="9" t="s">
        <v>2515</v>
      </c>
      <c r="C1801" s="9"/>
      <c r="D1801" s="8" t="s">
        <v>4009</v>
      </c>
      <c r="E1801" s="8"/>
      <c r="F1801" s="8" t="s">
        <v>22</v>
      </c>
      <c r="G1801" s="10" t="s">
        <v>4186</v>
      </c>
      <c r="H1801" s="8" t="s">
        <v>4187</v>
      </c>
      <c r="I1801" s="10" t="s">
        <v>4188</v>
      </c>
      <c r="J1801" s="11" t="s">
        <v>33</v>
      </c>
      <c r="K1801" s="18">
        <v>75000</v>
      </c>
      <c r="L1801" s="12">
        <f t="shared" si="164"/>
        <v>93800</v>
      </c>
      <c r="M1801" s="8">
        <v>1</v>
      </c>
      <c r="N1801" s="8" t="s">
        <v>27</v>
      </c>
      <c r="O1801" s="13" t="s">
        <v>588</v>
      </c>
      <c r="P1801" s="14">
        <v>0.2</v>
      </c>
      <c r="Q1801" s="15">
        <v>0.2</v>
      </c>
      <c r="R1801" s="16" t="str">
        <f t="shared" si="166"/>
        <v>KOMODO</v>
      </c>
      <c r="S1801" s="17"/>
      <c r="T1801" s="10" t="str">
        <f t="shared" si="165"/>
        <v>INSTALACIÓN DE REGLETA COLOR KINETICS, INCLUYE INSTALACIÓN DE EQUIPOS.</v>
      </c>
    </row>
    <row r="1802" spans="1:20" ht="27" customHeight="1" x14ac:dyDescent="0.25">
      <c r="A1802" s="8" t="s">
        <v>3977</v>
      </c>
      <c r="B1802" s="9" t="s">
        <v>2515</v>
      </c>
      <c r="C1802" s="9"/>
      <c r="D1802" s="8" t="s">
        <v>4009</v>
      </c>
      <c r="E1802" s="8"/>
      <c r="F1802" s="8" t="s">
        <v>22</v>
      </c>
      <c r="G1802" s="10" t="s">
        <v>4189</v>
      </c>
      <c r="H1802" s="8" t="s">
        <v>4190</v>
      </c>
      <c r="I1802" s="10" t="s">
        <v>4191</v>
      </c>
      <c r="J1802" s="11" t="s">
        <v>33</v>
      </c>
      <c r="K1802" s="18">
        <v>14000</v>
      </c>
      <c r="L1802" s="12">
        <f t="shared" si="164"/>
        <v>20000</v>
      </c>
      <c r="M1802" s="8">
        <v>1</v>
      </c>
      <c r="N1802" s="8" t="s">
        <v>27</v>
      </c>
      <c r="O1802" s="13" t="s">
        <v>587</v>
      </c>
      <c r="P1802" s="14">
        <v>0.2</v>
      </c>
      <c r="Q1802" s="15">
        <v>0.3</v>
      </c>
      <c r="R1802" s="16" t="str">
        <f t="shared" si="166"/>
        <v>KOMODO</v>
      </c>
      <c r="S1802" s="17"/>
      <c r="T1802" s="10" t="str">
        <f t="shared" si="165"/>
        <v>REVISIÓN DE LUMINARIA T5, REVISIÓN DE CABLEADO, TUBERÍA Y BALASTRO.</v>
      </c>
    </row>
    <row r="1803" spans="1:20" ht="27" customHeight="1" x14ac:dyDescent="0.25">
      <c r="A1803" s="8" t="s">
        <v>3977</v>
      </c>
      <c r="B1803" s="9" t="s">
        <v>2515</v>
      </c>
      <c r="C1803" s="9"/>
      <c r="D1803" s="8" t="s">
        <v>4009</v>
      </c>
      <c r="E1803" s="8"/>
      <c r="F1803" s="8" t="s">
        <v>22</v>
      </c>
      <c r="G1803" s="10" t="s">
        <v>4192</v>
      </c>
      <c r="H1803" s="8" t="s">
        <v>4193</v>
      </c>
      <c r="I1803" s="10" t="s">
        <v>4194</v>
      </c>
      <c r="J1803" s="11" t="s">
        <v>33</v>
      </c>
      <c r="K1803" s="18">
        <v>15000</v>
      </c>
      <c r="L1803" s="12">
        <f t="shared" si="164"/>
        <v>25000</v>
      </c>
      <c r="M1803" s="8">
        <v>1</v>
      </c>
      <c r="N1803" s="8" t="s">
        <v>27</v>
      </c>
      <c r="O1803" s="13" t="s">
        <v>588</v>
      </c>
      <c r="P1803" s="14">
        <v>0.2</v>
      </c>
      <c r="Q1803" s="15">
        <v>0.4</v>
      </c>
      <c r="R1803" s="16" t="str">
        <f t="shared" si="166"/>
        <v>KOMODO</v>
      </c>
      <c r="S1803" s="17"/>
      <c r="T1803" s="10" t="str">
        <f t="shared" si="165"/>
        <v>INSTALACIÓN DE SENSOR DE LUZ. NO INCLUYE INFRA ESTRUCTURA ELÉCTRICA.</v>
      </c>
    </row>
    <row r="1804" spans="1:20" ht="27" customHeight="1" x14ac:dyDescent="0.25">
      <c r="A1804" s="8" t="s">
        <v>3977</v>
      </c>
      <c r="B1804" s="9" t="s">
        <v>2515</v>
      </c>
      <c r="C1804" s="9"/>
      <c r="D1804" s="8" t="s">
        <v>4009</v>
      </c>
      <c r="E1804" s="8"/>
      <c r="F1804" s="8" t="s">
        <v>22</v>
      </c>
      <c r="G1804" s="10" t="s">
        <v>4195</v>
      </c>
      <c r="H1804" s="8" t="s">
        <v>4196</v>
      </c>
      <c r="I1804" s="10" t="s">
        <v>4195</v>
      </c>
      <c r="J1804" s="11" t="s">
        <v>33</v>
      </c>
      <c r="K1804" s="18">
        <v>15000</v>
      </c>
      <c r="L1804" s="12">
        <f t="shared" si="164"/>
        <v>25000</v>
      </c>
      <c r="M1804" s="8">
        <v>1</v>
      </c>
      <c r="N1804" s="8" t="s">
        <v>27</v>
      </c>
      <c r="O1804" s="13" t="s">
        <v>587</v>
      </c>
      <c r="P1804" s="14">
        <v>0.2</v>
      </c>
      <c r="Q1804" s="15">
        <v>0.4</v>
      </c>
      <c r="R1804" s="16" t="str">
        <f t="shared" si="166"/>
        <v>KOMODO</v>
      </c>
      <c r="S1804" s="17"/>
      <c r="T1804" s="10" t="str">
        <f t="shared" si="165"/>
        <v>CONFIGURACIÓN DE REPETIDORA PRINCIPAL DE SISTEMA RADIO RA2</v>
      </c>
    </row>
    <row r="1805" spans="1:20" ht="27" customHeight="1" x14ac:dyDescent="0.25">
      <c r="A1805" s="8" t="s">
        <v>3977</v>
      </c>
      <c r="B1805" s="9" t="s">
        <v>2515</v>
      </c>
      <c r="C1805" s="9"/>
      <c r="D1805" s="8" t="s">
        <v>4009</v>
      </c>
      <c r="E1805" s="8"/>
      <c r="F1805" s="8" t="s">
        <v>22</v>
      </c>
      <c r="G1805" s="10" t="s">
        <v>4197</v>
      </c>
      <c r="H1805" s="8" t="s">
        <v>4198</v>
      </c>
      <c r="I1805" s="10" t="s">
        <v>4197</v>
      </c>
      <c r="J1805" s="11" t="s">
        <v>33</v>
      </c>
      <c r="K1805" s="18">
        <v>15000</v>
      </c>
      <c r="L1805" s="12">
        <f t="shared" si="164"/>
        <v>25000</v>
      </c>
      <c r="M1805" s="8">
        <v>1</v>
      </c>
      <c r="N1805" s="8" t="s">
        <v>27</v>
      </c>
      <c r="O1805" s="13" t="s">
        <v>588</v>
      </c>
      <c r="P1805" s="14">
        <v>0.2</v>
      </c>
      <c r="Q1805" s="15">
        <v>0.4</v>
      </c>
      <c r="R1805" s="16" t="str">
        <f t="shared" si="166"/>
        <v>KOMODO</v>
      </c>
      <c r="S1805" s="17"/>
      <c r="T1805" s="10" t="str">
        <f t="shared" si="165"/>
        <v>CONFIGURACIÓN DE REPETIDORA INALÁMBRICA RADIO RA 2</v>
      </c>
    </row>
    <row r="1806" spans="1:20" ht="27" customHeight="1" x14ac:dyDescent="0.25">
      <c r="A1806" s="8" t="s">
        <v>3977</v>
      </c>
      <c r="B1806" s="9" t="s">
        <v>2515</v>
      </c>
      <c r="C1806" s="9"/>
      <c r="D1806" s="8" t="s">
        <v>4009</v>
      </c>
      <c r="E1806" s="8"/>
      <c r="F1806" s="8" t="s">
        <v>22</v>
      </c>
      <c r="G1806" s="10" t="s">
        <v>4199</v>
      </c>
      <c r="H1806" s="8" t="s">
        <v>4200</v>
      </c>
      <c r="I1806" s="10" t="s">
        <v>4199</v>
      </c>
      <c r="J1806" s="11" t="s">
        <v>33</v>
      </c>
      <c r="K1806" s="18">
        <v>18000</v>
      </c>
      <c r="L1806" s="12">
        <f t="shared" si="164"/>
        <v>25800</v>
      </c>
      <c r="M1806" s="8">
        <v>1</v>
      </c>
      <c r="N1806" s="8" t="s">
        <v>27</v>
      </c>
      <c r="O1806" s="13" t="s">
        <v>587</v>
      </c>
      <c r="P1806" s="14">
        <v>0.2</v>
      </c>
      <c r="Q1806" s="15">
        <v>0.3</v>
      </c>
      <c r="R1806" s="16" t="str">
        <f t="shared" si="166"/>
        <v>KOMODO</v>
      </c>
      <c r="S1806" s="17"/>
      <c r="T1806" s="10" t="str">
        <f t="shared" si="165"/>
        <v>INSTALACIÓN DE MÓDULO POW PACK.</v>
      </c>
    </row>
    <row r="1807" spans="1:20" ht="27" customHeight="1" x14ac:dyDescent="0.25">
      <c r="A1807" s="8" t="s">
        <v>3977</v>
      </c>
      <c r="B1807" s="9" t="s">
        <v>2515</v>
      </c>
      <c r="C1807" s="9"/>
      <c r="D1807" s="8" t="s">
        <v>4009</v>
      </c>
      <c r="E1807" s="8"/>
      <c r="F1807" s="8" t="s">
        <v>22</v>
      </c>
      <c r="G1807" s="10" t="s">
        <v>4201</v>
      </c>
      <c r="H1807" s="8" t="s">
        <v>4202</v>
      </c>
      <c r="I1807" s="10" t="s">
        <v>4201</v>
      </c>
      <c r="J1807" s="11" t="s">
        <v>33</v>
      </c>
      <c r="K1807" s="18">
        <v>15000</v>
      </c>
      <c r="L1807" s="12">
        <f t="shared" si="164"/>
        <v>21500</v>
      </c>
      <c r="M1807" s="8">
        <v>1</v>
      </c>
      <c r="N1807" s="8" t="s">
        <v>27</v>
      </c>
      <c r="O1807" s="13" t="s">
        <v>588</v>
      </c>
      <c r="P1807" s="14">
        <v>0.2</v>
      </c>
      <c r="Q1807" s="15">
        <v>0.3</v>
      </c>
      <c r="R1807" s="16" t="str">
        <f t="shared" si="166"/>
        <v>KOMODO</v>
      </c>
      <c r="S1807" s="17"/>
      <c r="T1807" s="10" t="str">
        <f t="shared" si="165"/>
        <v>INSTALACIÓN DE MODULO CCO POW PACK</v>
      </c>
    </row>
    <row r="1808" spans="1:20" ht="27" customHeight="1" x14ac:dyDescent="0.25">
      <c r="A1808" s="8" t="s">
        <v>3977</v>
      </c>
      <c r="B1808" s="9" t="s">
        <v>2515</v>
      </c>
      <c r="C1808" s="9"/>
      <c r="D1808" s="8" t="s">
        <v>4009</v>
      </c>
      <c r="E1808" s="8"/>
      <c r="F1808" s="8" t="s">
        <v>22</v>
      </c>
      <c r="G1808" s="10" t="s">
        <v>4203</v>
      </c>
      <c r="H1808" s="8" t="s">
        <v>4204</v>
      </c>
      <c r="I1808" s="10" t="s">
        <v>4203</v>
      </c>
      <c r="J1808" s="11" t="s">
        <v>33</v>
      </c>
      <c r="K1808" s="18">
        <v>18000</v>
      </c>
      <c r="L1808" s="12">
        <f t="shared" si="164"/>
        <v>25800</v>
      </c>
      <c r="M1808" s="8">
        <v>1</v>
      </c>
      <c r="N1808" s="8" t="s">
        <v>27</v>
      </c>
      <c r="O1808" s="13" t="s">
        <v>587</v>
      </c>
      <c r="P1808" s="14">
        <v>0.2</v>
      </c>
      <c r="Q1808" s="15">
        <v>0.3</v>
      </c>
      <c r="R1808" s="16" t="str">
        <f t="shared" si="166"/>
        <v>KOMODO</v>
      </c>
      <c r="S1808" s="17"/>
      <c r="T1808" s="10" t="str">
        <f t="shared" si="165"/>
        <v>INSTALACIÓN DE MÓDULO DUAL DE CONTACTOS SECOS.</v>
      </c>
    </row>
    <row r="1809" spans="1:20" ht="27" customHeight="1" x14ac:dyDescent="0.25">
      <c r="A1809" s="8" t="s">
        <v>3977</v>
      </c>
      <c r="B1809" s="9" t="s">
        <v>2515</v>
      </c>
      <c r="C1809" s="9"/>
      <c r="D1809" s="8" t="s">
        <v>4009</v>
      </c>
      <c r="E1809" s="8"/>
      <c r="F1809" s="8" t="s">
        <v>22</v>
      </c>
      <c r="G1809" s="10" t="s">
        <v>4205</v>
      </c>
      <c r="H1809" s="8" t="s">
        <v>4206</v>
      </c>
      <c r="I1809" s="10" t="s">
        <v>4205</v>
      </c>
      <c r="J1809" s="11" t="s">
        <v>33</v>
      </c>
      <c r="K1809" s="18">
        <v>15000</v>
      </c>
      <c r="L1809" s="12">
        <f t="shared" si="164"/>
        <v>21500</v>
      </c>
      <c r="M1809" s="8">
        <v>1</v>
      </c>
      <c r="N1809" s="8" t="s">
        <v>27</v>
      </c>
      <c r="O1809" s="13" t="s">
        <v>588</v>
      </c>
      <c r="P1809" s="14">
        <v>0.2</v>
      </c>
      <c r="Q1809" s="15">
        <v>0.3</v>
      </c>
      <c r="R1809" s="16" t="str">
        <f t="shared" si="166"/>
        <v>KOMODO</v>
      </c>
      <c r="S1809" s="17"/>
      <c r="T1809" s="10" t="str">
        <f t="shared" si="165"/>
        <v>INSTALACIÓN DE MÓDULO DE ACCESO REMOTO.</v>
      </c>
    </row>
    <row r="1810" spans="1:20" ht="27" customHeight="1" x14ac:dyDescent="0.25">
      <c r="A1810" s="8" t="s">
        <v>3977</v>
      </c>
      <c r="B1810" s="9" t="s">
        <v>2515</v>
      </c>
      <c r="C1810" s="9"/>
      <c r="D1810" s="8" t="s">
        <v>4009</v>
      </c>
      <c r="E1810" s="8"/>
      <c r="F1810" s="8" t="s">
        <v>22</v>
      </c>
      <c r="G1810" s="10" t="s">
        <v>4207</v>
      </c>
      <c r="H1810" s="8" t="s">
        <v>4208</v>
      </c>
      <c r="I1810" s="10" t="s">
        <v>4207</v>
      </c>
      <c r="J1810" s="11" t="s">
        <v>33</v>
      </c>
      <c r="K1810" s="18">
        <v>55000</v>
      </c>
      <c r="L1810" s="12">
        <f t="shared" si="164"/>
        <v>110000</v>
      </c>
      <c r="M1810" s="8">
        <v>1</v>
      </c>
      <c r="N1810" s="8" t="s">
        <v>27</v>
      </c>
      <c r="O1810" s="13" t="s">
        <v>587</v>
      </c>
      <c r="P1810" s="14">
        <v>0.2</v>
      </c>
      <c r="Q1810" s="15">
        <v>0.5</v>
      </c>
      <c r="R1810" s="16" t="str">
        <f t="shared" si="166"/>
        <v>KOMODO</v>
      </c>
      <c r="S1810" s="17"/>
      <c r="T1810" s="10" t="str">
        <f t="shared" si="165"/>
        <v>INSTALACIÓN DE PANEL BUS DE DATOS ECOSYSTEM</v>
      </c>
    </row>
    <row r="1811" spans="1:20" ht="27" customHeight="1" x14ac:dyDescent="0.25">
      <c r="A1811" s="8" t="s">
        <v>3977</v>
      </c>
      <c r="B1811" s="9" t="s">
        <v>2515</v>
      </c>
      <c r="C1811" s="9"/>
      <c r="D1811" s="8" t="s">
        <v>4009</v>
      </c>
      <c r="E1811" s="8"/>
      <c r="F1811" s="8" t="s">
        <v>22</v>
      </c>
      <c r="G1811" s="10" t="s">
        <v>4209</v>
      </c>
      <c r="H1811" s="8" t="s">
        <v>4210</v>
      </c>
      <c r="I1811" s="10" t="s">
        <v>4209</v>
      </c>
      <c r="J1811" s="11" t="s">
        <v>33</v>
      </c>
      <c r="K1811" s="18">
        <v>500000</v>
      </c>
      <c r="L1811" s="12">
        <f t="shared" si="164"/>
        <v>1000000</v>
      </c>
      <c r="M1811" s="8">
        <v>1</v>
      </c>
      <c r="N1811" s="8" t="s">
        <v>27</v>
      </c>
      <c r="O1811" s="13" t="s">
        <v>588</v>
      </c>
      <c r="P1811" s="14">
        <v>0.2</v>
      </c>
      <c r="Q1811" s="15">
        <v>0.5</v>
      </c>
      <c r="R1811" s="16" t="str">
        <f t="shared" si="166"/>
        <v>KOMODO</v>
      </c>
      <c r="S1811" s="17"/>
      <c r="T1811" s="10" t="str">
        <f t="shared" si="165"/>
        <v>INSTALACIÓN DE LOS EQUIPOS QUE HACEN PARTE DE ESTA PROPUESTA</v>
      </c>
    </row>
    <row r="1812" spans="1:20" ht="27" customHeight="1" x14ac:dyDescent="0.25">
      <c r="A1812" s="8" t="s">
        <v>3977</v>
      </c>
      <c r="B1812" s="9" t="s">
        <v>2515</v>
      </c>
      <c r="C1812" s="9"/>
      <c r="D1812" s="8" t="s">
        <v>4009</v>
      </c>
      <c r="E1812" s="8"/>
      <c r="F1812" s="8" t="s">
        <v>22</v>
      </c>
      <c r="G1812" s="10" t="s">
        <v>4211</v>
      </c>
      <c r="H1812" s="8" t="s">
        <v>4212</v>
      </c>
      <c r="I1812" s="10" t="s">
        <v>4211</v>
      </c>
      <c r="J1812" s="11" t="s">
        <v>33</v>
      </c>
      <c r="K1812" s="18">
        <v>1000000</v>
      </c>
      <c r="L1812" s="12">
        <f t="shared" si="164"/>
        <v>2000000</v>
      </c>
      <c r="M1812" s="8">
        <v>1</v>
      </c>
      <c r="N1812" s="8" t="s">
        <v>27</v>
      </c>
      <c r="O1812" s="13" t="s">
        <v>587</v>
      </c>
      <c r="P1812" s="14">
        <v>0.2</v>
      </c>
      <c r="Q1812" s="15">
        <v>0.5</v>
      </c>
      <c r="R1812" s="16" t="str">
        <f t="shared" si="166"/>
        <v>KOMODO</v>
      </c>
      <c r="S1812" s="17"/>
      <c r="T1812" s="10" t="str">
        <f t="shared" si="165"/>
        <v>INSTALACIÓN Y PROGRAMACIÓN DE LOS EQUIPOS QUE HACEN PARTE DE ESTA PROPUESTA</v>
      </c>
    </row>
    <row r="1813" spans="1:20" ht="27" customHeight="1" x14ac:dyDescent="0.25">
      <c r="A1813" s="8" t="s">
        <v>3977</v>
      </c>
      <c r="B1813" s="9" t="s">
        <v>2515</v>
      </c>
      <c r="C1813" s="9"/>
      <c r="D1813" s="8" t="s">
        <v>4009</v>
      </c>
      <c r="E1813" s="8"/>
      <c r="F1813" s="8" t="s">
        <v>22</v>
      </c>
      <c r="G1813" s="10" t="s">
        <v>4213</v>
      </c>
      <c r="H1813" s="8" t="s">
        <v>4214</v>
      </c>
      <c r="I1813" s="10" t="s">
        <v>4213</v>
      </c>
      <c r="J1813" s="11" t="s">
        <v>26</v>
      </c>
      <c r="K1813" s="18">
        <v>15</v>
      </c>
      <c r="L1813" s="12">
        <f t="shared" si="164"/>
        <v>30</v>
      </c>
      <c r="M1813" s="8">
        <v>1</v>
      </c>
      <c r="N1813" s="8" t="s">
        <v>27</v>
      </c>
      <c r="O1813" s="13" t="s">
        <v>588</v>
      </c>
      <c r="P1813" s="14">
        <v>0.2</v>
      </c>
      <c r="Q1813" s="15">
        <v>0.4</v>
      </c>
      <c r="R1813" s="16" t="str">
        <f t="shared" si="166"/>
        <v>KOMODO</v>
      </c>
      <c r="S1813" s="17"/>
      <c r="T1813" s="10" t="str">
        <f t="shared" si="165"/>
        <v>INSTALACIÓN DE SENSOR DE HUMO Y TEMPERATURA.</v>
      </c>
    </row>
    <row r="1814" spans="1:20" ht="27" customHeight="1" x14ac:dyDescent="0.25">
      <c r="A1814" s="8" t="s">
        <v>3977</v>
      </c>
      <c r="B1814" s="9" t="s">
        <v>2515</v>
      </c>
      <c r="C1814" s="9"/>
      <c r="D1814" s="8" t="s">
        <v>4009</v>
      </c>
      <c r="E1814" s="8"/>
      <c r="F1814" s="8" t="s">
        <v>22</v>
      </c>
      <c r="G1814" s="10" t="s">
        <v>4215</v>
      </c>
      <c r="H1814" s="8" t="s">
        <v>4216</v>
      </c>
      <c r="I1814" s="10" t="s">
        <v>4215</v>
      </c>
      <c r="J1814" s="11" t="s">
        <v>33</v>
      </c>
      <c r="K1814" s="18">
        <v>95000</v>
      </c>
      <c r="L1814" s="12">
        <f t="shared" si="164"/>
        <v>135800</v>
      </c>
      <c r="M1814" s="8">
        <v>1</v>
      </c>
      <c r="N1814" s="8" t="s">
        <v>27</v>
      </c>
      <c r="O1814" s="13" t="s">
        <v>587</v>
      </c>
      <c r="P1814" s="14">
        <v>0.2</v>
      </c>
      <c r="Q1814" s="15">
        <v>0.3</v>
      </c>
      <c r="R1814" s="16" t="str">
        <f t="shared" si="166"/>
        <v>KOMODO</v>
      </c>
      <c r="S1814" s="17"/>
      <c r="T1814" s="10" t="str">
        <f t="shared" si="165"/>
        <v>INSTALACIÓN DE CANTONERA O ELECTROIMÁN</v>
      </c>
    </row>
    <row r="1815" spans="1:20" ht="27" customHeight="1" x14ac:dyDescent="0.25">
      <c r="A1815" s="8" t="s">
        <v>3977</v>
      </c>
      <c r="B1815" s="9" t="s">
        <v>2515</v>
      </c>
      <c r="C1815" s="9"/>
      <c r="D1815" s="8" t="s">
        <v>4009</v>
      </c>
      <c r="E1815" s="8"/>
      <c r="F1815" s="8" t="s">
        <v>22</v>
      </c>
      <c r="G1815" s="10" t="s">
        <v>4217</v>
      </c>
      <c r="H1815" s="8" t="s">
        <v>4218</v>
      </c>
      <c r="I1815" s="10" t="s">
        <v>4217</v>
      </c>
      <c r="J1815" s="11" t="s">
        <v>33</v>
      </c>
      <c r="K1815" s="18">
        <v>120000</v>
      </c>
      <c r="L1815" s="12">
        <f t="shared" si="164"/>
        <v>171500</v>
      </c>
      <c r="M1815" s="8">
        <v>1</v>
      </c>
      <c r="N1815" s="8" t="s">
        <v>27</v>
      </c>
      <c r="O1815" s="13" t="s">
        <v>588</v>
      </c>
      <c r="P1815" s="14">
        <v>0.2</v>
      </c>
      <c r="Q1815" s="15">
        <v>0.3</v>
      </c>
      <c r="R1815" s="16" t="str">
        <f t="shared" si="166"/>
        <v>KOMODO</v>
      </c>
      <c r="S1815" s="17"/>
      <c r="T1815" s="10" t="str">
        <f t="shared" si="165"/>
        <v>INSTALACIÓN DE TV EN SOPORTE FIJO</v>
      </c>
    </row>
    <row r="1816" spans="1:20" ht="27" customHeight="1" x14ac:dyDescent="0.25">
      <c r="A1816" s="8" t="s">
        <v>3977</v>
      </c>
      <c r="B1816" s="9" t="s">
        <v>2515</v>
      </c>
      <c r="C1816" s="9"/>
      <c r="D1816" s="8" t="s">
        <v>4009</v>
      </c>
      <c r="E1816" s="8"/>
      <c r="F1816" s="8" t="s">
        <v>22</v>
      </c>
      <c r="G1816" s="10" t="s">
        <v>4219</v>
      </c>
      <c r="H1816" s="8" t="s">
        <v>4220</v>
      </c>
      <c r="I1816" s="10" t="s">
        <v>4221</v>
      </c>
      <c r="J1816" s="11" t="s">
        <v>33</v>
      </c>
      <c r="K1816" s="18">
        <v>15000</v>
      </c>
      <c r="L1816" s="12">
        <f t="shared" ref="L1816:L1847" si="167">IF(J1816="P",ROUNDUP(K1816/(1-Q1816),-2),K1816*(1+P1816)/(1-Q1816))</f>
        <v>21500</v>
      </c>
      <c r="M1816" s="8">
        <v>1</v>
      </c>
      <c r="N1816" s="8" t="s">
        <v>27</v>
      </c>
      <c r="O1816" s="13" t="s">
        <v>587</v>
      </c>
      <c r="P1816" s="14">
        <v>0.2</v>
      </c>
      <c r="Q1816" s="15">
        <v>0.3</v>
      </c>
      <c r="R1816" s="16" t="str">
        <f t="shared" si="166"/>
        <v>KOMODO</v>
      </c>
      <c r="S1816" s="17"/>
      <c r="T1816" s="10" t="str">
        <f t="shared" si="165"/>
        <v>INSTALACIÓN DE LUMINARIA TIPO BALA. NO INCLUYE OBRAS CIVILES.</v>
      </c>
    </row>
    <row r="1817" spans="1:20" ht="27" customHeight="1" x14ac:dyDescent="0.25">
      <c r="A1817" s="8" t="s">
        <v>3977</v>
      </c>
      <c r="B1817" s="9" t="s">
        <v>2515</v>
      </c>
      <c r="C1817" s="9"/>
      <c r="D1817" s="8" t="s">
        <v>4009</v>
      </c>
      <c r="E1817" s="8"/>
      <c r="F1817" s="8" t="s">
        <v>22</v>
      </c>
      <c r="G1817" s="10" t="s">
        <v>4222</v>
      </c>
      <c r="H1817" s="8" t="s">
        <v>4223</v>
      </c>
      <c r="I1817" s="10" t="s">
        <v>4224</v>
      </c>
      <c r="J1817" s="11" t="s">
        <v>33</v>
      </c>
      <c r="K1817" s="18">
        <v>15000</v>
      </c>
      <c r="L1817" s="12">
        <f t="shared" si="167"/>
        <v>21500</v>
      </c>
      <c r="M1817" s="8">
        <v>1</v>
      </c>
      <c r="N1817" s="8" t="s">
        <v>27</v>
      </c>
      <c r="O1817" s="13" t="s">
        <v>588</v>
      </c>
      <c r="P1817" s="14">
        <v>0.2</v>
      </c>
      <c r="Q1817" s="15">
        <v>0.3</v>
      </c>
      <c r="R1817" s="16" t="str">
        <f t="shared" si="166"/>
        <v>KOMODO</v>
      </c>
      <c r="S1817" s="17"/>
      <c r="T1817" s="10" t="str">
        <f t="shared" si="165"/>
        <v>INSTALACIÓN DE LUMINARIA TIPO PANEL PEQUEÑO. NO INCLUYE OBRAS CIVILES.</v>
      </c>
    </row>
    <row r="1818" spans="1:20" ht="27" customHeight="1" x14ac:dyDescent="0.25">
      <c r="A1818" s="8" t="s">
        <v>3977</v>
      </c>
      <c r="B1818" s="9" t="s">
        <v>2515</v>
      </c>
      <c r="C1818" s="9"/>
      <c r="D1818" s="8" t="s">
        <v>4009</v>
      </c>
      <c r="E1818" s="8"/>
      <c r="F1818" s="8" t="s">
        <v>22</v>
      </c>
      <c r="G1818" s="10" t="s">
        <v>4225</v>
      </c>
      <c r="H1818" s="8" t="s">
        <v>4226</v>
      </c>
      <c r="I1818" s="10" t="s">
        <v>4227</v>
      </c>
      <c r="J1818" s="11" t="s">
        <v>33</v>
      </c>
      <c r="K1818" s="18">
        <v>25000</v>
      </c>
      <c r="L1818" s="12">
        <f t="shared" si="167"/>
        <v>35800</v>
      </c>
      <c r="M1818" s="8">
        <v>1</v>
      </c>
      <c r="N1818" s="8" t="s">
        <v>27</v>
      </c>
      <c r="O1818" s="13" t="s">
        <v>587</v>
      </c>
      <c r="P1818" s="14">
        <v>0.2</v>
      </c>
      <c r="Q1818" s="15">
        <v>0.3</v>
      </c>
      <c r="R1818" s="16" t="str">
        <f t="shared" si="166"/>
        <v>KOMODO</v>
      </c>
      <c r="S1818" s="17"/>
      <c r="T1818" s="10" t="str">
        <f t="shared" si="165"/>
        <v>INSTALACIÓN DE LUMINARIA TIPO PANEL.</v>
      </c>
    </row>
    <row r="1819" spans="1:20" ht="27" customHeight="1" x14ac:dyDescent="0.25">
      <c r="A1819" s="8" t="s">
        <v>3977</v>
      </c>
      <c r="B1819" s="9" t="s">
        <v>2515</v>
      </c>
      <c r="C1819" s="9"/>
      <c r="D1819" s="8" t="s">
        <v>4009</v>
      </c>
      <c r="E1819" s="8"/>
      <c r="F1819" s="8" t="s">
        <v>22</v>
      </c>
      <c r="G1819" s="10" t="s">
        <v>4228</v>
      </c>
      <c r="H1819" s="8" t="s">
        <v>4229</v>
      </c>
      <c r="I1819" s="10" t="s">
        <v>4230</v>
      </c>
      <c r="J1819" s="11" t="s">
        <v>33</v>
      </c>
      <c r="K1819" s="18">
        <v>50000</v>
      </c>
      <c r="L1819" s="12">
        <f t="shared" si="167"/>
        <v>71500</v>
      </c>
      <c r="M1819" s="8">
        <v>1</v>
      </c>
      <c r="N1819" s="8" t="s">
        <v>27</v>
      </c>
      <c r="O1819" s="13" t="s">
        <v>588</v>
      </c>
      <c r="P1819" s="14">
        <v>0</v>
      </c>
      <c r="Q1819" s="15">
        <v>0.3</v>
      </c>
      <c r="R1819" s="16" t="str">
        <f t="shared" si="166"/>
        <v>KOMODO</v>
      </c>
      <c r="S1819" s="17"/>
      <c r="T1819" s="10" t="str">
        <f t="shared" si="165"/>
        <v>INSTALACIÓN DE LUMINARIA EN RIEL.</v>
      </c>
    </row>
    <row r="1820" spans="1:20" ht="27" customHeight="1" x14ac:dyDescent="0.25">
      <c r="A1820" s="8" t="s">
        <v>3977</v>
      </c>
      <c r="B1820" s="9" t="s">
        <v>2515</v>
      </c>
      <c r="C1820" s="9"/>
      <c r="D1820" s="8" t="s">
        <v>4009</v>
      </c>
      <c r="E1820" s="8"/>
      <c r="F1820" s="8" t="s">
        <v>22</v>
      </c>
      <c r="G1820" s="10" t="s">
        <v>4225</v>
      </c>
      <c r="H1820" s="8" t="s">
        <v>4231</v>
      </c>
      <c r="I1820" s="10" t="s">
        <v>4227</v>
      </c>
      <c r="J1820" s="11" t="s">
        <v>33</v>
      </c>
      <c r="K1820" s="18">
        <v>40000</v>
      </c>
      <c r="L1820" s="12">
        <f t="shared" si="167"/>
        <v>57200</v>
      </c>
      <c r="M1820" s="8">
        <v>1</v>
      </c>
      <c r="N1820" s="8" t="s">
        <v>27</v>
      </c>
      <c r="O1820" s="13" t="s">
        <v>587</v>
      </c>
      <c r="P1820" s="14">
        <v>0.2</v>
      </c>
      <c r="Q1820" s="15">
        <v>0.3</v>
      </c>
      <c r="R1820" s="16" t="str">
        <f t="shared" si="166"/>
        <v>KOMODO</v>
      </c>
      <c r="S1820" s="17"/>
      <c r="T1820" s="10" t="str">
        <f t="shared" si="165"/>
        <v>INSTALACIÓN DE LUMINARIA TIPO PANEL.</v>
      </c>
    </row>
    <row r="1821" spans="1:20" ht="27" customHeight="1" x14ac:dyDescent="0.25">
      <c r="A1821" s="8" t="s">
        <v>3977</v>
      </c>
      <c r="B1821" s="9" t="s">
        <v>2515</v>
      </c>
      <c r="C1821" s="9"/>
      <c r="D1821" s="8" t="s">
        <v>4009</v>
      </c>
      <c r="E1821" s="8"/>
      <c r="F1821" s="8" t="s">
        <v>22</v>
      </c>
      <c r="G1821" s="10" t="s">
        <v>4232</v>
      </c>
      <c r="H1821" s="8" t="s">
        <v>4233</v>
      </c>
      <c r="I1821" s="10" t="s">
        <v>4234</v>
      </c>
      <c r="J1821" s="11" t="s">
        <v>33</v>
      </c>
      <c r="K1821" s="18">
        <v>40000</v>
      </c>
      <c r="L1821" s="12">
        <f t="shared" si="167"/>
        <v>57200</v>
      </c>
      <c r="M1821" s="8">
        <v>1</v>
      </c>
      <c r="N1821" s="8" t="s">
        <v>27</v>
      </c>
      <c r="O1821" s="13" t="s">
        <v>588</v>
      </c>
      <c r="P1821" s="14">
        <v>0.2</v>
      </c>
      <c r="Q1821" s="15">
        <v>0.3</v>
      </c>
      <c r="R1821" s="16" t="str">
        <f t="shared" si="166"/>
        <v>KOMODO</v>
      </c>
      <c r="S1821" s="17"/>
      <c r="T1821" s="10" t="str">
        <f t="shared" si="165"/>
        <v>INSTALACIÓN DE LUMINARIA TIPO TABACO DE EXTERIOR.</v>
      </c>
    </row>
    <row r="1822" spans="1:20" ht="27" customHeight="1" x14ac:dyDescent="0.25">
      <c r="A1822" s="8" t="s">
        <v>3977</v>
      </c>
      <c r="B1822" s="9" t="s">
        <v>2515</v>
      </c>
      <c r="C1822" s="9"/>
      <c r="D1822" s="8" t="s">
        <v>4009</v>
      </c>
      <c r="E1822" s="8"/>
      <c r="F1822" s="8" t="s">
        <v>22</v>
      </c>
      <c r="G1822" s="10" t="s">
        <v>4235</v>
      </c>
      <c r="H1822" s="8" t="s">
        <v>4236</v>
      </c>
      <c r="I1822" s="10" t="s">
        <v>4237</v>
      </c>
      <c r="J1822" s="11" t="s">
        <v>33</v>
      </c>
      <c r="K1822" s="18">
        <v>20000</v>
      </c>
      <c r="L1822" s="12">
        <f t="shared" si="167"/>
        <v>28600</v>
      </c>
      <c r="M1822" s="8">
        <v>1</v>
      </c>
      <c r="N1822" s="8" t="s">
        <v>27</v>
      </c>
      <c r="O1822" s="13" t="s">
        <v>587</v>
      </c>
      <c r="P1822" s="14">
        <v>0.2</v>
      </c>
      <c r="Q1822" s="15">
        <v>0.3</v>
      </c>
      <c r="R1822" s="16" t="str">
        <f t="shared" si="166"/>
        <v>KOMODO</v>
      </c>
      <c r="S1822" s="17"/>
      <c r="T1822" s="10" t="str">
        <f t="shared" si="165"/>
        <v>INSTALACIÓN DE LUMINARIA TIPO APLIQUE DE EXTERIOR.</v>
      </c>
    </row>
    <row r="1823" spans="1:20" ht="27" customHeight="1" x14ac:dyDescent="0.25">
      <c r="A1823" s="8" t="s">
        <v>3977</v>
      </c>
      <c r="B1823" s="9" t="s">
        <v>2515</v>
      </c>
      <c r="C1823" s="9"/>
      <c r="D1823" s="8" t="s">
        <v>4009</v>
      </c>
      <c r="E1823" s="8"/>
      <c r="F1823" s="8" t="s">
        <v>22</v>
      </c>
      <c r="G1823" s="10" t="s">
        <v>4238</v>
      </c>
      <c r="H1823" s="8" t="s">
        <v>4239</v>
      </c>
      <c r="I1823" s="10" t="s">
        <v>4240</v>
      </c>
      <c r="J1823" s="11" t="s">
        <v>33</v>
      </c>
      <c r="K1823" s="18">
        <v>35000</v>
      </c>
      <c r="L1823" s="12">
        <f t="shared" si="167"/>
        <v>50000</v>
      </c>
      <c r="M1823" s="8">
        <v>1</v>
      </c>
      <c r="N1823" s="8" t="s">
        <v>27</v>
      </c>
      <c r="O1823" s="13" t="s">
        <v>588</v>
      </c>
      <c r="P1823" s="14">
        <v>0.2</v>
      </c>
      <c r="Q1823" s="15">
        <v>0.3</v>
      </c>
      <c r="R1823" s="16" t="str">
        <f t="shared" si="166"/>
        <v>KOMODO</v>
      </c>
      <c r="S1823" s="17"/>
      <c r="T1823" s="10" t="str">
        <f t="shared" si="165"/>
        <v>INSTALACIÓN DE LUMINARIA DESCOLGADA.</v>
      </c>
    </row>
    <row r="1824" spans="1:20" ht="27" customHeight="1" x14ac:dyDescent="0.25">
      <c r="A1824" s="8" t="s">
        <v>3977</v>
      </c>
      <c r="B1824" s="9" t="s">
        <v>2515</v>
      </c>
      <c r="C1824" s="9"/>
      <c r="D1824" s="8" t="s">
        <v>4009</v>
      </c>
      <c r="E1824" s="8"/>
      <c r="F1824" s="8" t="s">
        <v>22</v>
      </c>
      <c r="G1824" s="10" t="s">
        <v>4241</v>
      </c>
      <c r="H1824" s="8" t="s">
        <v>4242</v>
      </c>
      <c r="I1824" s="10" t="s">
        <v>4243</v>
      </c>
      <c r="J1824" s="11" t="s">
        <v>33</v>
      </c>
      <c r="K1824" s="18">
        <v>5000</v>
      </c>
      <c r="L1824" s="12">
        <f t="shared" si="167"/>
        <v>7200</v>
      </c>
      <c r="M1824" s="8">
        <v>1</v>
      </c>
      <c r="N1824" s="8" t="s">
        <v>27</v>
      </c>
      <c r="O1824" s="13" t="s">
        <v>587</v>
      </c>
      <c r="P1824" s="14">
        <v>0.2</v>
      </c>
      <c r="Q1824" s="15">
        <v>0.3</v>
      </c>
      <c r="R1824" s="16" t="str">
        <f t="shared" si="166"/>
        <v>KOMODO</v>
      </c>
      <c r="S1824" s="17"/>
      <c r="T1824" s="10" t="str">
        <f t="shared" si="165"/>
        <v>INSTALACIÓN DE METRO LINEAL DE CINTA LED.</v>
      </c>
    </row>
    <row r="1825" spans="1:20" ht="27" customHeight="1" x14ac:dyDescent="0.25">
      <c r="A1825" s="8" t="s">
        <v>3977</v>
      </c>
      <c r="B1825" s="9" t="s">
        <v>2515</v>
      </c>
      <c r="C1825" s="9"/>
      <c r="D1825" s="8" t="s">
        <v>4009</v>
      </c>
      <c r="E1825" s="8"/>
      <c r="F1825" s="8" t="s">
        <v>22</v>
      </c>
      <c r="G1825" s="10" t="s">
        <v>4244</v>
      </c>
      <c r="H1825" s="8" t="s">
        <v>4245</v>
      </c>
      <c r="I1825" s="10" t="s">
        <v>4244</v>
      </c>
      <c r="J1825" s="11" t="s">
        <v>33</v>
      </c>
      <c r="K1825" s="18">
        <v>45000</v>
      </c>
      <c r="L1825" s="12">
        <f t="shared" si="167"/>
        <v>64300</v>
      </c>
      <c r="M1825" s="8">
        <v>1</v>
      </c>
      <c r="N1825" s="8" t="s">
        <v>27</v>
      </c>
      <c r="O1825" s="13" t="s">
        <v>588</v>
      </c>
      <c r="P1825" s="14">
        <v>0.2</v>
      </c>
      <c r="Q1825" s="15">
        <v>0.3</v>
      </c>
      <c r="R1825" s="16" t="str">
        <f t="shared" si="166"/>
        <v>KOMODO</v>
      </c>
      <c r="S1825" s="17"/>
      <c r="T1825" s="10" t="str">
        <f t="shared" si="165"/>
        <v>INSTALACIÓN DE REFLECTOR. NO INCLUYE OBRAS CIVILES O ADAPTACIONES NECESARIAS.</v>
      </c>
    </row>
    <row r="1826" spans="1:20" ht="27" customHeight="1" x14ac:dyDescent="0.25">
      <c r="A1826" s="8" t="s">
        <v>3977</v>
      </c>
      <c r="B1826" s="9" t="s">
        <v>2515</v>
      </c>
      <c r="C1826" s="9"/>
      <c r="D1826" s="8" t="s">
        <v>4009</v>
      </c>
      <c r="E1826" s="8"/>
      <c r="F1826" s="8" t="s">
        <v>22</v>
      </c>
      <c r="G1826" s="10" t="s">
        <v>4246</v>
      </c>
      <c r="H1826" s="8" t="s">
        <v>4247</v>
      </c>
      <c r="I1826" s="10" t="s">
        <v>4248</v>
      </c>
      <c r="J1826" s="11" t="s">
        <v>33</v>
      </c>
      <c r="K1826" s="18">
        <v>40000</v>
      </c>
      <c r="L1826" s="12">
        <f t="shared" si="167"/>
        <v>57200</v>
      </c>
      <c r="M1826" s="8">
        <v>1</v>
      </c>
      <c r="N1826" s="8" t="s">
        <v>27</v>
      </c>
      <c r="O1826" s="13" t="s">
        <v>587</v>
      </c>
      <c r="P1826" s="14">
        <v>0.2</v>
      </c>
      <c r="Q1826" s="15">
        <v>0.3</v>
      </c>
      <c r="R1826" s="16" t="str">
        <f t="shared" si="166"/>
        <v>KOMODO</v>
      </c>
      <c r="S1826" s="17"/>
      <c r="T1826" s="10" t="str">
        <f t="shared" si="165"/>
        <v>INSTALACIÓN DE LUMINARIA TIPO HASTA.</v>
      </c>
    </row>
    <row r="1827" spans="1:20" ht="27" customHeight="1" x14ac:dyDescent="0.25">
      <c r="A1827" s="8" t="s">
        <v>3977</v>
      </c>
      <c r="B1827" s="9" t="s">
        <v>2515</v>
      </c>
      <c r="C1827" s="9"/>
      <c r="D1827" s="8" t="s">
        <v>4009</v>
      </c>
      <c r="E1827" s="8"/>
      <c r="F1827" s="8" t="s">
        <v>22</v>
      </c>
      <c r="G1827" s="10" t="s">
        <v>4249</v>
      </c>
      <c r="H1827" s="8" t="s">
        <v>4250</v>
      </c>
      <c r="I1827" s="10" t="s">
        <v>4249</v>
      </c>
      <c r="J1827" s="11" t="s">
        <v>26</v>
      </c>
      <c r="K1827" s="18">
        <v>80</v>
      </c>
      <c r="L1827" s="12">
        <f t="shared" si="167"/>
        <v>120</v>
      </c>
      <c r="M1827" s="8">
        <v>1</v>
      </c>
      <c r="N1827" s="8" t="s">
        <v>27</v>
      </c>
      <c r="O1827" s="13" t="s">
        <v>588</v>
      </c>
      <c r="P1827" s="14">
        <v>0.2</v>
      </c>
      <c r="Q1827" s="15">
        <v>0.2</v>
      </c>
      <c r="R1827" s="16" t="str">
        <f t="shared" si="166"/>
        <v>KOMODO</v>
      </c>
      <c r="S1827" s="17"/>
      <c r="T1827" s="10" t="str">
        <f t="shared" si="165"/>
        <v>INSTALACIÓN DE TELÓN FIJO EN PARED, NO INCLUYE REFUERZOS O ACABADOS.</v>
      </c>
    </row>
    <row r="1828" spans="1:20" ht="27" customHeight="1" x14ac:dyDescent="0.25">
      <c r="A1828" s="8" t="s">
        <v>3977</v>
      </c>
      <c r="B1828" s="9" t="s">
        <v>2515</v>
      </c>
      <c r="C1828" s="9"/>
      <c r="D1828" s="8" t="s">
        <v>4009</v>
      </c>
      <c r="E1828" s="8"/>
      <c r="F1828" s="8" t="s">
        <v>22</v>
      </c>
      <c r="G1828" s="10" t="s">
        <v>4251</v>
      </c>
      <c r="H1828" s="8" t="s">
        <v>4252</v>
      </c>
      <c r="I1828" s="10" t="s">
        <v>4251</v>
      </c>
      <c r="J1828" s="11" t="s">
        <v>33</v>
      </c>
      <c r="K1828" s="18">
        <v>100000</v>
      </c>
      <c r="L1828" s="12">
        <f t="shared" si="167"/>
        <v>142900</v>
      </c>
      <c r="M1828" s="8">
        <v>1</v>
      </c>
      <c r="N1828" s="8" t="s">
        <v>27</v>
      </c>
      <c r="O1828" s="13" t="s">
        <v>587</v>
      </c>
      <c r="P1828" s="14">
        <v>0.2</v>
      </c>
      <c r="Q1828" s="15">
        <v>0.3</v>
      </c>
      <c r="R1828" s="16" t="str">
        <f t="shared" si="166"/>
        <v>KOMODO</v>
      </c>
      <c r="S1828" s="17"/>
      <c r="T1828" s="10" t="str">
        <f t="shared" si="165"/>
        <v>DESMONTE Y BODEGAJE DE PANTALLA VIDEO WALL.</v>
      </c>
    </row>
    <row r="1829" spans="1:20" ht="27" customHeight="1" x14ac:dyDescent="0.25">
      <c r="A1829" s="8" t="s">
        <v>3977</v>
      </c>
      <c r="B1829" s="9" t="s">
        <v>2515</v>
      </c>
      <c r="C1829" s="9"/>
      <c r="D1829" s="8" t="s">
        <v>4009</v>
      </c>
      <c r="E1829" s="8"/>
      <c r="F1829" s="8" t="s">
        <v>22</v>
      </c>
      <c r="G1829" s="10" t="s">
        <v>4253</v>
      </c>
      <c r="H1829" s="8" t="s">
        <v>4254</v>
      </c>
      <c r="I1829" s="10" t="s">
        <v>4255</v>
      </c>
      <c r="J1829" s="11" t="s">
        <v>33</v>
      </c>
      <c r="K1829" s="18">
        <v>34930</v>
      </c>
      <c r="L1829" s="12">
        <f t="shared" si="167"/>
        <v>49900</v>
      </c>
      <c r="M1829" s="8">
        <v>1</v>
      </c>
      <c r="N1829" s="8" t="s">
        <v>27</v>
      </c>
      <c r="O1829" s="13" t="s">
        <v>588</v>
      </c>
      <c r="P1829" s="14">
        <v>0.2</v>
      </c>
      <c r="Q1829" s="15">
        <v>0.3</v>
      </c>
      <c r="R1829" s="16" t="str">
        <f t="shared" si="166"/>
        <v>KOMODO</v>
      </c>
      <c r="S1829" s="17"/>
      <c r="T1829" s="10" t="str">
        <f t="shared" si="165"/>
        <v>VISITA TÉCNICA PARA REVISIÓN O INSTALACIÓN DE EQUIPOS DE ILUMINACIÓN O CONTROL, DENTRO DEL PERÍMETRO URBANO DE BOGOTÁ. LA VISITA INCLUYE UNA VISITA DE HASTA 1.5 HORAS..</v>
      </c>
    </row>
    <row r="1830" spans="1:20" ht="27" customHeight="1" x14ac:dyDescent="0.25">
      <c r="A1830" s="8" t="s">
        <v>3977</v>
      </c>
      <c r="B1830" s="9" t="s">
        <v>2515</v>
      </c>
      <c r="C1830" s="9"/>
      <c r="D1830" s="8" t="s">
        <v>4009</v>
      </c>
      <c r="E1830" s="8"/>
      <c r="F1830" s="8" t="s">
        <v>22</v>
      </c>
      <c r="G1830" s="10" t="s">
        <v>4256</v>
      </c>
      <c r="H1830" s="8" t="s">
        <v>4257</v>
      </c>
      <c r="I1830" s="10" t="s">
        <v>4258</v>
      </c>
      <c r="J1830" s="11" t="s">
        <v>33</v>
      </c>
      <c r="K1830" s="18">
        <v>5000</v>
      </c>
      <c r="L1830" s="12">
        <f t="shared" si="167"/>
        <v>6300</v>
      </c>
      <c r="M1830" s="8">
        <v>1</v>
      </c>
      <c r="N1830" s="8" t="s">
        <v>27</v>
      </c>
      <c r="O1830" s="13" t="s">
        <v>587</v>
      </c>
      <c r="P1830" s="14">
        <v>0.2</v>
      </c>
      <c r="Q1830" s="15">
        <v>0.2</v>
      </c>
      <c r="R1830" s="16" t="str">
        <f t="shared" si="166"/>
        <v>KOMODO</v>
      </c>
      <c r="S1830" s="17"/>
      <c r="T1830" s="10" t="str">
        <f t="shared" si="165"/>
        <v>MONTAJE DE BALA DE ILUMINACIÓN EN TECHO.</v>
      </c>
    </row>
    <row r="1831" spans="1:20" ht="27" customHeight="1" x14ac:dyDescent="0.25">
      <c r="A1831" s="8" t="s">
        <v>3977</v>
      </c>
      <c r="B1831" s="9" t="s">
        <v>2515</v>
      </c>
      <c r="C1831" s="9"/>
      <c r="D1831" s="8" t="s">
        <v>4009</v>
      </c>
      <c r="E1831" s="8"/>
      <c r="F1831" s="8" t="s">
        <v>22</v>
      </c>
      <c r="G1831" s="10" t="s">
        <v>4256</v>
      </c>
      <c r="H1831" s="8" t="s">
        <v>4259</v>
      </c>
      <c r="I1831" s="10" t="s">
        <v>4260</v>
      </c>
      <c r="J1831" s="11" t="s">
        <v>33</v>
      </c>
      <c r="K1831" s="18">
        <v>7000</v>
      </c>
      <c r="L1831" s="12">
        <f t="shared" si="167"/>
        <v>8800</v>
      </c>
      <c r="M1831" s="8">
        <v>1</v>
      </c>
      <c r="N1831" s="8" t="s">
        <v>27</v>
      </c>
      <c r="O1831" s="13" t="s">
        <v>588</v>
      </c>
      <c r="P1831" s="14">
        <v>0.2</v>
      </c>
      <c r="Q1831" s="15">
        <v>0.2</v>
      </c>
      <c r="R1831" s="16" t="str">
        <f t="shared" si="166"/>
        <v>KOMODO</v>
      </c>
      <c r="S1831" s="17"/>
      <c r="T1831" s="10" t="str">
        <f t="shared" si="165"/>
        <v>MONTAJE DE BALA DE ILUMINACIÓN EN TECHO.</v>
      </c>
    </row>
    <row r="1832" spans="1:20" ht="27" customHeight="1" x14ac:dyDescent="0.25">
      <c r="A1832" s="8" t="s">
        <v>3977</v>
      </c>
      <c r="B1832" s="9" t="s">
        <v>2515</v>
      </c>
      <c r="C1832" s="9"/>
      <c r="D1832" s="8" t="s">
        <v>4009</v>
      </c>
      <c r="E1832" s="8"/>
      <c r="F1832" s="8" t="s">
        <v>22</v>
      </c>
      <c r="G1832" s="10" t="s">
        <v>4261</v>
      </c>
      <c r="H1832" s="8" t="s">
        <v>4262</v>
      </c>
      <c r="I1832" s="10" t="s">
        <v>4263</v>
      </c>
      <c r="J1832" s="11" t="s">
        <v>33</v>
      </c>
      <c r="K1832" s="18">
        <v>11000</v>
      </c>
      <c r="L1832" s="12">
        <f t="shared" si="167"/>
        <v>13800</v>
      </c>
      <c r="M1832" s="8">
        <v>1</v>
      </c>
      <c r="N1832" s="8" t="s">
        <v>27</v>
      </c>
      <c r="O1832" s="13" t="s">
        <v>587</v>
      </c>
      <c r="P1832" s="14">
        <v>0.2</v>
      </c>
      <c r="Q1832" s="15">
        <v>0.2</v>
      </c>
      <c r="R1832" s="16" t="str">
        <f t="shared" si="166"/>
        <v>KOMODO</v>
      </c>
      <c r="S1832" s="17"/>
      <c r="T1832" s="10" t="str">
        <f t="shared" si="165"/>
        <v>MONTAJE DE BALA CUADRADA DE ILUMINACIÓN EN TECHO.</v>
      </c>
    </row>
    <row r="1833" spans="1:20" ht="27" customHeight="1" x14ac:dyDescent="0.25">
      <c r="A1833" s="8" t="s">
        <v>3977</v>
      </c>
      <c r="B1833" s="9" t="s">
        <v>2515</v>
      </c>
      <c r="C1833" s="9"/>
      <c r="D1833" s="8" t="s">
        <v>4009</v>
      </c>
      <c r="E1833" s="8"/>
      <c r="F1833" s="8" t="s">
        <v>22</v>
      </c>
      <c r="G1833" s="10" t="s">
        <v>4261</v>
      </c>
      <c r="H1833" s="8" t="s">
        <v>4264</v>
      </c>
      <c r="I1833" s="10" t="s">
        <v>4265</v>
      </c>
      <c r="J1833" s="11" t="s">
        <v>33</v>
      </c>
      <c r="K1833" s="18">
        <v>15000</v>
      </c>
      <c r="L1833" s="12">
        <f t="shared" si="167"/>
        <v>18800</v>
      </c>
      <c r="M1833" s="8">
        <v>1</v>
      </c>
      <c r="N1833" s="8" t="s">
        <v>27</v>
      </c>
      <c r="O1833" s="13" t="s">
        <v>588</v>
      </c>
      <c r="P1833" s="14">
        <v>0.2</v>
      </c>
      <c r="Q1833" s="15">
        <v>0.2</v>
      </c>
      <c r="R1833" s="16" t="str">
        <f t="shared" si="166"/>
        <v>KOMODO</v>
      </c>
      <c r="S1833" s="17"/>
      <c r="T1833" s="10" t="str">
        <f t="shared" si="165"/>
        <v>MONTAJE DE BALA CUADRADA DE ILUMINACIÓN EN TECHO.</v>
      </c>
    </row>
    <row r="1834" spans="1:20" ht="27" customHeight="1" x14ac:dyDescent="0.25">
      <c r="A1834" s="8" t="s">
        <v>3977</v>
      </c>
      <c r="B1834" s="9" t="s">
        <v>2515</v>
      </c>
      <c r="C1834" s="9"/>
      <c r="D1834" s="8" t="s">
        <v>4009</v>
      </c>
      <c r="E1834" s="8"/>
      <c r="F1834" s="8" t="s">
        <v>22</v>
      </c>
      <c r="G1834" s="10" t="s">
        <v>4266</v>
      </c>
      <c r="H1834" s="8" t="s">
        <v>4267</v>
      </c>
      <c r="I1834" s="10" t="s">
        <v>4268</v>
      </c>
      <c r="J1834" s="11" t="s">
        <v>33</v>
      </c>
      <c r="K1834" s="18">
        <v>30000</v>
      </c>
      <c r="L1834" s="12">
        <f t="shared" si="167"/>
        <v>37500</v>
      </c>
      <c r="M1834" s="8">
        <v>1</v>
      </c>
      <c r="N1834" s="8" t="s">
        <v>27</v>
      </c>
      <c r="O1834" s="13" t="s">
        <v>587</v>
      </c>
      <c r="P1834" s="14">
        <v>0.2</v>
      </c>
      <c r="Q1834" s="15">
        <v>0.2</v>
      </c>
      <c r="R1834" s="16" t="str">
        <f t="shared" si="166"/>
        <v>KOMODO</v>
      </c>
      <c r="S1834" s="17"/>
      <c r="T1834" s="10" t="str">
        <f t="shared" si="165"/>
        <v>MONTAJE DE LÁMPARA PEQUEÑA DESCOLGADA.</v>
      </c>
    </row>
    <row r="1835" spans="1:20" ht="27" customHeight="1" x14ac:dyDescent="0.25">
      <c r="A1835" s="8" t="s">
        <v>3977</v>
      </c>
      <c r="B1835" s="9" t="s">
        <v>2515</v>
      </c>
      <c r="C1835" s="9"/>
      <c r="D1835" s="8" t="s">
        <v>4009</v>
      </c>
      <c r="E1835" s="8"/>
      <c r="F1835" s="8" t="s">
        <v>22</v>
      </c>
      <c r="G1835" s="10" t="s">
        <v>4266</v>
      </c>
      <c r="H1835" s="8" t="s">
        <v>4269</v>
      </c>
      <c r="I1835" s="10" t="s">
        <v>4270</v>
      </c>
      <c r="J1835" s="11" t="s">
        <v>33</v>
      </c>
      <c r="K1835" s="18">
        <v>40000</v>
      </c>
      <c r="L1835" s="12">
        <f t="shared" si="167"/>
        <v>50000</v>
      </c>
      <c r="M1835" s="8">
        <v>1</v>
      </c>
      <c r="N1835" s="8" t="s">
        <v>27</v>
      </c>
      <c r="O1835" s="13" t="s">
        <v>588</v>
      </c>
      <c r="P1835" s="14">
        <v>0.2</v>
      </c>
      <c r="Q1835" s="15">
        <v>0.2</v>
      </c>
      <c r="R1835" s="16" t="str">
        <f t="shared" si="166"/>
        <v>KOMODO</v>
      </c>
      <c r="S1835" s="17"/>
      <c r="T1835" s="10" t="str">
        <f t="shared" si="165"/>
        <v>MONTAJE DE LÁMPARA PEQUEÑA DESCOLGADA.</v>
      </c>
    </row>
    <row r="1836" spans="1:20" ht="27" customHeight="1" x14ac:dyDescent="0.25">
      <c r="A1836" s="8" t="s">
        <v>3977</v>
      </c>
      <c r="B1836" s="9" t="s">
        <v>2515</v>
      </c>
      <c r="C1836" s="9"/>
      <c r="D1836" s="8" t="s">
        <v>4009</v>
      </c>
      <c r="E1836" s="8"/>
      <c r="F1836" s="8" t="s">
        <v>22</v>
      </c>
      <c r="G1836" s="10" t="s">
        <v>4271</v>
      </c>
      <c r="H1836" s="8" t="s">
        <v>4272</v>
      </c>
      <c r="I1836" s="10" t="s">
        <v>4271</v>
      </c>
      <c r="J1836" s="11" t="s">
        <v>33</v>
      </c>
      <c r="K1836" s="18">
        <v>4500</v>
      </c>
      <c r="L1836" s="12">
        <f t="shared" si="167"/>
        <v>5700</v>
      </c>
      <c r="M1836" s="8">
        <v>1</v>
      </c>
      <c r="N1836" s="8" t="s">
        <v>27</v>
      </c>
      <c r="O1836" s="13" t="s">
        <v>587</v>
      </c>
      <c r="P1836" s="14">
        <v>0.2</v>
      </c>
      <c r="Q1836" s="15">
        <v>0.2</v>
      </c>
      <c r="R1836" s="16" t="str">
        <f t="shared" si="166"/>
        <v>KOMODO</v>
      </c>
      <c r="S1836" s="17"/>
      <c r="T1836" s="10" t="str">
        <f t="shared" si="165"/>
        <v>MONTAJE DE METRO LINEAL DE CINTA LED. NO INCLUYE ACCESORIOS.</v>
      </c>
    </row>
    <row r="1837" spans="1:20" ht="27" customHeight="1" x14ac:dyDescent="0.25">
      <c r="A1837" s="8" t="s">
        <v>3977</v>
      </c>
      <c r="B1837" s="9" t="s">
        <v>2515</v>
      </c>
      <c r="C1837" s="9"/>
      <c r="D1837" s="8" t="s">
        <v>4009</v>
      </c>
      <c r="E1837" s="8"/>
      <c r="F1837" s="8" t="s">
        <v>22</v>
      </c>
      <c r="G1837" s="10" t="s">
        <v>4273</v>
      </c>
      <c r="H1837" s="8" t="s">
        <v>4274</v>
      </c>
      <c r="I1837" s="10" t="s">
        <v>4275</v>
      </c>
      <c r="J1837" s="11" t="s">
        <v>33</v>
      </c>
      <c r="K1837" s="18">
        <v>6000</v>
      </c>
      <c r="L1837" s="12">
        <f t="shared" si="167"/>
        <v>7500</v>
      </c>
      <c r="M1837" s="8">
        <v>1</v>
      </c>
      <c r="N1837" s="8" t="s">
        <v>27</v>
      </c>
      <c r="O1837" s="13" t="s">
        <v>588</v>
      </c>
      <c r="P1837" s="14">
        <v>0.2</v>
      </c>
      <c r="Q1837" s="15">
        <v>0.2</v>
      </c>
      <c r="R1837" s="16" t="str">
        <f t="shared" si="166"/>
        <v>KOMODO</v>
      </c>
      <c r="S1837" s="17"/>
      <c r="T1837" s="10" t="str">
        <f t="shared" si="165"/>
        <v>MONTAJE DE METRO LINEAL DE CINTA LED.</v>
      </c>
    </row>
    <row r="1838" spans="1:20" ht="27" customHeight="1" x14ac:dyDescent="0.25">
      <c r="A1838" s="8" t="s">
        <v>3977</v>
      </c>
      <c r="B1838" s="9" t="s">
        <v>2515</v>
      </c>
      <c r="C1838" s="9"/>
      <c r="D1838" s="8" t="s">
        <v>4009</v>
      </c>
      <c r="E1838" s="8"/>
      <c r="F1838" s="8" t="s">
        <v>22</v>
      </c>
      <c r="G1838" s="10" t="s">
        <v>4276</v>
      </c>
      <c r="H1838" s="8" t="s">
        <v>4277</v>
      </c>
      <c r="I1838" s="10" t="s">
        <v>4276</v>
      </c>
      <c r="J1838" s="11" t="s">
        <v>33</v>
      </c>
      <c r="K1838" s="18">
        <v>30000</v>
      </c>
      <c r="L1838" s="12">
        <f t="shared" si="167"/>
        <v>42900</v>
      </c>
      <c r="M1838" s="8">
        <v>1</v>
      </c>
      <c r="N1838" s="8" t="s">
        <v>27</v>
      </c>
      <c r="O1838" s="13" t="s">
        <v>587</v>
      </c>
      <c r="P1838" s="14">
        <v>0.2</v>
      </c>
      <c r="Q1838" s="15">
        <v>0.3</v>
      </c>
      <c r="R1838" s="16" t="str">
        <f t="shared" si="166"/>
        <v>KOMODO</v>
      </c>
      <c r="S1838" s="17"/>
      <c r="T1838" s="10" t="str">
        <f t="shared" si="165"/>
        <v>INSTALACIÓN DE LUMINARIA INTERNA EN LETRA CON RECUBRIMIENTO ACRÍLICO.</v>
      </c>
    </row>
    <row r="1839" spans="1:20" ht="27" customHeight="1" x14ac:dyDescent="0.25">
      <c r="A1839" s="8" t="s">
        <v>3977</v>
      </c>
      <c r="B1839" s="9" t="s">
        <v>2515</v>
      </c>
      <c r="C1839" s="9"/>
      <c r="D1839" s="8" t="s">
        <v>4009</v>
      </c>
      <c r="E1839" s="8"/>
      <c r="F1839" s="8" t="s">
        <v>22</v>
      </c>
      <c r="G1839" s="10" t="s">
        <v>4278</v>
      </c>
      <c r="H1839" s="8" t="s">
        <v>4279</v>
      </c>
      <c r="I1839" s="10" t="s">
        <v>4280</v>
      </c>
      <c r="J1839" s="11" t="s">
        <v>33</v>
      </c>
      <c r="K1839" s="18">
        <v>50000</v>
      </c>
      <c r="L1839" s="12">
        <f t="shared" si="167"/>
        <v>83400</v>
      </c>
      <c r="M1839" s="8">
        <v>1</v>
      </c>
      <c r="N1839" s="8" t="s">
        <v>27</v>
      </c>
      <c r="O1839" s="13" t="s">
        <v>588</v>
      </c>
      <c r="P1839" s="14">
        <v>0.2</v>
      </c>
      <c r="Q1839" s="15">
        <v>0.4</v>
      </c>
      <c r="R1839" s="16" t="str">
        <f t="shared" si="166"/>
        <v>KOMODO</v>
      </c>
      <c r="S1839" s="17"/>
      <c r="T1839" s="10" t="str">
        <f t="shared" si="165"/>
        <v>DESMONTE O MONTAJE DE ELEMENTO EN FACHADA CON DESCENSO CON LÍNEA DE VIDA.</v>
      </c>
    </row>
    <row r="1840" spans="1:20" ht="27" customHeight="1" x14ac:dyDescent="0.25">
      <c r="A1840" s="8" t="s">
        <v>3977</v>
      </c>
      <c r="B1840" s="9" t="s">
        <v>2515</v>
      </c>
      <c r="C1840" s="9"/>
      <c r="D1840" s="8" t="s">
        <v>4009</v>
      </c>
      <c r="E1840" s="8"/>
      <c r="F1840" s="8" t="s">
        <v>22</v>
      </c>
      <c r="G1840" s="10" t="s">
        <v>4281</v>
      </c>
      <c r="H1840" s="8" t="s">
        <v>4282</v>
      </c>
      <c r="I1840" s="10" t="s">
        <v>4281</v>
      </c>
      <c r="J1840" s="11" t="s">
        <v>33</v>
      </c>
      <c r="K1840" s="18">
        <v>80000</v>
      </c>
      <c r="L1840" s="12">
        <f t="shared" si="167"/>
        <v>133400</v>
      </c>
      <c r="M1840" s="8">
        <v>1</v>
      </c>
      <c r="N1840" s="8" t="s">
        <v>27</v>
      </c>
      <c r="O1840" s="13" t="s">
        <v>587</v>
      </c>
      <c r="P1840" s="14">
        <v>0.2</v>
      </c>
      <c r="Q1840" s="15">
        <v>0.4</v>
      </c>
      <c r="R1840" s="16" t="str">
        <f t="shared" si="166"/>
        <v>KOMODO</v>
      </c>
      <c r="S1840" s="17"/>
      <c r="T1840" s="10" t="str">
        <f t="shared" si="165"/>
        <v>INSTALACIÓN DE PUNTO ELÉCTRICO EN FACHADA, CON DESCENSO CONTROLADO EN ALTURA.</v>
      </c>
    </row>
    <row r="1841" spans="1:20" ht="27" customHeight="1" x14ac:dyDescent="0.25">
      <c r="A1841" s="8" t="s">
        <v>3977</v>
      </c>
      <c r="B1841" s="9" t="s">
        <v>2515</v>
      </c>
      <c r="C1841" s="9"/>
      <c r="D1841" s="8" t="s">
        <v>4009</v>
      </c>
      <c r="E1841" s="8"/>
      <c r="F1841" s="8" t="s">
        <v>22</v>
      </c>
      <c r="G1841" s="10" t="s">
        <v>4283</v>
      </c>
      <c r="H1841" s="8" t="s">
        <v>4284</v>
      </c>
      <c r="I1841" s="10" t="s">
        <v>4283</v>
      </c>
      <c r="J1841" s="11" t="s">
        <v>33</v>
      </c>
      <c r="K1841" s="18">
        <v>80000</v>
      </c>
      <c r="L1841" s="12">
        <f t="shared" si="167"/>
        <v>133400</v>
      </c>
      <c r="M1841" s="8">
        <v>1</v>
      </c>
      <c r="N1841" s="8" t="s">
        <v>27</v>
      </c>
      <c r="O1841" s="13" t="s">
        <v>588</v>
      </c>
      <c r="P1841" s="14">
        <v>0.2</v>
      </c>
      <c r="Q1841" s="15">
        <v>0.4</v>
      </c>
      <c r="R1841" s="16" t="str">
        <f t="shared" si="166"/>
        <v>KOMODO</v>
      </c>
      <c r="S1841" s="17"/>
      <c r="T1841" s="10" t="str">
        <f t="shared" si="165"/>
        <v>REVISIÓN DE PUNTO ELÉCTRICO O DE DATOS</v>
      </c>
    </row>
    <row r="1842" spans="1:20" ht="27" customHeight="1" x14ac:dyDescent="0.25">
      <c r="A1842" s="8" t="s">
        <v>3977</v>
      </c>
      <c r="B1842" s="9" t="s">
        <v>2515</v>
      </c>
      <c r="C1842" s="9"/>
      <c r="D1842" s="8" t="s">
        <v>4009</v>
      </c>
      <c r="E1842" s="8"/>
      <c r="F1842" s="8" t="s">
        <v>22</v>
      </c>
      <c r="G1842" s="10" t="s">
        <v>4285</v>
      </c>
      <c r="H1842" s="8" t="s">
        <v>4286</v>
      </c>
      <c r="I1842" s="10" t="s">
        <v>4287</v>
      </c>
      <c r="J1842" s="11" t="s">
        <v>33</v>
      </c>
      <c r="K1842" s="18">
        <v>110000</v>
      </c>
      <c r="L1842" s="12">
        <f t="shared" si="167"/>
        <v>183400</v>
      </c>
      <c r="M1842" s="8">
        <v>1</v>
      </c>
      <c r="N1842" s="8" t="s">
        <v>27</v>
      </c>
      <c r="O1842" s="13" t="s">
        <v>587</v>
      </c>
      <c r="P1842" s="14">
        <v>0.2</v>
      </c>
      <c r="Q1842" s="15">
        <v>0.4</v>
      </c>
      <c r="R1842" s="16" t="str">
        <f t="shared" si="166"/>
        <v>KOMODO</v>
      </c>
      <c r="S1842" s="17"/>
      <c r="T1842" s="10" t="str">
        <f t="shared" si="165"/>
        <v>VISITA TÉCNICA PARA REVISIÓN DE EQUIPOS DE CONTROL AUDIO O VIDEO.</v>
      </c>
    </row>
    <row r="1843" spans="1:20" ht="27" customHeight="1" x14ac:dyDescent="0.25">
      <c r="A1843" s="8" t="s">
        <v>3977</v>
      </c>
      <c r="B1843" s="9"/>
      <c r="C1843" s="9"/>
      <c r="D1843" s="8"/>
      <c r="E1843" s="8"/>
      <c r="F1843" s="8" t="s">
        <v>22</v>
      </c>
      <c r="G1843" s="10" t="s">
        <v>4288</v>
      </c>
      <c r="H1843" s="8" t="s">
        <v>4289</v>
      </c>
      <c r="I1843" s="10" t="s">
        <v>4288</v>
      </c>
      <c r="J1843" s="11" t="s">
        <v>33</v>
      </c>
      <c r="K1843" s="18">
        <v>90000</v>
      </c>
      <c r="L1843" s="12">
        <f t="shared" si="167"/>
        <v>150000</v>
      </c>
      <c r="M1843" s="8">
        <v>1</v>
      </c>
      <c r="N1843" s="8" t="s">
        <v>27</v>
      </c>
      <c r="O1843" s="13" t="s">
        <v>588</v>
      </c>
      <c r="P1843" s="14">
        <v>0.2</v>
      </c>
      <c r="Q1843" s="15">
        <v>0.4</v>
      </c>
      <c r="R1843" s="16" t="str">
        <f t="shared" si="166"/>
        <v>KOMODO</v>
      </c>
      <c r="S1843" s="17"/>
      <c r="T1843" s="10" t="str">
        <f t="shared" si="165"/>
        <v>PONCHADO Y CONEXIÓN DE PATCH PANEL DE 24 PUERTOS</v>
      </c>
    </row>
    <row r="1844" spans="1:20" ht="27" customHeight="1" x14ac:dyDescent="0.25">
      <c r="A1844" s="8" t="s">
        <v>3977</v>
      </c>
      <c r="B1844" s="9"/>
      <c r="C1844" s="9"/>
      <c r="D1844" s="8"/>
      <c r="E1844" s="8"/>
      <c r="F1844" s="8" t="s">
        <v>22</v>
      </c>
      <c r="G1844" s="10" t="s">
        <v>4290</v>
      </c>
      <c r="H1844" s="8" t="s">
        <v>4291</v>
      </c>
      <c r="I1844" s="10" t="s">
        <v>4290</v>
      </c>
      <c r="J1844" s="11" t="s">
        <v>33</v>
      </c>
      <c r="K1844" s="18">
        <v>150000</v>
      </c>
      <c r="L1844" s="12">
        <f t="shared" si="167"/>
        <v>250000</v>
      </c>
      <c r="M1844" s="8">
        <v>1</v>
      </c>
      <c r="N1844" s="8" t="s">
        <v>27</v>
      </c>
      <c r="O1844" s="13" t="s">
        <v>587</v>
      </c>
      <c r="P1844" s="14">
        <v>0.2</v>
      </c>
      <c r="Q1844" s="15">
        <v>0.4</v>
      </c>
      <c r="R1844" s="16" t="str">
        <f t="shared" si="166"/>
        <v>KOMODO</v>
      </c>
      <c r="S1844" s="17"/>
      <c r="T1844" s="10" t="str">
        <f t="shared" si="165"/>
        <v>INSTALACIÓN DE BARRERA DE ACCESO PEATONAL</v>
      </c>
    </row>
    <row r="1845" spans="1:20" ht="27" customHeight="1" x14ac:dyDescent="0.25">
      <c r="A1845" s="8" t="s">
        <v>3977</v>
      </c>
      <c r="B1845" s="9"/>
      <c r="C1845" s="9"/>
      <c r="D1845" s="8"/>
      <c r="E1845" s="8"/>
      <c r="F1845" s="8" t="s">
        <v>22</v>
      </c>
      <c r="G1845" s="10" t="s">
        <v>4292</v>
      </c>
      <c r="H1845" s="8" t="s">
        <v>4293</v>
      </c>
      <c r="I1845" s="10" t="s">
        <v>4294</v>
      </c>
      <c r="J1845" s="11" t="s">
        <v>33</v>
      </c>
      <c r="K1845" s="18">
        <v>80000</v>
      </c>
      <c r="L1845" s="12">
        <f t="shared" si="167"/>
        <v>133400</v>
      </c>
      <c r="M1845" s="8">
        <v>1</v>
      </c>
      <c r="N1845" s="8" t="s">
        <v>27</v>
      </c>
      <c r="O1845" s="13" t="s">
        <v>588</v>
      </c>
      <c r="P1845" s="14">
        <v>0.2</v>
      </c>
      <c r="Q1845" s="15">
        <v>0.4</v>
      </c>
      <c r="R1845" s="16" t="str">
        <f t="shared" si="166"/>
        <v>KOMODO</v>
      </c>
      <c r="S1845" s="17"/>
      <c r="T1845" s="10" t="str">
        <f t="shared" si="165"/>
        <v>REORGANIZACIÓN DE CABLEADO DE SISTEMA 5.1.</v>
      </c>
    </row>
    <row r="1846" spans="1:20" ht="27" customHeight="1" x14ac:dyDescent="0.25">
      <c r="A1846" s="8" t="s">
        <v>3977</v>
      </c>
      <c r="B1846" s="9"/>
      <c r="C1846" s="9"/>
      <c r="D1846" s="8"/>
      <c r="E1846" s="8"/>
      <c r="F1846" s="8" t="s">
        <v>22</v>
      </c>
      <c r="G1846" s="10" t="s">
        <v>4295</v>
      </c>
      <c r="H1846" s="8" t="s">
        <v>4296</v>
      </c>
      <c r="I1846" s="10" t="s">
        <v>4297</v>
      </c>
      <c r="J1846" s="11" t="s">
        <v>33</v>
      </c>
      <c r="K1846" s="18">
        <v>25000</v>
      </c>
      <c r="L1846" s="12">
        <f t="shared" si="167"/>
        <v>41700</v>
      </c>
      <c r="M1846" s="8">
        <v>1</v>
      </c>
      <c r="N1846" s="8" t="s">
        <v>27</v>
      </c>
      <c r="O1846" s="13" t="s">
        <v>587</v>
      </c>
      <c r="P1846" s="14">
        <v>0.2</v>
      </c>
      <c r="Q1846" s="15">
        <v>0.4</v>
      </c>
      <c r="R1846" s="16" t="str">
        <f t="shared" si="166"/>
        <v>KOMODO</v>
      </c>
      <c r="S1846" s="17"/>
      <c r="T1846" s="10" t="str">
        <f t="shared" si="165"/>
        <v>INSTALACIÓN DE SALIDA DE AUDIO.</v>
      </c>
    </row>
    <row r="1847" spans="1:20" ht="27" customHeight="1" x14ac:dyDescent="0.25">
      <c r="A1847" s="8" t="s">
        <v>3977</v>
      </c>
      <c r="B1847" s="9"/>
      <c r="C1847" s="9"/>
      <c r="D1847" s="8"/>
      <c r="E1847" s="8"/>
      <c r="F1847" s="8" t="s">
        <v>22</v>
      </c>
      <c r="G1847" s="10" t="s">
        <v>4298</v>
      </c>
      <c r="H1847" s="8" t="s">
        <v>4299</v>
      </c>
      <c r="I1847" s="10" t="s">
        <v>4298</v>
      </c>
      <c r="J1847" s="11" t="s">
        <v>33</v>
      </c>
      <c r="K1847" s="18">
        <v>95000</v>
      </c>
      <c r="L1847" s="12">
        <f t="shared" si="167"/>
        <v>158400</v>
      </c>
      <c r="M1847" s="8">
        <v>1</v>
      </c>
      <c r="N1847" s="8" t="s">
        <v>27</v>
      </c>
      <c r="O1847" s="13" t="s">
        <v>588</v>
      </c>
      <c r="P1847" s="14">
        <v>0.2</v>
      </c>
      <c r="Q1847" s="15">
        <v>0.4</v>
      </c>
      <c r="R1847" s="16" t="str">
        <f t="shared" si="166"/>
        <v>KOMODO</v>
      </c>
      <c r="S1847" s="17"/>
      <c r="T1847" s="10" t="str">
        <f t="shared" si="165"/>
        <v>MOVIMIENTO DE ALIMENTACIÓN PARCIAL</v>
      </c>
    </row>
    <row r="1848" spans="1:20" ht="27" customHeight="1" x14ac:dyDescent="0.25">
      <c r="A1848" s="8" t="s">
        <v>3977</v>
      </c>
      <c r="B1848" s="9"/>
      <c r="C1848" s="9"/>
      <c r="D1848" s="8"/>
      <c r="E1848" s="8"/>
      <c r="F1848" s="8" t="s">
        <v>22</v>
      </c>
      <c r="G1848" s="10" t="s">
        <v>4300</v>
      </c>
      <c r="H1848" s="8" t="s">
        <v>4301</v>
      </c>
      <c r="I1848" s="10" t="s">
        <v>4300</v>
      </c>
      <c r="J1848" s="11" t="s">
        <v>33</v>
      </c>
      <c r="K1848" s="18">
        <v>6000</v>
      </c>
      <c r="L1848" s="12">
        <f t="shared" ref="L1848:L1879" si="168">IF(J1848="P",ROUNDUP(K1848/(1-Q1848),-2),K1848*(1+P1848)/(1-Q1848))</f>
        <v>10000</v>
      </c>
      <c r="M1848" s="8">
        <v>1</v>
      </c>
      <c r="N1848" s="8" t="s">
        <v>27</v>
      </c>
      <c r="O1848" s="13" t="s">
        <v>587</v>
      </c>
      <c r="P1848" s="14">
        <v>0.2</v>
      </c>
      <c r="Q1848" s="15">
        <v>0.4</v>
      </c>
      <c r="R1848" s="16" t="str">
        <f t="shared" si="166"/>
        <v>KOMODO</v>
      </c>
      <c r="S1848" s="17"/>
      <c r="T1848" s="10" t="str">
        <f t="shared" si="165"/>
        <v>INSTALACIÓN DE METRO DE CANALETA</v>
      </c>
    </row>
    <row r="1849" spans="1:20" ht="27" customHeight="1" x14ac:dyDescent="0.25">
      <c r="A1849" s="8" t="s">
        <v>3977</v>
      </c>
      <c r="B1849" s="9"/>
      <c r="C1849" s="9"/>
      <c r="D1849" s="8"/>
      <c r="E1849" s="8"/>
      <c r="F1849" s="8" t="s">
        <v>22</v>
      </c>
      <c r="G1849" s="10" t="s">
        <v>4302</v>
      </c>
      <c r="H1849" s="8" t="s">
        <v>4303</v>
      </c>
      <c r="I1849" s="10" t="s">
        <v>4302</v>
      </c>
      <c r="J1849" s="11" t="s">
        <v>33</v>
      </c>
      <c r="K1849" s="18">
        <v>350000</v>
      </c>
      <c r="L1849" s="12">
        <f t="shared" si="168"/>
        <v>583400</v>
      </c>
      <c r="M1849" s="8">
        <v>1</v>
      </c>
      <c r="N1849" s="8" t="s">
        <v>27</v>
      </c>
      <c r="O1849" s="13" t="s">
        <v>588</v>
      </c>
      <c r="P1849" s="14">
        <v>0.2</v>
      </c>
      <c r="Q1849" s="15">
        <v>0.4</v>
      </c>
      <c r="R1849" s="16" t="str">
        <f t="shared" si="166"/>
        <v>KOMODO</v>
      </c>
      <c r="S1849" s="17"/>
      <c r="T1849" s="10" t="str">
        <f t="shared" ref="T1849:T1912" si="169">G1849</f>
        <v>ADECUACIÓN Y ORGANIZACIÓN DE EQUIPOS EN RACK</v>
      </c>
    </row>
    <row r="1850" spans="1:20" ht="27" customHeight="1" x14ac:dyDescent="0.25">
      <c r="A1850" s="8" t="s">
        <v>3977</v>
      </c>
      <c r="B1850" s="9"/>
      <c r="C1850" s="9"/>
      <c r="D1850" s="8"/>
      <c r="E1850" s="8"/>
      <c r="F1850" s="8" t="s">
        <v>22</v>
      </c>
      <c r="G1850" s="10" t="s">
        <v>4304</v>
      </c>
      <c r="H1850" s="8" t="s">
        <v>4305</v>
      </c>
      <c r="I1850" s="10" t="s">
        <v>4304</v>
      </c>
      <c r="J1850" s="11" t="s">
        <v>33</v>
      </c>
      <c r="K1850" s="18">
        <v>35000</v>
      </c>
      <c r="L1850" s="12">
        <f t="shared" si="168"/>
        <v>58400</v>
      </c>
      <c r="M1850" s="8">
        <v>1</v>
      </c>
      <c r="N1850" s="8" t="s">
        <v>27</v>
      </c>
      <c r="O1850" s="13" t="s">
        <v>587</v>
      </c>
      <c r="P1850" s="14">
        <v>0.2</v>
      </c>
      <c r="Q1850" s="15">
        <v>0.4</v>
      </c>
      <c r="R1850" s="16" t="str">
        <f t="shared" si="166"/>
        <v>KOMODO</v>
      </c>
      <c r="S1850" s="17"/>
      <c r="T1850" s="10" t="str">
        <f t="shared" si="169"/>
        <v>INSTALACIÓN DE INTERFAZ DE ATENUACIÓN WIRELESS TIPO PLUG.</v>
      </c>
    </row>
    <row r="1851" spans="1:20" ht="27" customHeight="1" x14ac:dyDescent="0.25">
      <c r="A1851" s="8" t="s">
        <v>3977</v>
      </c>
      <c r="B1851" s="9"/>
      <c r="C1851" s="9"/>
      <c r="D1851" s="8"/>
      <c r="E1851" s="8"/>
      <c r="F1851" s="8" t="s">
        <v>22</v>
      </c>
      <c r="G1851" s="10" t="s">
        <v>4306</v>
      </c>
      <c r="H1851" s="8" t="s">
        <v>4307</v>
      </c>
      <c r="I1851" s="10" t="s">
        <v>4306</v>
      </c>
      <c r="J1851" s="11" t="s">
        <v>33</v>
      </c>
      <c r="K1851" s="18">
        <v>50000</v>
      </c>
      <c r="L1851" s="12">
        <f t="shared" si="168"/>
        <v>83400</v>
      </c>
      <c r="M1851" s="8">
        <v>1</v>
      </c>
      <c r="N1851" s="8" t="s">
        <v>27</v>
      </c>
      <c r="O1851" s="13" t="s">
        <v>588</v>
      </c>
      <c r="P1851" s="14">
        <v>0.2</v>
      </c>
      <c r="Q1851" s="15">
        <v>0.4</v>
      </c>
      <c r="R1851" s="16" t="str">
        <f t="shared" si="166"/>
        <v>KOMODO</v>
      </c>
      <c r="S1851" s="17"/>
      <c r="T1851" s="10" t="str">
        <f t="shared" si="169"/>
        <v>INSTALACIÓN DE EXTRACTOR</v>
      </c>
    </row>
    <row r="1852" spans="1:20" ht="27" customHeight="1" x14ac:dyDescent="0.25">
      <c r="A1852" s="8" t="s">
        <v>3977</v>
      </c>
      <c r="B1852" s="9"/>
      <c r="C1852" s="9"/>
      <c r="D1852" s="8"/>
      <c r="E1852" s="8"/>
      <c r="F1852" s="8" t="s">
        <v>22</v>
      </c>
      <c r="G1852" s="10" t="s">
        <v>4308</v>
      </c>
      <c r="H1852" s="8" t="s">
        <v>4309</v>
      </c>
      <c r="I1852" s="10" t="s">
        <v>4308</v>
      </c>
      <c r="J1852" s="11" t="s">
        <v>33</v>
      </c>
      <c r="K1852" s="18">
        <v>30000</v>
      </c>
      <c r="L1852" s="12">
        <f t="shared" si="168"/>
        <v>50000</v>
      </c>
      <c r="M1852" s="8">
        <v>1</v>
      </c>
      <c r="N1852" s="8" t="s">
        <v>27</v>
      </c>
      <c r="O1852" s="13" t="s">
        <v>587</v>
      </c>
      <c r="P1852" s="14">
        <v>0.2</v>
      </c>
      <c r="Q1852" s="15">
        <v>0.4</v>
      </c>
      <c r="R1852" s="16" t="str">
        <f t="shared" si="166"/>
        <v>KOMODO</v>
      </c>
      <c r="S1852" s="17"/>
      <c r="T1852" s="10" t="str">
        <f t="shared" si="169"/>
        <v>INSTALACIÓN DE CITÓFONO</v>
      </c>
    </row>
    <row r="1853" spans="1:20" ht="27" customHeight="1" x14ac:dyDescent="0.25">
      <c r="A1853" s="8" t="s">
        <v>3977</v>
      </c>
      <c r="B1853" s="9"/>
      <c r="C1853" s="9"/>
      <c r="D1853" s="8"/>
      <c r="E1853" s="8"/>
      <c r="F1853" s="8" t="s">
        <v>22</v>
      </c>
      <c r="G1853" s="10" t="s">
        <v>4310</v>
      </c>
      <c r="H1853" s="8" t="s">
        <v>4311</v>
      </c>
      <c r="I1853" s="10" t="s">
        <v>4310</v>
      </c>
      <c r="J1853" s="11" t="s">
        <v>33</v>
      </c>
      <c r="K1853" s="18">
        <v>35000</v>
      </c>
      <c r="L1853" s="12">
        <f t="shared" si="168"/>
        <v>58400</v>
      </c>
      <c r="M1853" s="8">
        <v>1</v>
      </c>
      <c r="N1853" s="8" t="s">
        <v>27</v>
      </c>
      <c r="O1853" s="13" t="s">
        <v>588</v>
      </c>
      <c r="P1853" s="14">
        <v>0.2</v>
      </c>
      <c r="Q1853" s="15">
        <v>0.4</v>
      </c>
      <c r="R1853" s="16" t="str">
        <f t="shared" si="166"/>
        <v>KOMODO</v>
      </c>
      <c r="S1853" s="17"/>
      <c r="T1853" s="10" t="str">
        <f t="shared" si="169"/>
        <v>INSTALACIÓN DE DRIVER PARA LETRERO</v>
      </c>
    </row>
    <row r="1854" spans="1:20" ht="27" customHeight="1" x14ac:dyDescent="0.25">
      <c r="A1854" s="8" t="s">
        <v>3977</v>
      </c>
      <c r="B1854" s="9"/>
      <c r="C1854" s="9"/>
      <c r="D1854" s="8"/>
      <c r="E1854" s="8"/>
      <c r="F1854" s="8" t="s">
        <v>22</v>
      </c>
      <c r="G1854" s="10" t="s">
        <v>4312</v>
      </c>
      <c r="H1854" s="8" t="s">
        <v>4313</v>
      </c>
      <c r="I1854" s="10" t="s">
        <v>4312</v>
      </c>
      <c r="J1854" s="11" t="s">
        <v>33</v>
      </c>
      <c r="K1854" s="18">
        <v>10000</v>
      </c>
      <c r="L1854" s="12">
        <f t="shared" si="168"/>
        <v>16700</v>
      </c>
      <c r="M1854" s="8">
        <v>1</v>
      </c>
      <c r="N1854" s="8" t="s">
        <v>27</v>
      </c>
      <c r="O1854" s="13" t="s">
        <v>587</v>
      </c>
      <c r="P1854" s="14">
        <v>0.2</v>
      </c>
      <c r="Q1854" s="15">
        <v>0.4</v>
      </c>
      <c r="R1854" s="16" t="str">
        <f t="shared" si="166"/>
        <v>KOMODO</v>
      </c>
      <c r="S1854" s="17"/>
      <c r="T1854" s="10" t="str">
        <f t="shared" si="169"/>
        <v>INSTALACIÓN DE METRO DE DUCTO DE AIRE PARA EXTRACCIÓN</v>
      </c>
    </row>
    <row r="1855" spans="1:20" ht="27" customHeight="1" x14ac:dyDescent="0.25">
      <c r="A1855" s="8" t="s">
        <v>3977</v>
      </c>
      <c r="B1855" s="9"/>
      <c r="C1855" s="9"/>
      <c r="D1855" s="8"/>
      <c r="E1855" s="8"/>
      <c r="F1855" s="8" t="s">
        <v>22</v>
      </c>
      <c r="G1855" s="10" t="s">
        <v>4314</v>
      </c>
      <c r="H1855" s="8" t="s">
        <v>4315</v>
      </c>
      <c r="I1855" s="10" t="s">
        <v>4314</v>
      </c>
      <c r="J1855" s="11" t="s">
        <v>33</v>
      </c>
      <c r="K1855" s="18">
        <v>155000</v>
      </c>
      <c r="L1855" s="12">
        <f t="shared" si="168"/>
        <v>258400</v>
      </c>
      <c r="M1855" s="8">
        <v>1</v>
      </c>
      <c r="N1855" s="8" t="s">
        <v>27</v>
      </c>
      <c r="O1855" s="13" t="s">
        <v>588</v>
      </c>
      <c r="P1855" s="14">
        <v>0.2</v>
      </c>
      <c r="Q1855" s="15">
        <v>0.4</v>
      </c>
      <c r="R1855" s="16" t="str">
        <f t="shared" si="166"/>
        <v>KOMODO</v>
      </c>
      <c r="S1855" s="17"/>
      <c r="T1855" s="10" t="str">
        <f t="shared" si="169"/>
        <v>DESMONTE DE TABLERO ELÉCTRICO Y BYPASS DE TABLERO ELÉCTRICO</v>
      </c>
    </row>
    <row r="1856" spans="1:20" ht="27" customHeight="1" x14ac:dyDescent="0.25">
      <c r="A1856" s="8" t="s">
        <v>3977</v>
      </c>
      <c r="B1856" s="9"/>
      <c r="C1856" s="9"/>
      <c r="D1856" s="8"/>
      <c r="E1856" s="8"/>
      <c r="F1856" s="8" t="s">
        <v>22</v>
      </c>
      <c r="G1856" s="10" t="s">
        <v>4316</v>
      </c>
      <c r="H1856" s="8" t="s">
        <v>4317</v>
      </c>
      <c r="I1856" s="10" t="s">
        <v>4316</v>
      </c>
      <c r="J1856" s="11" t="s">
        <v>33</v>
      </c>
      <c r="K1856" s="18">
        <v>150000</v>
      </c>
      <c r="L1856" s="12">
        <f t="shared" si="168"/>
        <v>250000</v>
      </c>
      <c r="M1856" s="8">
        <v>1</v>
      </c>
      <c r="N1856" s="8" t="s">
        <v>27</v>
      </c>
      <c r="O1856" s="13" t="s">
        <v>587</v>
      </c>
      <c r="P1856" s="14">
        <v>0.2</v>
      </c>
      <c r="Q1856" s="15">
        <v>0.4</v>
      </c>
      <c r="R1856" s="16" t="str">
        <f t="shared" si="166"/>
        <v>KOMODO</v>
      </c>
      <c r="S1856" s="17"/>
      <c r="T1856" s="10" t="str">
        <f t="shared" si="169"/>
        <v>INSTALACIÓN DE PANEL DE ALARMA HASTA POR 16 ZONAS</v>
      </c>
    </row>
    <row r="1857" spans="1:20" ht="27" customHeight="1" x14ac:dyDescent="0.25">
      <c r="A1857" s="8" t="s">
        <v>3977</v>
      </c>
      <c r="B1857" s="9"/>
      <c r="C1857" s="9"/>
      <c r="D1857" s="8"/>
      <c r="E1857" s="8"/>
      <c r="F1857" s="8" t="s">
        <v>22</v>
      </c>
      <c r="G1857" s="10" t="s">
        <v>4318</v>
      </c>
      <c r="H1857" s="8" t="s">
        <v>4319</v>
      </c>
      <c r="I1857" s="10" t="s">
        <v>4320</v>
      </c>
      <c r="J1857" s="11" t="s">
        <v>33</v>
      </c>
      <c r="K1857" s="18">
        <v>600000</v>
      </c>
      <c r="L1857" s="12">
        <f t="shared" si="168"/>
        <v>1000000</v>
      </c>
      <c r="M1857" s="8">
        <v>1</v>
      </c>
      <c r="N1857" s="8" t="s">
        <v>27</v>
      </c>
      <c r="O1857" s="13" t="s">
        <v>588</v>
      </c>
      <c r="P1857" s="14">
        <v>0.2</v>
      </c>
      <c r="Q1857" s="15">
        <v>0.4</v>
      </c>
      <c r="R1857" s="16" t="str">
        <f t="shared" ref="R1857:R1920" si="170">A1857</f>
        <v>KOMODO</v>
      </c>
      <c r="S1857" s="17"/>
      <c r="T1857" s="10" t="str">
        <f t="shared" si="169"/>
        <v>MONTAJE DE BASE DE DATOS DE SISTEMA QUANTUM EN SERVIDOR.</v>
      </c>
    </row>
    <row r="1858" spans="1:20" ht="27" customHeight="1" x14ac:dyDescent="0.25">
      <c r="A1858" s="8" t="s">
        <v>3977</v>
      </c>
      <c r="B1858" s="9"/>
      <c r="C1858" s="9"/>
      <c r="D1858" s="8"/>
      <c r="E1858" s="8"/>
      <c r="F1858" s="8" t="s">
        <v>22</v>
      </c>
      <c r="G1858" s="10" t="s">
        <v>4321</v>
      </c>
      <c r="H1858" s="8" t="s">
        <v>4322</v>
      </c>
      <c r="I1858" s="10" t="s">
        <v>4321</v>
      </c>
      <c r="J1858" s="11" t="s">
        <v>33</v>
      </c>
      <c r="K1858" s="18">
        <v>40000</v>
      </c>
      <c r="L1858" s="12">
        <f t="shared" si="168"/>
        <v>66700</v>
      </c>
      <c r="M1858" s="8">
        <v>1</v>
      </c>
      <c r="N1858" s="8" t="s">
        <v>27</v>
      </c>
      <c r="O1858" s="13" t="s">
        <v>587</v>
      </c>
      <c r="P1858" s="14">
        <v>0.2</v>
      </c>
      <c r="Q1858" s="15">
        <v>0.4</v>
      </c>
      <c r="R1858" s="16" t="str">
        <f t="shared" si="170"/>
        <v>KOMODO</v>
      </c>
      <c r="S1858" s="17"/>
      <c r="T1858" s="10" t="str">
        <f t="shared" si="169"/>
        <v>INSTALACIÓN DE DRIVER</v>
      </c>
    </row>
    <row r="1859" spans="1:20" ht="27" customHeight="1" x14ac:dyDescent="0.25">
      <c r="A1859" s="8" t="s">
        <v>3977</v>
      </c>
      <c r="B1859" s="9"/>
      <c r="C1859" s="9"/>
      <c r="D1859" s="8"/>
      <c r="E1859" s="8"/>
      <c r="F1859" s="8" t="s">
        <v>22</v>
      </c>
      <c r="G1859" s="10" t="s">
        <v>4323</v>
      </c>
      <c r="H1859" s="8" t="s">
        <v>4324</v>
      </c>
      <c r="I1859" s="10" t="s">
        <v>4323</v>
      </c>
      <c r="J1859" s="11" t="s">
        <v>33</v>
      </c>
      <c r="K1859" s="18">
        <v>30000</v>
      </c>
      <c r="L1859" s="12">
        <f t="shared" si="168"/>
        <v>50000</v>
      </c>
      <c r="M1859" s="8">
        <v>1</v>
      </c>
      <c r="N1859" s="8" t="s">
        <v>27</v>
      </c>
      <c r="O1859" s="13" t="s">
        <v>588</v>
      </c>
      <c r="P1859" s="14">
        <v>0.2</v>
      </c>
      <c r="Q1859" s="15">
        <v>0.4</v>
      </c>
      <c r="R1859" s="16" t="str">
        <f t="shared" si="170"/>
        <v>KOMODO</v>
      </c>
      <c r="S1859" s="17"/>
      <c r="T1859" s="10" t="str">
        <f t="shared" si="169"/>
        <v>INSTALACIÓN DE TIMER</v>
      </c>
    </row>
    <row r="1860" spans="1:20" ht="27" customHeight="1" x14ac:dyDescent="0.25">
      <c r="A1860" s="8" t="s">
        <v>3977</v>
      </c>
      <c r="B1860" s="9"/>
      <c r="C1860" s="9"/>
      <c r="D1860" s="8"/>
      <c r="E1860" s="8"/>
      <c r="F1860" s="8" t="s">
        <v>22</v>
      </c>
      <c r="G1860" s="10" t="s">
        <v>4325</v>
      </c>
      <c r="H1860" s="8" t="s">
        <v>4326</v>
      </c>
      <c r="I1860" s="10" t="s">
        <v>4327</v>
      </c>
      <c r="J1860" s="11" t="s">
        <v>33</v>
      </c>
      <c r="K1860" s="18">
        <v>1300000</v>
      </c>
      <c r="L1860" s="12">
        <f t="shared" si="168"/>
        <v>2166700</v>
      </c>
      <c r="M1860" s="8">
        <v>1</v>
      </c>
      <c r="N1860" s="8" t="s">
        <v>27</v>
      </c>
      <c r="O1860" s="13" t="s">
        <v>587</v>
      </c>
      <c r="P1860" s="14">
        <v>0.2</v>
      </c>
      <c r="Q1860" s="15">
        <v>0.4</v>
      </c>
      <c r="R1860" s="16" t="str">
        <f t="shared" si="170"/>
        <v>KOMODO</v>
      </c>
      <c r="S1860" s="17"/>
      <c r="T1860" s="10" t="str">
        <f t="shared" si="169"/>
        <v>DISENO DE SISTEMA ELÉCTRICO DE CONTROL DE ILUMINACIÓN.</v>
      </c>
    </row>
    <row r="1861" spans="1:20" ht="27" customHeight="1" x14ac:dyDescent="0.25">
      <c r="A1861" s="8" t="s">
        <v>3977</v>
      </c>
      <c r="B1861" s="9"/>
      <c r="C1861" s="9"/>
      <c r="D1861" s="8"/>
      <c r="E1861" s="8"/>
      <c r="F1861" s="8" t="s">
        <v>22</v>
      </c>
      <c r="G1861" s="10" t="s">
        <v>4328</v>
      </c>
      <c r="H1861" s="8" t="s">
        <v>4329</v>
      </c>
      <c r="I1861" s="10" t="s">
        <v>4328</v>
      </c>
      <c r="J1861" s="11" t="s">
        <v>33</v>
      </c>
      <c r="K1861" s="18">
        <v>80000</v>
      </c>
      <c r="L1861" s="12">
        <f t="shared" si="168"/>
        <v>133400</v>
      </c>
      <c r="M1861" s="8">
        <v>1</v>
      </c>
      <c r="N1861" s="8" t="s">
        <v>27</v>
      </c>
      <c r="O1861" s="13" t="s">
        <v>588</v>
      </c>
      <c r="P1861" s="14">
        <v>0.2</v>
      </c>
      <c r="Q1861" s="15">
        <v>0.4</v>
      </c>
      <c r="R1861" s="16" t="str">
        <f t="shared" si="170"/>
        <v>KOMODO</v>
      </c>
      <c r="S1861" s="17"/>
      <c r="T1861" s="10" t="str">
        <f t="shared" si="169"/>
        <v>VISITA DE SEGUIMIENTO, REVISIÓN Y CONSULTORÍA</v>
      </c>
    </row>
    <row r="1862" spans="1:20" ht="27" customHeight="1" x14ac:dyDescent="0.25">
      <c r="A1862" s="8" t="s">
        <v>3977</v>
      </c>
      <c r="B1862" s="9"/>
      <c r="C1862" s="9"/>
      <c r="D1862" s="8"/>
      <c r="E1862" s="8"/>
      <c r="F1862" s="8" t="s">
        <v>22</v>
      </c>
      <c r="G1862" s="10" t="s">
        <v>4330</v>
      </c>
      <c r="H1862" s="8" t="s">
        <v>4331</v>
      </c>
      <c r="I1862" s="10" t="s">
        <v>4330</v>
      </c>
      <c r="J1862" s="11" t="s">
        <v>33</v>
      </c>
      <c r="K1862" s="18">
        <v>9000</v>
      </c>
      <c r="L1862" s="12">
        <f t="shared" si="168"/>
        <v>15000</v>
      </c>
      <c r="M1862" s="8">
        <v>1</v>
      </c>
      <c r="N1862" s="8" t="s">
        <v>27</v>
      </c>
      <c r="O1862" s="13" t="s">
        <v>587</v>
      </c>
      <c r="P1862" s="14">
        <v>0.2</v>
      </c>
      <c r="Q1862" s="15">
        <v>0.4</v>
      </c>
      <c r="R1862" s="16" t="str">
        <f t="shared" si="170"/>
        <v>KOMODO</v>
      </c>
      <c r="S1862" s="17"/>
      <c r="T1862" s="10" t="str">
        <f t="shared" si="169"/>
        <v>INSTALACIÓN DE CABLE HDMI EN INFRA ESTRUCTURA EXISTENTE</v>
      </c>
    </row>
    <row r="1863" spans="1:20" ht="27" customHeight="1" x14ac:dyDescent="0.25">
      <c r="A1863" s="8" t="s">
        <v>3977</v>
      </c>
      <c r="B1863" s="9"/>
      <c r="C1863" s="9"/>
      <c r="D1863" s="8"/>
      <c r="E1863" s="8"/>
      <c r="F1863" s="8" t="s">
        <v>22</v>
      </c>
      <c r="G1863" s="10" t="s">
        <v>4332</v>
      </c>
      <c r="H1863" s="8" t="s">
        <v>4333</v>
      </c>
      <c r="I1863" s="10" t="s">
        <v>4332</v>
      </c>
      <c r="J1863" s="11" t="s">
        <v>33</v>
      </c>
      <c r="K1863" s="18">
        <v>9000</v>
      </c>
      <c r="L1863" s="12">
        <f t="shared" si="168"/>
        <v>15000</v>
      </c>
      <c r="M1863" s="8">
        <v>1</v>
      </c>
      <c r="N1863" s="8" t="s">
        <v>27</v>
      </c>
      <c r="O1863" s="13" t="s">
        <v>588</v>
      </c>
      <c r="P1863" s="14">
        <v>0.2</v>
      </c>
      <c r="Q1863" s="15">
        <v>0.4</v>
      </c>
      <c r="R1863" s="16" t="str">
        <f t="shared" si="170"/>
        <v>KOMODO</v>
      </c>
      <c r="S1863" s="17"/>
      <c r="T1863" s="10" t="str">
        <f t="shared" si="169"/>
        <v>INSTALACIÓN DE CABLE VGA EN INFRA ESTRUCTURA EXISTENTE</v>
      </c>
    </row>
    <row r="1864" spans="1:20" ht="27" customHeight="1" x14ac:dyDescent="0.25">
      <c r="A1864" s="8" t="s">
        <v>3977</v>
      </c>
      <c r="B1864" s="9"/>
      <c r="C1864" s="9"/>
      <c r="D1864" s="8"/>
      <c r="E1864" s="8"/>
      <c r="F1864" s="8" t="s">
        <v>22</v>
      </c>
      <c r="G1864" s="10" t="s">
        <v>4334</v>
      </c>
      <c r="H1864" s="8" t="s">
        <v>4335</v>
      </c>
      <c r="I1864" s="10" t="s">
        <v>4334</v>
      </c>
      <c r="J1864" s="11" t="s">
        <v>33</v>
      </c>
      <c r="K1864" s="18">
        <v>9000</v>
      </c>
      <c r="L1864" s="12">
        <f t="shared" si="168"/>
        <v>15000</v>
      </c>
      <c r="M1864" s="8">
        <v>1</v>
      </c>
      <c r="N1864" s="8" t="s">
        <v>27</v>
      </c>
      <c r="O1864" s="13" t="s">
        <v>587</v>
      </c>
      <c r="P1864" s="14">
        <v>0.2</v>
      </c>
      <c r="Q1864" s="15">
        <v>0.4</v>
      </c>
      <c r="R1864" s="16" t="str">
        <f t="shared" si="170"/>
        <v>KOMODO</v>
      </c>
      <c r="S1864" s="17"/>
      <c r="T1864" s="10" t="str">
        <f t="shared" si="169"/>
        <v>INSTALACIÓN DE CABLE ESTÉREO EN INFRA ESTRUCTURA EXISTENTE</v>
      </c>
    </row>
    <row r="1865" spans="1:20" ht="27" customHeight="1" x14ac:dyDescent="0.25">
      <c r="A1865" s="8" t="s">
        <v>3977</v>
      </c>
      <c r="B1865" s="9"/>
      <c r="C1865" s="9"/>
      <c r="D1865" s="8"/>
      <c r="E1865" s="8"/>
      <c r="F1865" s="8" t="s">
        <v>22</v>
      </c>
      <c r="G1865" s="10" t="s">
        <v>4336</v>
      </c>
      <c r="H1865" s="8" t="s">
        <v>4337</v>
      </c>
      <c r="I1865" s="10" t="s">
        <v>4336</v>
      </c>
      <c r="J1865" s="11" t="s">
        <v>33</v>
      </c>
      <c r="K1865" s="18">
        <v>10000</v>
      </c>
      <c r="L1865" s="12">
        <f t="shared" si="168"/>
        <v>16700</v>
      </c>
      <c r="M1865" s="8">
        <v>1</v>
      </c>
      <c r="N1865" s="8" t="s">
        <v>27</v>
      </c>
      <c r="O1865" s="13" t="s">
        <v>588</v>
      </c>
      <c r="P1865" s="14">
        <v>0.2</v>
      </c>
      <c r="Q1865" s="15">
        <v>0.4</v>
      </c>
      <c r="R1865" s="16" t="str">
        <f t="shared" si="170"/>
        <v>KOMODO</v>
      </c>
      <c r="S1865" s="17"/>
      <c r="T1865" s="10" t="str">
        <f t="shared" si="169"/>
        <v>INSTALACIÓN DE PUNTO DE ACCESO DE AUDIO Y VIDEO</v>
      </c>
    </row>
    <row r="1866" spans="1:20" ht="27" customHeight="1" x14ac:dyDescent="0.25">
      <c r="A1866" s="8" t="s">
        <v>3977</v>
      </c>
      <c r="B1866" s="9"/>
      <c r="C1866" s="9"/>
      <c r="D1866" s="8"/>
      <c r="E1866" s="8"/>
      <c r="F1866" s="8" t="s">
        <v>22</v>
      </c>
      <c r="G1866" s="10" t="s">
        <v>4338</v>
      </c>
      <c r="H1866" s="8" t="s">
        <v>4339</v>
      </c>
      <c r="I1866" s="10" t="s">
        <v>4338</v>
      </c>
      <c r="J1866" s="11" t="s">
        <v>33</v>
      </c>
      <c r="K1866" s="18">
        <v>50000</v>
      </c>
      <c r="L1866" s="12">
        <f t="shared" si="168"/>
        <v>83400</v>
      </c>
      <c r="M1866" s="8">
        <v>1</v>
      </c>
      <c r="N1866" s="8" t="s">
        <v>27</v>
      </c>
      <c r="O1866" s="13" t="s">
        <v>587</v>
      </c>
      <c r="P1866" s="14">
        <v>0.2</v>
      </c>
      <c r="Q1866" s="15">
        <v>0.4</v>
      </c>
      <c r="R1866" s="16" t="str">
        <f t="shared" si="170"/>
        <v>KOMODO</v>
      </c>
      <c r="S1866" s="17"/>
      <c r="T1866" s="10" t="str">
        <f t="shared" si="169"/>
        <v>INSTALACIÓN Y CONFIGURACIÓN DE MATRIZ INALÁMBRICA</v>
      </c>
    </row>
    <row r="1867" spans="1:20" ht="27" customHeight="1" x14ac:dyDescent="0.25">
      <c r="A1867" s="8" t="s">
        <v>3977</v>
      </c>
      <c r="B1867" s="9"/>
      <c r="C1867" s="9"/>
      <c r="D1867" s="8"/>
      <c r="E1867" s="8"/>
      <c r="F1867" s="8" t="s">
        <v>22</v>
      </c>
      <c r="G1867" s="10" t="s">
        <v>4340</v>
      </c>
      <c r="H1867" s="8" t="s">
        <v>4341</v>
      </c>
      <c r="I1867" s="10" t="s">
        <v>4340</v>
      </c>
      <c r="J1867" s="11" t="s">
        <v>33</v>
      </c>
      <c r="K1867" s="18">
        <v>35000</v>
      </c>
      <c r="L1867" s="12">
        <f t="shared" si="168"/>
        <v>58400</v>
      </c>
      <c r="M1867" s="8">
        <v>1</v>
      </c>
      <c r="N1867" s="8" t="s">
        <v>27</v>
      </c>
      <c r="O1867" s="13" t="s">
        <v>588</v>
      </c>
      <c r="P1867" s="14">
        <v>0.2</v>
      </c>
      <c r="Q1867" s="15">
        <v>0.4</v>
      </c>
      <c r="R1867" s="16" t="str">
        <f t="shared" si="170"/>
        <v>KOMODO</v>
      </c>
      <c r="S1867" s="17"/>
      <c r="T1867" s="10" t="str">
        <f t="shared" si="169"/>
        <v>CONEXIÓN DE PUNTOS DE DATOS, REGULADOS O USB EN GROMMET.</v>
      </c>
    </row>
    <row r="1868" spans="1:20" ht="27" customHeight="1" x14ac:dyDescent="0.25">
      <c r="A1868" s="8" t="s">
        <v>3977</v>
      </c>
      <c r="B1868" s="9"/>
      <c r="C1868" s="9"/>
      <c r="D1868" s="8"/>
      <c r="E1868" s="8"/>
      <c r="F1868" s="8" t="s">
        <v>22</v>
      </c>
      <c r="G1868" s="10" t="s">
        <v>4342</v>
      </c>
      <c r="H1868" s="8" t="s">
        <v>4343</v>
      </c>
      <c r="I1868" s="10" t="s">
        <v>4344</v>
      </c>
      <c r="J1868" s="11" t="s">
        <v>33</v>
      </c>
      <c r="K1868" s="18">
        <v>440000</v>
      </c>
      <c r="L1868" s="12">
        <f t="shared" si="168"/>
        <v>733400</v>
      </c>
      <c r="M1868" s="8">
        <v>1</v>
      </c>
      <c r="N1868" s="8" t="s">
        <v>27</v>
      </c>
      <c r="O1868" s="13" t="s">
        <v>587</v>
      </c>
      <c r="P1868" s="14">
        <v>0.2</v>
      </c>
      <c r="Q1868" s="15">
        <v>0.4</v>
      </c>
      <c r="R1868" s="16" t="str">
        <f t="shared" si="170"/>
        <v>KOMODO</v>
      </c>
      <c r="S1868" s="17"/>
      <c r="T1868" s="10" t="str">
        <f t="shared" si="169"/>
        <v xml:space="preserve">DESCENSO CONTROLADO EN ALTURAS, REALIZADO POR DOS TÉCNICOS CERTIFICADOS. </v>
      </c>
    </row>
    <row r="1869" spans="1:20" ht="27" customHeight="1" x14ac:dyDescent="0.25">
      <c r="A1869" s="8" t="s">
        <v>3977</v>
      </c>
      <c r="B1869" s="9"/>
      <c r="C1869" s="9"/>
      <c r="D1869" s="8"/>
      <c r="E1869" s="8"/>
      <c r="F1869" s="8" t="s">
        <v>22</v>
      </c>
      <c r="G1869" s="10" t="s">
        <v>4345</v>
      </c>
      <c r="H1869" s="8" t="s">
        <v>4346</v>
      </c>
      <c r="I1869" s="10" t="s">
        <v>4345</v>
      </c>
      <c r="J1869" s="11" t="s">
        <v>33</v>
      </c>
      <c r="K1869" s="18">
        <v>80000</v>
      </c>
      <c r="L1869" s="12">
        <f t="shared" si="168"/>
        <v>133400</v>
      </c>
      <c r="M1869" s="8">
        <v>1</v>
      </c>
      <c r="N1869" s="8" t="s">
        <v>27</v>
      </c>
      <c r="O1869" s="13" t="s">
        <v>588</v>
      </c>
      <c r="P1869" s="14">
        <v>0.2</v>
      </c>
      <c r="Q1869" s="15">
        <v>0.4</v>
      </c>
      <c r="R1869" s="16" t="str">
        <f t="shared" si="170"/>
        <v>KOMODO</v>
      </c>
      <c r="S1869" s="17"/>
      <c r="T1869" s="10" t="str">
        <f t="shared" si="169"/>
        <v>INSTALACIÓN DE TABLERO ELÉCTRICO</v>
      </c>
    </row>
    <row r="1870" spans="1:20" ht="27" customHeight="1" x14ac:dyDescent="0.25">
      <c r="A1870" s="8" t="s">
        <v>3977</v>
      </c>
      <c r="B1870" s="9"/>
      <c r="C1870" s="9"/>
      <c r="D1870" s="8"/>
      <c r="E1870" s="8"/>
      <c r="F1870" s="8" t="s">
        <v>22</v>
      </c>
      <c r="G1870" s="10" t="s">
        <v>4347</v>
      </c>
      <c r="H1870" s="8" t="s">
        <v>4348</v>
      </c>
      <c r="I1870" s="10" t="s">
        <v>4347</v>
      </c>
      <c r="J1870" s="11" t="s">
        <v>33</v>
      </c>
      <c r="K1870" s="18">
        <v>125000</v>
      </c>
      <c r="L1870" s="12">
        <f t="shared" si="168"/>
        <v>208400</v>
      </c>
      <c r="M1870" s="8">
        <v>1</v>
      </c>
      <c r="N1870" s="8" t="s">
        <v>27</v>
      </c>
      <c r="O1870" s="13" t="s">
        <v>587</v>
      </c>
      <c r="P1870" s="14">
        <v>0.2</v>
      </c>
      <c r="Q1870" s="15">
        <v>0.4</v>
      </c>
      <c r="R1870" s="16" t="str">
        <f t="shared" si="170"/>
        <v>KOMODO</v>
      </c>
      <c r="S1870" s="17"/>
      <c r="T1870" s="10" t="str">
        <f t="shared" si="169"/>
        <v>MOVIMIENTO DE TABLERO ELÉCTRICO Y ACOMETIDA</v>
      </c>
    </row>
    <row r="1871" spans="1:20" ht="27" customHeight="1" x14ac:dyDescent="0.25">
      <c r="A1871" s="8" t="s">
        <v>3977</v>
      </c>
      <c r="B1871" s="9"/>
      <c r="C1871" s="9"/>
      <c r="D1871" s="8"/>
      <c r="E1871" s="8"/>
      <c r="F1871" s="8" t="s">
        <v>22</v>
      </c>
      <c r="G1871" s="10" t="s">
        <v>4349</v>
      </c>
      <c r="H1871" s="8" t="s">
        <v>4350</v>
      </c>
      <c r="I1871" s="10" t="s">
        <v>4349</v>
      </c>
      <c r="J1871" s="11" t="s">
        <v>33</v>
      </c>
      <c r="K1871" s="18">
        <v>30000</v>
      </c>
      <c r="L1871" s="12">
        <f t="shared" si="168"/>
        <v>50000</v>
      </c>
      <c r="M1871" s="8">
        <v>1</v>
      </c>
      <c r="N1871" s="8" t="s">
        <v>27</v>
      </c>
      <c r="O1871" s="13" t="s">
        <v>588</v>
      </c>
      <c r="P1871" s="14">
        <v>0.2</v>
      </c>
      <c r="Q1871" s="15">
        <v>0.4</v>
      </c>
      <c r="R1871" s="16" t="str">
        <f t="shared" si="170"/>
        <v>KOMODO</v>
      </c>
      <c r="S1871" s="17"/>
      <c r="T1871" s="10" t="str">
        <f t="shared" si="169"/>
        <v>MOVIMIENTO DE SIRENA EN SISTEMA DE DETECCIÓN DE INCENDIO</v>
      </c>
    </row>
    <row r="1872" spans="1:20" ht="27" customHeight="1" x14ac:dyDescent="0.25">
      <c r="A1872" s="8" t="s">
        <v>3977</v>
      </c>
      <c r="B1872" s="9"/>
      <c r="C1872" s="9"/>
      <c r="D1872" s="8"/>
      <c r="E1872" s="8"/>
      <c r="F1872" s="8" t="s">
        <v>22</v>
      </c>
      <c r="G1872" s="10" t="s">
        <v>4308</v>
      </c>
      <c r="H1872" s="8" t="s">
        <v>4309</v>
      </c>
      <c r="I1872" s="10" t="s">
        <v>4308</v>
      </c>
      <c r="J1872" s="11" t="s">
        <v>33</v>
      </c>
      <c r="K1872" s="18">
        <v>16000</v>
      </c>
      <c r="L1872" s="12">
        <f t="shared" si="168"/>
        <v>26700</v>
      </c>
      <c r="M1872" s="8">
        <v>1</v>
      </c>
      <c r="N1872" s="8" t="s">
        <v>27</v>
      </c>
      <c r="O1872" s="13" t="s">
        <v>587</v>
      </c>
      <c r="P1872" s="14">
        <v>0.2</v>
      </c>
      <c r="Q1872" s="15">
        <v>0.4</v>
      </c>
      <c r="R1872" s="16" t="str">
        <f t="shared" si="170"/>
        <v>KOMODO</v>
      </c>
      <c r="S1872" s="17"/>
      <c r="T1872" s="10" t="str">
        <f t="shared" si="169"/>
        <v>INSTALACIÓN DE CITÓFONO</v>
      </c>
    </row>
    <row r="1873" spans="1:20" ht="27" customHeight="1" x14ac:dyDescent="0.25">
      <c r="A1873" s="8" t="s">
        <v>3977</v>
      </c>
      <c r="B1873" s="9"/>
      <c r="C1873" s="9"/>
      <c r="D1873" s="8"/>
      <c r="E1873" s="8"/>
      <c r="F1873" s="8" t="s">
        <v>22</v>
      </c>
      <c r="G1873" s="10" t="s">
        <v>4351</v>
      </c>
      <c r="H1873" s="8" t="s">
        <v>4352</v>
      </c>
      <c r="I1873" s="10" t="s">
        <v>4351</v>
      </c>
      <c r="J1873" s="11" t="s">
        <v>33</v>
      </c>
      <c r="K1873" s="18">
        <v>8000</v>
      </c>
      <c r="L1873" s="12">
        <f t="shared" si="168"/>
        <v>13400</v>
      </c>
      <c r="M1873" s="8">
        <v>1</v>
      </c>
      <c r="N1873" s="8" t="s">
        <v>27</v>
      </c>
      <c r="O1873" s="13" t="s">
        <v>588</v>
      </c>
      <c r="P1873" s="14">
        <v>0.2</v>
      </c>
      <c r="Q1873" s="15">
        <v>0.4</v>
      </c>
      <c r="R1873" s="16" t="str">
        <f t="shared" si="170"/>
        <v>KOMODO</v>
      </c>
      <c r="S1873" s="17"/>
      <c r="T1873" s="10" t="str">
        <f t="shared" si="169"/>
        <v>INSTALACIÓN DE CLAVIJA</v>
      </c>
    </row>
    <row r="1874" spans="1:20" ht="27" customHeight="1" x14ac:dyDescent="0.25">
      <c r="A1874" s="8" t="s">
        <v>3977</v>
      </c>
      <c r="B1874" s="9"/>
      <c r="C1874" s="9"/>
      <c r="D1874" s="8"/>
      <c r="E1874" s="8"/>
      <c r="F1874" s="8" t="s">
        <v>22</v>
      </c>
      <c r="G1874" s="10" t="s">
        <v>4353</v>
      </c>
      <c r="H1874" s="8" t="s">
        <v>4354</v>
      </c>
      <c r="I1874" s="10" t="s">
        <v>4353</v>
      </c>
      <c r="J1874" s="11" t="s">
        <v>33</v>
      </c>
      <c r="K1874" s="18">
        <v>35000</v>
      </c>
      <c r="L1874" s="12">
        <f t="shared" si="168"/>
        <v>58400</v>
      </c>
      <c r="M1874" s="8">
        <v>1</v>
      </c>
      <c r="N1874" s="8" t="s">
        <v>27</v>
      </c>
      <c r="O1874" s="13" t="s">
        <v>587</v>
      </c>
      <c r="P1874" s="14">
        <v>0.2</v>
      </c>
      <c r="Q1874" s="15">
        <v>0.4</v>
      </c>
      <c r="R1874" s="16" t="str">
        <f t="shared" si="170"/>
        <v>KOMODO</v>
      </c>
      <c r="S1874" s="17"/>
      <c r="T1874" s="10" t="str">
        <f t="shared" si="169"/>
        <v>MOVIMIENTO DE LUMINARIA PREVIAMENTE INSTALADA.</v>
      </c>
    </row>
    <row r="1875" spans="1:20" ht="27" customHeight="1" x14ac:dyDescent="0.25">
      <c r="A1875" s="8" t="s">
        <v>3977</v>
      </c>
      <c r="B1875" s="9"/>
      <c r="C1875" s="9"/>
      <c r="D1875" s="8"/>
      <c r="E1875" s="8"/>
      <c r="F1875" s="8" t="s">
        <v>22</v>
      </c>
      <c r="G1875" s="10" t="s">
        <v>4355</v>
      </c>
      <c r="H1875" s="8" t="s">
        <v>4356</v>
      </c>
      <c r="I1875" s="10" t="s">
        <v>4355</v>
      </c>
      <c r="J1875" s="11" t="s">
        <v>33</v>
      </c>
      <c r="K1875" s="18">
        <v>4000</v>
      </c>
      <c r="L1875" s="12">
        <f t="shared" si="168"/>
        <v>6700</v>
      </c>
      <c r="M1875" s="8">
        <v>1</v>
      </c>
      <c r="N1875" s="8" t="s">
        <v>27</v>
      </c>
      <c r="O1875" s="13" t="s">
        <v>588</v>
      </c>
      <c r="P1875" s="14">
        <v>0.2</v>
      </c>
      <c r="Q1875" s="15">
        <v>0.4</v>
      </c>
      <c r="R1875" s="16" t="str">
        <f t="shared" si="170"/>
        <v>KOMODO</v>
      </c>
      <c r="S1875" s="17"/>
      <c r="T1875" s="10" t="str">
        <f t="shared" si="169"/>
        <v>CERTIFICACIÓN DE PUNTO DE DATOS CON ANALIZADOR CALIBRADO POR PARTE DE UN TERCERO</v>
      </c>
    </row>
    <row r="1876" spans="1:20" ht="27" customHeight="1" x14ac:dyDescent="0.25">
      <c r="A1876" s="8" t="s">
        <v>3977</v>
      </c>
      <c r="B1876" s="9"/>
      <c r="C1876" s="9"/>
      <c r="D1876" s="8"/>
      <c r="E1876" s="8"/>
      <c r="F1876" s="8" t="s">
        <v>22</v>
      </c>
      <c r="G1876" s="10" t="s">
        <v>4357</v>
      </c>
      <c r="H1876" s="8" t="s">
        <v>4358</v>
      </c>
      <c r="I1876" s="10" t="s">
        <v>4357</v>
      </c>
      <c r="J1876" s="11" t="s">
        <v>33</v>
      </c>
      <c r="K1876" s="18">
        <v>35000</v>
      </c>
      <c r="L1876" s="12">
        <f t="shared" si="168"/>
        <v>58400</v>
      </c>
      <c r="M1876" s="8">
        <v>1</v>
      </c>
      <c r="N1876" s="8" t="s">
        <v>27</v>
      </c>
      <c r="O1876" s="13" t="s">
        <v>587</v>
      </c>
      <c r="P1876" s="14">
        <v>0.2</v>
      </c>
      <c r="Q1876" s="15">
        <v>0.4</v>
      </c>
      <c r="R1876" s="16" t="str">
        <f t="shared" si="170"/>
        <v>KOMODO</v>
      </c>
      <c r="S1876" s="17"/>
      <c r="T1876" s="10" t="str">
        <f t="shared" si="169"/>
        <v>REORGANIZACIÓN DE HASTA 48 PATCH CORE EN ORGANIZADOR</v>
      </c>
    </row>
    <row r="1877" spans="1:20" ht="27" customHeight="1" x14ac:dyDescent="0.25">
      <c r="A1877" s="8" t="s">
        <v>3977</v>
      </c>
      <c r="B1877" s="9"/>
      <c r="C1877" s="9"/>
      <c r="D1877" s="8"/>
      <c r="E1877" s="8"/>
      <c r="F1877" s="8" t="s">
        <v>22</v>
      </c>
      <c r="G1877" s="10" t="s">
        <v>4359</v>
      </c>
      <c r="H1877" s="8" t="s">
        <v>4360</v>
      </c>
      <c r="I1877" s="10" t="s">
        <v>4361</v>
      </c>
      <c r="J1877" s="11" t="s">
        <v>33</v>
      </c>
      <c r="K1877" s="18">
        <v>5500</v>
      </c>
      <c r="L1877" s="12">
        <f t="shared" si="168"/>
        <v>9200</v>
      </c>
      <c r="M1877" s="8">
        <v>1</v>
      </c>
      <c r="N1877" s="8" t="s">
        <v>27</v>
      </c>
      <c r="O1877" s="13" t="s">
        <v>588</v>
      </c>
      <c r="P1877" s="14">
        <v>0.2</v>
      </c>
      <c r="Q1877" s="15">
        <v>0.4</v>
      </c>
      <c r="R1877" s="16" t="str">
        <f t="shared" si="170"/>
        <v>KOMODO</v>
      </c>
      <c r="S1877" s="17"/>
      <c r="T1877" s="10" t="str">
        <f t="shared" si="169"/>
        <v>INSTALACIÓN DE TUBO LED O FLUORESCENTE.</v>
      </c>
    </row>
    <row r="1878" spans="1:20" ht="27" customHeight="1" x14ac:dyDescent="0.25">
      <c r="A1878" s="8" t="s">
        <v>3977</v>
      </c>
      <c r="B1878" s="9"/>
      <c r="C1878" s="9"/>
      <c r="D1878" s="8"/>
      <c r="E1878" s="8"/>
      <c r="F1878" s="8" t="s">
        <v>22</v>
      </c>
      <c r="G1878" s="10" t="s">
        <v>4362</v>
      </c>
      <c r="H1878" s="8" t="s">
        <v>4363</v>
      </c>
      <c r="I1878" s="10" t="s">
        <v>4362</v>
      </c>
      <c r="J1878" s="11" t="s">
        <v>33</v>
      </c>
      <c r="K1878" s="18">
        <v>15000</v>
      </c>
      <c r="L1878" s="12">
        <f t="shared" si="168"/>
        <v>25000</v>
      </c>
      <c r="M1878" s="8">
        <v>1</v>
      </c>
      <c r="N1878" s="8" t="s">
        <v>27</v>
      </c>
      <c r="O1878" s="13" t="s">
        <v>587</v>
      </c>
      <c r="P1878" s="14">
        <v>0.2</v>
      </c>
      <c r="Q1878" s="15">
        <v>0.4</v>
      </c>
      <c r="R1878" s="16" t="str">
        <f t="shared" si="170"/>
        <v>KOMODO</v>
      </c>
      <c r="S1878" s="17"/>
      <c r="T1878" s="10" t="str">
        <f t="shared" si="169"/>
        <v>DERIVACIÓN DE PUNTO ELÉCTRICO</v>
      </c>
    </row>
    <row r="1879" spans="1:20" ht="27" customHeight="1" x14ac:dyDescent="0.25">
      <c r="A1879" s="8" t="s">
        <v>3977</v>
      </c>
      <c r="B1879" s="9"/>
      <c r="C1879" s="9"/>
      <c r="D1879" s="8"/>
      <c r="E1879" s="8"/>
      <c r="F1879" s="8" t="s">
        <v>22</v>
      </c>
      <c r="G1879" s="10" t="s">
        <v>4364</v>
      </c>
      <c r="H1879" s="8" t="s">
        <v>4365</v>
      </c>
      <c r="I1879" s="10" t="s">
        <v>4364</v>
      </c>
      <c r="J1879" s="11" t="s">
        <v>33</v>
      </c>
      <c r="K1879" s="18">
        <f>65000*1.53/5</f>
        <v>19890</v>
      </c>
      <c r="L1879" s="12">
        <f t="shared" si="168"/>
        <v>33200</v>
      </c>
      <c r="M1879" s="8">
        <v>1</v>
      </c>
      <c r="N1879" s="8" t="s">
        <v>27</v>
      </c>
      <c r="O1879" s="13" t="s">
        <v>588</v>
      </c>
      <c r="P1879" s="14">
        <v>0.2</v>
      </c>
      <c r="Q1879" s="15">
        <v>0.4</v>
      </c>
      <c r="R1879" s="16" t="str">
        <f t="shared" si="170"/>
        <v>KOMODO</v>
      </c>
      <c r="S1879" s="17"/>
      <c r="T1879" s="10" t="str">
        <f t="shared" si="169"/>
        <v>HORA DE TÉCNICO PARA REVISIÓN O EJECUCIONES ADICIONALES</v>
      </c>
    </row>
    <row r="1880" spans="1:20" ht="27" customHeight="1" x14ac:dyDescent="0.25">
      <c r="A1880" s="8" t="s">
        <v>3977</v>
      </c>
      <c r="B1880" s="9"/>
      <c r="C1880" s="9"/>
      <c r="D1880" s="8"/>
      <c r="E1880" s="8"/>
      <c r="F1880" s="8" t="s">
        <v>22</v>
      </c>
      <c r="G1880" s="10" t="s">
        <v>4366</v>
      </c>
      <c r="H1880" s="8" t="s">
        <v>4367</v>
      </c>
      <c r="I1880" s="10" t="s">
        <v>4366</v>
      </c>
      <c r="J1880" s="11" t="s">
        <v>33</v>
      </c>
      <c r="K1880" s="18">
        <v>1000</v>
      </c>
      <c r="L1880" s="12">
        <f t="shared" ref="L1880:L1911" si="171">IF(J1880="P",ROUNDUP(K1880/(1-Q1880),-2),K1880*(1+P1880)/(1-Q1880))</f>
        <v>1700</v>
      </c>
      <c r="M1880" s="8">
        <v>1</v>
      </c>
      <c r="N1880" s="8" t="s">
        <v>27</v>
      </c>
      <c r="O1880" s="13" t="s">
        <v>587</v>
      </c>
      <c r="P1880" s="14">
        <v>0.2</v>
      </c>
      <c r="Q1880" s="15">
        <v>0.4</v>
      </c>
      <c r="R1880" s="16" t="str">
        <f t="shared" si="170"/>
        <v>KOMODO</v>
      </c>
      <c r="S1880" s="17"/>
      <c r="T1880" s="10" t="str">
        <f t="shared" si="169"/>
        <v>INSTALACIÓN DE METRO DE CABLE EN TUBERÍA EXISTENTE</v>
      </c>
    </row>
    <row r="1881" spans="1:20" ht="27" customHeight="1" x14ac:dyDescent="0.25">
      <c r="A1881" s="8" t="s">
        <v>3977</v>
      </c>
      <c r="B1881" s="9"/>
      <c r="C1881" s="9"/>
      <c r="D1881" s="8"/>
      <c r="E1881" s="8"/>
      <c r="F1881" s="8" t="s">
        <v>22</v>
      </c>
      <c r="G1881" s="10" t="s">
        <v>4368</v>
      </c>
      <c r="H1881" s="8" t="s">
        <v>4369</v>
      </c>
      <c r="I1881" s="10" t="s">
        <v>4368</v>
      </c>
      <c r="J1881" s="11" t="s">
        <v>33</v>
      </c>
      <c r="K1881" s="18">
        <f>65000*1.51</f>
        <v>98150</v>
      </c>
      <c r="L1881" s="12">
        <f t="shared" si="171"/>
        <v>140300</v>
      </c>
      <c r="M1881" s="8">
        <v>1</v>
      </c>
      <c r="N1881" s="8" t="s">
        <v>27</v>
      </c>
      <c r="O1881" s="13" t="s">
        <v>588</v>
      </c>
      <c r="P1881" s="14">
        <v>0.2</v>
      </c>
      <c r="Q1881" s="15">
        <v>0.3</v>
      </c>
      <c r="R1881" s="16" t="str">
        <f t="shared" si="170"/>
        <v>KOMODO</v>
      </c>
      <c r="S1881" s="17"/>
      <c r="T1881" s="10" t="str">
        <f t="shared" si="169"/>
        <v>HASTA 8 HORAS DE TRABAJO PARA INSTALACIONES TÉCNICAS.</v>
      </c>
    </row>
    <row r="1882" spans="1:20" ht="27" customHeight="1" x14ac:dyDescent="0.25">
      <c r="A1882" s="8" t="s">
        <v>3977</v>
      </c>
      <c r="B1882" s="9"/>
      <c r="C1882" s="9"/>
      <c r="D1882" s="8"/>
      <c r="E1882" s="8"/>
      <c r="F1882" s="8" t="s">
        <v>22</v>
      </c>
      <c r="G1882" s="10" t="s">
        <v>4370</v>
      </c>
      <c r="H1882" s="8" t="s">
        <v>4371</v>
      </c>
      <c r="I1882" s="10" t="s">
        <v>4370</v>
      </c>
      <c r="J1882" s="11" t="s">
        <v>33</v>
      </c>
      <c r="K1882" s="18">
        <v>135000</v>
      </c>
      <c r="L1882" s="12">
        <f t="shared" si="171"/>
        <v>192900</v>
      </c>
      <c r="M1882" s="8">
        <v>1</v>
      </c>
      <c r="N1882" s="8" t="s">
        <v>27</v>
      </c>
      <c r="O1882" s="13" t="s">
        <v>587</v>
      </c>
      <c r="P1882" s="14">
        <v>0.2</v>
      </c>
      <c r="Q1882" s="15">
        <v>0.3</v>
      </c>
      <c r="R1882" s="16" t="str">
        <f t="shared" si="170"/>
        <v>KOMODO</v>
      </c>
      <c r="S1882" s="17"/>
      <c r="T1882" s="10" t="str">
        <f t="shared" si="169"/>
        <v>DESMONTE DE TABLERO ELÉCTRICO</v>
      </c>
    </row>
    <row r="1883" spans="1:20" ht="27" customHeight="1" x14ac:dyDescent="0.25">
      <c r="A1883" s="8" t="s">
        <v>3977</v>
      </c>
      <c r="B1883" s="9" t="s">
        <v>2515</v>
      </c>
      <c r="C1883" s="9"/>
      <c r="D1883" s="8" t="s">
        <v>4009</v>
      </c>
      <c r="E1883" s="8"/>
      <c r="F1883" s="8" t="s">
        <v>22</v>
      </c>
      <c r="G1883" s="10" t="s">
        <v>4372</v>
      </c>
      <c r="H1883" s="8" t="s">
        <v>4373</v>
      </c>
      <c r="I1883" s="10" t="s">
        <v>4173</v>
      </c>
      <c r="J1883" s="11" t="s">
        <v>33</v>
      </c>
      <c r="K1883" s="18">
        <v>412500</v>
      </c>
      <c r="L1883" s="12">
        <f t="shared" si="171"/>
        <v>589300</v>
      </c>
      <c r="M1883" s="8">
        <v>1</v>
      </c>
      <c r="N1883" s="8" t="s">
        <v>27</v>
      </c>
      <c r="O1883" s="13" t="s">
        <v>588</v>
      </c>
      <c r="P1883" s="14">
        <v>0.2</v>
      </c>
      <c r="Q1883" s="15">
        <v>0.3</v>
      </c>
      <c r="R1883" s="16" t="str">
        <f t="shared" si="170"/>
        <v>KOMODO</v>
      </c>
      <c r="S1883" s="17"/>
      <c r="T1883" s="10" t="str">
        <f t="shared" si="169"/>
        <v>INSTALACIÓN Y FIGURADO DE TABLERO DE ALIMENTACIÓN DE HASTA 24 BREAKERS.</v>
      </c>
    </row>
    <row r="1884" spans="1:20" ht="27" customHeight="1" x14ac:dyDescent="0.25">
      <c r="A1884" s="8" t="s">
        <v>3977</v>
      </c>
      <c r="B1884" s="9" t="s">
        <v>2515</v>
      </c>
      <c r="C1884" s="9"/>
      <c r="D1884" s="8" t="s">
        <v>4009</v>
      </c>
      <c r="E1884" s="8"/>
      <c r="F1884" s="8" t="s">
        <v>22</v>
      </c>
      <c r="G1884" s="10" t="s">
        <v>4372</v>
      </c>
      <c r="H1884" s="8" t="s">
        <v>4374</v>
      </c>
      <c r="I1884" s="10" t="s">
        <v>4173</v>
      </c>
      <c r="J1884" s="11" t="s">
        <v>33</v>
      </c>
      <c r="K1884" s="18">
        <v>275000</v>
      </c>
      <c r="L1884" s="12">
        <f t="shared" si="171"/>
        <v>392900</v>
      </c>
      <c r="M1884" s="8">
        <v>1</v>
      </c>
      <c r="N1884" s="8" t="s">
        <v>27</v>
      </c>
      <c r="O1884" s="13" t="s">
        <v>587</v>
      </c>
      <c r="P1884" s="14">
        <v>0.2</v>
      </c>
      <c r="Q1884" s="15">
        <v>0.3</v>
      </c>
      <c r="R1884" s="16" t="str">
        <f t="shared" si="170"/>
        <v>KOMODO</v>
      </c>
      <c r="S1884" s="17"/>
      <c r="T1884" s="10" t="str">
        <f t="shared" si="169"/>
        <v>INSTALACIÓN Y FIGURADO DE TABLERO DE ALIMENTACIÓN DE HASTA 24 BREAKERS.</v>
      </c>
    </row>
    <row r="1885" spans="1:20" ht="27" customHeight="1" x14ac:dyDescent="0.25">
      <c r="A1885" s="8" t="s">
        <v>3977</v>
      </c>
      <c r="B1885" s="9"/>
      <c r="C1885" s="9"/>
      <c r="D1885" s="8"/>
      <c r="E1885" s="8"/>
      <c r="F1885" s="8" t="s">
        <v>22</v>
      </c>
      <c r="G1885" s="10" t="s">
        <v>4375</v>
      </c>
      <c r="H1885" s="8" t="s">
        <v>4376</v>
      </c>
      <c r="I1885" s="10" t="s">
        <v>4375</v>
      </c>
      <c r="J1885" s="11" t="s">
        <v>33</v>
      </c>
      <c r="K1885" s="18">
        <v>360000</v>
      </c>
      <c r="L1885" s="12">
        <f t="shared" si="171"/>
        <v>514300</v>
      </c>
      <c r="M1885" s="8">
        <v>1</v>
      </c>
      <c r="N1885" s="8" t="s">
        <v>27</v>
      </c>
      <c r="O1885" s="13" t="s">
        <v>588</v>
      </c>
      <c r="P1885" s="14">
        <v>0.2</v>
      </c>
      <c r="Q1885" s="15">
        <v>0.3</v>
      </c>
      <c r="R1885" s="16" t="str">
        <f t="shared" si="170"/>
        <v>KOMODO</v>
      </c>
      <c r="S1885" s="17"/>
      <c r="T1885" s="10" t="str">
        <f t="shared" si="169"/>
        <v>DESMONTAJE DE RACK Y MONTAJE DE RACK POR CAMBIO DE CONFIGURACIÓN</v>
      </c>
    </row>
    <row r="1886" spans="1:20" ht="27" customHeight="1" x14ac:dyDescent="0.25">
      <c r="A1886" s="8" t="s">
        <v>3977</v>
      </c>
      <c r="B1886" s="9"/>
      <c r="C1886" s="9"/>
      <c r="D1886" s="8"/>
      <c r="E1886" s="8"/>
      <c r="F1886" s="8" t="s">
        <v>22</v>
      </c>
      <c r="G1886" s="10" t="s">
        <v>4377</v>
      </c>
      <c r="H1886" s="8" t="s">
        <v>4378</v>
      </c>
      <c r="I1886" s="10" t="s">
        <v>4379</v>
      </c>
      <c r="J1886" s="11" t="s">
        <v>33</v>
      </c>
      <c r="K1886" s="18">
        <v>1000000</v>
      </c>
      <c r="L1886" s="12">
        <f t="shared" si="171"/>
        <v>1428600</v>
      </c>
      <c r="M1886" s="8">
        <v>1</v>
      </c>
      <c r="N1886" s="8" t="s">
        <v>27</v>
      </c>
      <c r="O1886" s="13" t="s">
        <v>587</v>
      </c>
      <c r="P1886" s="14">
        <v>0.2</v>
      </c>
      <c r="Q1886" s="15">
        <v>0.3</v>
      </c>
      <c r="R1886" s="16" t="str">
        <f t="shared" si="170"/>
        <v>KOMODO</v>
      </c>
      <c r="S1886" s="17"/>
      <c r="T1886" s="10" t="str">
        <f t="shared" si="169"/>
        <v>ADMINISTRACION DEL PROYECTO.</v>
      </c>
    </row>
    <row r="1887" spans="1:20" ht="27" customHeight="1" x14ac:dyDescent="0.25">
      <c r="A1887" s="8" t="s">
        <v>3977</v>
      </c>
      <c r="B1887" s="9"/>
      <c r="C1887" s="9"/>
      <c r="D1887" s="8"/>
      <c r="E1887" s="8"/>
      <c r="F1887" s="8" t="s">
        <v>22</v>
      </c>
      <c r="G1887" s="10" t="s">
        <v>4380</v>
      </c>
      <c r="H1887" s="8" t="s">
        <v>4381</v>
      </c>
      <c r="I1887" s="10" t="s">
        <v>4380</v>
      </c>
      <c r="J1887" s="11" t="s">
        <v>33</v>
      </c>
      <c r="K1887" s="18">
        <v>1000000</v>
      </c>
      <c r="L1887" s="12">
        <f t="shared" si="171"/>
        <v>1428600</v>
      </c>
      <c r="M1887" s="8">
        <v>1</v>
      </c>
      <c r="N1887" s="8" t="s">
        <v>27</v>
      </c>
      <c r="O1887" s="13" t="s">
        <v>588</v>
      </c>
      <c r="P1887" s="14">
        <v>0.2</v>
      </c>
      <c r="Q1887" s="15">
        <v>0.3</v>
      </c>
      <c r="R1887" s="16" t="str">
        <f t="shared" si="170"/>
        <v>KOMODO</v>
      </c>
      <c r="S1887" s="17"/>
      <c r="T1887" s="10" t="str">
        <f t="shared" si="169"/>
        <v>CORRESPONDE A LA UTILIDAD SOBRE LOS COSTOS DEL PROYECTO.</v>
      </c>
    </row>
    <row r="1888" spans="1:20" ht="27" customHeight="1" x14ac:dyDescent="0.25">
      <c r="A1888" s="8" t="s">
        <v>3977</v>
      </c>
      <c r="B1888" s="9"/>
      <c r="C1888" s="9"/>
      <c r="D1888" s="8"/>
      <c r="E1888" s="8"/>
      <c r="F1888" s="8" t="s">
        <v>22</v>
      </c>
      <c r="G1888" s="10" t="s">
        <v>4382</v>
      </c>
      <c r="H1888" s="8" t="s">
        <v>4383</v>
      </c>
      <c r="I1888" s="10" t="s">
        <v>4382</v>
      </c>
      <c r="J1888" s="11" t="s">
        <v>33</v>
      </c>
      <c r="K1888" s="18">
        <v>25000</v>
      </c>
      <c r="L1888" s="12">
        <f t="shared" si="171"/>
        <v>35800</v>
      </c>
      <c r="M1888" s="8">
        <v>1</v>
      </c>
      <c r="N1888" s="8" t="s">
        <v>27</v>
      </c>
      <c r="O1888" s="13" t="s">
        <v>587</v>
      </c>
      <c r="P1888" s="14">
        <v>0.2</v>
      </c>
      <c r="Q1888" s="15">
        <v>0.3</v>
      </c>
      <c r="R1888" s="16" t="str">
        <f t="shared" si="170"/>
        <v>KOMODO</v>
      </c>
      <c r="S1888" s="17"/>
      <c r="T1888" s="10" t="str">
        <f t="shared" si="169"/>
        <v>INSTALACIÓN DE KIT RF PARA CHAPA</v>
      </c>
    </row>
    <row r="1889" spans="1:20" ht="27" customHeight="1" x14ac:dyDescent="0.25">
      <c r="A1889" s="8" t="s">
        <v>3977</v>
      </c>
      <c r="B1889" s="9"/>
      <c r="C1889" s="9"/>
      <c r="D1889" s="8"/>
      <c r="E1889" s="8"/>
      <c r="F1889" s="8" t="s">
        <v>22</v>
      </c>
      <c r="G1889" s="10" t="s">
        <v>4384</v>
      </c>
      <c r="H1889" s="8" t="s">
        <v>4385</v>
      </c>
      <c r="I1889" s="10" t="s">
        <v>4384</v>
      </c>
      <c r="J1889" s="11" t="s">
        <v>33</v>
      </c>
      <c r="K1889" s="18">
        <v>80000</v>
      </c>
      <c r="L1889" s="12">
        <f t="shared" si="171"/>
        <v>114300</v>
      </c>
      <c r="M1889" s="8">
        <v>1</v>
      </c>
      <c r="N1889" s="8" t="s">
        <v>27</v>
      </c>
      <c r="O1889" s="13" t="s">
        <v>588</v>
      </c>
      <c r="P1889" s="14">
        <v>0.2</v>
      </c>
      <c r="Q1889" s="15">
        <v>0.3</v>
      </c>
      <c r="R1889" s="16" t="str">
        <f t="shared" si="170"/>
        <v>KOMODO</v>
      </c>
      <c r="S1889" s="17"/>
      <c r="T1889" s="10" t="str">
        <f t="shared" si="169"/>
        <v>INSTALACIÓN DE PUNTO ELÉCTRICO O DATOS EN ALTURA</v>
      </c>
    </row>
    <row r="1890" spans="1:20" ht="27" customHeight="1" x14ac:dyDescent="0.25">
      <c r="A1890" s="8" t="s">
        <v>3977</v>
      </c>
      <c r="B1890" s="9"/>
      <c r="C1890" s="9"/>
      <c r="D1890" s="8"/>
      <c r="E1890" s="8"/>
      <c r="F1890" s="8" t="s">
        <v>22</v>
      </c>
      <c r="G1890" s="10" t="s">
        <v>4386</v>
      </c>
      <c r="H1890" s="8" t="s">
        <v>4387</v>
      </c>
      <c r="I1890" s="10" t="s">
        <v>4386</v>
      </c>
      <c r="J1890" s="11" t="s">
        <v>33</v>
      </c>
      <c r="K1890" s="18">
        <v>190000</v>
      </c>
      <c r="L1890" s="12">
        <f t="shared" si="171"/>
        <v>316700</v>
      </c>
      <c r="M1890" s="8">
        <v>1</v>
      </c>
      <c r="N1890" s="8" t="s">
        <v>27</v>
      </c>
      <c r="O1890" s="13" t="s">
        <v>587</v>
      </c>
      <c r="P1890" s="14">
        <v>0.2</v>
      </c>
      <c r="Q1890" s="15">
        <v>0.4</v>
      </c>
      <c r="R1890" s="16" t="str">
        <f t="shared" si="170"/>
        <v>KOMODO</v>
      </c>
      <c r="S1890" s="17"/>
      <c r="T1890" s="10" t="str">
        <f t="shared" si="169"/>
        <v>DIA DE TÉCNICO CERTIFICADO CON PAPELES Y HERRAMIENTA DE MANO.</v>
      </c>
    </row>
    <row r="1891" spans="1:20" ht="27" customHeight="1" x14ac:dyDescent="0.25">
      <c r="A1891" s="8" t="s">
        <v>3977</v>
      </c>
      <c r="B1891" s="9"/>
      <c r="C1891" s="9"/>
      <c r="D1891" s="8"/>
      <c r="E1891" s="8"/>
      <c r="F1891" s="8" t="s">
        <v>22</v>
      </c>
      <c r="G1891" s="10" t="s">
        <v>4388</v>
      </c>
      <c r="H1891" s="8" t="s">
        <v>4389</v>
      </c>
      <c r="I1891" s="10" t="s">
        <v>4388</v>
      </c>
      <c r="J1891" s="11" t="s">
        <v>33</v>
      </c>
      <c r="K1891" s="18">
        <v>100000</v>
      </c>
      <c r="L1891" s="12">
        <f t="shared" si="171"/>
        <v>166700</v>
      </c>
      <c r="M1891" s="8">
        <v>1</v>
      </c>
      <c r="N1891" s="8" t="s">
        <v>27</v>
      </c>
      <c r="O1891" s="13" t="s">
        <v>588</v>
      </c>
      <c r="P1891" s="14">
        <v>0.2</v>
      </c>
      <c r="Q1891" s="15">
        <v>0.4</v>
      </c>
      <c r="R1891" s="16" t="str">
        <f t="shared" si="170"/>
        <v>KOMODO</v>
      </c>
      <c r="S1891" s="17"/>
      <c r="T1891" s="10" t="str">
        <f t="shared" si="169"/>
        <v>DIA LABORAL DE INSPECTOR SISOMA</v>
      </c>
    </row>
    <row r="1892" spans="1:20" ht="27" customHeight="1" x14ac:dyDescent="0.25">
      <c r="A1892" s="8" t="s">
        <v>3977</v>
      </c>
      <c r="B1892" s="9"/>
      <c r="C1892" s="9"/>
      <c r="D1892" s="8"/>
      <c r="E1892" s="8"/>
      <c r="F1892" s="8" t="s">
        <v>22</v>
      </c>
      <c r="G1892" s="10" t="s">
        <v>4390</v>
      </c>
      <c r="H1892" s="8" t="s">
        <v>4391</v>
      </c>
      <c r="I1892" s="10" t="s">
        <v>4390</v>
      </c>
      <c r="J1892" s="11" t="s">
        <v>33</v>
      </c>
      <c r="K1892" s="18">
        <v>95000</v>
      </c>
      <c r="L1892" s="12">
        <f t="shared" si="171"/>
        <v>158400</v>
      </c>
      <c r="M1892" s="8">
        <v>1</v>
      </c>
      <c r="N1892" s="8" t="s">
        <v>27</v>
      </c>
      <c r="O1892" s="13" t="s">
        <v>587</v>
      </c>
      <c r="P1892" s="14">
        <v>0.2</v>
      </c>
      <c r="Q1892" s="15">
        <v>0.4</v>
      </c>
      <c r="R1892" s="16" t="str">
        <f t="shared" si="170"/>
        <v>KOMODO</v>
      </c>
      <c r="S1892" s="17"/>
      <c r="T1892" s="10" t="str">
        <f t="shared" si="169"/>
        <v>INSTALACIÓN DE CONTROLADOR RGB</v>
      </c>
    </row>
    <row r="1893" spans="1:20" ht="27" customHeight="1" x14ac:dyDescent="0.25">
      <c r="A1893" s="8" t="s">
        <v>3977</v>
      </c>
      <c r="B1893" s="9"/>
      <c r="C1893" s="9"/>
      <c r="D1893" s="8"/>
      <c r="E1893" s="8"/>
      <c r="F1893" s="8" t="s">
        <v>22</v>
      </c>
      <c r="G1893" s="10" t="s">
        <v>4392</v>
      </c>
      <c r="H1893" s="8" t="s">
        <v>4393</v>
      </c>
      <c r="I1893" s="10" t="s">
        <v>4392</v>
      </c>
      <c r="J1893" s="11" t="s">
        <v>33</v>
      </c>
      <c r="K1893" s="18">
        <v>100000</v>
      </c>
      <c r="L1893" s="12">
        <f t="shared" si="171"/>
        <v>166700</v>
      </c>
      <c r="M1893" s="8">
        <v>1</v>
      </c>
      <c r="N1893" s="8" t="s">
        <v>27</v>
      </c>
      <c r="O1893" s="13" t="s">
        <v>587</v>
      </c>
      <c r="P1893" s="14">
        <v>0.2</v>
      </c>
      <c r="Q1893" s="15">
        <v>0.4</v>
      </c>
      <c r="R1893" s="16" t="str">
        <f t="shared" si="170"/>
        <v>KOMODO</v>
      </c>
      <c r="S1893" s="17"/>
      <c r="T1893" s="10" t="str">
        <f t="shared" si="169"/>
        <v>INSTALACIÓN DE MODULO DE ATENUACIÓN O SWITCHEO DE 4 ZONAS</v>
      </c>
    </row>
    <row r="1894" spans="1:20" ht="27" customHeight="1" x14ac:dyDescent="0.25">
      <c r="A1894" s="8" t="s">
        <v>3977</v>
      </c>
      <c r="B1894" s="9"/>
      <c r="C1894" s="9"/>
      <c r="D1894" s="8"/>
      <c r="E1894" s="8"/>
      <c r="F1894" s="8" t="s">
        <v>22</v>
      </c>
      <c r="G1894" s="10" t="s">
        <v>4394</v>
      </c>
      <c r="H1894" s="8" t="s">
        <v>4395</v>
      </c>
      <c r="I1894" s="10" t="s">
        <v>4396</v>
      </c>
      <c r="J1894" s="11" t="s">
        <v>697</v>
      </c>
      <c r="K1894" s="18">
        <v>12500</v>
      </c>
      <c r="L1894" s="12">
        <f t="shared" si="171"/>
        <v>20900</v>
      </c>
      <c r="M1894" s="8">
        <v>1</v>
      </c>
      <c r="N1894" s="8" t="s">
        <v>27</v>
      </c>
      <c r="O1894" s="13" t="s">
        <v>587</v>
      </c>
      <c r="P1894" s="14">
        <v>0.2</v>
      </c>
      <c r="Q1894" s="15">
        <v>0.4</v>
      </c>
      <c r="R1894" s="16" t="str">
        <f t="shared" si="170"/>
        <v>KOMODO</v>
      </c>
      <c r="S1894" s="17"/>
      <c r="T1894" s="10" t="str">
        <f t="shared" si="169"/>
        <v>ADAPTACIÓN DE HUECO DE DRYWALL, INCLUYE RESANE Y MASILLADO PARA REDUCCIÓN.</v>
      </c>
    </row>
    <row r="1895" spans="1:20" ht="27" customHeight="1" x14ac:dyDescent="0.25">
      <c r="A1895" s="8" t="s">
        <v>3977</v>
      </c>
      <c r="B1895" s="9"/>
      <c r="C1895" s="9"/>
      <c r="D1895" s="8"/>
      <c r="E1895" s="8"/>
      <c r="F1895" s="8" t="s">
        <v>22</v>
      </c>
      <c r="G1895" s="10" t="s">
        <v>4397</v>
      </c>
      <c r="H1895" s="8" t="s">
        <v>4398</v>
      </c>
      <c r="I1895" s="10" t="s">
        <v>4397</v>
      </c>
      <c r="J1895" s="11" t="s">
        <v>33</v>
      </c>
      <c r="K1895" s="18">
        <v>50000</v>
      </c>
      <c r="L1895" s="12">
        <f t="shared" si="171"/>
        <v>83400</v>
      </c>
      <c r="M1895" s="8">
        <v>1</v>
      </c>
      <c r="N1895" s="8" t="s">
        <v>27</v>
      </c>
      <c r="O1895" s="13" t="s">
        <v>587</v>
      </c>
      <c r="P1895" s="14">
        <v>0.2</v>
      </c>
      <c r="Q1895" s="15">
        <v>0.4</v>
      </c>
      <c r="R1895" s="16" t="str">
        <f t="shared" si="170"/>
        <v>KOMODO</v>
      </c>
      <c r="S1895" s="17"/>
      <c r="T1895" s="10" t="str">
        <f t="shared" si="169"/>
        <v>ORGANIZACIÓN DEA CABLEADO PARA SISTEMA DE TV.</v>
      </c>
    </row>
    <row r="1896" spans="1:20" ht="27" customHeight="1" x14ac:dyDescent="0.25">
      <c r="A1896" s="8" t="s">
        <v>3977</v>
      </c>
      <c r="B1896" s="9"/>
      <c r="C1896" s="9"/>
      <c r="D1896" s="8"/>
      <c r="E1896" s="8"/>
      <c r="F1896" s="8" t="s">
        <v>22</v>
      </c>
      <c r="G1896" s="10" t="s">
        <v>4399</v>
      </c>
      <c r="H1896" s="8" t="s">
        <v>4400</v>
      </c>
      <c r="I1896" s="10" t="s">
        <v>4399</v>
      </c>
      <c r="J1896" s="11" t="s">
        <v>33</v>
      </c>
      <c r="K1896" s="18">
        <v>40000</v>
      </c>
      <c r="L1896" s="12">
        <f t="shared" si="171"/>
        <v>66700</v>
      </c>
      <c r="M1896" s="8">
        <v>1</v>
      </c>
      <c r="N1896" s="8" t="s">
        <v>27</v>
      </c>
      <c r="O1896" s="13" t="s">
        <v>587</v>
      </c>
      <c r="P1896" s="14">
        <v>0.2</v>
      </c>
      <c r="Q1896" s="15">
        <v>0.4</v>
      </c>
      <c r="R1896" s="16" t="str">
        <f t="shared" si="170"/>
        <v>KOMODO</v>
      </c>
      <c r="S1896" s="17"/>
      <c r="T1896" s="10" t="str">
        <f t="shared" si="169"/>
        <v>INSTALACIÓN Y ADAPTACIÓN DE SENSOR DE NIVEL DE LÍQUIDOS EN TANQUE</v>
      </c>
    </row>
    <row r="1897" spans="1:20" ht="27" customHeight="1" x14ac:dyDescent="0.25">
      <c r="A1897" s="8" t="s">
        <v>3977</v>
      </c>
      <c r="B1897" s="9"/>
      <c r="C1897" s="9"/>
      <c r="D1897" s="8"/>
      <c r="E1897" s="8"/>
      <c r="F1897" s="8" t="s">
        <v>22</v>
      </c>
      <c r="G1897" s="10" t="s">
        <v>4401</v>
      </c>
      <c r="H1897" s="8" t="s">
        <v>4402</v>
      </c>
      <c r="I1897" s="10" t="s">
        <v>4401</v>
      </c>
      <c r="J1897" s="11" t="s">
        <v>33</v>
      </c>
      <c r="K1897" s="18">
        <v>100000</v>
      </c>
      <c r="L1897" s="12">
        <f t="shared" si="171"/>
        <v>166700</v>
      </c>
      <c r="M1897" s="8">
        <v>1</v>
      </c>
      <c r="N1897" s="8" t="s">
        <v>27</v>
      </c>
      <c r="O1897" s="13" t="s">
        <v>587</v>
      </c>
      <c r="P1897" s="14">
        <v>0.2</v>
      </c>
      <c r="Q1897" s="15">
        <v>0.4</v>
      </c>
      <c r="R1897" s="16" t="str">
        <f t="shared" si="170"/>
        <v>KOMODO</v>
      </c>
      <c r="S1897" s="17"/>
      <c r="T1897" s="10" t="str">
        <f t="shared" si="169"/>
        <v>INSTALACIÓN DE SISTEMA DE CONTROL REMOTO UNIVERSAL CON CONTROLADOR</v>
      </c>
    </row>
    <row r="1898" spans="1:20" ht="27" customHeight="1" x14ac:dyDescent="0.25">
      <c r="A1898" s="8" t="s">
        <v>3977</v>
      </c>
      <c r="B1898" s="9"/>
      <c r="C1898" s="9"/>
      <c r="D1898" s="8"/>
      <c r="E1898" s="8"/>
      <c r="F1898" s="8" t="s">
        <v>22</v>
      </c>
      <c r="G1898" s="10" t="s">
        <v>4403</v>
      </c>
      <c r="H1898" s="8" t="s">
        <v>4404</v>
      </c>
      <c r="I1898" s="10" t="s">
        <v>4403</v>
      </c>
      <c r="J1898" s="11" t="s">
        <v>33</v>
      </c>
      <c r="K1898" s="18">
        <v>5500</v>
      </c>
      <c r="L1898" s="12">
        <f t="shared" si="171"/>
        <v>11000</v>
      </c>
      <c r="M1898" s="8">
        <v>1</v>
      </c>
      <c r="N1898" s="8" t="s">
        <v>27</v>
      </c>
      <c r="O1898" s="13" t="s">
        <v>2520</v>
      </c>
      <c r="P1898" s="14">
        <v>0</v>
      </c>
      <c r="Q1898" s="15">
        <v>0.5</v>
      </c>
      <c r="R1898" s="16" t="str">
        <f t="shared" si="170"/>
        <v>KOMODO</v>
      </c>
      <c r="S1898" s="17"/>
      <c r="T1898" s="10" t="str">
        <f t="shared" si="169"/>
        <v>ADAPTACIÓN DE BOMBILLA FLUORESCENTE O INCANDESCENTE A REPOTENCIACIÓN CON LED</v>
      </c>
    </row>
    <row r="1899" spans="1:20" ht="27" customHeight="1" x14ac:dyDescent="0.25">
      <c r="A1899" s="8" t="s">
        <v>3977</v>
      </c>
      <c r="B1899" s="9"/>
      <c r="C1899" s="9"/>
      <c r="D1899" s="8"/>
      <c r="E1899" s="8"/>
      <c r="F1899" s="8" t="s">
        <v>22</v>
      </c>
      <c r="G1899" s="10" t="s">
        <v>4405</v>
      </c>
      <c r="H1899" s="8" t="s">
        <v>4406</v>
      </c>
      <c r="I1899" s="10" t="s">
        <v>4405</v>
      </c>
      <c r="J1899" s="11" t="s">
        <v>33</v>
      </c>
      <c r="K1899" s="18">
        <v>3000</v>
      </c>
      <c r="L1899" s="12">
        <f t="shared" si="171"/>
        <v>6000</v>
      </c>
      <c r="M1899" s="8">
        <v>1</v>
      </c>
      <c r="N1899" s="8" t="s">
        <v>27</v>
      </c>
      <c r="O1899" s="13" t="s">
        <v>2520</v>
      </c>
      <c r="P1899" s="14">
        <v>0</v>
      </c>
      <c r="Q1899" s="15">
        <v>0.5</v>
      </c>
      <c r="R1899" s="16" t="str">
        <f t="shared" si="170"/>
        <v>KOMODO</v>
      </c>
      <c r="S1899" s="17"/>
      <c r="T1899" s="10" t="str">
        <f t="shared" si="169"/>
        <v>DERIVACIÓN DE EXTENSIÓN PARA SOCKET</v>
      </c>
    </row>
    <row r="1900" spans="1:20" ht="27" customHeight="1" x14ac:dyDescent="0.25">
      <c r="A1900" s="8" t="s">
        <v>3977</v>
      </c>
      <c r="B1900" s="9"/>
      <c r="C1900" s="9"/>
      <c r="D1900" s="8"/>
      <c r="E1900" s="8"/>
      <c r="F1900" s="8" t="s">
        <v>22</v>
      </c>
      <c r="G1900" s="10" t="s">
        <v>4407</v>
      </c>
      <c r="H1900" s="8" t="s">
        <v>4408</v>
      </c>
      <c r="I1900" s="10" t="s">
        <v>4407</v>
      </c>
      <c r="J1900" s="11" t="s">
        <v>33</v>
      </c>
      <c r="K1900" s="18">
        <v>10000</v>
      </c>
      <c r="L1900" s="12">
        <f t="shared" si="171"/>
        <v>20000</v>
      </c>
      <c r="M1900" s="8">
        <v>1</v>
      </c>
      <c r="N1900" s="8" t="s">
        <v>27</v>
      </c>
      <c r="O1900" s="13" t="s">
        <v>2520</v>
      </c>
      <c r="P1900" s="14">
        <v>0</v>
      </c>
      <c r="Q1900" s="15">
        <v>0.5</v>
      </c>
      <c r="R1900" s="16" t="str">
        <f t="shared" si="170"/>
        <v>KOMODO</v>
      </c>
      <c r="S1900" s="17"/>
      <c r="T1900" s="10" t="str">
        <f t="shared" si="169"/>
        <v>INSTALACIÓN DE LUMINARIA TIPO BATTEN</v>
      </c>
    </row>
    <row r="1901" spans="1:20" ht="27" customHeight="1" x14ac:dyDescent="0.25">
      <c r="A1901" s="8" t="s">
        <v>3977</v>
      </c>
      <c r="B1901" s="9"/>
      <c r="C1901" s="9"/>
      <c r="D1901" s="8"/>
      <c r="E1901" s="8"/>
      <c r="F1901" s="8" t="s">
        <v>22</v>
      </c>
      <c r="G1901" s="10" t="s">
        <v>4409</v>
      </c>
      <c r="H1901" s="8" t="s">
        <v>4410</v>
      </c>
      <c r="I1901" s="10" t="s">
        <v>4409</v>
      </c>
      <c r="J1901" s="11" t="s">
        <v>33</v>
      </c>
      <c r="K1901" s="18">
        <v>15000</v>
      </c>
      <c r="L1901" s="12">
        <f t="shared" si="171"/>
        <v>30000</v>
      </c>
      <c r="M1901" s="8">
        <v>1</v>
      </c>
      <c r="N1901" s="8" t="s">
        <v>27</v>
      </c>
      <c r="O1901" s="13" t="s">
        <v>2520</v>
      </c>
      <c r="P1901" s="14">
        <v>0</v>
      </c>
      <c r="Q1901" s="15">
        <v>0.5</v>
      </c>
      <c r="R1901" s="16" t="str">
        <f t="shared" si="170"/>
        <v>KOMODO</v>
      </c>
      <c r="S1901" s="17"/>
      <c r="T1901" s="10" t="str">
        <f t="shared" si="169"/>
        <v>INSTALACIÓN DE LUMINARIA DE INCRUSTAR EN FACHADA PARA EXTERIOR.</v>
      </c>
    </row>
    <row r="1902" spans="1:20" ht="27" customHeight="1" x14ac:dyDescent="0.25">
      <c r="A1902" s="8" t="s">
        <v>3977</v>
      </c>
      <c r="B1902" s="9"/>
      <c r="C1902" s="9"/>
      <c r="D1902" s="8"/>
      <c r="E1902" s="8"/>
      <c r="F1902" s="8" t="s">
        <v>22</v>
      </c>
      <c r="G1902" s="10" t="s">
        <v>4411</v>
      </c>
      <c r="H1902" s="8" t="s">
        <v>4412</v>
      </c>
      <c r="I1902" s="10" t="s">
        <v>4413</v>
      </c>
      <c r="J1902" s="11" t="s">
        <v>33</v>
      </c>
      <c r="K1902" s="18">
        <v>30000</v>
      </c>
      <c r="L1902" s="12">
        <f t="shared" si="171"/>
        <v>60000</v>
      </c>
      <c r="M1902" s="8">
        <v>1</v>
      </c>
      <c r="N1902" s="8" t="s">
        <v>27</v>
      </c>
      <c r="O1902" s="13" t="s">
        <v>2520</v>
      </c>
      <c r="P1902" s="14">
        <v>0</v>
      </c>
      <c r="Q1902" s="15">
        <v>0.5</v>
      </c>
      <c r="R1902" s="16" t="str">
        <f t="shared" si="170"/>
        <v>KOMODO</v>
      </c>
      <c r="S1902" s="17"/>
      <c r="T1902" s="10" t="str">
        <f t="shared" si="169"/>
        <v>RESANE DE METRO LINEAL DE DRYWALL PARA RIEL.</v>
      </c>
    </row>
    <row r="1903" spans="1:20" ht="27" customHeight="1" x14ac:dyDescent="0.25">
      <c r="A1903" s="8" t="s">
        <v>3977</v>
      </c>
      <c r="B1903" s="9"/>
      <c r="C1903" s="9"/>
      <c r="D1903" s="8"/>
      <c r="E1903" s="8"/>
      <c r="F1903" s="8" t="s">
        <v>22</v>
      </c>
      <c r="G1903" s="10" t="s">
        <v>4414</v>
      </c>
      <c r="H1903" s="8" t="s">
        <v>4415</v>
      </c>
      <c r="I1903" s="10" t="s">
        <v>4416</v>
      </c>
      <c r="J1903" s="11" t="s">
        <v>26</v>
      </c>
      <c r="K1903" s="18">
        <v>20</v>
      </c>
      <c r="L1903" s="12">
        <f t="shared" si="171"/>
        <v>40</v>
      </c>
      <c r="M1903" s="8">
        <v>1</v>
      </c>
      <c r="N1903" s="8" t="s">
        <v>27</v>
      </c>
      <c r="O1903" s="13" t="s">
        <v>2520</v>
      </c>
      <c r="P1903" s="14">
        <v>0</v>
      </c>
      <c r="Q1903" s="15">
        <v>0.5</v>
      </c>
      <c r="R1903" s="16" t="str">
        <f t="shared" si="170"/>
        <v>KOMODO</v>
      </c>
      <c r="S1903" s="17"/>
      <c r="T1903" s="10" t="str">
        <f t="shared" si="169"/>
        <v>INTALALACION DE TERMOSTATO. NO INCLUYE CABLEADO.</v>
      </c>
    </row>
    <row r="1904" spans="1:20" ht="27" customHeight="1" x14ac:dyDescent="0.25">
      <c r="A1904" s="8" t="s">
        <v>3977</v>
      </c>
      <c r="B1904" s="9"/>
      <c r="C1904" s="9"/>
      <c r="D1904" s="8"/>
      <c r="E1904" s="8"/>
      <c r="F1904" s="8" t="s">
        <v>22</v>
      </c>
      <c r="G1904" s="10" t="s">
        <v>4417</v>
      </c>
      <c r="H1904" s="8" t="s">
        <v>4418</v>
      </c>
      <c r="I1904" s="10" t="s">
        <v>4419</v>
      </c>
      <c r="J1904" s="11" t="s">
        <v>33</v>
      </c>
      <c r="K1904" s="18">
        <v>850000</v>
      </c>
      <c r="L1904" s="12">
        <f t="shared" si="171"/>
        <v>1700000</v>
      </c>
      <c r="M1904" s="8">
        <v>1</v>
      </c>
      <c r="N1904" s="8" t="s">
        <v>27</v>
      </c>
      <c r="O1904" s="13" t="s">
        <v>2520</v>
      </c>
      <c r="P1904" s="14">
        <v>0</v>
      </c>
      <c r="Q1904" s="15">
        <v>0.5</v>
      </c>
      <c r="R1904" s="16" t="str">
        <f t="shared" si="170"/>
        <v>KOMODO</v>
      </c>
      <c r="S1904" s="17"/>
      <c r="T1904" s="10" t="str">
        <f t="shared" si="169"/>
        <v>ADECUACIÓN DE TECHO PARA TENSOFLEX, INCLUYE CERRAMIENTO EN MDF, PINTURA BLANCA.</v>
      </c>
    </row>
    <row r="1905" spans="1:20" ht="27" customHeight="1" x14ac:dyDescent="0.25">
      <c r="A1905" s="8" t="s">
        <v>3977</v>
      </c>
      <c r="B1905" s="9"/>
      <c r="C1905" s="9"/>
      <c r="D1905" s="8"/>
      <c r="E1905" s="8"/>
      <c r="F1905" s="8" t="s">
        <v>22</v>
      </c>
      <c r="G1905" s="10" t="s">
        <v>4420</v>
      </c>
      <c r="H1905" s="8" t="s">
        <v>4421</v>
      </c>
      <c r="I1905" s="10" t="s">
        <v>4420</v>
      </c>
      <c r="J1905" s="11" t="s">
        <v>33</v>
      </c>
      <c r="K1905" s="18">
        <v>350000</v>
      </c>
      <c r="L1905" s="12">
        <f t="shared" si="171"/>
        <v>500000</v>
      </c>
      <c r="M1905" s="8">
        <v>1</v>
      </c>
      <c r="N1905" s="8" t="s">
        <v>27</v>
      </c>
      <c r="O1905" s="13" t="s">
        <v>2520</v>
      </c>
      <c r="P1905" s="14">
        <v>0</v>
      </c>
      <c r="Q1905" s="15">
        <v>0.3</v>
      </c>
      <c r="R1905" s="16" t="str">
        <f t="shared" si="170"/>
        <v>KOMODO</v>
      </c>
      <c r="S1905" s="17"/>
      <c r="T1905" s="10" t="str">
        <f t="shared" si="169"/>
        <v>CAMBIO DE UNIDAD DLP</v>
      </c>
    </row>
    <row r="1906" spans="1:20" ht="27" customHeight="1" x14ac:dyDescent="0.25">
      <c r="A1906" s="8" t="s">
        <v>3977</v>
      </c>
      <c r="B1906" s="9"/>
      <c r="C1906" s="9"/>
      <c r="D1906" s="8"/>
      <c r="E1906" s="8"/>
      <c r="F1906" s="8" t="s">
        <v>22</v>
      </c>
      <c r="G1906" s="10" t="s">
        <v>4422</v>
      </c>
      <c r="H1906" s="8" t="s">
        <v>4423</v>
      </c>
      <c r="I1906" s="10" t="s">
        <v>4424</v>
      </c>
      <c r="J1906" s="11" t="s">
        <v>33</v>
      </c>
      <c r="K1906" s="18">
        <v>70000</v>
      </c>
      <c r="L1906" s="12">
        <f t="shared" si="171"/>
        <v>100000</v>
      </c>
      <c r="M1906" s="8">
        <v>1</v>
      </c>
      <c r="N1906" s="8" t="s">
        <v>27</v>
      </c>
      <c r="O1906" s="13" t="s">
        <v>2520</v>
      </c>
      <c r="P1906" s="14">
        <v>0</v>
      </c>
      <c r="Q1906" s="15">
        <v>0.3</v>
      </c>
      <c r="R1906" s="16" t="str">
        <f t="shared" si="170"/>
        <v>KOMODO</v>
      </c>
      <c r="S1906" s="17"/>
      <c r="T1906" s="10" t="str">
        <f t="shared" si="169"/>
        <v>MANTENIMIENTO PREVENTIVO, CAMBIO DE FILTROS Y LIMPIEZA DE LA UNIDAD.</v>
      </c>
    </row>
    <row r="1907" spans="1:20" ht="27" customHeight="1" x14ac:dyDescent="0.25">
      <c r="A1907" s="8" t="s">
        <v>3977</v>
      </c>
      <c r="B1907" s="9"/>
      <c r="C1907" s="9"/>
      <c r="D1907" s="8"/>
      <c r="E1907" s="8"/>
      <c r="F1907" s="8" t="s">
        <v>22</v>
      </c>
      <c r="G1907" s="10" t="s">
        <v>4425</v>
      </c>
      <c r="H1907" s="8" t="s">
        <v>4426</v>
      </c>
      <c r="I1907" s="10" t="s">
        <v>4425</v>
      </c>
      <c r="J1907" s="11" t="s">
        <v>33</v>
      </c>
      <c r="K1907" s="18">
        <v>100000</v>
      </c>
      <c r="L1907" s="12">
        <f t="shared" si="171"/>
        <v>142900</v>
      </c>
      <c r="M1907" s="8">
        <v>1</v>
      </c>
      <c r="N1907" s="8" t="s">
        <v>27</v>
      </c>
      <c r="O1907" s="13" t="s">
        <v>2520</v>
      </c>
      <c r="P1907" s="14">
        <v>0</v>
      </c>
      <c r="Q1907" s="15">
        <v>0.3</v>
      </c>
      <c r="R1907" s="16" t="str">
        <f t="shared" si="170"/>
        <v>KOMODO</v>
      </c>
      <c r="S1907" s="17"/>
      <c r="T1907" s="10" t="str">
        <f t="shared" si="169"/>
        <v>RECAMBIO DE UNIDAD DE VENTILACIÓN</v>
      </c>
    </row>
    <row r="1908" spans="1:20" ht="27" customHeight="1" x14ac:dyDescent="0.25">
      <c r="A1908" s="8" t="s">
        <v>3977</v>
      </c>
      <c r="B1908" s="9"/>
      <c r="C1908" s="9"/>
      <c r="D1908" s="8"/>
      <c r="E1908" s="8"/>
      <c r="F1908" s="8" t="s">
        <v>22</v>
      </c>
      <c r="G1908" s="10" t="s">
        <v>4427</v>
      </c>
      <c r="H1908" s="8" t="s">
        <v>4428</v>
      </c>
      <c r="I1908" s="10" t="s">
        <v>4429</v>
      </c>
      <c r="J1908" s="11" t="s">
        <v>33</v>
      </c>
      <c r="K1908" s="18">
        <f>35000/0.8+30000+100000</f>
        <v>173750</v>
      </c>
      <c r="L1908" s="12">
        <f t="shared" si="171"/>
        <v>248300</v>
      </c>
      <c r="M1908" s="8">
        <v>1</v>
      </c>
      <c r="N1908" s="8" t="s">
        <v>27</v>
      </c>
      <c r="O1908" s="13" t="s">
        <v>2520</v>
      </c>
      <c r="P1908" s="14">
        <v>0</v>
      </c>
      <c r="Q1908" s="15">
        <v>0.3</v>
      </c>
      <c r="R1908" s="16" t="str">
        <f t="shared" si="170"/>
        <v>KOMODO</v>
      </c>
      <c r="S1908" s="17"/>
      <c r="T1908" s="10" t="str">
        <f t="shared" si="169"/>
        <v>DIA DE VIÁTICOS EN LA CIUDAD DE INSTALACIÓN CON ESTADÍA DE UNA NOCHE.</v>
      </c>
    </row>
    <row r="1909" spans="1:20" ht="27" customHeight="1" x14ac:dyDescent="0.25">
      <c r="A1909" s="8" t="s">
        <v>3977</v>
      </c>
      <c r="B1909" s="9"/>
      <c r="C1909" s="9"/>
      <c r="D1909" s="8"/>
      <c r="E1909" s="8"/>
      <c r="F1909" s="8" t="s">
        <v>22</v>
      </c>
      <c r="G1909" s="10" t="s">
        <v>4430</v>
      </c>
      <c r="H1909" s="8" t="s">
        <v>4431</v>
      </c>
      <c r="I1909" s="10" t="s">
        <v>4430</v>
      </c>
      <c r="J1909" s="11" t="s">
        <v>26</v>
      </c>
      <c r="K1909" s="18">
        <v>1000</v>
      </c>
      <c r="L1909" s="12">
        <f t="shared" si="171"/>
        <v>1428.5714285714287</v>
      </c>
      <c r="M1909" s="8">
        <v>1</v>
      </c>
      <c r="N1909" s="8" t="s">
        <v>27</v>
      </c>
      <c r="O1909" s="13" t="s">
        <v>2520</v>
      </c>
      <c r="P1909" s="14">
        <v>0</v>
      </c>
      <c r="Q1909" s="15">
        <v>0.3</v>
      </c>
      <c r="R1909" s="16" t="str">
        <f t="shared" si="170"/>
        <v>KOMODO</v>
      </c>
      <c r="S1909" s="17"/>
      <c r="T1909" s="10" t="str">
        <f t="shared" si="169"/>
        <v>ARRANQUE PUESTA PUNTO E INTEGRACIÓN DEL SISTEMA A SISTEMA QUANTUM EXISTENTE</v>
      </c>
    </row>
    <row r="1910" spans="1:20" ht="27" customHeight="1" x14ac:dyDescent="0.25">
      <c r="A1910" s="8" t="s">
        <v>3977</v>
      </c>
      <c r="B1910" s="9"/>
      <c r="C1910" s="9"/>
      <c r="D1910" s="8"/>
      <c r="E1910" s="8"/>
      <c r="F1910" s="8" t="s">
        <v>22</v>
      </c>
      <c r="G1910" s="10" t="s">
        <v>4432</v>
      </c>
      <c r="H1910" s="8" t="s">
        <v>4433</v>
      </c>
      <c r="I1910" s="10" t="s">
        <v>4434</v>
      </c>
      <c r="J1910" s="11" t="s">
        <v>697</v>
      </c>
      <c r="K1910" s="18">
        <v>750000</v>
      </c>
      <c r="L1910" s="12">
        <f t="shared" si="171"/>
        <v>1250000</v>
      </c>
      <c r="M1910" s="8">
        <v>1</v>
      </c>
      <c r="N1910" s="8" t="s">
        <v>4435</v>
      </c>
      <c r="O1910" s="13"/>
      <c r="P1910" s="14">
        <v>0.2</v>
      </c>
      <c r="Q1910" s="15">
        <v>0.4</v>
      </c>
      <c r="R1910" s="16" t="str">
        <f t="shared" si="170"/>
        <v>KOMODO</v>
      </c>
      <c r="S1910" s="17"/>
      <c r="T1910" s="10" t="str">
        <f t="shared" si="169"/>
        <v>JORNADA DE 8 HORAS DE TÉCNICO CERTIFICADO LUTRON.</v>
      </c>
    </row>
    <row r="1911" spans="1:20" ht="27" customHeight="1" x14ac:dyDescent="0.25">
      <c r="A1911" s="8" t="s">
        <v>3977</v>
      </c>
      <c r="B1911" s="9"/>
      <c r="C1911" s="9"/>
      <c r="D1911" s="8"/>
      <c r="E1911" s="8"/>
      <c r="F1911" s="8" t="s">
        <v>22</v>
      </c>
      <c r="G1911" s="10" t="s">
        <v>4436</v>
      </c>
      <c r="H1911" s="8" t="s">
        <v>4437</v>
      </c>
      <c r="I1911" s="10" t="s">
        <v>4438</v>
      </c>
      <c r="J1911" s="11" t="s">
        <v>33</v>
      </c>
      <c r="K1911" s="18">
        <f>180*5000</f>
        <v>900000</v>
      </c>
      <c r="L1911" s="12">
        <f t="shared" si="171"/>
        <v>1500000</v>
      </c>
      <c r="M1911" s="8">
        <v>1</v>
      </c>
      <c r="N1911" s="8" t="s">
        <v>4435</v>
      </c>
      <c r="O1911" s="13"/>
      <c r="P1911" s="14">
        <v>0.2</v>
      </c>
      <c r="Q1911" s="15">
        <v>0.4</v>
      </c>
      <c r="R1911" s="16" t="str">
        <f t="shared" si="170"/>
        <v>KOMODO</v>
      </c>
      <c r="S1911" s="17"/>
      <c r="T1911" s="10" t="str">
        <f t="shared" si="169"/>
        <v>LICENCIA PARA INTEGRACIÓN DE SUCURSAL.</v>
      </c>
    </row>
    <row r="1912" spans="1:20" ht="27" customHeight="1" x14ac:dyDescent="0.25">
      <c r="A1912" s="8" t="s">
        <v>3977</v>
      </c>
      <c r="B1912" s="9"/>
      <c r="C1912" s="9"/>
      <c r="D1912" s="8"/>
      <c r="E1912" s="8"/>
      <c r="F1912" s="8" t="s">
        <v>22</v>
      </c>
      <c r="G1912" s="10" t="s">
        <v>4439</v>
      </c>
      <c r="H1912" s="8" t="s">
        <v>4440</v>
      </c>
      <c r="I1912" s="10" t="s">
        <v>4439</v>
      </c>
      <c r="J1912" s="11" t="s">
        <v>33</v>
      </c>
      <c r="K1912" s="18">
        <v>130000</v>
      </c>
      <c r="L1912" s="12">
        <f t="shared" ref="L1912:L1913" si="172">IF(J1912="P",ROUNDUP(K1912/(1-Q1912),-2),K1912*(1+P1912)/(1-Q1912))</f>
        <v>216700</v>
      </c>
      <c r="M1912" s="8">
        <v>1</v>
      </c>
      <c r="N1912" s="8" t="s">
        <v>27</v>
      </c>
      <c r="O1912" s="13"/>
      <c r="P1912" s="14">
        <v>0</v>
      </c>
      <c r="Q1912" s="15">
        <v>0.4</v>
      </c>
      <c r="R1912" s="16" t="str">
        <f t="shared" si="170"/>
        <v>KOMODO</v>
      </c>
      <c r="S1912" s="17"/>
      <c r="T1912" s="10" t="str">
        <f t="shared" si="169"/>
        <v>INTEGRACIÓN DE MEDIDOR DE CORRIENTE</v>
      </c>
    </row>
    <row r="1913" spans="1:20" ht="27" customHeight="1" x14ac:dyDescent="0.25">
      <c r="A1913" s="8" t="s">
        <v>3977</v>
      </c>
      <c r="B1913" s="9"/>
      <c r="C1913" s="9"/>
      <c r="D1913" s="8"/>
      <c r="E1913" s="8"/>
      <c r="F1913" s="8" t="s">
        <v>22</v>
      </c>
      <c r="G1913" s="10" t="s">
        <v>4441</v>
      </c>
      <c r="H1913" s="8" t="s">
        <v>4442</v>
      </c>
      <c r="I1913" s="10" t="s">
        <v>4443</v>
      </c>
      <c r="J1913" s="11" t="s">
        <v>33</v>
      </c>
      <c r="K1913" s="18">
        <v>250000</v>
      </c>
      <c r="L1913" s="12">
        <f t="shared" si="172"/>
        <v>416700</v>
      </c>
      <c r="M1913" s="8">
        <v>1</v>
      </c>
      <c r="N1913" s="8" t="s">
        <v>27</v>
      </c>
      <c r="O1913" s="13"/>
      <c r="P1913" s="14">
        <v>0</v>
      </c>
      <c r="Q1913" s="15">
        <v>0.4</v>
      </c>
      <c r="R1913" s="16" t="str">
        <f t="shared" si="170"/>
        <v>KOMODO</v>
      </c>
      <c r="S1913" s="17"/>
      <c r="T1913" s="10" t="str">
        <f t="shared" ref="T1913:T1976" si="173">G1913</f>
        <v>INTEGRACIÓN DE UPS MEDIANTE PUERTO SERIAL O IP.</v>
      </c>
    </row>
    <row r="1914" spans="1:20" ht="27" customHeight="1" x14ac:dyDescent="0.25">
      <c r="A1914" s="8" t="s">
        <v>3977</v>
      </c>
      <c r="B1914" s="9" t="s">
        <v>2515</v>
      </c>
      <c r="C1914" s="9"/>
      <c r="D1914" s="8" t="s">
        <v>4009</v>
      </c>
      <c r="E1914" s="8" t="s">
        <v>4010</v>
      </c>
      <c r="F1914" s="8" t="s">
        <v>22</v>
      </c>
      <c r="G1914" s="10" t="s">
        <v>4444</v>
      </c>
      <c r="H1914" s="8" t="s">
        <v>4445</v>
      </c>
      <c r="I1914" s="10" t="s">
        <v>4446</v>
      </c>
      <c r="J1914" s="11" t="s">
        <v>33</v>
      </c>
      <c r="K1914" s="18">
        <v>300000</v>
      </c>
      <c r="L1914" s="12">
        <v>500000</v>
      </c>
      <c r="M1914" s="8">
        <v>1</v>
      </c>
      <c r="N1914" s="8" t="s">
        <v>27</v>
      </c>
      <c r="O1914" s="13"/>
      <c r="P1914" s="14"/>
      <c r="Q1914" s="15"/>
      <c r="R1914" s="16" t="str">
        <f t="shared" si="170"/>
        <v>KOMODO</v>
      </c>
      <c r="S1914" s="17"/>
      <c r="T1914" s="10" t="str">
        <f t="shared" si="173"/>
        <v>JORNADA DE 4 HORAS EN PROGRAMACIÓN Y RECONFIGURACIÓN DE SISTEMAS QUANTUM.</v>
      </c>
    </row>
    <row r="1915" spans="1:20" ht="27" customHeight="1" x14ac:dyDescent="0.25">
      <c r="A1915" s="8" t="s">
        <v>3977</v>
      </c>
      <c r="B1915" s="9"/>
      <c r="C1915" s="9"/>
      <c r="D1915" s="8"/>
      <c r="E1915" s="8"/>
      <c r="F1915" s="8" t="s">
        <v>22</v>
      </c>
      <c r="G1915" s="10" t="s">
        <v>4447</v>
      </c>
      <c r="H1915" s="8" t="s">
        <v>4448</v>
      </c>
      <c r="I1915" s="10" t="s">
        <v>4447</v>
      </c>
      <c r="J1915" s="11" t="s">
        <v>33</v>
      </c>
      <c r="K1915" s="18">
        <v>500000</v>
      </c>
      <c r="L1915" s="12">
        <f t="shared" ref="L1915:L1946" si="174">IF(J1915="P",ROUNDUP(K1915/(1-Q1915),-2),K1915*(1+P1915)/(1-Q1915))</f>
        <v>833400</v>
      </c>
      <c r="M1915" s="8">
        <v>1</v>
      </c>
      <c r="N1915" s="8" t="s">
        <v>4435</v>
      </c>
      <c r="O1915" s="13"/>
      <c r="P1915" s="14">
        <v>0.2</v>
      </c>
      <c r="Q1915" s="15">
        <v>0.4</v>
      </c>
      <c r="R1915" s="16" t="str">
        <f t="shared" si="170"/>
        <v>KOMODO</v>
      </c>
      <c r="S1915" s="17"/>
      <c r="T1915" s="10" t="str">
        <f t="shared" si="173"/>
        <v>VISITA TÉCNICA DE REVISIÓN PARA AJUSTE DE SISTEMA QUANTUM</v>
      </c>
    </row>
    <row r="1916" spans="1:20" ht="27" customHeight="1" x14ac:dyDescent="0.25">
      <c r="A1916" s="8" t="s">
        <v>3977</v>
      </c>
      <c r="B1916" s="9" t="s">
        <v>2515</v>
      </c>
      <c r="C1916" s="9"/>
      <c r="D1916" s="8" t="s">
        <v>4449</v>
      </c>
      <c r="E1916" s="8" t="s">
        <v>4010</v>
      </c>
      <c r="F1916" s="8" t="s">
        <v>22</v>
      </c>
      <c r="G1916" s="10" t="s">
        <v>4450</v>
      </c>
      <c r="H1916" s="8" t="s">
        <v>4451</v>
      </c>
      <c r="I1916" s="10" t="s">
        <v>4450</v>
      </c>
      <c r="J1916" s="11" t="s">
        <v>33</v>
      </c>
      <c r="K1916" s="18">
        <v>8000</v>
      </c>
      <c r="L1916" s="12">
        <f t="shared" si="174"/>
        <v>13400</v>
      </c>
      <c r="M1916" s="8">
        <v>1</v>
      </c>
      <c r="N1916" s="8" t="s">
        <v>27</v>
      </c>
      <c r="O1916" s="13" t="s">
        <v>588</v>
      </c>
      <c r="P1916" s="14">
        <v>0.2</v>
      </c>
      <c r="Q1916" s="15">
        <v>0.4</v>
      </c>
      <c r="R1916" s="16" t="str">
        <f t="shared" si="170"/>
        <v>KOMODO</v>
      </c>
      <c r="S1916" s="17"/>
      <c r="T1916" s="10" t="str">
        <f t="shared" si="173"/>
        <v>PROGRAMACIÓN DE BALASTO ELECTRÓNICO O DIGITAL</v>
      </c>
    </row>
    <row r="1917" spans="1:20" ht="27" customHeight="1" x14ac:dyDescent="0.25">
      <c r="A1917" s="8" t="s">
        <v>3977</v>
      </c>
      <c r="B1917" s="9" t="s">
        <v>2515</v>
      </c>
      <c r="C1917" s="9"/>
      <c r="D1917" s="8"/>
      <c r="E1917" s="8"/>
      <c r="F1917" s="8" t="s">
        <v>22</v>
      </c>
      <c r="G1917" s="10" t="s">
        <v>4452</v>
      </c>
      <c r="H1917" s="8" t="s">
        <v>4453</v>
      </c>
      <c r="I1917" s="10" t="s">
        <v>4454</v>
      </c>
      <c r="J1917" s="11" t="s">
        <v>26</v>
      </c>
      <c r="K1917" s="18">
        <f>185*1.3</f>
        <v>240.5</v>
      </c>
      <c r="L1917" s="12">
        <f t="shared" si="174"/>
        <v>343.57142857142861</v>
      </c>
      <c r="M1917" s="8">
        <v>1</v>
      </c>
      <c r="N1917" s="8"/>
      <c r="O1917" s="13"/>
      <c r="P1917" s="14">
        <v>0</v>
      </c>
      <c r="Q1917" s="15">
        <v>0.3</v>
      </c>
      <c r="R1917" s="16" t="str">
        <f t="shared" si="170"/>
        <v>KOMODO</v>
      </c>
      <c r="S1917" s="17"/>
      <c r="T1917" s="10" t="str">
        <f t="shared" si="173"/>
        <v>LICENCIA PARA OPERACIÓN DE PROGRAMACIÓN A MEDIDA DE MONITOREO DE EQUIPOS.</v>
      </c>
    </row>
    <row r="1918" spans="1:20" ht="27" customHeight="1" x14ac:dyDescent="0.25">
      <c r="A1918" s="8" t="s">
        <v>3977</v>
      </c>
      <c r="B1918" s="9" t="s">
        <v>2515</v>
      </c>
      <c r="C1918" s="9"/>
      <c r="D1918" s="8"/>
      <c r="E1918" s="8"/>
      <c r="F1918" s="8" t="s">
        <v>22</v>
      </c>
      <c r="G1918" s="10" t="s">
        <v>4455</v>
      </c>
      <c r="H1918" s="8" t="s">
        <v>4456</v>
      </c>
      <c r="I1918" s="10" t="s">
        <v>4457</v>
      </c>
      <c r="J1918" s="11" t="s">
        <v>26</v>
      </c>
      <c r="K1918" s="18">
        <f>1700*1.3</f>
        <v>2210</v>
      </c>
      <c r="L1918" s="12">
        <f t="shared" si="174"/>
        <v>3157.1428571428573</v>
      </c>
      <c r="M1918" s="8">
        <v>1</v>
      </c>
      <c r="N1918" s="8"/>
      <c r="O1918" s="13"/>
      <c r="P1918" s="14">
        <v>0</v>
      </c>
      <c r="Q1918" s="15">
        <v>0.3</v>
      </c>
      <c r="R1918" s="16" t="str">
        <f t="shared" si="170"/>
        <v>KOMODO</v>
      </c>
      <c r="S1918" s="17"/>
      <c r="T1918" s="10" t="str">
        <f t="shared" si="173"/>
        <v>IMPLEMENTACIÓN DE SOFTWARE RMS DE AMX EN MANDO CENTRAL.</v>
      </c>
    </row>
    <row r="1919" spans="1:20" ht="27" customHeight="1" x14ac:dyDescent="0.25">
      <c r="A1919" s="8" t="s">
        <v>3977</v>
      </c>
      <c r="B1919" s="9"/>
      <c r="C1919" s="9"/>
      <c r="D1919" s="8" t="s">
        <v>45</v>
      </c>
      <c r="E1919" s="8"/>
      <c r="F1919" s="8" t="s">
        <v>22</v>
      </c>
      <c r="G1919" s="10" t="s">
        <v>4458</v>
      </c>
      <c r="H1919" s="8" t="s">
        <v>4459</v>
      </c>
      <c r="I1919" s="10" t="s">
        <v>4458</v>
      </c>
      <c r="J1919" s="11" t="s">
        <v>33</v>
      </c>
      <c r="K1919" s="18">
        <v>450000</v>
      </c>
      <c r="L1919" s="12">
        <f t="shared" si="174"/>
        <v>750000</v>
      </c>
      <c r="M1919" s="8">
        <v>1</v>
      </c>
      <c r="N1919" s="8" t="s">
        <v>27</v>
      </c>
      <c r="O1919" s="13"/>
      <c r="P1919" s="14">
        <v>0.2</v>
      </c>
      <c r="Q1919" s="15">
        <v>0.4</v>
      </c>
      <c r="R1919" s="16" t="str">
        <f t="shared" si="170"/>
        <v>KOMODO</v>
      </c>
      <c r="S1919" s="17"/>
      <c r="T1919" s="10" t="str">
        <f t="shared" si="173"/>
        <v>INTEGRACIÓN DE VIDEO CONFERENCIA MEDIANTE IP O RS232</v>
      </c>
    </row>
    <row r="1920" spans="1:20" ht="27" customHeight="1" x14ac:dyDescent="0.25">
      <c r="A1920" s="8" t="s">
        <v>3977</v>
      </c>
      <c r="B1920" s="9"/>
      <c r="C1920" s="9"/>
      <c r="D1920" s="8" t="s">
        <v>45</v>
      </c>
      <c r="E1920" s="8"/>
      <c r="F1920" s="8" t="s">
        <v>22</v>
      </c>
      <c r="G1920" s="10" t="s">
        <v>4460</v>
      </c>
      <c r="H1920" s="8" t="s">
        <v>4461</v>
      </c>
      <c r="I1920" s="10" t="s">
        <v>4460</v>
      </c>
      <c r="J1920" s="11" t="s">
        <v>33</v>
      </c>
      <c r="K1920" s="18">
        <v>100000</v>
      </c>
      <c r="L1920" s="12">
        <f t="shared" si="174"/>
        <v>166700</v>
      </c>
      <c r="M1920" s="8">
        <v>1</v>
      </c>
      <c r="N1920" s="8" t="s">
        <v>27</v>
      </c>
      <c r="O1920" s="13"/>
      <c r="P1920" s="14">
        <v>0.2</v>
      </c>
      <c r="Q1920" s="15">
        <v>0.4</v>
      </c>
      <c r="R1920" s="16" t="str">
        <f t="shared" si="170"/>
        <v>KOMODO</v>
      </c>
      <c r="S1920" s="17"/>
      <c r="T1920" s="10" t="str">
        <f t="shared" si="173"/>
        <v>PROGRAMACIÓN DE DISPOSITIVO APPLE TV</v>
      </c>
    </row>
    <row r="1921" spans="1:20" ht="27" customHeight="1" x14ac:dyDescent="0.25">
      <c r="A1921" s="8" t="s">
        <v>3977</v>
      </c>
      <c r="B1921" s="9" t="s">
        <v>2515</v>
      </c>
      <c r="C1921" s="9"/>
      <c r="D1921" s="8" t="s">
        <v>4449</v>
      </c>
      <c r="E1921" s="8" t="s">
        <v>4010</v>
      </c>
      <c r="F1921" s="8" t="s">
        <v>22</v>
      </c>
      <c r="G1921" s="10" t="s">
        <v>4462</v>
      </c>
      <c r="H1921" s="8" t="s">
        <v>4451</v>
      </c>
      <c r="I1921" s="10" t="s">
        <v>4463</v>
      </c>
      <c r="J1921" s="11" t="s">
        <v>33</v>
      </c>
      <c r="K1921" s="18">
        <v>8000</v>
      </c>
      <c r="L1921" s="12">
        <f t="shared" si="174"/>
        <v>13400</v>
      </c>
      <c r="M1921" s="8">
        <v>1</v>
      </c>
      <c r="N1921" s="8" t="s">
        <v>27</v>
      </c>
      <c r="O1921" s="13" t="s">
        <v>588</v>
      </c>
      <c r="P1921" s="14">
        <v>0.2</v>
      </c>
      <c r="Q1921" s="15">
        <v>0.4</v>
      </c>
      <c r="R1921" s="16" t="str">
        <f t="shared" ref="R1921:R1984" si="175">A1921</f>
        <v>KOMODO</v>
      </c>
      <c r="S1921" s="17"/>
      <c r="T1921" s="10" t="str">
        <f t="shared" si="173"/>
        <v>PROGRAMACIÓN DE BALASTRO, INCLUYE INTEGRACIÓN CON EQUIPOS PERIFÉRICOS.</v>
      </c>
    </row>
    <row r="1922" spans="1:20" ht="27" customHeight="1" x14ac:dyDescent="0.25">
      <c r="A1922" s="8" t="s">
        <v>3977</v>
      </c>
      <c r="B1922" s="9" t="s">
        <v>2515</v>
      </c>
      <c r="C1922" s="9"/>
      <c r="D1922" s="8" t="s">
        <v>4449</v>
      </c>
      <c r="E1922" s="8" t="s">
        <v>4023</v>
      </c>
      <c r="F1922" s="8" t="s">
        <v>22</v>
      </c>
      <c r="G1922" s="10" t="s">
        <v>4464</v>
      </c>
      <c r="H1922" s="8" t="s">
        <v>4465</v>
      </c>
      <c r="I1922" s="10" t="s">
        <v>4466</v>
      </c>
      <c r="J1922" s="11" t="s">
        <v>33</v>
      </c>
      <c r="K1922" s="18">
        <v>125000</v>
      </c>
      <c r="L1922" s="12">
        <f t="shared" si="174"/>
        <v>208400</v>
      </c>
      <c r="M1922" s="8">
        <v>1</v>
      </c>
      <c r="N1922" s="8" t="s">
        <v>27</v>
      </c>
      <c r="O1922" s="13" t="s">
        <v>587</v>
      </c>
      <c r="P1922" s="14">
        <v>0.2</v>
      </c>
      <c r="Q1922" s="15">
        <v>0.4</v>
      </c>
      <c r="R1922" s="16" t="str">
        <f t="shared" si="175"/>
        <v>KOMODO</v>
      </c>
      <c r="S1922" s="17"/>
      <c r="T1922" s="10" t="str">
        <f t="shared" si="173"/>
        <v>PROGRAMACIÓN DE EQUIPO TIPO GRAFIK QS, WPM O TIMER QS.</v>
      </c>
    </row>
    <row r="1923" spans="1:20" ht="27" customHeight="1" x14ac:dyDescent="0.25">
      <c r="A1923" s="8" t="s">
        <v>3977</v>
      </c>
      <c r="B1923" s="9" t="s">
        <v>2515</v>
      </c>
      <c r="C1923" s="9"/>
      <c r="D1923" s="8" t="s">
        <v>4449</v>
      </c>
      <c r="E1923" s="8" t="s">
        <v>4467</v>
      </c>
      <c r="F1923" s="8" t="s">
        <v>22</v>
      </c>
      <c r="G1923" s="10" t="s">
        <v>4468</v>
      </c>
      <c r="H1923" s="8" t="s">
        <v>4469</v>
      </c>
      <c r="I1923" s="10" t="s">
        <v>4470</v>
      </c>
      <c r="J1923" s="11" t="s">
        <v>33</v>
      </c>
      <c r="K1923" s="18">
        <v>15000</v>
      </c>
      <c r="L1923" s="12">
        <f t="shared" si="174"/>
        <v>25000</v>
      </c>
      <c r="M1923" s="8">
        <v>1</v>
      </c>
      <c r="N1923" s="8" t="s">
        <v>27</v>
      </c>
      <c r="O1923" s="13" t="s">
        <v>588</v>
      </c>
      <c r="P1923" s="14">
        <v>0.2</v>
      </c>
      <c r="Q1923" s="15">
        <v>0.4</v>
      </c>
      <c r="R1923" s="16" t="str">
        <f t="shared" si="175"/>
        <v>KOMODO</v>
      </c>
      <c r="S1923" s="17"/>
      <c r="T1923" s="10" t="str">
        <f t="shared" si="173"/>
        <v>PROGRAMACIÓN DE SENSORES, INCLUYE INTEGRACIÓN CON EQUIPOS PERIFÉRICOS.</v>
      </c>
    </row>
    <row r="1924" spans="1:20" ht="27" customHeight="1" x14ac:dyDescent="0.25">
      <c r="A1924" s="8" t="s">
        <v>3977</v>
      </c>
      <c r="B1924" s="9" t="s">
        <v>2515</v>
      </c>
      <c r="C1924" s="9"/>
      <c r="D1924" s="8" t="s">
        <v>4449</v>
      </c>
      <c r="E1924" s="8" t="s">
        <v>4471</v>
      </c>
      <c r="F1924" s="8" t="s">
        <v>22</v>
      </c>
      <c r="G1924" s="10" t="s">
        <v>4472</v>
      </c>
      <c r="H1924" s="8" t="s">
        <v>4473</v>
      </c>
      <c r="I1924" s="10" t="s">
        <v>4474</v>
      </c>
      <c r="J1924" s="11" t="s">
        <v>33</v>
      </c>
      <c r="K1924" s="18">
        <v>95000</v>
      </c>
      <c r="L1924" s="12">
        <f t="shared" si="174"/>
        <v>158400</v>
      </c>
      <c r="M1924" s="8">
        <v>1</v>
      </c>
      <c r="N1924" s="8" t="s">
        <v>27</v>
      </c>
      <c r="O1924" s="13" t="s">
        <v>587</v>
      </c>
      <c r="P1924" s="14">
        <v>0.2</v>
      </c>
      <c r="Q1924" s="15">
        <v>0.4</v>
      </c>
      <c r="R1924" s="16" t="str">
        <f t="shared" si="175"/>
        <v>KOMODO</v>
      </c>
      <c r="S1924" s="17"/>
      <c r="T1924" s="10" t="str">
        <f t="shared" si="173"/>
        <v>CONFIGURACIÓN DE SISTEMA WIRELESS.</v>
      </c>
    </row>
    <row r="1925" spans="1:20" ht="27" customHeight="1" x14ac:dyDescent="0.25">
      <c r="A1925" s="8" t="s">
        <v>3977</v>
      </c>
      <c r="B1925" s="9" t="s">
        <v>2515</v>
      </c>
      <c r="C1925" s="9"/>
      <c r="D1925" s="8" t="s">
        <v>4449</v>
      </c>
      <c r="E1925" s="8" t="s">
        <v>4058</v>
      </c>
      <c r="F1925" s="8" t="s">
        <v>22</v>
      </c>
      <c r="G1925" s="10" t="s">
        <v>4475</v>
      </c>
      <c r="H1925" s="8" t="s">
        <v>4476</v>
      </c>
      <c r="I1925" s="10" t="s">
        <v>4475</v>
      </c>
      <c r="J1925" s="11" t="s">
        <v>33</v>
      </c>
      <c r="K1925" s="18">
        <v>18000</v>
      </c>
      <c r="L1925" s="12">
        <f t="shared" si="174"/>
        <v>25800</v>
      </c>
      <c r="M1925" s="8">
        <v>1</v>
      </c>
      <c r="N1925" s="8" t="s">
        <v>27</v>
      </c>
      <c r="O1925" s="13" t="s">
        <v>588</v>
      </c>
      <c r="P1925" s="14">
        <v>0.2</v>
      </c>
      <c r="Q1925" s="15">
        <v>0.3</v>
      </c>
      <c r="R1925" s="16" t="str">
        <f t="shared" si="175"/>
        <v>KOMODO</v>
      </c>
      <c r="S1925" s="17"/>
      <c r="T1925" s="10" t="str">
        <f t="shared" si="173"/>
        <v>PROGRAMACIÓN DE INTERRUPTOR O ATENUADOR SENCILLO.</v>
      </c>
    </row>
    <row r="1926" spans="1:20" ht="27" customHeight="1" x14ac:dyDescent="0.25">
      <c r="A1926" s="8" t="s">
        <v>3977</v>
      </c>
      <c r="B1926" s="9" t="s">
        <v>2515</v>
      </c>
      <c r="C1926" s="9"/>
      <c r="D1926" s="8" t="s">
        <v>4449</v>
      </c>
      <c r="E1926" s="8" t="s">
        <v>188</v>
      </c>
      <c r="F1926" s="8" t="s">
        <v>22</v>
      </c>
      <c r="G1926" s="10" t="s">
        <v>4477</v>
      </c>
      <c r="H1926" s="8" t="s">
        <v>4478</v>
      </c>
      <c r="I1926" s="10" t="s">
        <v>4477</v>
      </c>
      <c r="J1926" s="11" t="s">
        <v>33</v>
      </c>
      <c r="K1926" s="18">
        <v>18000</v>
      </c>
      <c r="L1926" s="12">
        <f t="shared" si="174"/>
        <v>25800</v>
      </c>
      <c r="M1926" s="8">
        <v>1</v>
      </c>
      <c r="N1926" s="8" t="s">
        <v>27</v>
      </c>
      <c r="O1926" s="13" t="s">
        <v>587</v>
      </c>
      <c r="P1926" s="14">
        <v>0.2</v>
      </c>
      <c r="Q1926" s="15">
        <v>0.3</v>
      </c>
      <c r="R1926" s="16" t="str">
        <f t="shared" si="175"/>
        <v>KOMODO</v>
      </c>
      <c r="S1926" s="17"/>
      <c r="T1926" s="10" t="str">
        <f t="shared" si="173"/>
        <v>PROGRAMACIÓN DE TECLADO DE CONTROL DE ILUMINACIÓN.</v>
      </c>
    </row>
    <row r="1927" spans="1:20" ht="27" customHeight="1" x14ac:dyDescent="0.25">
      <c r="A1927" s="8" t="s">
        <v>3977</v>
      </c>
      <c r="B1927" s="9" t="s">
        <v>2515</v>
      </c>
      <c r="C1927" s="9"/>
      <c r="D1927" s="8" t="s">
        <v>4449</v>
      </c>
      <c r="E1927" s="8" t="s">
        <v>4065</v>
      </c>
      <c r="F1927" s="8" t="s">
        <v>22</v>
      </c>
      <c r="G1927" s="10" t="s">
        <v>4479</v>
      </c>
      <c r="H1927" s="8" t="s">
        <v>4480</v>
      </c>
      <c r="I1927" s="10" t="s">
        <v>4481</v>
      </c>
      <c r="J1927" s="11" t="s">
        <v>33</v>
      </c>
      <c r="K1927" s="18">
        <v>95000</v>
      </c>
      <c r="L1927" s="12">
        <f t="shared" si="174"/>
        <v>135800</v>
      </c>
      <c r="M1927" s="8">
        <v>1</v>
      </c>
      <c r="N1927" s="8" t="s">
        <v>27</v>
      </c>
      <c r="O1927" s="13" t="s">
        <v>588</v>
      </c>
      <c r="P1927" s="14">
        <v>0.2</v>
      </c>
      <c r="Q1927" s="15">
        <v>0.3</v>
      </c>
      <c r="R1927" s="16" t="str">
        <f t="shared" si="175"/>
        <v>KOMODO</v>
      </c>
      <c r="S1927" s="17"/>
      <c r="T1927" s="10" t="str">
        <f t="shared" si="173"/>
        <v>CONFIGURACIÓN DE EQUIPO DE PRESENTACIÓN INALÁMBRICA.</v>
      </c>
    </row>
    <row r="1928" spans="1:20" ht="27" customHeight="1" x14ac:dyDescent="0.25">
      <c r="A1928" s="8" t="s">
        <v>3977</v>
      </c>
      <c r="B1928" s="9" t="s">
        <v>2515</v>
      </c>
      <c r="C1928" s="9"/>
      <c r="D1928" s="8" t="s">
        <v>4449</v>
      </c>
      <c r="E1928" s="8" t="s">
        <v>4076</v>
      </c>
      <c r="F1928" s="8" t="s">
        <v>22</v>
      </c>
      <c r="G1928" s="10" t="s">
        <v>4482</v>
      </c>
      <c r="H1928" s="8" t="s">
        <v>4483</v>
      </c>
      <c r="I1928" s="10" t="s">
        <v>4482</v>
      </c>
      <c r="J1928" s="11" t="s">
        <v>33</v>
      </c>
      <c r="K1928" s="18">
        <v>450000</v>
      </c>
      <c r="L1928" s="12">
        <f t="shared" si="174"/>
        <v>642900</v>
      </c>
      <c r="M1928" s="8">
        <v>1</v>
      </c>
      <c r="N1928" s="8" t="s">
        <v>27</v>
      </c>
      <c r="O1928" s="13" t="s">
        <v>587</v>
      </c>
      <c r="P1928" s="14">
        <v>0.2</v>
      </c>
      <c r="Q1928" s="15">
        <v>0.3</v>
      </c>
      <c r="R1928" s="16" t="str">
        <f t="shared" si="175"/>
        <v>KOMODO</v>
      </c>
      <c r="S1928" s="17"/>
      <c r="T1928" s="10" t="str">
        <f t="shared" si="173"/>
        <v xml:space="preserve">PROGRAMACIÓN DE SWITCH DE AUDIO Y VIDEO ALL IN ONE. </v>
      </c>
    </row>
    <row r="1929" spans="1:20" ht="27" customHeight="1" x14ac:dyDescent="0.25">
      <c r="A1929" s="8" t="s">
        <v>3977</v>
      </c>
      <c r="B1929" s="9" t="s">
        <v>2515</v>
      </c>
      <c r="C1929" s="9"/>
      <c r="D1929" s="8" t="s">
        <v>4449</v>
      </c>
      <c r="E1929" s="8" t="s">
        <v>268</v>
      </c>
      <c r="F1929" s="8" t="s">
        <v>22</v>
      </c>
      <c r="G1929" s="10" t="s">
        <v>4484</v>
      </c>
      <c r="H1929" s="8" t="s">
        <v>4485</v>
      </c>
      <c r="I1929" s="10" t="s">
        <v>4484</v>
      </c>
      <c r="J1929" s="11" t="s">
        <v>33</v>
      </c>
      <c r="K1929" s="18">
        <v>220000</v>
      </c>
      <c r="L1929" s="12">
        <f t="shared" si="174"/>
        <v>314300</v>
      </c>
      <c r="M1929" s="8">
        <v>1</v>
      </c>
      <c r="N1929" s="8" t="s">
        <v>27</v>
      </c>
      <c r="O1929" s="13" t="s">
        <v>588</v>
      </c>
      <c r="P1929" s="14">
        <v>0.2</v>
      </c>
      <c r="Q1929" s="15">
        <v>0.3</v>
      </c>
      <c r="R1929" s="16" t="str">
        <f t="shared" si="175"/>
        <v>KOMODO</v>
      </c>
      <c r="S1929" s="17"/>
      <c r="T1929" s="10" t="str">
        <f t="shared" si="173"/>
        <v>PROGRAMACIÓN DE PANTALLA TÁCTIL, INCLUYE DISEÑO GRAFICO PERSONALIZADO.</v>
      </c>
    </row>
    <row r="1930" spans="1:20" ht="27" customHeight="1" x14ac:dyDescent="0.25">
      <c r="A1930" s="8" t="s">
        <v>3977</v>
      </c>
      <c r="B1930" s="9" t="s">
        <v>2515</v>
      </c>
      <c r="C1930" s="9"/>
      <c r="D1930" s="8" t="s">
        <v>4449</v>
      </c>
      <c r="E1930" s="8" t="s">
        <v>208</v>
      </c>
      <c r="F1930" s="8" t="s">
        <v>22</v>
      </c>
      <c r="G1930" s="10" t="s">
        <v>4486</v>
      </c>
      <c r="H1930" s="8" t="s">
        <v>4070</v>
      </c>
      <c r="I1930" s="10" t="s">
        <v>4486</v>
      </c>
      <c r="J1930" s="11" t="s">
        <v>33</v>
      </c>
      <c r="K1930" s="18">
        <v>150000</v>
      </c>
      <c r="L1930" s="12">
        <f t="shared" si="174"/>
        <v>214300</v>
      </c>
      <c r="M1930" s="8">
        <v>1</v>
      </c>
      <c r="N1930" s="8" t="s">
        <v>27</v>
      </c>
      <c r="O1930" s="13" t="s">
        <v>587</v>
      </c>
      <c r="P1930" s="14">
        <v>0.2</v>
      </c>
      <c r="Q1930" s="15">
        <v>0.3</v>
      </c>
      <c r="R1930" s="16" t="str">
        <f t="shared" si="175"/>
        <v>KOMODO</v>
      </c>
      <c r="S1930" s="17"/>
      <c r="T1930" s="10" t="str">
        <f t="shared" si="173"/>
        <v>PROGRAMACIÓN E INTEGRACIÓN DE PROYECTOR MEDIANTE PROTOCOLO RS-232 O IP.</v>
      </c>
    </row>
    <row r="1931" spans="1:20" ht="27" customHeight="1" x14ac:dyDescent="0.25">
      <c r="A1931" s="8" t="s">
        <v>3977</v>
      </c>
      <c r="B1931" s="9" t="s">
        <v>2515</v>
      </c>
      <c r="C1931" s="9"/>
      <c r="D1931" s="8" t="s">
        <v>4449</v>
      </c>
      <c r="E1931" s="8" t="s">
        <v>148</v>
      </c>
      <c r="F1931" s="8" t="s">
        <v>22</v>
      </c>
      <c r="G1931" s="10" t="s">
        <v>4487</v>
      </c>
      <c r="H1931" s="8" t="s">
        <v>4488</v>
      </c>
      <c r="I1931" s="10" t="s">
        <v>4489</v>
      </c>
      <c r="J1931" s="11" t="s">
        <v>33</v>
      </c>
      <c r="K1931" s="18">
        <v>150000</v>
      </c>
      <c r="L1931" s="12">
        <f t="shared" si="174"/>
        <v>214300</v>
      </c>
      <c r="M1931" s="8">
        <v>1</v>
      </c>
      <c r="N1931" s="8" t="s">
        <v>27</v>
      </c>
      <c r="O1931" s="13" t="s">
        <v>588</v>
      </c>
      <c r="P1931" s="14">
        <v>0.2</v>
      </c>
      <c r="Q1931" s="15">
        <v>0.3</v>
      </c>
      <c r="R1931" s="16" t="str">
        <f t="shared" si="175"/>
        <v>KOMODO</v>
      </c>
      <c r="S1931" s="17"/>
      <c r="T1931" s="10" t="str">
        <f t="shared" si="173"/>
        <v>PROGRAMACIÓN E INTEGRACIÓN DE AMPLIFICADOR DE AUDIO.</v>
      </c>
    </row>
    <row r="1932" spans="1:20" ht="27" customHeight="1" x14ac:dyDescent="0.25">
      <c r="A1932" s="8" t="s">
        <v>3977</v>
      </c>
      <c r="B1932" s="9" t="s">
        <v>2515</v>
      </c>
      <c r="C1932" s="9"/>
      <c r="D1932" s="8" t="s">
        <v>4449</v>
      </c>
      <c r="E1932" s="8" t="s">
        <v>4071</v>
      </c>
      <c r="F1932" s="8" t="s">
        <v>22</v>
      </c>
      <c r="G1932" s="10" t="s">
        <v>4072</v>
      </c>
      <c r="H1932" s="8" t="s">
        <v>4073</v>
      </c>
      <c r="I1932" s="10" t="s">
        <v>4072</v>
      </c>
      <c r="J1932" s="11" t="s">
        <v>33</v>
      </c>
      <c r="K1932" s="18">
        <v>120000</v>
      </c>
      <c r="L1932" s="12">
        <f t="shared" si="174"/>
        <v>171500</v>
      </c>
      <c r="M1932" s="8">
        <v>1</v>
      </c>
      <c r="N1932" s="8" t="s">
        <v>27</v>
      </c>
      <c r="O1932" s="13" t="s">
        <v>587</v>
      </c>
      <c r="P1932" s="14">
        <v>0.2</v>
      </c>
      <c r="Q1932" s="15">
        <v>0.3</v>
      </c>
      <c r="R1932" s="16" t="str">
        <f t="shared" si="175"/>
        <v>KOMODO</v>
      </c>
      <c r="S1932" s="17"/>
      <c r="T1932" s="10" t="str">
        <f t="shared" si="173"/>
        <v>PROGRAMACIÓN E INTEGRACIÓN DE TV MEDIANTE PROTOCOLO IR.</v>
      </c>
    </row>
    <row r="1933" spans="1:20" ht="27" customHeight="1" x14ac:dyDescent="0.25">
      <c r="A1933" s="8" t="s">
        <v>3977</v>
      </c>
      <c r="B1933" s="9" t="s">
        <v>2515</v>
      </c>
      <c r="C1933" s="9"/>
      <c r="D1933" s="8" t="s">
        <v>4449</v>
      </c>
      <c r="E1933" s="8" t="s">
        <v>4490</v>
      </c>
      <c r="F1933" s="8" t="s">
        <v>22</v>
      </c>
      <c r="G1933" s="10" t="s">
        <v>4491</v>
      </c>
      <c r="H1933" s="8" t="s">
        <v>4492</v>
      </c>
      <c r="I1933" s="10" t="s">
        <v>4491</v>
      </c>
      <c r="J1933" s="11" t="s">
        <v>33</v>
      </c>
      <c r="K1933" s="18">
        <v>85000</v>
      </c>
      <c r="L1933" s="12">
        <f t="shared" si="174"/>
        <v>121500</v>
      </c>
      <c r="M1933" s="8">
        <v>1</v>
      </c>
      <c r="N1933" s="8" t="s">
        <v>27</v>
      </c>
      <c r="O1933" s="13" t="s">
        <v>588</v>
      </c>
      <c r="P1933" s="14">
        <v>0.2</v>
      </c>
      <c r="Q1933" s="15">
        <v>0.3</v>
      </c>
      <c r="R1933" s="16" t="str">
        <f t="shared" si="175"/>
        <v>KOMODO</v>
      </c>
      <c r="S1933" s="17"/>
      <c r="T1933" s="10" t="str">
        <f t="shared" si="173"/>
        <v>PROGRAMACIÓN DE DISPOSITIVO GRAFIK EYE MEDIANTE IR</v>
      </c>
    </row>
    <row r="1934" spans="1:20" ht="27" customHeight="1" x14ac:dyDescent="0.25">
      <c r="A1934" s="8" t="s">
        <v>3977</v>
      </c>
      <c r="B1934" s="9" t="s">
        <v>2515</v>
      </c>
      <c r="C1934" s="9"/>
      <c r="D1934" s="8" t="s">
        <v>4449</v>
      </c>
      <c r="E1934" s="8"/>
      <c r="F1934" s="8" t="s">
        <v>22</v>
      </c>
      <c r="G1934" s="10" t="s">
        <v>4493</v>
      </c>
      <c r="H1934" s="8" t="s">
        <v>4494</v>
      </c>
      <c r="I1934" s="10" t="s">
        <v>4493</v>
      </c>
      <c r="J1934" s="11" t="s">
        <v>33</v>
      </c>
      <c r="K1934" s="18">
        <v>55000</v>
      </c>
      <c r="L1934" s="12">
        <f t="shared" si="174"/>
        <v>110000</v>
      </c>
      <c r="M1934" s="8">
        <v>1</v>
      </c>
      <c r="N1934" s="8" t="s">
        <v>27</v>
      </c>
      <c r="O1934" s="13" t="s">
        <v>587</v>
      </c>
      <c r="P1934" s="14">
        <v>0.2</v>
      </c>
      <c r="Q1934" s="15">
        <v>0.5</v>
      </c>
      <c r="R1934" s="16" t="str">
        <f t="shared" si="175"/>
        <v>KOMODO</v>
      </c>
      <c r="S1934" s="17"/>
      <c r="T1934" s="10" t="str">
        <f t="shared" si="173"/>
        <v>PROGRAMACIÓN DE PANEL 0-10. INCLUYE CONFIGURACIÓN EN SITIO Y AJUSTE DE RED.</v>
      </c>
    </row>
    <row r="1935" spans="1:20" ht="27" customHeight="1" x14ac:dyDescent="0.25">
      <c r="A1935" s="8" t="s">
        <v>3977</v>
      </c>
      <c r="B1935" s="9" t="s">
        <v>2515</v>
      </c>
      <c r="C1935" s="9"/>
      <c r="D1935" s="8" t="s">
        <v>4449</v>
      </c>
      <c r="E1935" s="8"/>
      <c r="F1935" s="8" t="s">
        <v>22</v>
      </c>
      <c r="G1935" s="10" t="s">
        <v>4493</v>
      </c>
      <c r="H1935" s="8" t="s">
        <v>4495</v>
      </c>
      <c r="I1935" s="10" t="s">
        <v>4493</v>
      </c>
      <c r="J1935" s="11" t="s">
        <v>33</v>
      </c>
      <c r="K1935" s="18">
        <v>55000</v>
      </c>
      <c r="L1935" s="12">
        <f t="shared" si="174"/>
        <v>110000</v>
      </c>
      <c r="M1935" s="8">
        <v>1</v>
      </c>
      <c r="N1935" s="8" t="s">
        <v>27</v>
      </c>
      <c r="O1935" s="13" t="s">
        <v>588</v>
      </c>
      <c r="P1935" s="14">
        <v>0.2</v>
      </c>
      <c r="Q1935" s="15">
        <v>0.5</v>
      </c>
      <c r="R1935" s="16" t="str">
        <f t="shared" si="175"/>
        <v>KOMODO</v>
      </c>
      <c r="S1935" s="17"/>
      <c r="T1935" s="10" t="str">
        <f t="shared" si="173"/>
        <v>PROGRAMACIÓN DE PANEL 0-10. INCLUYE CONFIGURACIÓN EN SITIO Y AJUSTE DE RED.</v>
      </c>
    </row>
    <row r="1936" spans="1:20" ht="27" customHeight="1" x14ac:dyDescent="0.25">
      <c r="A1936" s="8" t="s">
        <v>3977</v>
      </c>
      <c r="B1936" s="9" t="s">
        <v>2515</v>
      </c>
      <c r="C1936" s="9"/>
      <c r="D1936" s="8" t="s">
        <v>4449</v>
      </c>
      <c r="E1936" s="8"/>
      <c r="F1936" s="8" t="s">
        <v>22</v>
      </c>
      <c r="G1936" s="10" t="s">
        <v>4496</v>
      </c>
      <c r="H1936" s="8" t="s">
        <v>4497</v>
      </c>
      <c r="I1936" s="10" t="s">
        <v>4496</v>
      </c>
      <c r="J1936" s="11" t="s">
        <v>33</v>
      </c>
      <c r="K1936" s="18">
        <v>85000</v>
      </c>
      <c r="L1936" s="12">
        <f t="shared" si="174"/>
        <v>141700</v>
      </c>
      <c r="M1936" s="8">
        <v>1</v>
      </c>
      <c r="N1936" s="8" t="s">
        <v>27</v>
      </c>
      <c r="O1936" s="13" t="s">
        <v>587</v>
      </c>
      <c r="P1936" s="14">
        <v>0.2</v>
      </c>
      <c r="Q1936" s="15">
        <v>0.4</v>
      </c>
      <c r="R1936" s="16" t="str">
        <f t="shared" si="175"/>
        <v>KOMODO</v>
      </c>
      <c r="S1936" s="17"/>
      <c r="T1936" s="10" t="str">
        <f t="shared" si="173"/>
        <v>PROGRAMACIÓN DE SISTEMA DE CONTROL DE TEMPERATURA.</v>
      </c>
    </row>
    <row r="1937" spans="1:20" ht="27" customHeight="1" x14ac:dyDescent="0.25">
      <c r="A1937" s="8" t="s">
        <v>3977</v>
      </c>
      <c r="B1937" s="9" t="s">
        <v>2515</v>
      </c>
      <c r="C1937" s="9"/>
      <c r="D1937" s="8" t="s">
        <v>4449</v>
      </c>
      <c r="E1937" s="8"/>
      <c r="F1937" s="8" t="s">
        <v>22</v>
      </c>
      <c r="G1937" s="10" t="s">
        <v>4498</v>
      </c>
      <c r="H1937" s="8" t="s">
        <v>4499</v>
      </c>
      <c r="I1937" s="10" t="s">
        <v>4498</v>
      </c>
      <c r="J1937" s="11" t="s">
        <v>33</v>
      </c>
      <c r="K1937" s="18">
        <v>85000</v>
      </c>
      <c r="L1937" s="12">
        <f t="shared" si="174"/>
        <v>141700</v>
      </c>
      <c r="M1937" s="8">
        <v>1</v>
      </c>
      <c r="N1937" s="8" t="s">
        <v>27</v>
      </c>
      <c r="O1937" s="13" t="s">
        <v>588</v>
      </c>
      <c r="P1937" s="14">
        <v>0.2</v>
      </c>
      <c r="Q1937" s="15">
        <v>0.4</v>
      </c>
      <c r="R1937" s="16" t="str">
        <f t="shared" si="175"/>
        <v>KOMODO</v>
      </c>
      <c r="S1937" s="17"/>
      <c r="T1937" s="10" t="str">
        <f t="shared" si="173"/>
        <v>INSTALACIÓN DE SISTEMA DE CONTROL DE TEMPERATURA.</v>
      </c>
    </row>
    <row r="1938" spans="1:20" ht="27" customHeight="1" x14ac:dyDescent="0.25">
      <c r="A1938" s="8" t="s">
        <v>3977</v>
      </c>
      <c r="B1938" s="9" t="s">
        <v>2515</v>
      </c>
      <c r="C1938" s="9"/>
      <c r="D1938" s="8" t="s">
        <v>4449</v>
      </c>
      <c r="E1938" s="8"/>
      <c r="F1938" s="8" t="s">
        <v>22</v>
      </c>
      <c r="G1938" s="10" t="s">
        <v>4500</v>
      </c>
      <c r="H1938" s="8" t="s">
        <v>4501</v>
      </c>
      <c r="I1938" s="10" t="s">
        <v>4502</v>
      </c>
      <c r="J1938" s="11" t="s">
        <v>33</v>
      </c>
      <c r="K1938" s="18">
        <v>45000</v>
      </c>
      <c r="L1938" s="12">
        <f t="shared" si="174"/>
        <v>75000</v>
      </c>
      <c r="M1938" s="8">
        <v>1</v>
      </c>
      <c r="N1938" s="8" t="s">
        <v>27</v>
      </c>
      <c r="O1938" s="13" t="s">
        <v>587</v>
      </c>
      <c r="P1938" s="14">
        <v>0.2</v>
      </c>
      <c r="Q1938" s="15">
        <v>0.4</v>
      </c>
      <c r="R1938" s="16" t="str">
        <f t="shared" si="175"/>
        <v>KOMODO</v>
      </c>
      <c r="S1938" s="17"/>
      <c r="T1938" s="10" t="str">
        <f t="shared" si="173"/>
        <v>PROGRAMACIÓN Y CONFIGURACIÓN DE CAPARA IP O ANÁLOGA CON DVR.</v>
      </c>
    </row>
    <row r="1939" spans="1:20" ht="27" customHeight="1" x14ac:dyDescent="0.25">
      <c r="A1939" s="8" t="s">
        <v>3977</v>
      </c>
      <c r="B1939" s="9" t="s">
        <v>2515</v>
      </c>
      <c r="C1939" s="9"/>
      <c r="D1939" s="8" t="s">
        <v>4449</v>
      </c>
      <c r="E1939" s="8"/>
      <c r="F1939" s="8" t="s">
        <v>22</v>
      </c>
      <c r="G1939" s="10" t="s">
        <v>4503</v>
      </c>
      <c r="H1939" s="8" t="s">
        <v>4504</v>
      </c>
      <c r="I1939" s="10" t="s">
        <v>4503</v>
      </c>
      <c r="J1939" s="11" t="s">
        <v>33</v>
      </c>
      <c r="K1939" s="18">
        <v>12000</v>
      </c>
      <c r="L1939" s="12">
        <f t="shared" si="174"/>
        <v>20000</v>
      </c>
      <c r="M1939" s="8">
        <v>1</v>
      </c>
      <c r="N1939" s="8" t="s">
        <v>27</v>
      </c>
      <c r="O1939" s="13" t="s">
        <v>588</v>
      </c>
      <c r="P1939" s="14">
        <v>0.2</v>
      </c>
      <c r="Q1939" s="15">
        <v>0.4</v>
      </c>
      <c r="R1939" s="16" t="str">
        <f t="shared" si="175"/>
        <v>KOMODO</v>
      </c>
      <c r="S1939" s="17"/>
      <c r="T1939" s="10" t="str">
        <f t="shared" si="173"/>
        <v>PROGRAMACIÓN DE SENSOR DE PRESENCIA PARA ALARMA</v>
      </c>
    </row>
    <row r="1940" spans="1:20" ht="27" customHeight="1" x14ac:dyDescent="0.25">
      <c r="A1940" s="8" t="s">
        <v>3977</v>
      </c>
      <c r="B1940" s="9" t="s">
        <v>2515</v>
      </c>
      <c r="C1940" s="9"/>
      <c r="D1940" s="8" t="s">
        <v>4449</v>
      </c>
      <c r="E1940" s="8"/>
      <c r="F1940" s="8" t="s">
        <v>22</v>
      </c>
      <c r="G1940" s="10" t="s">
        <v>4505</v>
      </c>
      <c r="H1940" s="8" t="s">
        <v>4506</v>
      </c>
      <c r="I1940" s="10" t="s">
        <v>4505</v>
      </c>
      <c r="J1940" s="11" t="s">
        <v>33</v>
      </c>
      <c r="K1940" s="18">
        <v>25000</v>
      </c>
      <c r="L1940" s="12">
        <f t="shared" si="174"/>
        <v>41700</v>
      </c>
      <c r="M1940" s="8">
        <v>1</v>
      </c>
      <c r="N1940" s="8" t="s">
        <v>27</v>
      </c>
      <c r="O1940" s="13" t="s">
        <v>587</v>
      </c>
      <c r="P1940" s="14">
        <v>0.2</v>
      </c>
      <c r="Q1940" s="15">
        <v>0.4</v>
      </c>
      <c r="R1940" s="16" t="str">
        <f t="shared" si="175"/>
        <v>KOMODO</v>
      </c>
      <c r="S1940" s="17"/>
      <c r="T1940" s="10" t="str">
        <f t="shared" si="173"/>
        <v>PROGRAMACIÓN DE TECLADO DE ALARMA</v>
      </c>
    </row>
    <row r="1941" spans="1:20" ht="27" customHeight="1" x14ac:dyDescent="0.25">
      <c r="A1941" s="8" t="s">
        <v>3977</v>
      </c>
      <c r="B1941" s="9" t="s">
        <v>2515</v>
      </c>
      <c r="C1941" s="9"/>
      <c r="D1941" s="8" t="s">
        <v>4449</v>
      </c>
      <c r="E1941" s="8"/>
      <c r="F1941" s="8" t="s">
        <v>22</v>
      </c>
      <c r="G1941" s="10" t="s">
        <v>4507</v>
      </c>
      <c r="H1941" s="8" t="s">
        <v>4508</v>
      </c>
      <c r="I1941" s="10" t="s">
        <v>4507</v>
      </c>
      <c r="J1941" s="11" t="s">
        <v>26</v>
      </c>
      <c r="K1941" s="18">
        <v>8</v>
      </c>
      <c r="L1941" s="12">
        <f t="shared" si="174"/>
        <v>11.999999999999998</v>
      </c>
      <c r="M1941" s="8">
        <v>1</v>
      </c>
      <c r="N1941" s="8" t="s">
        <v>27</v>
      </c>
      <c r="O1941" s="13" t="s">
        <v>588</v>
      </c>
      <c r="P1941" s="14">
        <v>0.2</v>
      </c>
      <c r="Q1941" s="15">
        <v>0.2</v>
      </c>
      <c r="R1941" s="16" t="str">
        <f t="shared" si="175"/>
        <v>KOMODO</v>
      </c>
      <c r="S1941" s="17"/>
      <c r="T1941" s="10" t="str">
        <f t="shared" si="173"/>
        <v>SERVICIO DE MONITOREO MENSUAL MEDIANTE PLATAFORMA DE ALARM.COM</v>
      </c>
    </row>
    <row r="1942" spans="1:20" ht="27" customHeight="1" x14ac:dyDescent="0.25">
      <c r="A1942" s="8" t="s">
        <v>3977</v>
      </c>
      <c r="B1942" s="9" t="s">
        <v>2515</v>
      </c>
      <c r="C1942" s="9"/>
      <c r="D1942" s="8" t="s">
        <v>4449</v>
      </c>
      <c r="E1942" s="8"/>
      <c r="F1942" s="8" t="s">
        <v>22</v>
      </c>
      <c r="G1942" s="10" t="s">
        <v>4509</v>
      </c>
      <c r="H1942" s="8" t="s">
        <v>4510</v>
      </c>
      <c r="I1942" s="10" t="s">
        <v>4509</v>
      </c>
      <c r="J1942" s="11" t="s">
        <v>33</v>
      </c>
      <c r="K1942" s="18">
        <v>250000</v>
      </c>
      <c r="L1942" s="12">
        <f t="shared" si="174"/>
        <v>416700</v>
      </c>
      <c r="M1942" s="8">
        <v>1</v>
      </c>
      <c r="N1942" s="8" t="s">
        <v>27</v>
      </c>
      <c r="O1942" s="13" t="s">
        <v>587</v>
      </c>
      <c r="P1942" s="14">
        <v>0.2</v>
      </c>
      <c r="Q1942" s="15">
        <v>0.4</v>
      </c>
      <c r="R1942" s="16" t="str">
        <f t="shared" si="175"/>
        <v>KOMODO</v>
      </c>
      <c r="S1942" s="17"/>
      <c r="T1942" s="10" t="str">
        <f t="shared" si="173"/>
        <v>PROGRAMACIÓN DE MODULO CONTROL DE ACCESO DE 2 ZONAS.</v>
      </c>
    </row>
    <row r="1943" spans="1:20" ht="27" customHeight="1" x14ac:dyDescent="0.25">
      <c r="A1943" s="8" t="s">
        <v>3977</v>
      </c>
      <c r="B1943" s="9" t="s">
        <v>2515</v>
      </c>
      <c r="C1943" s="9"/>
      <c r="D1943" s="8" t="s">
        <v>4449</v>
      </c>
      <c r="E1943" s="8"/>
      <c r="F1943" s="8" t="s">
        <v>22</v>
      </c>
      <c r="G1943" s="10" t="s">
        <v>4511</v>
      </c>
      <c r="H1943" s="8" t="s">
        <v>4512</v>
      </c>
      <c r="I1943" s="10" t="s">
        <v>4513</v>
      </c>
      <c r="J1943" s="11" t="s">
        <v>26</v>
      </c>
      <c r="K1943" s="18">
        <v>30</v>
      </c>
      <c r="L1943" s="12">
        <f t="shared" si="174"/>
        <v>45</v>
      </c>
      <c r="M1943" s="8">
        <v>1</v>
      </c>
      <c r="N1943" s="8" t="s">
        <v>27</v>
      </c>
      <c r="O1943" s="13" t="s">
        <v>588</v>
      </c>
      <c r="P1943" s="14">
        <v>0.2</v>
      </c>
      <c r="Q1943" s="15">
        <v>0.2</v>
      </c>
      <c r="R1943" s="16" t="str">
        <f t="shared" si="175"/>
        <v>KOMODO</v>
      </c>
      <c r="S1943" s="17"/>
      <c r="T1943" s="10" t="str">
        <f t="shared" si="173"/>
        <v>CONFIGURACIÓN DE DISPOSITIVO AIRPORT EXPRESS COMO GATEWAY DE AUDIO.</v>
      </c>
    </row>
    <row r="1944" spans="1:20" ht="27" customHeight="1" x14ac:dyDescent="0.25">
      <c r="A1944" s="8" t="s">
        <v>3977</v>
      </c>
      <c r="B1944" s="9" t="s">
        <v>2515</v>
      </c>
      <c r="C1944" s="9"/>
      <c r="D1944" s="8" t="s">
        <v>4449</v>
      </c>
      <c r="E1944" s="8"/>
      <c r="F1944" s="8" t="s">
        <v>22</v>
      </c>
      <c r="G1944" s="10" t="s">
        <v>4514</v>
      </c>
      <c r="H1944" s="8" t="s">
        <v>4515</v>
      </c>
      <c r="I1944" s="10" t="s">
        <v>4516</v>
      </c>
      <c r="J1944" s="11" t="s">
        <v>26</v>
      </c>
      <c r="K1944" s="18">
        <v>50</v>
      </c>
      <c r="L1944" s="12">
        <f t="shared" si="174"/>
        <v>75</v>
      </c>
      <c r="M1944" s="8">
        <v>1</v>
      </c>
      <c r="N1944" s="8" t="s">
        <v>27</v>
      </c>
      <c r="O1944" s="13" t="s">
        <v>587</v>
      </c>
      <c r="P1944" s="14">
        <v>0.2</v>
      </c>
      <c r="Q1944" s="15">
        <v>0.2</v>
      </c>
      <c r="R1944" s="16" t="str">
        <f t="shared" si="175"/>
        <v>KOMODO</v>
      </c>
      <c r="S1944" s="17"/>
      <c r="T1944" s="10" t="str">
        <f t="shared" si="173"/>
        <v>PROGRAMACIÓN DE PROCESADOR HOMEWORKS QS.</v>
      </c>
    </row>
    <row r="1945" spans="1:20" ht="27" customHeight="1" x14ac:dyDescent="0.25">
      <c r="A1945" s="8" t="s">
        <v>3977</v>
      </c>
      <c r="B1945" s="9" t="s">
        <v>2515</v>
      </c>
      <c r="C1945" s="9"/>
      <c r="D1945" s="8" t="s">
        <v>4449</v>
      </c>
      <c r="E1945" s="8"/>
      <c r="F1945" s="8" t="s">
        <v>22</v>
      </c>
      <c r="G1945" s="10" t="s">
        <v>4517</v>
      </c>
      <c r="H1945" s="8" t="s">
        <v>4518</v>
      </c>
      <c r="I1945" s="10" t="s">
        <v>4517</v>
      </c>
      <c r="J1945" s="11" t="s">
        <v>26</v>
      </c>
      <c r="K1945" s="18">
        <v>35</v>
      </c>
      <c r="L1945" s="12">
        <f t="shared" si="174"/>
        <v>57.534246575342465</v>
      </c>
      <c r="M1945" s="8">
        <v>1</v>
      </c>
      <c r="N1945" s="8" t="s">
        <v>27</v>
      </c>
      <c r="O1945" s="13" t="s">
        <v>588</v>
      </c>
      <c r="P1945" s="14">
        <v>0.2</v>
      </c>
      <c r="Q1945" s="15">
        <v>0.27</v>
      </c>
      <c r="R1945" s="16" t="str">
        <f t="shared" si="175"/>
        <v>KOMODO</v>
      </c>
      <c r="S1945" s="17"/>
      <c r="T1945" s="10" t="str">
        <f t="shared" si="173"/>
        <v>INTEGRACIÓN DE MECANISMO TELÓN O CORTINA MEDIANTE RELÉ.</v>
      </c>
    </row>
    <row r="1946" spans="1:20" ht="27" customHeight="1" x14ac:dyDescent="0.25">
      <c r="A1946" s="8" t="s">
        <v>3977</v>
      </c>
      <c r="B1946" s="9" t="s">
        <v>2515</v>
      </c>
      <c r="C1946" s="9"/>
      <c r="D1946" s="8" t="s">
        <v>4449</v>
      </c>
      <c r="E1946" s="8"/>
      <c r="F1946" s="8" t="s">
        <v>22</v>
      </c>
      <c r="G1946" s="10" t="s">
        <v>4519</v>
      </c>
      <c r="H1946" s="8" t="s">
        <v>4520</v>
      </c>
      <c r="I1946" s="10" t="s">
        <v>4519</v>
      </c>
      <c r="J1946" s="11" t="s">
        <v>26</v>
      </c>
      <c r="K1946" s="18">
        <v>80</v>
      </c>
      <c r="L1946" s="12">
        <f t="shared" si="174"/>
        <v>133.33333333333334</v>
      </c>
      <c r="M1946" s="8">
        <v>1</v>
      </c>
      <c r="N1946" s="8" t="s">
        <v>27</v>
      </c>
      <c r="O1946" s="13" t="s">
        <v>587</v>
      </c>
      <c r="P1946" s="14">
        <v>0.2</v>
      </c>
      <c r="Q1946" s="15">
        <v>0.28000000000000003</v>
      </c>
      <c r="R1946" s="16" t="str">
        <f t="shared" si="175"/>
        <v>KOMODO</v>
      </c>
      <c r="S1946" s="17"/>
      <c r="T1946" s="10" t="str">
        <f t="shared" si="173"/>
        <v>INTEGRACIÓN DE MATRIZ O SWITCH DE AUDIO Y/O VIDEO</v>
      </c>
    </row>
    <row r="1947" spans="1:20" ht="27" customHeight="1" x14ac:dyDescent="0.25">
      <c r="A1947" s="8" t="s">
        <v>3977</v>
      </c>
      <c r="B1947" s="9" t="s">
        <v>2515</v>
      </c>
      <c r="C1947" s="9"/>
      <c r="D1947" s="8" t="s">
        <v>4449</v>
      </c>
      <c r="E1947" s="8"/>
      <c r="F1947" s="8" t="s">
        <v>22</v>
      </c>
      <c r="G1947" s="10" t="s">
        <v>4521</v>
      </c>
      <c r="H1947" s="8" t="s">
        <v>4522</v>
      </c>
      <c r="I1947" s="10" t="s">
        <v>4523</v>
      </c>
      <c r="J1947" s="11" t="s">
        <v>33</v>
      </c>
      <c r="K1947" s="18">
        <v>120000</v>
      </c>
      <c r="L1947" s="12">
        <f t="shared" ref="L1947:L1976" si="176">IF(J1947="P",ROUNDUP(K1947/(1-Q1947),-2),K1947*(1+P1947)/(1-Q1947))</f>
        <v>200000</v>
      </c>
      <c r="M1947" s="8">
        <v>1</v>
      </c>
      <c r="N1947" s="8" t="s">
        <v>27</v>
      </c>
      <c r="O1947" s="13" t="s">
        <v>588</v>
      </c>
      <c r="P1947" s="14">
        <v>0.2</v>
      </c>
      <c r="Q1947" s="15">
        <v>0.4</v>
      </c>
      <c r="R1947" s="16" t="str">
        <f t="shared" si="175"/>
        <v>KOMODO</v>
      </c>
      <c r="S1947" s="17"/>
      <c r="T1947" s="10" t="str">
        <f t="shared" si="173"/>
        <v>CONFIGURACIÓN ESTÁNDAR DE ROUTER EN RED LAN.</v>
      </c>
    </row>
    <row r="1948" spans="1:20" ht="27" customHeight="1" x14ac:dyDescent="0.25">
      <c r="A1948" s="8" t="s">
        <v>3977</v>
      </c>
      <c r="B1948" s="9" t="s">
        <v>2515</v>
      </c>
      <c r="C1948" s="9"/>
      <c r="D1948" s="8" t="s">
        <v>4449</v>
      </c>
      <c r="E1948" s="8"/>
      <c r="F1948" s="8" t="s">
        <v>22</v>
      </c>
      <c r="G1948" s="10" t="s">
        <v>4524</v>
      </c>
      <c r="H1948" s="8" t="s">
        <v>4525</v>
      </c>
      <c r="I1948" s="10" t="s">
        <v>4524</v>
      </c>
      <c r="J1948" s="11" t="s">
        <v>33</v>
      </c>
      <c r="K1948" s="18">
        <v>120000</v>
      </c>
      <c r="L1948" s="12">
        <f t="shared" si="176"/>
        <v>200000</v>
      </c>
      <c r="M1948" s="8">
        <v>1</v>
      </c>
      <c r="N1948" s="8" t="s">
        <v>27</v>
      </c>
      <c r="O1948" s="13" t="s">
        <v>587</v>
      </c>
      <c r="P1948" s="14">
        <v>0.2</v>
      </c>
      <c r="Q1948" s="15">
        <v>0.4</v>
      </c>
      <c r="R1948" s="16" t="str">
        <f t="shared" si="175"/>
        <v>KOMODO</v>
      </c>
      <c r="S1948" s="17"/>
      <c r="T1948" s="10" t="str">
        <f t="shared" si="173"/>
        <v>CONFIGURACIÓN DE ACCESS POINT DENTRO DE RED LAN.</v>
      </c>
    </row>
    <row r="1949" spans="1:20" ht="27" customHeight="1" x14ac:dyDescent="0.25">
      <c r="A1949" s="8" t="s">
        <v>3977</v>
      </c>
      <c r="B1949" s="9" t="s">
        <v>2515</v>
      </c>
      <c r="C1949" s="9"/>
      <c r="D1949" s="8" t="s">
        <v>4449</v>
      </c>
      <c r="E1949" s="8"/>
      <c r="F1949" s="8" t="s">
        <v>22</v>
      </c>
      <c r="G1949" s="10" t="s">
        <v>4526</v>
      </c>
      <c r="H1949" s="8" t="s">
        <v>4527</v>
      </c>
      <c r="I1949" s="10" t="s">
        <v>4526</v>
      </c>
      <c r="J1949" s="11" t="s">
        <v>33</v>
      </c>
      <c r="K1949" s="18">
        <v>250000</v>
      </c>
      <c r="L1949" s="12">
        <f t="shared" si="176"/>
        <v>416700</v>
      </c>
      <c r="M1949" s="8">
        <v>1</v>
      </c>
      <c r="N1949" s="8" t="s">
        <v>27</v>
      </c>
      <c r="O1949" s="13" t="s">
        <v>588</v>
      </c>
      <c r="P1949" s="14">
        <v>0.2</v>
      </c>
      <c r="Q1949" s="15">
        <v>0.4</v>
      </c>
      <c r="R1949" s="16" t="str">
        <f t="shared" si="175"/>
        <v>KOMODO</v>
      </c>
      <c r="S1949" s="17"/>
      <c r="T1949" s="10" t="str">
        <f t="shared" si="173"/>
        <v>CONFIGURACIÓN DE EQUIPO TIPO ROAMING PARA MANEJO DE ACCESS POINT.</v>
      </c>
    </row>
    <row r="1950" spans="1:20" ht="27" customHeight="1" x14ac:dyDescent="0.25">
      <c r="A1950" s="8" t="s">
        <v>3977</v>
      </c>
      <c r="B1950" s="9" t="s">
        <v>2515</v>
      </c>
      <c r="C1950" s="9"/>
      <c r="D1950" s="8" t="s">
        <v>4449</v>
      </c>
      <c r="E1950" s="8"/>
      <c r="F1950" s="8" t="s">
        <v>22</v>
      </c>
      <c r="G1950" s="10" t="s">
        <v>4528</v>
      </c>
      <c r="H1950" s="8" t="s">
        <v>4529</v>
      </c>
      <c r="I1950" s="10" t="s">
        <v>4528</v>
      </c>
      <c r="J1950" s="11" t="s">
        <v>33</v>
      </c>
      <c r="K1950" s="18">
        <v>130000</v>
      </c>
      <c r="L1950" s="12">
        <f t="shared" si="176"/>
        <v>216700</v>
      </c>
      <c r="M1950" s="8">
        <v>1</v>
      </c>
      <c r="N1950" s="8" t="s">
        <v>27</v>
      </c>
      <c r="O1950" s="13" t="s">
        <v>587</v>
      </c>
      <c r="P1950" s="14">
        <v>0.2</v>
      </c>
      <c r="Q1950" s="15">
        <v>0.4</v>
      </c>
      <c r="R1950" s="16" t="str">
        <f t="shared" si="175"/>
        <v>KOMODO</v>
      </c>
      <c r="S1950" s="17"/>
      <c r="T1950" s="10" t="str">
        <f t="shared" si="173"/>
        <v>PROGRAMACIÓN ESTÁNDAR DE SWITCH DE DATOS</v>
      </c>
    </row>
    <row r="1951" spans="1:20" ht="27" customHeight="1" x14ac:dyDescent="0.25">
      <c r="A1951" s="8" t="s">
        <v>3977</v>
      </c>
      <c r="B1951" s="9" t="s">
        <v>2515</v>
      </c>
      <c r="C1951" s="9"/>
      <c r="D1951" s="8" t="s">
        <v>4449</v>
      </c>
      <c r="E1951" s="8"/>
      <c r="F1951" s="8" t="s">
        <v>22</v>
      </c>
      <c r="G1951" s="10" t="s">
        <v>4530</v>
      </c>
      <c r="H1951" s="8" t="s">
        <v>4531</v>
      </c>
      <c r="I1951" s="10" t="s">
        <v>4530</v>
      </c>
      <c r="J1951" s="11" t="s">
        <v>26</v>
      </c>
      <c r="K1951" s="18">
        <v>150</v>
      </c>
      <c r="L1951" s="12">
        <f t="shared" si="176"/>
        <v>250</v>
      </c>
      <c r="M1951" s="8">
        <v>1</v>
      </c>
      <c r="N1951" s="8" t="s">
        <v>27</v>
      </c>
      <c r="O1951" s="13" t="s">
        <v>588</v>
      </c>
      <c r="P1951" s="14">
        <v>0.2</v>
      </c>
      <c r="Q1951" s="15">
        <v>0.28000000000000003</v>
      </c>
      <c r="R1951" s="16" t="str">
        <f t="shared" si="175"/>
        <v>KOMODO</v>
      </c>
      <c r="S1951" s="17"/>
      <c r="T1951" s="10" t="str">
        <f t="shared" si="173"/>
        <v>PROGRAMACIÓN DE CONTROL DE ACCESO PARA DOS PUERTAS</v>
      </c>
    </row>
    <row r="1952" spans="1:20" ht="27" customHeight="1" x14ac:dyDescent="0.25">
      <c r="A1952" s="8" t="s">
        <v>3977</v>
      </c>
      <c r="B1952" s="9" t="s">
        <v>2515</v>
      </c>
      <c r="C1952" s="9"/>
      <c r="D1952" s="8" t="s">
        <v>4449</v>
      </c>
      <c r="E1952" s="8"/>
      <c r="F1952" s="8" t="s">
        <v>22</v>
      </c>
      <c r="G1952" s="10" t="s">
        <v>4532</v>
      </c>
      <c r="H1952" s="8" t="s">
        <v>4533</v>
      </c>
      <c r="I1952" s="10" t="s">
        <v>4532</v>
      </c>
      <c r="J1952" s="11" t="s">
        <v>26</v>
      </c>
      <c r="K1952" s="18">
        <v>2.5</v>
      </c>
      <c r="L1952" s="12">
        <f t="shared" si="176"/>
        <v>4.2857142857142856</v>
      </c>
      <c r="M1952" s="8">
        <v>1</v>
      </c>
      <c r="N1952" s="8" t="s">
        <v>27</v>
      </c>
      <c r="O1952" s="13" t="s">
        <v>587</v>
      </c>
      <c r="P1952" s="14">
        <v>0.2</v>
      </c>
      <c r="Q1952" s="15">
        <v>0.3</v>
      </c>
      <c r="R1952" s="16" t="str">
        <f t="shared" si="175"/>
        <v>KOMODO</v>
      </c>
      <c r="S1952" s="17"/>
      <c r="T1952" s="10" t="str">
        <f t="shared" si="173"/>
        <v>PROGRAMACIÓN DE TARJETA RFID</v>
      </c>
    </row>
    <row r="1953" spans="1:20" ht="27" customHeight="1" x14ac:dyDescent="0.25">
      <c r="A1953" s="8" t="s">
        <v>3977</v>
      </c>
      <c r="B1953" s="9" t="s">
        <v>2515</v>
      </c>
      <c r="C1953" s="9"/>
      <c r="D1953" s="8" t="s">
        <v>4449</v>
      </c>
      <c r="E1953" s="8"/>
      <c r="F1953" s="8" t="s">
        <v>22</v>
      </c>
      <c r="G1953" s="10" t="s">
        <v>4534</v>
      </c>
      <c r="H1953" s="8" t="s">
        <v>4535</v>
      </c>
      <c r="I1953" s="10" t="s">
        <v>4534</v>
      </c>
      <c r="J1953" s="11" t="s">
        <v>33</v>
      </c>
      <c r="K1953" s="18">
        <v>60000</v>
      </c>
      <c r="L1953" s="12">
        <f t="shared" si="176"/>
        <v>100000</v>
      </c>
      <c r="M1953" s="8">
        <v>1</v>
      </c>
      <c r="N1953" s="8" t="s">
        <v>27</v>
      </c>
      <c r="O1953" s="13" t="s">
        <v>588</v>
      </c>
      <c r="P1953" s="14">
        <v>0.2</v>
      </c>
      <c r="Q1953" s="15">
        <v>0.4</v>
      </c>
      <c r="R1953" s="16" t="str">
        <f t="shared" si="175"/>
        <v>KOMODO</v>
      </c>
      <c r="S1953" s="17"/>
      <c r="T1953" s="10" t="str">
        <f t="shared" si="173"/>
        <v>CONFIGURACIÓN DE PANEL DE VIDEO WALL</v>
      </c>
    </row>
    <row r="1954" spans="1:20" ht="27" customHeight="1" x14ac:dyDescent="0.25">
      <c r="A1954" s="8" t="s">
        <v>3977</v>
      </c>
      <c r="B1954" s="9" t="s">
        <v>2515</v>
      </c>
      <c r="C1954" s="9"/>
      <c r="D1954" s="8" t="s">
        <v>45</v>
      </c>
      <c r="E1954" s="8"/>
      <c r="F1954" s="8" t="s">
        <v>22</v>
      </c>
      <c r="G1954" s="10" t="s">
        <v>4536</v>
      </c>
      <c r="H1954" s="8" t="s">
        <v>4537</v>
      </c>
      <c r="I1954" s="10" t="s">
        <v>4536</v>
      </c>
      <c r="J1954" s="11" t="s">
        <v>33</v>
      </c>
      <c r="K1954" s="18">
        <v>100000</v>
      </c>
      <c r="L1954" s="12">
        <f t="shared" si="176"/>
        <v>166700</v>
      </c>
      <c r="M1954" s="8">
        <v>1</v>
      </c>
      <c r="N1954" s="8" t="s">
        <v>27</v>
      </c>
      <c r="O1954" s="13" t="s">
        <v>587</v>
      </c>
      <c r="P1954" s="14">
        <v>0.2</v>
      </c>
      <c r="Q1954" s="15">
        <v>0.4</v>
      </c>
      <c r="R1954" s="16" t="str">
        <f t="shared" si="175"/>
        <v>KOMODO</v>
      </c>
      <c r="S1954" s="17"/>
      <c r="T1954" s="10" t="str">
        <f t="shared" si="173"/>
        <v>RESET DE FABRICA PARA NVR</v>
      </c>
    </row>
    <row r="1955" spans="1:20" ht="27" customHeight="1" x14ac:dyDescent="0.25">
      <c r="A1955" s="8" t="s">
        <v>3977</v>
      </c>
      <c r="B1955" s="9"/>
      <c r="C1955" s="9"/>
      <c r="D1955" s="8" t="s">
        <v>45</v>
      </c>
      <c r="E1955" s="8"/>
      <c r="F1955" s="8" t="s">
        <v>22</v>
      </c>
      <c r="G1955" s="10" t="s">
        <v>4538</v>
      </c>
      <c r="H1955" s="8" t="s">
        <v>4539</v>
      </c>
      <c r="I1955" s="10" t="s">
        <v>4538</v>
      </c>
      <c r="J1955" s="11" t="s">
        <v>33</v>
      </c>
      <c r="K1955" s="18">
        <v>150000</v>
      </c>
      <c r="L1955" s="12">
        <f t="shared" si="176"/>
        <v>250000</v>
      </c>
      <c r="M1955" s="8">
        <v>1</v>
      </c>
      <c r="N1955" s="8" t="s">
        <v>27</v>
      </c>
      <c r="O1955" s="13" t="s">
        <v>588</v>
      </c>
      <c r="P1955" s="14">
        <v>0.2</v>
      </c>
      <c r="Q1955" s="15">
        <v>0.4</v>
      </c>
      <c r="R1955" s="16" t="str">
        <f t="shared" si="175"/>
        <v>KOMODO</v>
      </c>
      <c r="S1955" s="17"/>
      <c r="T1955" s="10" t="str">
        <f t="shared" si="173"/>
        <v>CONFIGURACIÓN DE DISPOSITIVO NVR</v>
      </c>
    </row>
    <row r="1956" spans="1:20" ht="27" customHeight="1" x14ac:dyDescent="0.25">
      <c r="A1956" s="8" t="s">
        <v>3977</v>
      </c>
      <c r="B1956" s="9"/>
      <c r="C1956" s="9"/>
      <c r="D1956" s="8" t="s">
        <v>45</v>
      </c>
      <c r="E1956" s="8"/>
      <c r="F1956" s="8" t="s">
        <v>22</v>
      </c>
      <c r="G1956" s="10" t="s">
        <v>4540</v>
      </c>
      <c r="H1956" s="8" t="s">
        <v>4541</v>
      </c>
      <c r="I1956" s="10" t="s">
        <v>4540</v>
      </c>
      <c r="J1956" s="11" t="s">
        <v>33</v>
      </c>
      <c r="K1956" s="18">
        <v>120000</v>
      </c>
      <c r="L1956" s="12">
        <f t="shared" si="176"/>
        <v>171500</v>
      </c>
      <c r="M1956" s="8">
        <v>1</v>
      </c>
      <c r="N1956" s="8" t="s">
        <v>27</v>
      </c>
      <c r="O1956" s="13" t="s">
        <v>587</v>
      </c>
      <c r="P1956" s="14">
        <v>0.2</v>
      </c>
      <c r="Q1956" s="15">
        <v>0.3</v>
      </c>
      <c r="R1956" s="16" t="str">
        <f t="shared" si="175"/>
        <v>KOMODO</v>
      </c>
      <c r="S1956" s="17"/>
      <c r="T1956" s="10" t="str">
        <f t="shared" si="173"/>
        <v>PROGRAMACIÓN DE SECUENCIA HORARIA DURANTE UN ANO</v>
      </c>
    </row>
    <row r="1957" spans="1:20" ht="27" customHeight="1" x14ac:dyDescent="0.25">
      <c r="A1957" s="8" t="s">
        <v>3977</v>
      </c>
      <c r="B1957" s="9"/>
      <c r="C1957" s="9"/>
      <c r="D1957" s="8" t="s">
        <v>45</v>
      </c>
      <c r="E1957" s="8"/>
      <c r="F1957" s="8" t="s">
        <v>22</v>
      </c>
      <c r="G1957" s="10" t="s">
        <v>4542</v>
      </c>
      <c r="H1957" s="8" t="s">
        <v>4543</v>
      </c>
      <c r="I1957" s="10" t="s">
        <v>4542</v>
      </c>
      <c r="J1957" s="11" t="s">
        <v>33</v>
      </c>
      <c r="K1957" s="18">
        <v>18000</v>
      </c>
      <c r="L1957" s="12">
        <f t="shared" si="176"/>
        <v>30000</v>
      </c>
      <c r="M1957" s="8">
        <v>1</v>
      </c>
      <c r="N1957" s="8" t="s">
        <v>27</v>
      </c>
      <c r="O1957" s="13" t="s">
        <v>588</v>
      </c>
      <c r="P1957" s="14">
        <v>0.2</v>
      </c>
      <c r="Q1957" s="15">
        <v>0.4</v>
      </c>
      <c r="R1957" s="16" t="str">
        <f t="shared" si="175"/>
        <v>KOMODO</v>
      </c>
      <c r="S1957" s="17"/>
      <c r="T1957" s="10" t="str">
        <f t="shared" si="173"/>
        <v>PROGRAMACIÓN DE SENSOR DE LUMINOSIDAD.</v>
      </c>
    </row>
    <row r="1958" spans="1:20" ht="27" customHeight="1" x14ac:dyDescent="0.25">
      <c r="A1958" s="8" t="s">
        <v>3977</v>
      </c>
      <c r="B1958" s="9"/>
      <c r="C1958" s="9"/>
      <c r="D1958" s="8" t="s">
        <v>45</v>
      </c>
      <c r="E1958" s="8"/>
      <c r="F1958" s="8" t="s">
        <v>22</v>
      </c>
      <c r="G1958" s="10" t="s">
        <v>4544</v>
      </c>
      <c r="H1958" s="8" t="s">
        <v>4545</v>
      </c>
      <c r="I1958" s="10" t="s">
        <v>4546</v>
      </c>
      <c r="J1958" s="11" t="s">
        <v>33</v>
      </c>
      <c r="K1958" s="18">
        <v>25000</v>
      </c>
      <c r="L1958" s="12">
        <f t="shared" si="176"/>
        <v>41700</v>
      </c>
      <c r="M1958" s="8">
        <v>1</v>
      </c>
      <c r="N1958" s="8" t="s">
        <v>27</v>
      </c>
      <c r="O1958" s="13" t="s">
        <v>587</v>
      </c>
      <c r="P1958" s="14">
        <v>0.2</v>
      </c>
      <c r="Q1958" s="15">
        <v>0.4</v>
      </c>
      <c r="R1958" s="16" t="str">
        <f t="shared" si="175"/>
        <v>KOMODO</v>
      </c>
      <c r="S1958" s="17"/>
      <c r="T1958" s="10" t="str">
        <f t="shared" si="173"/>
        <v>PROGRAMACIÓN Y CONFIGURACIÓN DE REPETIDORA PRINCIPAL RADIO RA2.</v>
      </c>
    </row>
    <row r="1959" spans="1:20" ht="27" customHeight="1" x14ac:dyDescent="0.25">
      <c r="A1959" s="8" t="s">
        <v>3977</v>
      </c>
      <c r="B1959" s="9"/>
      <c r="C1959" s="9"/>
      <c r="D1959" s="8" t="s">
        <v>45</v>
      </c>
      <c r="E1959" s="8"/>
      <c r="F1959" s="8" t="s">
        <v>22</v>
      </c>
      <c r="G1959" s="10" t="s">
        <v>4547</v>
      </c>
      <c r="H1959" s="8" t="s">
        <v>4548</v>
      </c>
      <c r="I1959" s="10" t="s">
        <v>4549</v>
      </c>
      <c r="J1959" s="11" t="s">
        <v>33</v>
      </c>
      <c r="K1959" s="18">
        <v>20000</v>
      </c>
      <c r="L1959" s="12">
        <f t="shared" si="176"/>
        <v>33400</v>
      </c>
      <c r="M1959" s="8">
        <v>1</v>
      </c>
      <c r="N1959" s="8" t="s">
        <v>27</v>
      </c>
      <c r="O1959" s="13" t="s">
        <v>588</v>
      </c>
      <c r="P1959" s="14">
        <v>0.2</v>
      </c>
      <c r="Q1959" s="15">
        <v>0.4</v>
      </c>
      <c r="R1959" s="16" t="str">
        <f t="shared" si="175"/>
        <v>KOMODO</v>
      </c>
      <c r="S1959" s="17"/>
      <c r="T1959" s="10" t="str">
        <f t="shared" si="173"/>
        <v>PROGRAMACIÓN Y CONFIGURACIÓN DE REPETIDORA AUXILIAR RADIO RA2.</v>
      </c>
    </row>
    <row r="1960" spans="1:20" ht="27" customHeight="1" x14ac:dyDescent="0.25">
      <c r="A1960" s="8" t="s">
        <v>3977</v>
      </c>
      <c r="B1960" s="9"/>
      <c r="C1960" s="9"/>
      <c r="D1960" s="8" t="s">
        <v>45</v>
      </c>
      <c r="E1960" s="8"/>
      <c r="F1960" s="8" t="s">
        <v>22</v>
      </c>
      <c r="G1960" s="10" t="s">
        <v>4550</v>
      </c>
      <c r="H1960" s="8" t="s">
        <v>4551</v>
      </c>
      <c r="I1960" s="10" t="s">
        <v>4550</v>
      </c>
      <c r="J1960" s="11" t="s">
        <v>33</v>
      </c>
      <c r="K1960" s="18">
        <v>18000</v>
      </c>
      <c r="L1960" s="12">
        <f t="shared" si="176"/>
        <v>30000</v>
      </c>
      <c r="M1960" s="8">
        <v>1</v>
      </c>
      <c r="N1960" s="8" t="s">
        <v>27</v>
      </c>
      <c r="O1960" s="13" t="s">
        <v>587</v>
      </c>
      <c r="P1960" s="14">
        <v>0.2</v>
      </c>
      <c r="Q1960" s="15">
        <v>0.4</v>
      </c>
      <c r="R1960" s="16" t="str">
        <f t="shared" si="175"/>
        <v>KOMODO</v>
      </c>
      <c r="S1960" s="17"/>
      <c r="T1960" s="10" t="str">
        <f t="shared" si="173"/>
        <v>PROGRAMACIÓN Y CONFIGURACIÓN DE CONTROLADOR TIPO POW PACK.</v>
      </c>
    </row>
    <row r="1961" spans="1:20" ht="27" customHeight="1" x14ac:dyDescent="0.25">
      <c r="A1961" s="8" t="s">
        <v>3977</v>
      </c>
      <c r="B1961" s="9"/>
      <c r="C1961" s="9"/>
      <c r="D1961" s="8" t="s">
        <v>45</v>
      </c>
      <c r="E1961" s="8"/>
      <c r="F1961" s="8" t="s">
        <v>22</v>
      </c>
      <c r="G1961" s="10" t="s">
        <v>4552</v>
      </c>
      <c r="H1961" s="8" t="s">
        <v>4553</v>
      </c>
      <c r="I1961" s="10" t="s">
        <v>4552</v>
      </c>
      <c r="J1961" s="11" t="s">
        <v>33</v>
      </c>
      <c r="K1961" s="18">
        <v>20000</v>
      </c>
      <c r="L1961" s="12">
        <f t="shared" si="176"/>
        <v>33400</v>
      </c>
      <c r="M1961" s="8">
        <v>1</v>
      </c>
      <c r="N1961" s="8" t="s">
        <v>27</v>
      </c>
      <c r="O1961" s="13" t="s">
        <v>588</v>
      </c>
      <c r="P1961" s="14">
        <v>0.2</v>
      </c>
      <c r="Q1961" s="15">
        <v>0.4</v>
      </c>
      <c r="R1961" s="16" t="str">
        <f t="shared" si="175"/>
        <v>KOMODO</v>
      </c>
      <c r="S1961" s="17"/>
      <c r="T1961" s="10" t="str">
        <f t="shared" si="173"/>
        <v>PROGRAMACIÓN Y CONFIGURACIÓN DE MÓDULO POW PACK PARA CONTROL DE CONTACTOS SECOS.</v>
      </c>
    </row>
    <row r="1962" spans="1:20" ht="27" customHeight="1" x14ac:dyDescent="0.25">
      <c r="A1962" s="8" t="s">
        <v>3977</v>
      </c>
      <c r="B1962" s="9"/>
      <c r="C1962" s="9"/>
      <c r="D1962" s="8" t="s">
        <v>45</v>
      </c>
      <c r="E1962" s="8"/>
      <c r="F1962" s="8" t="s">
        <v>22</v>
      </c>
      <c r="G1962" s="10" t="s">
        <v>4554</v>
      </c>
      <c r="H1962" s="8" t="s">
        <v>4555</v>
      </c>
      <c r="I1962" s="10" t="s">
        <v>4554</v>
      </c>
      <c r="J1962" s="11" t="s">
        <v>33</v>
      </c>
      <c r="K1962" s="18">
        <v>25000</v>
      </c>
      <c r="L1962" s="12">
        <f t="shared" si="176"/>
        <v>41700</v>
      </c>
      <c r="M1962" s="8">
        <v>1</v>
      </c>
      <c r="N1962" s="8" t="s">
        <v>27</v>
      </c>
      <c r="O1962" s="13" t="s">
        <v>587</v>
      </c>
      <c r="P1962" s="14">
        <v>0.2</v>
      </c>
      <c r="Q1962" s="15">
        <v>0.4</v>
      </c>
      <c r="R1962" s="16" t="str">
        <f t="shared" si="175"/>
        <v>KOMODO</v>
      </c>
      <c r="S1962" s="17"/>
      <c r="T1962" s="10" t="str">
        <f t="shared" si="173"/>
        <v>CONFIGURACIÓN DE MÓDULO PARA CONTROL DE ACCESO REMOTO.</v>
      </c>
    </row>
    <row r="1963" spans="1:20" ht="27" customHeight="1" x14ac:dyDescent="0.25">
      <c r="A1963" s="8" t="s">
        <v>3977</v>
      </c>
      <c r="B1963" s="9"/>
      <c r="C1963" s="9"/>
      <c r="D1963" s="8" t="s">
        <v>4009</v>
      </c>
      <c r="E1963" s="8"/>
      <c r="F1963" s="8" t="s">
        <v>22</v>
      </c>
      <c r="G1963" s="10" t="s">
        <v>4556</v>
      </c>
      <c r="H1963" s="8" t="s">
        <v>4557</v>
      </c>
      <c r="I1963" s="10" t="s">
        <v>4556</v>
      </c>
      <c r="J1963" s="11" t="s">
        <v>33</v>
      </c>
      <c r="K1963" s="18">
        <v>18000</v>
      </c>
      <c r="L1963" s="12">
        <f t="shared" si="176"/>
        <v>25800</v>
      </c>
      <c r="M1963" s="8">
        <v>1</v>
      </c>
      <c r="N1963" s="8" t="s">
        <v>27</v>
      </c>
      <c r="O1963" s="13" t="s">
        <v>588</v>
      </c>
      <c r="P1963" s="14">
        <v>0.2</v>
      </c>
      <c r="Q1963" s="15">
        <v>0.3</v>
      </c>
      <c r="R1963" s="16" t="str">
        <f t="shared" si="175"/>
        <v>KOMODO</v>
      </c>
      <c r="S1963" s="17"/>
      <c r="T1963" s="10" t="str">
        <f t="shared" si="173"/>
        <v>PROGRAMACIÓN DE MÓDULO DUAL DE CONTACTOS SECOS.</v>
      </c>
    </row>
    <row r="1964" spans="1:20" ht="27" customHeight="1" x14ac:dyDescent="0.25">
      <c r="A1964" s="8" t="s">
        <v>3977</v>
      </c>
      <c r="B1964" s="9"/>
      <c r="C1964" s="9"/>
      <c r="D1964" s="8" t="s">
        <v>45</v>
      </c>
      <c r="E1964" s="8"/>
      <c r="F1964" s="8" t="s">
        <v>22</v>
      </c>
      <c r="G1964" s="10" t="s">
        <v>4558</v>
      </c>
      <c r="H1964" s="8" t="s">
        <v>4559</v>
      </c>
      <c r="I1964" s="10" t="s">
        <v>4558</v>
      </c>
      <c r="J1964" s="11" t="s">
        <v>33</v>
      </c>
      <c r="K1964" s="18">
        <v>500000</v>
      </c>
      <c r="L1964" s="12">
        <f t="shared" si="176"/>
        <v>714300</v>
      </c>
      <c r="M1964" s="8">
        <v>1</v>
      </c>
      <c r="N1964" s="8" t="s">
        <v>27</v>
      </c>
      <c r="O1964" s="13" t="s">
        <v>587</v>
      </c>
      <c r="P1964" s="14">
        <v>0.2</v>
      </c>
      <c r="Q1964" s="15">
        <v>0.3</v>
      </c>
      <c r="R1964" s="16" t="str">
        <f t="shared" si="175"/>
        <v>KOMODO</v>
      </c>
      <c r="S1964" s="17"/>
      <c r="T1964" s="10" t="str">
        <f t="shared" si="173"/>
        <v>PROGRAMACIÓN DE LO EQUIPOS QUE HACEN PARTE DE ESTA PROPUESTA</v>
      </c>
    </row>
    <row r="1965" spans="1:20" ht="27" customHeight="1" x14ac:dyDescent="0.25">
      <c r="A1965" s="8" t="s">
        <v>3977</v>
      </c>
      <c r="B1965" s="9"/>
      <c r="C1965" s="9"/>
      <c r="D1965" s="8" t="s">
        <v>45</v>
      </c>
      <c r="E1965" s="8"/>
      <c r="F1965" s="8" t="s">
        <v>22</v>
      </c>
      <c r="G1965" s="10" t="s">
        <v>4560</v>
      </c>
      <c r="H1965" s="8" t="s">
        <v>4561</v>
      </c>
      <c r="I1965" s="10" t="s">
        <v>4560</v>
      </c>
      <c r="J1965" s="11" t="s">
        <v>33</v>
      </c>
      <c r="K1965" s="18">
        <v>25000</v>
      </c>
      <c r="L1965" s="12">
        <f t="shared" si="176"/>
        <v>35800</v>
      </c>
      <c r="M1965" s="8">
        <v>1</v>
      </c>
      <c r="N1965" s="8" t="s">
        <v>27</v>
      </c>
      <c r="O1965" s="13" t="s">
        <v>588</v>
      </c>
      <c r="P1965" s="14">
        <v>0.2</v>
      </c>
      <c r="Q1965" s="15">
        <v>0.3</v>
      </c>
      <c r="R1965" s="16" t="str">
        <f t="shared" si="175"/>
        <v>KOMODO</v>
      </c>
      <c r="S1965" s="17"/>
      <c r="T1965" s="10" t="str">
        <f t="shared" si="173"/>
        <v>PROGRAMACIÓN DE SENSOR DE HUMO Y TEMPERATURA.</v>
      </c>
    </row>
    <row r="1966" spans="1:20" ht="27" customHeight="1" x14ac:dyDescent="0.25">
      <c r="A1966" s="8" t="s">
        <v>3977</v>
      </c>
      <c r="B1966" s="9"/>
      <c r="C1966" s="9"/>
      <c r="D1966" s="8" t="s">
        <v>45</v>
      </c>
      <c r="E1966" s="8"/>
      <c r="F1966" s="8" t="s">
        <v>22</v>
      </c>
      <c r="G1966" s="10" t="s">
        <v>4562</v>
      </c>
      <c r="H1966" s="8" t="s">
        <v>4563</v>
      </c>
      <c r="I1966" s="10" t="s">
        <v>4562</v>
      </c>
      <c r="J1966" s="11" t="s">
        <v>33</v>
      </c>
      <c r="K1966" s="18">
        <v>40000</v>
      </c>
      <c r="L1966" s="12">
        <f t="shared" si="176"/>
        <v>66700</v>
      </c>
      <c r="M1966" s="8">
        <v>1</v>
      </c>
      <c r="N1966" s="8" t="s">
        <v>27</v>
      </c>
      <c r="O1966" s="13" t="s">
        <v>587</v>
      </c>
      <c r="P1966" s="14">
        <v>0.2</v>
      </c>
      <c r="Q1966" s="15">
        <v>0.4</v>
      </c>
      <c r="R1966" s="16" t="str">
        <f t="shared" si="175"/>
        <v>KOMODO</v>
      </c>
      <c r="S1966" s="17"/>
      <c r="T1966" s="10" t="str">
        <f t="shared" si="173"/>
        <v>PROGRAMACIÓN DE TIMER</v>
      </c>
    </row>
    <row r="1967" spans="1:20" ht="27" customHeight="1" x14ac:dyDescent="0.25">
      <c r="A1967" s="8" t="s">
        <v>3977</v>
      </c>
      <c r="B1967" s="9"/>
      <c r="C1967" s="9"/>
      <c r="D1967" s="8" t="s">
        <v>45</v>
      </c>
      <c r="E1967" s="8"/>
      <c r="F1967" s="8" t="s">
        <v>22</v>
      </c>
      <c r="G1967" s="10" t="s">
        <v>4564</v>
      </c>
      <c r="H1967" s="8" t="s">
        <v>4565</v>
      </c>
      <c r="I1967" s="10" t="s">
        <v>4566</v>
      </c>
      <c r="J1967" s="11" t="s">
        <v>33</v>
      </c>
      <c r="K1967" s="18">
        <v>350000</v>
      </c>
      <c r="L1967" s="12">
        <f t="shared" si="176"/>
        <v>583400</v>
      </c>
      <c r="M1967" s="8">
        <v>1</v>
      </c>
      <c r="N1967" s="8" t="s">
        <v>27</v>
      </c>
      <c r="O1967" s="13" t="s">
        <v>588</v>
      </c>
      <c r="P1967" s="14">
        <v>0.2</v>
      </c>
      <c r="Q1967" s="15">
        <v>0.4</v>
      </c>
      <c r="R1967" s="16" t="str">
        <f t="shared" si="175"/>
        <v>KOMODO</v>
      </c>
      <c r="S1967" s="17"/>
      <c r="T1967" s="10" t="str">
        <f t="shared" si="173"/>
        <v>REINSTALACIÓN DE SOFTWARE, ARRANQUE EN DISCO.</v>
      </c>
    </row>
    <row r="1968" spans="1:20" ht="27" customHeight="1" x14ac:dyDescent="0.25">
      <c r="A1968" s="8" t="s">
        <v>3977</v>
      </c>
      <c r="B1968" s="9"/>
      <c r="C1968" s="9"/>
      <c r="D1968" s="8" t="s">
        <v>45</v>
      </c>
      <c r="E1968" s="8"/>
      <c r="F1968" s="8" t="s">
        <v>22</v>
      </c>
      <c r="G1968" s="10" t="s">
        <v>4567</v>
      </c>
      <c r="H1968" s="8" t="s">
        <v>4568</v>
      </c>
      <c r="I1968" s="10" t="s">
        <v>4567</v>
      </c>
      <c r="J1968" s="11" t="s">
        <v>33</v>
      </c>
      <c r="K1968" s="18">
        <v>500000</v>
      </c>
      <c r="L1968" s="12">
        <f t="shared" si="176"/>
        <v>833400</v>
      </c>
      <c r="M1968" s="8">
        <v>1</v>
      </c>
      <c r="N1968" s="8" t="s">
        <v>27</v>
      </c>
      <c r="O1968" s="13" t="s">
        <v>587</v>
      </c>
      <c r="P1968" s="14">
        <v>0.2</v>
      </c>
      <c r="Q1968" s="15">
        <v>0.4</v>
      </c>
      <c r="R1968" s="16" t="str">
        <f t="shared" si="175"/>
        <v>KOMODO</v>
      </c>
      <c r="S1968" s="17"/>
      <c r="T1968" s="10" t="str">
        <f t="shared" si="173"/>
        <v>PROGRAMACIÓN DE UNIDAD TPI-PRO</v>
      </c>
    </row>
    <row r="1969" spans="1:20" ht="27" customHeight="1" x14ac:dyDescent="0.25">
      <c r="A1969" s="8" t="s">
        <v>3977</v>
      </c>
      <c r="B1969" s="9"/>
      <c r="C1969" s="9"/>
      <c r="D1969" s="8" t="s">
        <v>45</v>
      </c>
      <c r="E1969" s="8"/>
      <c r="F1969" s="8" t="s">
        <v>22</v>
      </c>
      <c r="G1969" s="10" t="s">
        <v>4569</v>
      </c>
      <c r="H1969" s="8" t="s">
        <v>4570</v>
      </c>
      <c r="I1969" s="10" t="s">
        <v>4571</v>
      </c>
      <c r="J1969" s="11" t="s">
        <v>33</v>
      </c>
      <c r="K1969" s="18">
        <v>130000</v>
      </c>
      <c r="L1969" s="12">
        <f t="shared" si="176"/>
        <v>216700</v>
      </c>
      <c r="M1969" s="8">
        <v>1</v>
      </c>
      <c r="N1969" s="8" t="s">
        <v>27</v>
      </c>
      <c r="O1969" s="13" t="s">
        <v>588</v>
      </c>
      <c r="P1969" s="14">
        <v>0.2</v>
      </c>
      <c r="Q1969" s="15">
        <v>0.4</v>
      </c>
      <c r="R1969" s="16" t="str">
        <f t="shared" si="175"/>
        <v>KOMODO</v>
      </c>
      <c r="S1969" s="17"/>
      <c r="T1969" s="10" t="str">
        <f t="shared" si="173"/>
        <v>PROGRAMACIÓN DE UNIDAD DE CONTROL DE ILUMINACIÓN LUTRON.</v>
      </c>
    </row>
    <row r="1970" spans="1:20" ht="27" customHeight="1" x14ac:dyDescent="0.25">
      <c r="A1970" s="8" t="s">
        <v>3977</v>
      </c>
      <c r="B1970" s="9"/>
      <c r="C1970" s="9"/>
      <c r="D1970" s="8" t="s">
        <v>45</v>
      </c>
      <c r="E1970" s="8"/>
      <c r="F1970" s="8" t="s">
        <v>22</v>
      </c>
      <c r="G1970" s="10" t="s">
        <v>4572</v>
      </c>
      <c r="H1970" s="8" t="s">
        <v>4448</v>
      </c>
      <c r="I1970" s="10" t="s">
        <v>4572</v>
      </c>
      <c r="J1970" s="11" t="s">
        <v>33</v>
      </c>
      <c r="K1970" s="18">
        <v>1200000</v>
      </c>
      <c r="L1970" s="12">
        <f t="shared" si="176"/>
        <v>2000000</v>
      </c>
      <c r="M1970" s="8">
        <v>1</v>
      </c>
      <c r="N1970" s="8" t="s">
        <v>27</v>
      </c>
      <c r="O1970" s="13" t="s">
        <v>587</v>
      </c>
      <c r="P1970" s="14">
        <v>0.2</v>
      </c>
      <c r="Q1970" s="15">
        <v>0.4</v>
      </c>
      <c r="R1970" s="16" t="str">
        <f t="shared" si="175"/>
        <v>KOMODO</v>
      </c>
      <c r="S1970" s="17"/>
      <c r="T1970" s="10" t="str">
        <f t="shared" si="173"/>
        <v>DÍA DE INGENIERO EN CAMPO PARA ACTUALIZACIÓN DE SISTEMA QUANTUM</v>
      </c>
    </row>
    <row r="1971" spans="1:20" ht="27" customHeight="1" x14ac:dyDescent="0.25">
      <c r="A1971" s="8" t="s">
        <v>3977</v>
      </c>
      <c r="B1971" s="9"/>
      <c r="C1971" s="9"/>
      <c r="D1971" s="8" t="s">
        <v>45</v>
      </c>
      <c r="E1971" s="8"/>
      <c r="F1971" s="8" t="s">
        <v>22</v>
      </c>
      <c r="G1971" s="10" t="s">
        <v>4573</v>
      </c>
      <c r="H1971" s="8" t="s">
        <v>4574</v>
      </c>
      <c r="I1971" s="10" t="s">
        <v>4573</v>
      </c>
      <c r="J1971" s="11" t="s">
        <v>33</v>
      </c>
      <c r="K1971" s="18">
        <v>80000</v>
      </c>
      <c r="L1971" s="12">
        <f t="shared" si="176"/>
        <v>133400</v>
      </c>
      <c r="M1971" s="8">
        <v>1</v>
      </c>
      <c r="N1971" s="8" t="s">
        <v>27</v>
      </c>
      <c r="O1971" s="13" t="s">
        <v>588</v>
      </c>
      <c r="P1971" s="14">
        <v>0.2</v>
      </c>
      <c r="Q1971" s="15">
        <v>0.4</v>
      </c>
      <c r="R1971" s="16" t="str">
        <f t="shared" si="175"/>
        <v>KOMODO</v>
      </c>
      <c r="S1971" s="17"/>
      <c r="T1971" s="10" t="str">
        <f t="shared" si="173"/>
        <v>PROGRAMACIÓN DE MODULO DE ATENUACIÓN O SWITCHEO DE 4 ZONAS</v>
      </c>
    </row>
    <row r="1972" spans="1:20" ht="27" customHeight="1" x14ac:dyDescent="0.25">
      <c r="A1972" s="8" t="s">
        <v>3977</v>
      </c>
      <c r="B1972" s="9"/>
      <c r="C1972" s="9"/>
      <c r="D1972" s="8" t="s">
        <v>45</v>
      </c>
      <c r="E1972" s="8"/>
      <c r="F1972" s="8" t="s">
        <v>22</v>
      </c>
      <c r="G1972" s="10" t="s">
        <v>4575</v>
      </c>
      <c r="H1972" s="8" t="s">
        <v>4576</v>
      </c>
      <c r="I1972" s="10" t="s">
        <v>4575</v>
      </c>
      <c r="J1972" s="11" t="s">
        <v>33</v>
      </c>
      <c r="K1972" s="18">
        <v>250000</v>
      </c>
      <c r="L1972" s="12">
        <f t="shared" si="176"/>
        <v>416700</v>
      </c>
      <c r="M1972" s="8">
        <v>1</v>
      </c>
      <c r="N1972" s="8" t="s">
        <v>27</v>
      </c>
      <c r="O1972" s="13" t="s">
        <v>587</v>
      </c>
      <c r="P1972" s="14">
        <v>0.2</v>
      </c>
      <c r="Q1972" s="15">
        <v>0.4</v>
      </c>
      <c r="R1972" s="16" t="str">
        <f t="shared" si="175"/>
        <v>KOMODO</v>
      </c>
      <c r="S1972" s="17"/>
      <c r="T1972" s="10" t="str">
        <f t="shared" si="173"/>
        <v>PROGRAMACIÓN DE PANEL INTERLOGIX</v>
      </c>
    </row>
    <row r="1973" spans="1:20" ht="27" customHeight="1" x14ac:dyDescent="0.25">
      <c r="A1973" s="8" t="s">
        <v>3977</v>
      </c>
      <c r="B1973" s="9"/>
      <c r="C1973" s="9"/>
      <c r="D1973" s="8" t="s">
        <v>45</v>
      </c>
      <c r="E1973" s="8"/>
      <c r="F1973" s="8" t="s">
        <v>22</v>
      </c>
      <c r="G1973" s="10" t="s">
        <v>4577</v>
      </c>
      <c r="H1973" s="8" t="s">
        <v>4578</v>
      </c>
      <c r="I1973" s="10" t="s">
        <v>4577</v>
      </c>
      <c r="J1973" s="11" t="s">
        <v>33</v>
      </c>
      <c r="K1973" s="18">
        <v>80000</v>
      </c>
      <c r="L1973" s="12">
        <f t="shared" si="176"/>
        <v>133400</v>
      </c>
      <c r="M1973" s="8">
        <v>1</v>
      </c>
      <c r="N1973" s="8" t="s">
        <v>27</v>
      </c>
      <c r="O1973" s="13"/>
      <c r="P1973" s="14">
        <v>0.2</v>
      </c>
      <c r="Q1973" s="15">
        <v>0.4</v>
      </c>
      <c r="R1973" s="16" t="str">
        <f t="shared" si="175"/>
        <v>KOMODO</v>
      </c>
      <c r="S1973" s="17"/>
      <c r="T1973" s="10" t="str">
        <f t="shared" si="173"/>
        <v>PROGRAMACIÓN DE TELÉFONO IP.</v>
      </c>
    </row>
    <row r="1974" spans="1:20" ht="27" customHeight="1" x14ac:dyDescent="0.25">
      <c r="A1974" s="8" t="s">
        <v>3977</v>
      </c>
      <c r="B1974" s="9"/>
      <c r="C1974" s="9"/>
      <c r="D1974" s="8"/>
      <c r="E1974" s="8"/>
      <c r="F1974" s="8" t="s">
        <v>22</v>
      </c>
      <c r="G1974" s="10" t="s">
        <v>4579</v>
      </c>
      <c r="H1974" s="8" t="s">
        <v>4580</v>
      </c>
      <c r="I1974" s="10" t="s">
        <v>4579</v>
      </c>
      <c r="J1974" s="11" t="s">
        <v>33</v>
      </c>
      <c r="K1974" s="18">
        <v>200000</v>
      </c>
      <c r="L1974" s="12">
        <f t="shared" si="176"/>
        <v>333400</v>
      </c>
      <c r="M1974" s="8">
        <v>1</v>
      </c>
      <c r="N1974" s="8" t="s">
        <v>27</v>
      </c>
      <c r="O1974" s="13"/>
      <c r="P1974" s="14">
        <v>0.2</v>
      </c>
      <c r="Q1974" s="15">
        <v>0.4</v>
      </c>
      <c r="R1974" s="16" t="str">
        <f t="shared" si="175"/>
        <v>KOMODO</v>
      </c>
      <c r="S1974" s="17"/>
      <c r="T1974" s="10" t="str">
        <f t="shared" si="173"/>
        <v>PROGRAMACIÓN DE SISTEMA DE CONTROL REMOTO UNIVERSAL</v>
      </c>
    </row>
    <row r="1975" spans="1:20" ht="27" customHeight="1" x14ac:dyDescent="0.25">
      <c r="A1975" s="8" t="s">
        <v>3977</v>
      </c>
      <c r="B1975" s="9"/>
      <c r="C1975" s="9"/>
      <c r="D1975" s="8"/>
      <c r="E1975" s="8"/>
      <c r="F1975" s="8" t="s">
        <v>22</v>
      </c>
      <c r="G1975" s="10" t="s">
        <v>4581</v>
      </c>
      <c r="H1975" s="8" t="s">
        <v>4582</v>
      </c>
      <c r="I1975" s="10" t="s">
        <v>4583</v>
      </c>
      <c r="J1975" s="11" t="s">
        <v>26</v>
      </c>
      <c r="K1975" s="18">
        <v>1400</v>
      </c>
      <c r="L1975" s="12">
        <f t="shared" si="176"/>
        <v>2800</v>
      </c>
      <c r="M1975" s="8">
        <v>1</v>
      </c>
      <c r="N1975" s="8" t="s">
        <v>27</v>
      </c>
      <c r="O1975" s="13"/>
      <c r="P1975" s="14">
        <v>0.2</v>
      </c>
      <c r="Q1975" s="15">
        <v>0.4</v>
      </c>
      <c r="R1975" s="16" t="str">
        <f t="shared" si="175"/>
        <v>KOMODO</v>
      </c>
      <c r="S1975" s="17"/>
      <c r="T1975" s="10" t="str">
        <f t="shared" si="173"/>
        <v>INTEGRACIÓN DE SISTEMA BACNET A AMX.</v>
      </c>
    </row>
    <row r="1976" spans="1:20" ht="27" customHeight="1" x14ac:dyDescent="0.25">
      <c r="A1976" s="8" t="s">
        <v>3977</v>
      </c>
      <c r="B1976" s="9"/>
      <c r="C1976" s="9"/>
      <c r="D1976" s="8" t="s">
        <v>45</v>
      </c>
      <c r="E1976" s="8"/>
      <c r="F1976" s="8" t="s">
        <v>22</v>
      </c>
      <c r="G1976" s="10" t="s">
        <v>4584</v>
      </c>
      <c r="H1976" s="8" t="s">
        <v>4585</v>
      </c>
      <c r="I1976" s="10" t="s">
        <v>4584</v>
      </c>
      <c r="J1976" s="11" t="s">
        <v>26</v>
      </c>
      <c r="K1976" s="18">
        <v>35</v>
      </c>
      <c r="L1976" s="12">
        <f t="shared" si="176"/>
        <v>70</v>
      </c>
      <c r="M1976" s="8">
        <v>1</v>
      </c>
      <c r="N1976" s="8" t="s">
        <v>27</v>
      </c>
      <c r="O1976" s="13"/>
      <c r="P1976" s="14">
        <v>0.2</v>
      </c>
      <c r="Q1976" s="15">
        <v>0.4</v>
      </c>
      <c r="R1976" s="16" t="str">
        <f t="shared" si="175"/>
        <v>KOMODO</v>
      </c>
      <c r="S1976" s="17"/>
      <c r="T1976" s="10" t="str">
        <f t="shared" si="173"/>
        <v>PROGRAMACIÓN DE TERMOSTATO PARA INTEGRACIÓN CON APP DE LUTRON</v>
      </c>
    </row>
    <row r="1977" spans="1:20" ht="27" customHeight="1" x14ac:dyDescent="0.25">
      <c r="A1977" s="8" t="s">
        <v>3977</v>
      </c>
      <c r="B1977" s="9"/>
      <c r="C1977" s="9"/>
      <c r="D1977" s="8"/>
      <c r="E1977" s="8"/>
      <c r="F1977" s="8" t="s">
        <v>22</v>
      </c>
      <c r="G1977" s="10" t="s">
        <v>4586</v>
      </c>
      <c r="H1977" s="8" t="s">
        <v>4587</v>
      </c>
      <c r="I1977" s="10" t="s">
        <v>4586</v>
      </c>
      <c r="J1977" s="11" t="s">
        <v>33</v>
      </c>
      <c r="K1977" s="18">
        <v>10000</v>
      </c>
      <c r="L1977" s="12">
        <f>IF(J1977="P",ROUNDUP(K1977/(1-P1977),-2),K1977*(1+O1977)/(1-P1977))</f>
        <v>10000</v>
      </c>
      <c r="M1977" s="8">
        <v>1</v>
      </c>
      <c r="N1977" s="8" t="s">
        <v>4588</v>
      </c>
      <c r="O1977" s="13"/>
      <c r="P1977" s="14">
        <v>0</v>
      </c>
      <c r="Q1977" s="15">
        <v>0.4</v>
      </c>
      <c r="R1977" s="16" t="str">
        <f t="shared" si="175"/>
        <v>KOMODO</v>
      </c>
      <c r="S1977" s="17"/>
      <c r="T1977" s="10" t="str">
        <f t="shared" ref="T1977:T2040" si="177">G1977</f>
        <v>DIA DE ALQUILER DE PLANCHONES</v>
      </c>
    </row>
    <row r="1978" spans="1:20" ht="27" customHeight="1" x14ac:dyDescent="0.25">
      <c r="A1978" s="8" t="s">
        <v>3977</v>
      </c>
      <c r="B1978" s="9"/>
      <c r="C1978" s="9"/>
      <c r="D1978" s="8"/>
      <c r="E1978" s="8"/>
      <c r="F1978" s="8" t="s">
        <v>22</v>
      </c>
      <c r="G1978" s="10" t="s">
        <v>4589</v>
      </c>
      <c r="H1978" s="8" t="s">
        <v>4590</v>
      </c>
      <c r="I1978" s="10" t="s">
        <v>4589</v>
      </c>
      <c r="J1978" s="11" t="s">
        <v>33</v>
      </c>
      <c r="K1978" s="18">
        <v>45000</v>
      </c>
      <c r="L1978" s="12">
        <f>IF(J1978="P",ROUNDUP(K1978/(1-P1978),-2),K1978*(1+O1978)/(1-P1978))</f>
        <v>45000</v>
      </c>
      <c r="M1978" s="8">
        <v>1</v>
      </c>
      <c r="N1978" s="8" t="s">
        <v>4588</v>
      </c>
      <c r="O1978" s="13"/>
      <c r="P1978" s="14">
        <v>0</v>
      </c>
      <c r="Q1978" s="15">
        <v>0.4</v>
      </c>
      <c r="R1978" s="16" t="str">
        <f t="shared" si="175"/>
        <v>KOMODO</v>
      </c>
      <c r="S1978" s="17"/>
      <c r="T1978" s="10" t="str">
        <f t="shared" si="177"/>
        <v>DIA DE ALQUILER DE EQUIPO DE ALTURA CERTIFICADO. LÍNEAS DE VIDA, ARNÉS, OTROS.</v>
      </c>
    </row>
    <row r="1979" spans="1:20" ht="27" customHeight="1" x14ac:dyDescent="0.25">
      <c r="A1979" s="8" t="s">
        <v>3977</v>
      </c>
      <c r="B1979" s="9" t="s">
        <v>4591</v>
      </c>
      <c r="C1979" s="9"/>
      <c r="D1979" s="8" t="s">
        <v>4592</v>
      </c>
      <c r="E1979" s="8"/>
      <c r="F1979" s="8" t="s">
        <v>22</v>
      </c>
      <c r="G1979" s="10" t="s">
        <v>4593</v>
      </c>
      <c r="H1979" s="8" t="s">
        <v>4594</v>
      </c>
      <c r="I1979" s="10" t="s">
        <v>4595</v>
      </c>
      <c r="J1979" s="11" t="s">
        <v>26</v>
      </c>
      <c r="K1979" s="18">
        <v>80</v>
      </c>
      <c r="L1979" s="12">
        <f t="shared" ref="L1979:L2042" si="178">IF(J1979="P",ROUNDUP(K1979/(1-Q1979),-2),K1979*(1+P1979)/(1-Q1979))</f>
        <v>137.14285714285714</v>
      </c>
      <c r="M1979" s="8">
        <v>1</v>
      </c>
      <c r="N1979" s="8" t="s">
        <v>27</v>
      </c>
      <c r="O1979" s="13"/>
      <c r="P1979" s="14">
        <v>0.2</v>
      </c>
      <c r="Q1979" s="15">
        <v>0.3</v>
      </c>
      <c r="R1979" s="16" t="str">
        <f t="shared" si="175"/>
        <v>KOMODO</v>
      </c>
      <c r="S1979" s="17"/>
      <c r="T1979" s="10" t="str">
        <f t="shared" si="177"/>
        <v>CAJA EN MADERA CON RECUBRIMIENTO PARA INSTALACIÓN DE SOPORTE EMBEBIDO DE TV.</v>
      </c>
    </row>
    <row r="1980" spans="1:20" ht="27" customHeight="1" x14ac:dyDescent="0.25">
      <c r="A1980" s="8" t="s">
        <v>3977</v>
      </c>
      <c r="B1980" s="9"/>
      <c r="C1980" s="9"/>
      <c r="D1980" s="8"/>
      <c r="E1980" s="8"/>
      <c r="F1980" s="8" t="s">
        <v>22</v>
      </c>
      <c r="G1980" s="10" t="s">
        <v>4596</v>
      </c>
      <c r="H1980" s="8" t="s">
        <v>4597</v>
      </c>
      <c r="I1980" s="10" t="s">
        <v>4598</v>
      </c>
      <c r="J1980" s="11" t="s">
        <v>33</v>
      </c>
      <c r="K1980" s="18">
        <v>10000</v>
      </c>
      <c r="L1980" s="12">
        <f t="shared" si="178"/>
        <v>16700</v>
      </c>
      <c r="M1980" s="8">
        <v>1</v>
      </c>
      <c r="N1980" s="8" t="s">
        <v>27</v>
      </c>
      <c r="O1980" s="13"/>
      <c r="P1980" s="14">
        <v>0.2</v>
      </c>
      <c r="Q1980" s="15">
        <v>0.4</v>
      </c>
      <c r="R1980" s="16" t="str">
        <f t="shared" si="175"/>
        <v>KOMODO</v>
      </c>
      <c r="S1980" s="17"/>
      <c r="T1980" s="10" t="str">
        <f t="shared" si="177"/>
        <v>DISENO DE SISTEMA DE AUDIO PARA EL PROYECTO.</v>
      </c>
    </row>
    <row r="1981" spans="1:20" ht="27" customHeight="1" x14ac:dyDescent="0.25">
      <c r="A1981" s="8" t="s">
        <v>3977</v>
      </c>
      <c r="B1981" s="9"/>
      <c r="C1981" s="9"/>
      <c r="D1981" s="8"/>
      <c r="E1981" s="8"/>
      <c r="F1981" s="8" t="s">
        <v>22</v>
      </c>
      <c r="G1981" s="10" t="s">
        <v>4599</v>
      </c>
      <c r="H1981" s="8" t="s">
        <v>4600</v>
      </c>
      <c r="I1981" s="10" t="s">
        <v>4601</v>
      </c>
      <c r="J1981" s="11" t="s">
        <v>33</v>
      </c>
      <c r="K1981" s="18">
        <v>45000</v>
      </c>
      <c r="L1981" s="12">
        <f t="shared" si="178"/>
        <v>75000</v>
      </c>
      <c r="M1981" s="8">
        <v>1</v>
      </c>
      <c r="N1981" s="8" t="s">
        <v>27</v>
      </c>
      <c r="O1981" s="13"/>
      <c r="P1981" s="14">
        <v>0.2</v>
      </c>
      <c r="Q1981" s="15">
        <v>0.4</v>
      </c>
      <c r="R1981" s="16" t="str">
        <f t="shared" si="175"/>
        <v>KOMODO</v>
      </c>
      <c r="S1981" s="17"/>
      <c r="T1981" s="10" t="str">
        <f t="shared" si="177"/>
        <v>DISENO DE SISTEMA DE VIDEOVIGILANCIA PARA EL PROYECTO.</v>
      </c>
    </row>
    <row r="1982" spans="1:20" ht="27" customHeight="1" x14ac:dyDescent="0.25">
      <c r="A1982" s="8" t="s">
        <v>3977</v>
      </c>
      <c r="B1982" s="9"/>
      <c r="C1982" s="9"/>
      <c r="D1982" s="8"/>
      <c r="E1982" s="8"/>
      <c r="F1982" s="8" t="s">
        <v>22</v>
      </c>
      <c r="G1982" s="10" t="s">
        <v>4602</v>
      </c>
      <c r="H1982" s="8" t="s">
        <v>4603</v>
      </c>
      <c r="I1982" s="10" t="s">
        <v>4604</v>
      </c>
      <c r="J1982" s="11"/>
      <c r="K1982" s="18"/>
      <c r="L1982" s="12">
        <f t="shared" si="178"/>
        <v>0</v>
      </c>
      <c r="M1982" s="8">
        <v>1</v>
      </c>
      <c r="N1982" s="8" t="s">
        <v>27</v>
      </c>
      <c r="O1982" s="13"/>
      <c r="P1982" s="14">
        <v>0.2</v>
      </c>
      <c r="Q1982" s="15">
        <v>0.4</v>
      </c>
      <c r="R1982" s="16" t="str">
        <f t="shared" si="175"/>
        <v>KOMODO</v>
      </c>
      <c r="S1982" s="17"/>
      <c r="T1982" s="10" t="str">
        <f t="shared" si="177"/>
        <v>DISENO DE SISTEMA DE ALARMA PARA EL PROYECTO.</v>
      </c>
    </row>
    <row r="1983" spans="1:20" ht="27" customHeight="1" x14ac:dyDescent="0.25">
      <c r="A1983" s="8" t="s">
        <v>3977</v>
      </c>
      <c r="B1983" s="9"/>
      <c r="C1983" s="9"/>
      <c r="D1983" s="8"/>
      <c r="E1983" s="8"/>
      <c r="F1983" s="8" t="s">
        <v>22</v>
      </c>
      <c r="G1983" s="10" t="s">
        <v>4605</v>
      </c>
      <c r="H1983" s="8" t="s">
        <v>4606</v>
      </c>
      <c r="I1983" s="10" t="s">
        <v>4607</v>
      </c>
      <c r="J1983" s="11"/>
      <c r="K1983" s="18"/>
      <c r="L1983" s="12">
        <f t="shared" si="178"/>
        <v>0</v>
      </c>
      <c r="M1983" s="8">
        <v>1</v>
      </c>
      <c r="N1983" s="8" t="s">
        <v>27</v>
      </c>
      <c r="O1983" s="13"/>
      <c r="P1983" s="14">
        <v>0.2</v>
      </c>
      <c r="Q1983" s="15">
        <v>0.4</v>
      </c>
      <c r="R1983" s="16" t="str">
        <f t="shared" si="175"/>
        <v>KOMODO</v>
      </c>
      <c r="S1983" s="17"/>
      <c r="T1983" s="10" t="str">
        <f t="shared" si="177"/>
        <v>DISENO DE ILUMINACIÓN PARA EL RECINTO.</v>
      </c>
    </row>
    <row r="1984" spans="1:20" ht="27" customHeight="1" x14ac:dyDescent="0.25">
      <c r="A1984" s="8" t="s">
        <v>3977</v>
      </c>
      <c r="B1984" s="9"/>
      <c r="C1984" s="9"/>
      <c r="D1984" s="8"/>
      <c r="E1984" s="8"/>
      <c r="F1984" s="8" t="s">
        <v>22</v>
      </c>
      <c r="G1984" s="10" t="s">
        <v>4608</v>
      </c>
      <c r="H1984" s="8" t="s">
        <v>4609</v>
      </c>
      <c r="I1984" s="10" t="s">
        <v>4610</v>
      </c>
      <c r="J1984" s="11"/>
      <c r="K1984" s="18"/>
      <c r="L1984" s="12" t="e">
        <f t="shared" si="178"/>
        <v>#VALUE!</v>
      </c>
      <c r="M1984" s="8">
        <v>1</v>
      </c>
      <c r="N1984" s="8" t="s">
        <v>27</v>
      </c>
      <c r="O1984" s="13"/>
      <c r="P1984" s="14"/>
      <c r="Q1984" s="15" t="s">
        <v>4611</v>
      </c>
      <c r="R1984" s="16" t="str">
        <f t="shared" si="175"/>
        <v>KOMODO</v>
      </c>
      <c r="S1984" s="17"/>
      <c r="T1984" s="10" t="str">
        <f t="shared" si="177"/>
        <v>DISENO DE SISTEMA DE AUDIO PARA EL RECINTO.</v>
      </c>
    </row>
    <row r="1985" spans="1:20" ht="27" customHeight="1" x14ac:dyDescent="0.25">
      <c r="A1985" s="8" t="s">
        <v>3977</v>
      </c>
      <c r="B1985" s="9"/>
      <c r="C1985" s="9"/>
      <c r="D1985" s="8"/>
      <c r="E1985" s="8"/>
      <c r="F1985" s="8" t="s">
        <v>22</v>
      </c>
      <c r="G1985" s="10" t="s">
        <v>4608</v>
      </c>
      <c r="H1985" s="8" t="s">
        <v>4612</v>
      </c>
      <c r="I1985" s="10" t="s">
        <v>4610</v>
      </c>
      <c r="J1985" s="11"/>
      <c r="K1985" s="18"/>
      <c r="L1985" s="12" t="e">
        <f t="shared" si="178"/>
        <v>#REF!</v>
      </c>
      <c r="M1985" s="8">
        <v>1</v>
      </c>
      <c r="N1985" s="8" t="s">
        <v>27</v>
      </c>
      <c r="O1985" s="13"/>
      <c r="P1985" s="14" t="e">
        <f>VLOOKUP(O1985,#REF!,2,0)</f>
        <v>#REF!</v>
      </c>
      <c r="Q1985" s="15" t="s">
        <v>4611</v>
      </c>
      <c r="R1985" s="16" t="str">
        <f t="shared" ref="R1985:R2048" si="179">A1985</f>
        <v>KOMODO</v>
      </c>
      <c r="S1985" s="17"/>
      <c r="T1985" s="10" t="str">
        <f t="shared" si="177"/>
        <v>DISENO DE SISTEMA DE AUDIO PARA EL RECINTO.</v>
      </c>
    </row>
    <row r="1986" spans="1:20" ht="27" customHeight="1" x14ac:dyDescent="0.25">
      <c r="A1986" s="8" t="s">
        <v>3977</v>
      </c>
      <c r="B1986" s="9"/>
      <c r="C1986" s="9"/>
      <c r="D1986" s="8"/>
      <c r="E1986" s="8"/>
      <c r="F1986" s="8" t="s">
        <v>22</v>
      </c>
      <c r="G1986" s="10" t="s">
        <v>4608</v>
      </c>
      <c r="H1986" s="8" t="s">
        <v>4613</v>
      </c>
      <c r="I1986" s="10" t="s">
        <v>4610</v>
      </c>
      <c r="J1986" s="11"/>
      <c r="K1986" s="18"/>
      <c r="L1986" s="12">
        <f t="shared" si="178"/>
        <v>0</v>
      </c>
      <c r="M1986" s="8">
        <v>1</v>
      </c>
      <c r="N1986" s="8" t="s">
        <v>27</v>
      </c>
      <c r="O1986" s="13"/>
      <c r="P1986" s="14"/>
      <c r="Q1986" s="15"/>
      <c r="R1986" s="16" t="str">
        <f t="shared" si="179"/>
        <v>KOMODO</v>
      </c>
      <c r="S1986" s="17"/>
      <c r="T1986" s="10" t="str">
        <f t="shared" si="177"/>
        <v>DISENO DE SISTEMA DE AUDIO PARA EL RECINTO.</v>
      </c>
    </row>
    <row r="1987" spans="1:20" ht="27" customHeight="1" x14ac:dyDescent="0.25">
      <c r="A1987" s="8" t="s">
        <v>3977</v>
      </c>
      <c r="B1987" s="9"/>
      <c r="C1987" s="9"/>
      <c r="D1987" s="8"/>
      <c r="E1987" s="8"/>
      <c r="F1987" s="8" t="s">
        <v>22</v>
      </c>
      <c r="G1987" s="10" t="s">
        <v>4614</v>
      </c>
      <c r="H1987" s="8" t="s">
        <v>4615</v>
      </c>
      <c r="I1987" s="10" t="s">
        <v>4616</v>
      </c>
      <c r="J1987" s="11"/>
      <c r="K1987" s="18"/>
      <c r="L1987" s="12" t="e">
        <f t="shared" si="178"/>
        <v>#VALUE!</v>
      </c>
      <c r="M1987" s="8">
        <v>1</v>
      </c>
      <c r="N1987" s="8" t="s">
        <v>27</v>
      </c>
      <c r="O1987" s="13"/>
      <c r="P1987" s="14"/>
      <c r="Q1987" s="15" t="s">
        <v>4617</v>
      </c>
      <c r="R1987" s="16" t="str">
        <f t="shared" si="179"/>
        <v>KOMODO</v>
      </c>
      <c r="S1987" s="17"/>
      <c r="T1987" s="10" t="str">
        <f t="shared" si="177"/>
        <v>DISENO DE ILUMINACIÓN PARA RECINTO TIPO CORPORATIVO.</v>
      </c>
    </row>
    <row r="1988" spans="1:20" ht="27" customHeight="1" x14ac:dyDescent="0.25">
      <c r="A1988" s="8" t="s">
        <v>3977</v>
      </c>
      <c r="B1988" s="9"/>
      <c r="C1988" s="9"/>
      <c r="D1988" s="8"/>
      <c r="E1988" s="8"/>
      <c r="F1988" s="8" t="s">
        <v>22</v>
      </c>
      <c r="G1988" s="10" t="s">
        <v>4618</v>
      </c>
      <c r="H1988" s="8" t="s">
        <v>4619</v>
      </c>
      <c r="I1988" s="10" t="s">
        <v>4620</v>
      </c>
      <c r="J1988" s="11"/>
      <c r="K1988" s="18"/>
      <c r="L1988" s="12" t="e">
        <f t="shared" si="178"/>
        <v>#VALUE!</v>
      </c>
      <c r="M1988" s="8">
        <v>1</v>
      </c>
      <c r="N1988" s="8" t="s">
        <v>27</v>
      </c>
      <c r="O1988" s="13"/>
      <c r="P1988" s="14"/>
      <c r="Q1988" s="15" t="s">
        <v>4621</v>
      </c>
      <c r="R1988" s="16" t="str">
        <f t="shared" si="179"/>
        <v>KOMODO</v>
      </c>
      <c r="S1988" s="17"/>
      <c r="T1988" s="10" t="str">
        <f t="shared" si="177"/>
        <v>DISENO DE ILUMINACIÓN PARA RECINTO TIPO COMERCIAL.</v>
      </c>
    </row>
    <row r="1989" spans="1:20" ht="27" customHeight="1" x14ac:dyDescent="0.25">
      <c r="A1989" s="8" t="s">
        <v>3977</v>
      </c>
      <c r="B1989" s="9"/>
      <c r="C1989" s="9"/>
      <c r="D1989" s="8"/>
      <c r="E1989" s="8"/>
      <c r="F1989" s="8" t="s">
        <v>22</v>
      </c>
      <c r="G1989" s="10" t="s">
        <v>4622</v>
      </c>
      <c r="H1989" s="8" t="s">
        <v>4623</v>
      </c>
      <c r="I1989" s="10" t="s">
        <v>4624</v>
      </c>
      <c r="J1989" s="11"/>
      <c r="K1989" s="18"/>
      <c r="L1989" s="12">
        <f t="shared" si="178"/>
        <v>0</v>
      </c>
      <c r="M1989" s="8">
        <v>1</v>
      </c>
      <c r="N1989" s="8"/>
      <c r="O1989" s="13"/>
      <c r="P1989" s="14"/>
      <c r="Q1989" s="15"/>
      <c r="R1989" s="16" t="str">
        <f t="shared" si="179"/>
        <v>KOMODO</v>
      </c>
      <c r="S1989" s="17"/>
      <c r="T1989" s="10" t="str">
        <f t="shared" si="177"/>
        <v>DISENO DE ILUMINACIÓN PARA RECINTO TIPO RESIDENCIAL.</v>
      </c>
    </row>
    <row r="1990" spans="1:20" ht="27" customHeight="1" x14ac:dyDescent="0.25">
      <c r="A1990" s="8" t="s">
        <v>3977</v>
      </c>
      <c r="B1990" s="9"/>
      <c r="C1990" s="9"/>
      <c r="D1990" s="8"/>
      <c r="E1990" s="8"/>
      <c r="F1990" s="8" t="s">
        <v>22</v>
      </c>
      <c r="G1990" s="10" t="s">
        <v>4625</v>
      </c>
      <c r="H1990" s="8" t="s">
        <v>4615</v>
      </c>
      <c r="I1990" s="10" t="s">
        <v>4626</v>
      </c>
      <c r="J1990" s="11"/>
      <c r="K1990" s="18"/>
      <c r="L1990" s="12">
        <f t="shared" si="178"/>
        <v>0</v>
      </c>
      <c r="M1990" s="8">
        <v>1</v>
      </c>
      <c r="N1990" s="8"/>
      <c r="O1990" s="13"/>
      <c r="P1990" s="14"/>
      <c r="Q1990" s="15"/>
      <c r="R1990" s="16" t="str">
        <f t="shared" si="179"/>
        <v>KOMODO</v>
      </c>
      <c r="S1990" s="17"/>
      <c r="T1990" s="10" t="str">
        <f t="shared" si="177"/>
        <v>DISENO DE ILUMINACIÓN PARA RECINTO TIPO RESIDENCIAL CON ALTO NIVEL DE DETALLE ARQUITECTÓNICO.</v>
      </c>
    </row>
    <row r="1991" spans="1:20" ht="27" customHeight="1" x14ac:dyDescent="0.25">
      <c r="A1991" s="8" t="s">
        <v>3977</v>
      </c>
      <c r="B1991" s="9"/>
      <c r="C1991" s="9"/>
      <c r="D1991" s="8"/>
      <c r="E1991" s="8"/>
      <c r="F1991" s="8" t="s">
        <v>22</v>
      </c>
      <c r="G1991" s="10" t="s">
        <v>4627</v>
      </c>
      <c r="H1991" s="8" t="s">
        <v>4628</v>
      </c>
      <c r="I1991" s="10" t="s">
        <v>4627</v>
      </c>
      <c r="J1991" s="11"/>
      <c r="K1991" s="18">
        <v>1500000</v>
      </c>
      <c r="L1991" s="12">
        <f t="shared" si="178"/>
        <v>1500000</v>
      </c>
      <c r="M1991" s="8">
        <v>1</v>
      </c>
      <c r="N1991" s="8"/>
      <c r="O1991" s="13"/>
      <c r="P1991" s="14"/>
      <c r="Q1991" s="15"/>
      <c r="R1991" s="16" t="str">
        <f t="shared" si="179"/>
        <v>KOMODO</v>
      </c>
      <c r="S1991" s="17"/>
      <c r="T1991" s="10" t="str">
        <f t="shared" si="177"/>
        <v>ELABORACIÓN DE PLANOS, DIAGRAMAS UNIFILARES Y MEMORIAS DE CALCULO DE PROYECTO</v>
      </c>
    </row>
    <row r="1992" spans="1:20" ht="27" customHeight="1" x14ac:dyDescent="0.25">
      <c r="A1992" s="8" t="s">
        <v>3977</v>
      </c>
      <c r="B1992" s="9"/>
      <c r="C1992" s="9"/>
      <c r="D1992" s="8"/>
      <c r="E1992" s="8"/>
      <c r="F1992" s="8" t="s">
        <v>22</v>
      </c>
      <c r="G1992" s="10" t="s">
        <v>4629</v>
      </c>
      <c r="H1992" s="8" t="s">
        <v>4630</v>
      </c>
      <c r="I1992" s="10" t="s">
        <v>4629</v>
      </c>
      <c r="J1992" s="11"/>
      <c r="K1992" s="18">
        <v>7000000</v>
      </c>
      <c r="L1992" s="12">
        <f t="shared" si="178"/>
        <v>7000000</v>
      </c>
      <c r="M1992" s="8">
        <v>1</v>
      </c>
      <c r="N1992" s="8"/>
      <c r="O1992" s="13"/>
      <c r="P1992" s="14"/>
      <c r="Q1992" s="15"/>
      <c r="R1992" s="16" t="str">
        <f t="shared" si="179"/>
        <v>KOMODO</v>
      </c>
      <c r="S1992" s="17"/>
      <c r="T1992" s="10" t="str">
        <f t="shared" si="177"/>
        <v>COSTOS DE PROCESO DE CERTIFICACIÓN ANTE ENTE CERTIFICADOR.</v>
      </c>
    </row>
    <row r="1993" spans="1:20" ht="27" customHeight="1" x14ac:dyDescent="0.25">
      <c r="A1993" s="8" t="s">
        <v>3977</v>
      </c>
      <c r="B1993" s="9"/>
      <c r="C1993" s="9"/>
      <c r="D1993" s="8"/>
      <c r="E1993" s="8"/>
      <c r="F1993" s="8" t="s">
        <v>22</v>
      </c>
      <c r="G1993" s="10" t="s">
        <v>4631</v>
      </c>
      <c r="H1993" s="8" t="s">
        <v>4632</v>
      </c>
      <c r="I1993" s="10" t="s">
        <v>4633</v>
      </c>
      <c r="J1993" s="11"/>
      <c r="K1993" s="18">
        <v>2000</v>
      </c>
      <c r="L1993" s="12">
        <f t="shared" si="178"/>
        <v>3333.3333333333335</v>
      </c>
      <c r="M1993" s="8">
        <v>1</v>
      </c>
      <c r="N1993" s="8"/>
      <c r="O1993" s="13"/>
      <c r="P1993" s="14">
        <v>0</v>
      </c>
      <c r="Q1993" s="15">
        <v>0.4</v>
      </c>
      <c r="R1993" s="16" t="str">
        <f t="shared" si="179"/>
        <v>KOMODO</v>
      </c>
      <c r="S1993" s="17"/>
      <c r="T1993" s="10" t="str">
        <f t="shared" si="177"/>
        <v>DISENO DE ILUMINACIÓN POR METRO CUADRADO.</v>
      </c>
    </row>
    <row r="1994" spans="1:20" ht="27" customHeight="1" x14ac:dyDescent="0.25">
      <c r="A1994" s="8" t="s">
        <v>3977</v>
      </c>
      <c r="B1994" s="9"/>
      <c r="C1994" s="9"/>
      <c r="D1994" s="8"/>
      <c r="E1994" s="8"/>
      <c r="F1994" s="8" t="s">
        <v>22</v>
      </c>
      <c r="G1994" s="10" t="s">
        <v>4631</v>
      </c>
      <c r="H1994" s="8" t="s">
        <v>4634</v>
      </c>
      <c r="I1994" s="10" t="s">
        <v>4633</v>
      </c>
      <c r="J1994" s="11"/>
      <c r="K1994" s="18">
        <v>2000</v>
      </c>
      <c r="L1994" s="12">
        <f t="shared" si="178"/>
        <v>3333.3333333333335</v>
      </c>
      <c r="M1994" s="8">
        <v>1</v>
      </c>
      <c r="N1994" s="8"/>
      <c r="O1994" s="13"/>
      <c r="P1994" s="14">
        <v>0</v>
      </c>
      <c r="Q1994" s="15">
        <v>0.4</v>
      </c>
      <c r="R1994" s="16" t="str">
        <f t="shared" si="179"/>
        <v>KOMODO</v>
      </c>
      <c r="S1994" s="17"/>
      <c r="T1994" s="10" t="str">
        <f t="shared" si="177"/>
        <v>DISENO DE ILUMINACIÓN POR METRO CUADRADO.</v>
      </c>
    </row>
    <row r="1995" spans="1:20" ht="27" customHeight="1" x14ac:dyDescent="0.25">
      <c r="A1995" s="8" t="s">
        <v>3977</v>
      </c>
      <c r="B1995" s="9"/>
      <c r="C1995" s="9"/>
      <c r="D1995" s="8"/>
      <c r="E1995" s="8"/>
      <c r="F1995" s="8" t="s">
        <v>22</v>
      </c>
      <c r="G1995" s="10" t="s">
        <v>4631</v>
      </c>
      <c r="H1995" s="8" t="s">
        <v>4635</v>
      </c>
      <c r="I1995" s="10" t="s">
        <v>4633</v>
      </c>
      <c r="J1995" s="11"/>
      <c r="K1995" s="18">
        <v>2000</v>
      </c>
      <c r="L1995" s="12">
        <f t="shared" si="178"/>
        <v>3333.3333333333335</v>
      </c>
      <c r="M1995" s="8">
        <v>1</v>
      </c>
      <c r="N1995" s="8"/>
      <c r="O1995" s="13"/>
      <c r="P1995" s="14">
        <v>0</v>
      </c>
      <c r="Q1995" s="15">
        <v>0.4</v>
      </c>
      <c r="R1995" s="16" t="str">
        <f t="shared" si="179"/>
        <v>KOMODO</v>
      </c>
      <c r="S1995" s="17"/>
      <c r="T1995" s="10" t="str">
        <f t="shared" si="177"/>
        <v>DISENO DE ILUMINACIÓN POR METRO CUADRADO.</v>
      </c>
    </row>
    <row r="1996" spans="1:20" ht="27" customHeight="1" x14ac:dyDescent="0.25">
      <c r="A1996" s="8" t="s">
        <v>3977</v>
      </c>
      <c r="B1996" s="9"/>
      <c r="C1996" s="9"/>
      <c r="D1996" s="8"/>
      <c r="E1996" s="8"/>
      <c r="F1996" s="8" t="s">
        <v>22</v>
      </c>
      <c r="G1996" s="10" t="s">
        <v>4631</v>
      </c>
      <c r="H1996" s="8" t="s">
        <v>4636</v>
      </c>
      <c r="I1996" s="10" t="s">
        <v>4633</v>
      </c>
      <c r="J1996" s="11"/>
      <c r="K1996" s="18">
        <v>2000</v>
      </c>
      <c r="L1996" s="12">
        <f t="shared" si="178"/>
        <v>3333.3333333333335</v>
      </c>
      <c r="M1996" s="8">
        <v>1</v>
      </c>
      <c r="N1996" s="8"/>
      <c r="O1996" s="13"/>
      <c r="P1996" s="14">
        <v>0</v>
      </c>
      <c r="Q1996" s="15">
        <v>0.4</v>
      </c>
      <c r="R1996" s="16" t="str">
        <f t="shared" si="179"/>
        <v>KOMODO</v>
      </c>
      <c r="S1996" s="17"/>
      <c r="T1996" s="10" t="str">
        <f t="shared" si="177"/>
        <v>DISENO DE ILUMINACIÓN POR METRO CUADRADO.</v>
      </c>
    </row>
    <row r="1997" spans="1:20" ht="27" customHeight="1" x14ac:dyDescent="0.25">
      <c r="A1997" s="8" t="s">
        <v>3977</v>
      </c>
      <c r="B1997" s="9"/>
      <c r="C1997" s="9"/>
      <c r="D1997" s="8"/>
      <c r="E1997" s="8"/>
      <c r="F1997" s="8" t="s">
        <v>22</v>
      </c>
      <c r="G1997" s="10" t="s">
        <v>4637</v>
      </c>
      <c r="H1997" s="8" t="s">
        <v>4638</v>
      </c>
      <c r="I1997" s="10" t="s">
        <v>4639</v>
      </c>
      <c r="J1997" s="11"/>
      <c r="K1997" s="18">
        <v>2000</v>
      </c>
      <c r="L1997" s="12">
        <f t="shared" si="178"/>
        <v>3333.3333333333335</v>
      </c>
      <c r="M1997" s="8">
        <v>1</v>
      </c>
      <c r="N1997" s="8"/>
      <c r="O1997" s="13"/>
      <c r="P1997" s="14">
        <v>0</v>
      </c>
      <c r="Q1997" s="15">
        <v>0.4</v>
      </c>
      <c r="R1997" s="16" t="str">
        <f t="shared" si="179"/>
        <v>KOMODO</v>
      </c>
      <c r="S1997" s="17"/>
      <c r="T1997" s="10" t="str">
        <f t="shared" si="177"/>
        <v>DISENO ELÉCTRICO PARA EL RECINTO.</v>
      </c>
    </row>
    <row r="1998" spans="1:20" ht="27" customHeight="1" x14ac:dyDescent="0.25">
      <c r="A1998" s="8" t="s">
        <v>3977</v>
      </c>
      <c r="B1998" s="9"/>
      <c r="C1998" s="9"/>
      <c r="D1998" s="8"/>
      <c r="E1998" s="8"/>
      <c r="F1998" s="8" t="s">
        <v>22</v>
      </c>
      <c r="G1998" s="10" t="s">
        <v>4640</v>
      </c>
      <c r="H1998" s="8" t="s">
        <v>4641</v>
      </c>
      <c r="I1998" s="10" t="s">
        <v>4642</v>
      </c>
      <c r="J1998" s="11" t="s">
        <v>33</v>
      </c>
      <c r="K1998" s="18">
        <v>130000</v>
      </c>
      <c r="L1998" s="12">
        <f t="shared" si="178"/>
        <v>216700</v>
      </c>
      <c r="M1998" s="8">
        <v>1</v>
      </c>
      <c r="N1998" s="8" t="s">
        <v>27</v>
      </c>
      <c r="O1998" s="13"/>
      <c r="P1998" s="14">
        <v>0.2</v>
      </c>
      <c r="Q1998" s="15">
        <v>0.4</v>
      </c>
      <c r="R1998" s="16" t="str">
        <f t="shared" si="179"/>
        <v>KOMODO</v>
      </c>
      <c r="S1998" s="17"/>
      <c r="T1998" s="10" t="str">
        <f t="shared" si="177"/>
        <v>DIA DE INTERVENTORÍA PARA REVISIÓN DE PROYECTO.</v>
      </c>
    </row>
    <row r="1999" spans="1:20" ht="27" customHeight="1" x14ac:dyDescent="0.25">
      <c r="A1999" s="8" t="s">
        <v>3977</v>
      </c>
      <c r="B1999" s="9" t="s">
        <v>2515</v>
      </c>
      <c r="C1999" s="9"/>
      <c r="D1999" s="8" t="s">
        <v>4009</v>
      </c>
      <c r="E1999" s="8" t="s">
        <v>4010</v>
      </c>
      <c r="F1999" s="8" t="s">
        <v>22</v>
      </c>
      <c r="G1999" s="10" t="s">
        <v>4011</v>
      </c>
      <c r="H1999" s="8" t="s">
        <v>4012</v>
      </c>
      <c r="I1999" s="10" t="s">
        <v>4013</v>
      </c>
      <c r="J1999" s="11" t="s">
        <v>33</v>
      </c>
      <c r="K1999" s="18">
        <v>20000</v>
      </c>
      <c r="L1999" s="12">
        <f t="shared" si="178"/>
        <v>33400</v>
      </c>
      <c r="M1999" s="8">
        <v>1</v>
      </c>
      <c r="N1999" s="8" t="s">
        <v>27</v>
      </c>
      <c r="O1999" s="13" t="s">
        <v>588</v>
      </c>
      <c r="P1999" s="14">
        <v>0.2</v>
      </c>
      <c r="Q1999" s="15">
        <v>0.4</v>
      </c>
      <c r="R1999" s="16" t="str">
        <f t="shared" si="179"/>
        <v>KOMODO</v>
      </c>
      <c r="S1999" s="17"/>
      <c r="T1999" s="10" t="str">
        <f t="shared" si="177"/>
        <v>INSTALACIÓN DE BALASTRO EN LÁMPARA.</v>
      </c>
    </row>
    <row r="2000" spans="1:20" ht="27" customHeight="1" x14ac:dyDescent="0.25">
      <c r="A2000" s="8" t="s">
        <v>3977</v>
      </c>
      <c r="B2000" s="9"/>
      <c r="C2000" s="9"/>
      <c r="D2000" s="8"/>
      <c r="E2000" s="8"/>
      <c r="F2000" s="8" t="s">
        <v>22</v>
      </c>
      <c r="G2000" s="10" t="s">
        <v>4014</v>
      </c>
      <c r="H2000" s="8" t="s">
        <v>4015</v>
      </c>
      <c r="I2000" s="10" t="s">
        <v>4014</v>
      </c>
      <c r="J2000" s="11" t="s">
        <v>33</v>
      </c>
      <c r="K2000" s="18">
        <v>1500</v>
      </c>
      <c r="L2000" s="12">
        <f t="shared" si="178"/>
        <v>2500</v>
      </c>
      <c r="M2000" s="8">
        <v>1</v>
      </c>
      <c r="N2000" s="8" t="s">
        <v>27</v>
      </c>
      <c r="O2000" s="13" t="s">
        <v>588</v>
      </c>
      <c r="P2000" s="14">
        <v>0.2</v>
      </c>
      <c r="Q2000" s="15">
        <v>0.4</v>
      </c>
      <c r="R2000" s="16" t="str">
        <f t="shared" si="179"/>
        <v>KOMODO</v>
      </c>
      <c r="S2000" s="17"/>
      <c r="T2000" s="10" t="str">
        <f t="shared" si="177"/>
        <v>LIMPIEZA DE SUPERFICIE DE LUMINARIA CON DESENGRASANTE Y/O VARSOL</v>
      </c>
    </row>
    <row r="2001" spans="1:20" ht="27" customHeight="1" x14ac:dyDescent="0.25">
      <c r="A2001" s="8" t="s">
        <v>3977</v>
      </c>
      <c r="B2001" s="9"/>
      <c r="C2001" s="9"/>
      <c r="D2001" s="8"/>
      <c r="E2001" s="8"/>
      <c r="F2001" s="8" t="s">
        <v>22</v>
      </c>
      <c r="G2001" s="10" t="s">
        <v>4016</v>
      </c>
      <c r="H2001" s="8" t="s">
        <v>4017</v>
      </c>
      <c r="I2001" s="10" t="s">
        <v>4016</v>
      </c>
      <c r="J2001" s="11" t="s">
        <v>33</v>
      </c>
      <c r="K2001" s="18">
        <v>9000</v>
      </c>
      <c r="L2001" s="12">
        <f t="shared" si="178"/>
        <v>15000</v>
      </c>
      <c r="M2001" s="8">
        <v>1</v>
      </c>
      <c r="N2001" s="8" t="s">
        <v>27</v>
      </c>
      <c r="O2001" s="13" t="s">
        <v>588</v>
      </c>
      <c r="P2001" s="14">
        <v>0.2</v>
      </c>
      <c r="Q2001" s="15">
        <v>0.4</v>
      </c>
      <c r="R2001" s="16" t="str">
        <f t="shared" si="179"/>
        <v>KOMODO</v>
      </c>
      <c r="S2001" s="17"/>
      <c r="T2001" s="10" t="str">
        <f t="shared" si="177"/>
        <v>DESINSTALACIÓN DE LUMINARIA Y ORGANIZACIÓN DE SOBRANTE.</v>
      </c>
    </row>
    <row r="2002" spans="1:20" ht="27" customHeight="1" x14ac:dyDescent="0.25">
      <c r="A2002" s="8" t="s">
        <v>3977</v>
      </c>
      <c r="B2002" s="9" t="s">
        <v>2515</v>
      </c>
      <c r="C2002" s="9"/>
      <c r="D2002" s="8" t="s">
        <v>4009</v>
      </c>
      <c r="E2002" s="8"/>
      <c r="F2002" s="8" t="s">
        <v>22</v>
      </c>
      <c r="G2002" s="10" t="s">
        <v>4018</v>
      </c>
      <c r="H2002" s="8" t="s">
        <v>4019</v>
      </c>
      <c r="I2002" s="10" t="s">
        <v>4020</v>
      </c>
      <c r="J2002" s="11" t="s">
        <v>33</v>
      </c>
      <c r="K2002" s="18">
        <f>1200000*1.53/20/8*4</f>
        <v>45900</v>
      </c>
      <c r="L2002" s="12">
        <f t="shared" si="178"/>
        <v>91800</v>
      </c>
      <c r="M2002" s="8">
        <v>1</v>
      </c>
      <c r="N2002" s="8" t="s">
        <v>27</v>
      </c>
      <c r="O2002" s="13" t="s">
        <v>588</v>
      </c>
      <c r="P2002" s="14">
        <v>0.2</v>
      </c>
      <c r="Q2002" s="15">
        <v>0.5</v>
      </c>
      <c r="R2002" s="16" t="str">
        <f t="shared" si="179"/>
        <v>KOMODO</v>
      </c>
      <c r="S2002" s="17"/>
      <c r="T2002" s="10" t="str">
        <f t="shared" si="177"/>
        <v>JORNADA DE 4 HORAS CON TÉCNICO ELÉCTRICO PARA REVISIONES ELÉCTRICAS.</v>
      </c>
    </row>
    <row r="2003" spans="1:20" ht="27" customHeight="1" x14ac:dyDescent="0.25">
      <c r="A2003" s="8" t="s">
        <v>3977</v>
      </c>
      <c r="B2003" s="9" t="s">
        <v>2515</v>
      </c>
      <c r="C2003" s="9"/>
      <c r="D2003" s="8" t="s">
        <v>4009</v>
      </c>
      <c r="E2003" s="8"/>
      <c r="F2003" s="8" t="s">
        <v>22</v>
      </c>
      <c r="G2003" s="10" t="s">
        <v>4021</v>
      </c>
      <c r="H2003" s="8" t="s">
        <v>4022</v>
      </c>
      <c r="I2003" s="10" t="s">
        <v>4021</v>
      </c>
      <c r="J2003" s="11" t="s">
        <v>33</v>
      </c>
      <c r="K2003" s="18">
        <v>20000</v>
      </c>
      <c r="L2003" s="12">
        <f t="shared" si="178"/>
        <v>33400</v>
      </c>
      <c r="M2003" s="8">
        <v>1</v>
      </c>
      <c r="N2003" s="8" t="s">
        <v>27</v>
      </c>
      <c r="O2003" s="13"/>
      <c r="P2003" s="14">
        <v>0.2</v>
      </c>
      <c r="Q2003" s="15">
        <v>0.4</v>
      </c>
      <c r="R2003" s="16" t="str">
        <f t="shared" si="179"/>
        <v>KOMODO</v>
      </c>
      <c r="S2003" s="17"/>
      <c r="T2003" s="10" t="str">
        <f t="shared" si="177"/>
        <v>REPOTENCIACIÓN Y CAMBIO DE TUBO FLUORESCENTE A REGLETA LED.</v>
      </c>
    </row>
    <row r="2004" spans="1:20" ht="27" customHeight="1" x14ac:dyDescent="0.25">
      <c r="A2004" s="8" t="s">
        <v>3977</v>
      </c>
      <c r="B2004" s="9" t="s">
        <v>2515</v>
      </c>
      <c r="C2004" s="9"/>
      <c r="D2004" s="8" t="s">
        <v>4009</v>
      </c>
      <c r="E2004" s="8" t="s">
        <v>4023</v>
      </c>
      <c r="F2004" s="8" t="s">
        <v>22</v>
      </c>
      <c r="G2004" s="10" t="s">
        <v>4643</v>
      </c>
      <c r="H2004" s="8" t="s">
        <v>4025</v>
      </c>
      <c r="I2004" s="10" t="s">
        <v>4026</v>
      </c>
      <c r="J2004" s="11" t="s">
        <v>33</v>
      </c>
      <c r="K2004" s="18">
        <v>50000</v>
      </c>
      <c r="L2004" s="12">
        <f t="shared" si="178"/>
        <v>83400</v>
      </c>
      <c r="M2004" s="8">
        <v>1</v>
      </c>
      <c r="N2004" s="8" t="s">
        <v>27</v>
      </c>
      <c r="O2004" s="13" t="s">
        <v>587</v>
      </c>
      <c r="P2004" s="14">
        <v>0.2</v>
      </c>
      <c r="Q2004" s="15">
        <v>0.4</v>
      </c>
      <c r="R2004" s="16" t="str">
        <f t="shared" si="179"/>
        <v>KOMODO</v>
      </c>
      <c r="S2004" s="17"/>
      <c r="T2004" s="10" t="str">
        <f t="shared" si="177"/>
        <v>INSTALACIÓN DE EQUIPO TIPO GRAFIK.</v>
      </c>
    </row>
    <row r="2005" spans="1:20" ht="27" customHeight="1" x14ac:dyDescent="0.25">
      <c r="A2005" s="8" t="s">
        <v>3977</v>
      </c>
      <c r="B2005" s="9" t="s">
        <v>2515</v>
      </c>
      <c r="C2005" s="9"/>
      <c r="D2005" s="8" t="s">
        <v>4009</v>
      </c>
      <c r="E2005" s="8" t="s">
        <v>4027</v>
      </c>
      <c r="F2005" s="8" t="s">
        <v>22</v>
      </c>
      <c r="G2005" s="10" t="s">
        <v>4028</v>
      </c>
      <c r="H2005" s="8" t="s">
        <v>4029</v>
      </c>
      <c r="I2005" s="10" t="s">
        <v>4030</v>
      </c>
      <c r="J2005" s="11" t="s">
        <v>33</v>
      </c>
      <c r="K2005" s="18">
        <v>650</v>
      </c>
      <c r="L2005" s="12">
        <f t="shared" si="178"/>
        <v>1100</v>
      </c>
      <c r="M2005" s="8">
        <v>1</v>
      </c>
      <c r="N2005" s="8" t="s">
        <v>27</v>
      </c>
      <c r="O2005" s="13" t="s">
        <v>588</v>
      </c>
      <c r="P2005" s="14">
        <v>0.2</v>
      </c>
      <c r="Q2005" s="15">
        <v>0.4</v>
      </c>
      <c r="R2005" s="16" t="str">
        <f t="shared" si="179"/>
        <v>KOMODO</v>
      </c>
      <c r="S2005" s="17"/>
      <c r="T2005" s="10" t="str">
        <f t="shared" si="177"/>
        <v>INSTALACIÓN DE METRO DE CABLE EN DUCTERIA O INFRA ESTRUCTURA EXISTENTE.</v>
      </c>
    </row>
    <row r="2006" spans="1:20" ht="27" customHeight="1" x14ac:dyDescent="0.25">
      <c r="A2006" s="8" t="s">
        <v>3977</v>
      </c>
      <c r="B2006" s="9" t="s">
        <v>2515</v>
      </c>
      <c r="C2006" s="9"/>
      <c r="D2006" s="8" t="s">
        <v>4009</v>
      </c>
      <c r="E2006" s="8" t="s">
        <v>869</v>
      </c>
      <c r="F2006" s="8" t="s">
        <v>22</v>
      </c>
      <c r="G2006" s="10" t="s">
        <v>4031</v>
      </c>
      <c r="H2006" s="8" t="s">
        <v>4032</v>
      </c>
      <c r="I2006" s="10" t="s">
        <v>4031</v>
      </c>
      <c r="J2006" s="11" t="s">
        <v>33</v>
      </c>
      <c r="K2006" s="18">
        <v>20000</v>
      </c>
      <c r="L2006" s="12">
        <f t="shared" si="178"/>
        <v>40000</v>
      </c>
      <c r="M2006" s="8">
        <v>1</v>
      </c>
      <c r="N2006" s="8" t="s">
        <v>27</v>
      </c>
      <c r="O2006" s="13" t="s">
        <v>587</v>
      </c>
      <c r="P2006" s="14">
        <v>0.2</v>
      </c>
      <c r="Q2006" s="15">
        <v>0.5</v>
      </c>
      <c r="R2006" s="16" t="str">
        <f t="shared" si="179"/>
        <v>KOMODO</v>
      </c>
      <c r="S2006" s="17"/>
      <c r="T2006" s="10" t="str">
        <f t="shared" si="177"/>
        <v>INSTALACIÓN DE ALTAVOZ, NO INCLUYE OBRAS CIVILES.</v>
      </c>
    </row>
    <row r="2007" spans="1:20" ht="27" customHeight="1" x14ac:dyDescent="0.25">
      <c r="A2007" s="8" t="s">
        <v>3977</v>
      </c>
      <c r="B2007" s="9" t="s">
        <v>2515</v>
      </c>
      <c r="C2007" s="9"/>
      <c r="D2007" s="8" t="s">
        <v>4009</v>
      </c>
      <c r="E2007" s="8" t="s">
        <v>4033</v>
      </c>
      <c r="F2007" s="8" t="s">
        <v>22</v>
      </c>
      <c r="G2007" s="10" t="s">
        <v>4034</v>
      </c>
      <c r="H2007" s="8" t="s">
        <v>4035</v>
      </c>
      <c r="I2007" s="10" t="s">
        <v>4034</v>
      </c>
      <c r="J2007" s="11" t="s">
        <v>33</v>
      </c>
      <c r="K2007" s="18">
        <v>20000</v>
      </c>
      <c r="L2007" s="12">
        <f t="shared" si="178"/>
        <v>40000</v>
      </c>
      <c r="M2007" s="8">
        <v>1</v>
      </c>
      <c r="N2007" s="8" t="s">
        <v>27</v>
      </c>
      <c r="O2007" s="13" t="s">
        <v>588</v>
      </c>
      <c r="P2007" s="14">
        <v>0.2</v>
      </c>
      <c r="Q2007" s="15">
        <v>0.5</v>
      </c>
      <c r="R2007" s="16" t="str">
        <f t="shared" si="179"/>
        <v>KOMODO</v>
      </c>
      <c r="S2007" s="17"/>
      <c r="T2007" s="10" t="str">
        <f t="shared" si="177"/>
        <v>INSTALACIÓN DE AMPLIFICADOR DE UNA ZONA, NO INCLUYE OBRAS CIVILES.</v>
      </c>
    </row>
    <row r="2008" spans="1:20" ht="27" customHeight="1" x14ac:dyDescent="0.25">
      <c r="A2008" s="8" t="s">
        <v>3977</v>
      </c>
      <c r="B2008" s="9" t="s">
        <v>2515</v>
      </c>
      <c r="C2008" s="9"/>
      <c r="D2008" s="8" t="s">
        <v>4009</v>
      </c>
      <c r="E2008" s="8" t="s">
        <v>4036</v>
      </c>
      <c r="F2008" s="8" t="s">
        <v>22</v>
      </c>
      <c r="G2008" s="10" t="s">
        <v>4037</v>
      </c>
      <c r="H2008" s="8" t="s">
        <v>4038</v>
      </c>
      <c r="I2008" s="10" t="s">
        <v>4037</v>
      </c>
      <c r="J2008" s="11" t="s">
        <v>33</v>
      </c>
      <c r="K2008" s="18">
        <v>25000</v>
      </c>
      <c r="L2008" s="12">
        <f t="shared" si="178"/>
        <v>50000</v>
      </c>
      <c r="M2008" s="8">
        <v>1</v>
      </c>
      <c r="N2008" s="8" t="s">
        <v>27</v>
      </c>
      <c r="O2008" s="13" t="s">
        <v>587</v>
      </c>
      <c r="P2008" s="14">
        <v>0.2</v>
      </c>
      <c r="Q2008" s="15">
        <v>0.5</v>
      </c>
      <c r="R2008" s="16" t="str">
        <f t="shared" si="179"/>
        <v>KOMODO</v>
      </c>
      <c r="S2008" s="17"/>
      <c r="T2008" s="10" t="str">
        <f t="shared" si="177"/>
        <v>INSTALACIÓN DE AMPLIFICADOR DE 2 ZONAS, NO INCLUYE OBRAS CIVILES.</v>
      </c>
    </row>
    <row r="2009" spans="1:20" ht="27" customHeight="1" x14ac:dyDescent="0.25">
      <c r="A2009" s="8" t="s">
        <v>3977</v>
      </c>
      <c r="B2009" s="9" t="s">
        <v>2515</v>
      </c>
      <c r="C2009" s="9"/>
      <c r="D2009" s="8" t="s">
        <v>4009</v>
      </c>
      <c r="E2009" s="8" t="s">
        <v>4039</v>
      </c>
      <c r="F2009" s="8" t="s">
        <v>22</v>
      </c>
      <c r="G2009" s="10" t="s">
        <v>4040</v>
      </c>
      <c r="H2009" s="8" t="s">
        <v>4041</v>
      </c>
      <c r="I2009" s="10" t="s">
        <v>4040</v>
      </c>
      <c r="J2009" s="11" t="s">
        <v>33</v>
      </c>
      <c r="K2009" s="18">
        <v>35000</v>
      </c>
      <c r="L2009" s="12">
        <f t="shared" si="178"/>
        <v>70000</v>
      </c>
      <c r="M2009" s="8">
        <v>1</v>
      </c>
      <c r="N2009" s="8" t="s">
        <v>27</v>
      </c>
      <c r="O2009" s="13" t="s">
        <v>588</v>
      </c>
      <c r="P2009" s="14">
        <v>0.2</v>
      </c>
      <c r="Q2009" s="15">
        <v>0.5</v>
      </c>
      <c r="R2009" s="16" t="str">
        <f t="shared" si="179"/>
        <v>KOMODO</v>
      </c>
      <c r="S2009" s="17"/>
      <c r="T2009" s="10" t="str">
        <f t="shared" si="177"/>
        <v>INSTALACIÓN DE AMPLIFICADOR DE 3 ZONAS, NO INCLUYE OBRAS CIVILES.</v>
      </c>
    </row>
    <row r="2010" spans="1:20" ht="27" customHeight="1" x14ac:dyDescent="0.25">
      <c r="A2010" s="8" t="s">
        <v>3977</v>
      </c>
      <c r="B2010" s="9" t="s">
        <v>2515</v>
      </c>
      <c r="C2010" s="9"/>
      <c r="D2010" s="8" t="s">
        <v>4009</v>
      </c>
      <c r="E2010" s="8" t="s">
        <v>4042</v>
      </c>
      <c r="F2010" s="8" t="s">
        <v>22</v>
      </c>
      <c r="G2010" s="10" t="s">
        <v>4043</v>
      </c>
      <c r="H2010" s="8" t="s">
        <v>4044</v>
      </c>
      <c r="I2010" s="10" t="s">
        <v>4043</v>
      </c>
      <c r="J2010" s="11" t="s">
        <v>33</v>
      </c>
      <c r="K2010" s="18">
        <v>45000</v>
      </c>
      <c r="L2010" s="12">
        <f t="shared" si="178"/>
        <v>90000</v>
      </c>
      <c r="M2010" s="8">
        <v>1</v>
      </c>
      <c r="N2010" s="8" t="s">
        <v>27</v>
      </c>
      <c r="O2010" s="13" t="s">
        <v>587</v>
      </c>
      <c r="P2010" s="14">
        <v>0.2</v>
      </c>
      <c r="Q2010" s="15">
        <v>0.5</v>
      </c>
      <c r="R2010" s="16" t="str">
        <f t="shared" si="179"/>
        <v>KOMODO</v>
      </c>
      <c r="S2010" s="17"/>
      <c r="T2010" s="10" t="str">
        <f t="shared" si="177"/>
        <v>INSTALACIÓN DE AMPLIFICADOR DE 4 ZONAS, NO INCLUYE OBRAS CIVILES.</v>
      </c>
    </row>
    <row r="2011" spans="1:20" ht="27" customHeight="1" x14ac:dyDescent="0.25">
      <c r="A2011" s="8" t="s">
        <v>3977</v>
      </c>
      <c r="B2011" s="9" t="s">
        <v>2515</v>
      </c>
      <c r="C2011" s="9"/>
      <c r="D2011" s="8" t="s">
        <v>4009</v>
      </c>
      <c r="E2011" s="8" t="s">
        <v>4045</v>
      </c>
      <c r="F2011" s="8" t="s">
        <v>22</v>
      </c>
      <c r="G2011" s="10" t="s">
        <v>4046</v>
      </c>
      <c r="H2011" s="8" t="s">
        <v>4047</v>
      </c>
      <c r="I2011" s="10" t="s">
        <v>4046</v>
      </c>
      <c r="J2011" s="11" t="s">
        <v>33</v>
      </c>
      <c r="K2011" s="18">
        <v>55000</v>
      </c>
      <c r="L2011" s="12">
        <f t="shared" si="178"/>
        <v>110000</v>
      </c>
      <c r="M2011" s="8">
        <v>1</v>
      </c>
      <c r="N2011" s="8" t="s">
        <v>27</v>
      </c>
      <c r="O2011" s="13" t="s">
        <v>588</v>
      </c>
      <c r="P2011" s="14">
        <v>0.2</v>
      </c>
      <c r="Q2011" s="15">
        <v>0.5</v>
      </c>
      <c r="R2011" s="16" t="str">
        <f t="shared" si="179"/>
        <v>KOMODO</v>
      </c>
      <c r="S2011" s="17"/>
      <c r="T2011" s="10" t="str">
        <f t="shared" si="177"/>
        <v>INSTALACIÓN DE AMPLIFICADOR DE 6 ZONAS, NO INCLUYE OBRAS CIVILES.</v>
      </c>
    </row>
    <row r="2012" spans="1:20" ht="27" customHeight="1" x14ac:dyDescent="0.25">
      <c r="A2012" s="8" t="s">
        <v>3977</v>
      </c>
      <c r="B2012" s="9" t="s">
        <v>2515</v>
      </c>
      <c r="C2012" s="9"/>
      <c r="D2012" s="8" t="s">
        <v>4009</v>
      </c>
      <c r="E2012" s="8" t="s">
        <v>4048</v>
      </c>
      <c r="F2012" s="8" t="s">
        <v>22</v>
      </c>
      <c r="G2012" s="10" t="s">
        <v>4049</v>
      </c>
      <c r="H2012" s="8" t="s">
        <v>4050</v>
      </c>
      <c r="I2012" s="10" t="s">
        <v>4049</v>
      </c>
      <c r="J2012" s="11" t="s">
        <v>33</v>
      </c>
      <c r="K2012" s="18">
        <v>65000</v>
      </c>
      <c r="L2012" s="12">
        <f t="shared" si="178"/>
        <v>130000</v>
      </c>
      <c r="M2012" s="8">
        <v>1</v>
      </c>
      <c r="N2012" s="8" t="s">
        <v>27</v>
      </c>
      <c r="O2012" s="13" t="s">
        <v>587</v>
      </c>
      <c r="P2012" s="14">
        <v>0.2</v>
      </c>
      <c r="Q2012" s="15">
        <v>0.5</v>
      </c>
      <c r="R2012" s="16" t="str">
        <f t="shared" si="179"/>
        <v>KOMODO</v>
      </c>
      <c r="S2012" s="17"/>
      <c r="T2012" s="10" t="str">
        <f t="shared" si="177"/>
        <v>INSTALACIÓN DE AMPLIFICADOR DE 8 ZONAS, NO INCLUYE OBRAS CIVILES.</v>
      </c>
    </row>
    <row r="2013" spans="1:20" ht="27" customHeight="1" x14ac:dyDescent="0.25">
      <c r="A2013" s="8" t="s">
        <v>3977</v>
      </c>
      <c r="B2013" s="9" t="s">
        <v>2515</v>
      </c>
      <c r="C2013" s="9"/>
      <c r="D2013" s="8" t="s">
        <v>4009</v>
      </c>
      <c r="E2013" s="8" t="s">
        <v>4051</v>
      </c>
      <c r="F2013" s="8" t="s">
        <v>22</v>
      </c>
      <c r="G2013" s="10" t="s">
        <v>4052</v>
      </c>
      <c r="H2013" s="8" t="s">
        <v>4053</v>
      </c>
      <c r="I2013" s="10" t="s">
        <v>4054</v>
      </c>
      <c r="J2013" s="11" t="s">
        <v>33</v>
      </c>
      <c r="K2013" s="18">
        <v>170000</v>
      </c>
      <c r="L2013" s="12">
        <f t="shared" si="178"/>
        <v>242900</v>
      </c>
      <c r="M2013" s="8">
        <v>1</v>
      </c>
      <c r="N2013" s="8" t="s">
        <v>27</v>
      </c>
      <c r="O2013" s="13" t="s">
        <v>588</v>
      </c>
      <c r="P2013" s="14">
        <v>0.2</v>
      </c>
      <c r="Q2013" s="15">
        <v>0.3</v>
      </c>
      <c r="R2013" s="16" t="str">
        <f t="shared" si="179"/>
        <v>KOMODO</v>
      </c>
      <c r="S2013" s="17"/>
      <c r="T2013" s="10" t="str">
        <f t="shared" si="177"/>
        <v>INSTALACIÓN DE CHAPA EN PUERTA DE MADERA O ALUMINIO.</v>
      </c>
    </row>
    <row r="2014" spans="1:20" ht="27" customHeight="1" x14ac:dyDescent="0.25">
      <c r="A2014" s="8" t="s">
        <v>3977</v>
      </c>
      <c r="B2014" s="9" t="s">
        <v>2515</v>
      </c>
      <c r="C2014" s="9"/>
      <c r="D2014" s="8" t="s">
        <v>4009</v>
      </c>
      <c r="E2014" s="8" t="s">
        <v>4055</v>
      </c>
      <c r="F2014" s="8" t="s">
        <v>22</v>
      </c>
      <c r="G2014" s="10" t="s">
        <v>4056</v>
      </c>
      <c r="H2014" s="8" t="s">
        <v>4057</v>
      </c>
      <c r="I2014" s="10" t="s">
        <v>4056</v>
      </c>
      <c r="J2014" s="11" t="s">
        <v>33</v>
      </c>
      <c r="K2014" s="18">
        <v>450</v>
      </c>
      <c r="L2014" s="12">
        <f t="shared" si="178"/>
        <v>700</v>
      </c>
      <c r="M2014" s="8">
        <v>1</v>
      </c>
      <c r="N2014" s="8" t="s">
        <v>27</v>
      </c>
      <c r="O2014" s="13" t="s">
        <v>587</v>
      </c>
      <c r="P2014" s="14">
        <v>0.2</v>
      </c>
      <c r="Q2014" s="15">
        <v>0.28000000000000003</v>
      </c>
      <c r="R2014" s="16" t="str">
        <f t="shared" si="179"/>
        <v>KOMODO</v>
      </c>
      <c r="S2014" s="17"/>
      <c r="T2014" s="10" t="str">
        <f t="shared" si="177"/>
        <v>INSTALACIÓN DE METRO DE CABLE EN DUCTERIA SUMINISTRADA POR TERCEROS.</v>
      </c>
    </row>
    <row r="2015" spans="1:20" ht="27" customHeight="1" x14ac:dyDescent="0.25">
      <c r="A2015" s="8" t="s">
        <v>3977</v>
      </c>
      <c r="B2015" s="9" t="s">
        <v>2515</v>
      </c>
      <c r="C2015" s="9"/>
      <c r="D2015" s="8" t="s">
        <v>4009</v>
      </c>
      <c r="E2015" s="8" t="s">
        <v>4058</v>
      </c>
      <c r="F2015" s="8" t="s">
        <v>22</v>
      </c>
      <c r="G2015" s="10" t="s">
        <v>4644</v>
      </c>
      <c r="H2015" s="8" t="s">
        <v>4060</v>
      </c>
      <c r="I2015" s="10" t="s">
        <v>4061</v>
      </c>
      <c r="J2015" s="11" t="s">
        <v>33</v>
      </c>
      <c r="K2015" s="18">
        <v>18000</v>
      </c>
      <c r="L2015" s="12">
        <f t="shared" si="178"/>
        <v>25800</v>
      </c>
      <c r="M2015" s="8">
        <v>1</v>
      </c>
      <c r="N2015" s="8" t="s">
        <v>27</v>
      </c>
      <c r="O2015" s="13" t="s">
        <v>588</v>
      </c>
      <c r="P2015" s="14">
        <v>0.2</v>
      </c>
      <c r="Q2015" s="15">
        <v>0.3</v>
      </c>
      <c r="R2015" s="16" t="str">
        <f t="shared" si="179"/>
        <v>KOMODO</v>
      </c>
      <c r="S2015" s="17"/>
      <c r="T2015" s="10" t="str">
        <f t="shared" si="177"/>
        <v>INSTALACIÓN DE INTERRUPTOR O DIMMER.</v>
      </c>
    </row>
    <row r="2016" spans="1:20" ht="27" customHeight="1" x14ac:dyDescent="0.25">
      <c r="A2016" s="8" t="s">
        <v>3977</v>
      </c>
      <c r="B2016" s="9" t="s">
        <v>2515</v>
      </c>
      <c r="C2016" s="9"/>
      <c r="D2016" s="8" t="s">
        <v>4009</v>
      </c>
      <c r="E2016" s="8" t="s">
        <v>188</v>
      </c>
      <c r="F2016" s="8" t="s">
        <v>22</v>
      </c>
      <c r="G2016" s="10" t="s">
        <v>4062</v>
      </c>
      <c r="H2016" s="8" t="s">
        <v>4063</v>
      </c>
      <c r="I2016" s="10" t="s">
        <v>4064</v>
      </c>
      <c r="J2016" s="11" t="s">
        <v>33</v>
      </c>
      <c r="K2016" s="18">
        <v>18000</v>
      </c>
      <c r="L2016" s="12">
        <f t="shared" si="178"/>
        <v>25800</v>
      </c>
      <c r="M2016" s="8">
        <v>1</v>
      </c>
      <c r="N2016" s="8" t="s">
        <v>27</v>
      </c>
      <c r="O2016" s="13" t="s">
        <v>587</v>
      </c>
      <c r="P2016" s="14">
        <v>0.2</v>
      </c>
      <c r="Q2016" s="15">
        <v>0.3</v>
      </c>
      <c r="R2016" s="16" t="str">
        <f t="shared" si="179"/>
        <v>KOMODO</v>
      </c>
      <c r="S2016" s="17"/>
      <c r="T2016" s="10" t="str">
        <f t="shared" si="177"/>
        <v>INSTALACIÓN DE TECLADO DE CONTROL.</v>
      </c>
    </row>
    <row r="2017" spans="1:20" ht="27" customHeight="1" x14ac:dyDescent="0.25">
      <c r="A2017" s="8" t="s">
        <v>3977</v>
      </c>
      <c r="B2017" s="9" t="s">
        <v>2515</v>
      </c>
      <c r="C2017" s="9"/>
      <c r="D2017" s="8" t="s">
        <v>4009</v>
      </c>
      <c r="E2017" s="8" t="s">
        <v>4065</v>
      </c>
      <c r="F2017" s="8" t="s">
        <v>22</v>
      </c>
      <c r="G2017" s="10" t="s">
        <v>4066</v>
      </c>
      <c r="H2017" s="8" t="s">
        <v>4067</v>
      </c>
      <c r="I2017" s="10" t="s">
        <v>4068</v>
      </c>
      <c r="J2017" s="11" t="s">
        <v>33</v>
      </c>
      <c r="K2017" s="18">
        <v>125000</v>
      </c>
      <c r="L2017" s="12">
        <f t="shared" si="178"/>
        <v>178600</v>
      </c>
      <c r="M2017" s="8">
        <v>1</v>
      </c>
      <c r="N2017" s="8" t="s">
        <v>27</v>
      </c>
      <c r="O2017" s="13" t="s">
        <v>588</v>
      </c>
      <c r="P2017" s="14">
        <v>0.2</v>
      </c>
      <c r="Q2017" s="15">
        <v>0.3</v>
      </c>
      <c r="R2017" s="16" t="str">
        <f t="shared" si="179"/>
        <v>KOMODO</v>
      </c>
      <c r="S2017" s="17"/>
      <c r="T2017" s="10" t="str">
        <f t="shared" si="177"/>
        <v>INSTALACIÓN DE EQUIPO DE PRESENTACIÓN INALÁMBRICA.</v>
      </c>
    </row>
    <row r="2018" spans="1:20" ht="27" customHeight="1" x14ac:dyDescent="0.25">
      <c r="A2018" s="8" t="s">
        <v>3977</v>
      </c>
      <c r="B2018" s="9" t="s">
        <v>2515</v>
      </c>
      <c r="C2018" s="9"/>
      <c r="D2018" s="8" t="s">
        <v>4009</v>
      </c>
      <c r="E2018" s="8" t="s">
        <v>208</v>
      </c>
      <c r="F2018" s="8" t="s">
        <v>22</v>
      </c>
      <c r="G2018" s="10" t="s">
        <v>4069</v>
      </c>
      <c r="H2018" s="8" t="s">
        <v>4070</v>
      </c>
      <c r="I2018" s="10" t="s">
        <v>4069</v>
      </c>
      <c r="J2018" s="11" t="s">
        <v>33</v>
      </c>
      <c r="K2018" s="18">
        <v>150000</v>
      </c>
      <c r="L2018" s="12">
        <f t="shared" si="178"/>
        <v>214300</v>
      </c>
      <c r="M2018" s="8">
        <v>1</v>
      </c>
      <c r="N2018" s="8" t="s">
        <v>27</v>
      </c>
      <c r="O2018" s="13" t="s">
        <v>587</v>
      </c>
      <c r="P2018" s="14">
        <v>0.2</v>
      </c>
      <c r="Q2018" s="15">
        <v>0.3</v>
      </c>
      <c r="R2018" s="16" t="str">
        <f t="shared" si="179"/>
        <v>KOMODO</v>
      </c>
      <c r="S2018" s="17"/>
      <c r="T2018" s="10" t="str">
        <f t="shared" si="177"/>
        <v>PROGRAMACIÓN E INTEGRACIÓN DE PROYECTOR MEDIANTE PROTOCOLO RS_232 O IP.</v>
      </c>
    </row>
    <row r="2019" spans="1:20" ht="27" customHeight="1" x14ac:dyDescent="0.25">
      <c r="A2019" s="8" t="s">
        <v>3977</v>
      </c>
      <c r="B2019" s="9" t="s">
        <v>2515</v>
      </c>
      <c r="C2019" s="9"/>
      <c r="D2019" s="8" t="s">
        <v>4009</v>
      </c>
      <c r="E2019" s="8" t="s">
        <v>4071</v>
      </c>
      <c r="F2019" s="8" t="s">
        <v>22</v>
      </c>
      <c r="G2019" s="10" t="s">
        <v>4072</v>
      </c>
      <c r="H2019" s="8" t="s">
        <v>4073</v>
      </c>
      <c r="I2019" s="10" t="s">
        <v>4072</v>
      </c>
      <c r="J2019" s="11" t="s">
        <v>33</v>
      </c>
      <c r="K2019" s="18">
        <v>120000</v>
      </c>
      <c r="L2019" s="12">
        <f t="shared" si="178"/>
        <v>171500</v>
      </c>
      <c r="M2019" s="8">
        <v>1</v>
      </c>
      <c r="N2019" s="8" t="s">
        <v>27</v>
      </c>
      <c r="O2019" s="13" t="s">
        <v>588</v>
      </c>
      <c r="P2019" s="14">
        <v>0.2</v>
      </c>
      <c r="Q2019" s="15">
        <v>0.3</v>
      </c>
      <c r="R2019" s="16" t="str">
        <f t="shared" si="179"/>
        <v>KOMODO</v>
      </c>
      <c r="S2019" s="17"/>
      <c r="T2019" s="10" t="str">
        <f t="shared" si="177"/>
        <v>PROGRAMACIÓN E INTEGRACIÓN DE TV MEDIANTE PROTOCOLO IR.</v>
      </c>
    </row>
    <row r="2020" spans="1:20" ht="27" customHeight="1" x14ac:dyDescent="0.25">
      <c r="A2020" s="8" t="s">
        <v>3977</v>
      </c>
      <c r="B2020" s="9" t="s">
        <v>2515</v>
      </c>
      <c r="C2020" s="9"/>
      <c r="D2020" s="8" t="s">
        <v>4009</v>
      </c>
      <c r="E2020" s="8" t="s">
        <v>268</v>
      </c>
      <c r="F2020" s="8" t="s">
        <v>22</v>
      </c>
      <c r="G2020" s="10" t="s">
        <v>4074</v>
      </c>
      <c r="H2020" s="8" t="s">
        <v>4075</v>
      </c>
      <c r="I2020" s="10" t="s">
        <v>4074</v>
      </c>
      <c r="J2020" s="11" t="s">
        <v>33</v>
      </c>
      <c r="K2020" s="18">
        <v>95000</v>
      </c>
      <c r="L2020" s="12">
        <f t="shared" si="178"/>
        <v>135800</v>
      </c>
      <c r="M2020" s="8">
        <v>1</v>
      </c>
      <c r="N2020" s="8" t="s">
        <v>27</v>
      </c>
      <c r="O2020" s="13" t="s">
        <v>587</v>
      </c>
      <c r="P2020" s="14">
        <v>0.2</v>
      </c>
      <c r="Q2020" s="15">
        <v>0.3</v>
      </c>
      <c r="R2020" s="16" t="str">
        <f t="shared" si="179"/>
        <v>KOMODO</v>
      </c>
      <c r="S2020" s="17"/>
      <c r="T2020" s="10" t="str">
        <f t="shared" si="177"/>
        <v>INSTALACIÓN DE PANTALLA TÁCTIL, NO INCLUYE ACOMETIDAS U OBRAS CIVILES.</v>
      </c>
    </row>
    <row r="2021" spans="1:20" ht="27" customHeight="1" x14ac:dyDescent="0.25">
      <c r="A2021" s="8" t="s">
        <v>3977</v>
      </c>
      <c r="B2021" s="9" t="s">
        <v>2515</v>
      </c>
      <c r="C2021" s="9"/>
      <c r="D2021" s="8" t="s">
        <v>4009</v>
      </c>
      <c r="E2021" s="8" t="s">
        <v>4076</v>
      </c>
      <c r="F2021" s="8" t="s">
        <v>22</v>
      </c>
      <c r="G2021" s="10" t="s">
        <v>4077</v>
      </c>
      <c r="H2021" s="8" t="s">
        <v>4078</v>
      </c>
      <c r="I2021" s="10" t="s">
        <v>4077</v>
      </c>
      <c r="J2021" s="11" t="s">
        <v>33</v>
      </c>
      <c r="K2021" s="18">
        <v>950000</v>
      </c>
      <c r="L2021" s="12">
        <f t="shared" si="178"/>
        <v>1357200</v>
      </c>
      <c r="M2021" s="8">
        <v>1</v>
      </c>
      <c r="N2021" s="8" t="s">
        <v>27</v>
      </c>
      <c r="O2021" s="13" t="s">
        <v>588</v>
      </c>
      <c r="P2021" s="14">
        <v>0.2</v>
      </c>
      <c r="Q2021" s="15">
        <v>0.3</v>
      </c>
      <c r="R2021" s="16" t="str">
        <f t="shared" si="179"/>
        <v>KOMODO</v>
      </c>
      <c r="S2021" s="17"/>
      <c r="T2021" s="10" t="str">
        <f t="shared" si="177"/>
        <v>INSTALACIÓN DE SWITCH DE AUDIO Y VIDEO ALL IN ONE.</v>
      </c>
    </row>
    <row r="2022" spans="1:20" ht="27" customHeight="1" x14ac:dyDescent="0.25">
      <c r="A2022" s="8" t="s">
        <v>3977</v>
      </c>
      <c r="B2022" s="9" t="s">
        <v>2515</v>
      </c>
      <c r="C2022" s="9"/>
      <c r="D2022" s="8" t="s">
        <v>4009</v>
      </c>
      <c r="E2022" s="8" t="s">
        <v>4079</v>
      </c>
      <c r="F2022" s="8" t="s">
        <v>22</v>
      </c>
      <c r="G2022" s="10" t="s">
        <v>4080</v>
      </c>
      <c r="H2022" s="8" t="s">
        <v>4081</v>
      </c>
      <c r="I2022" s="10" t="s">
        <v>4080</v>
      </c>
      <c r="J2022" s="11" t="s">
        <v>33</v>
      </c>
      <c r="K2022" s="18">
        <v>95000</v>
      </c>
      <c r="L2022" s="12">
        <f t="shared" si="178"/>
        <v>158400</v>
      </c>
      <c r="M2022" s="8">
        <v>1</v>
      </c>
      <c r="N2022" s="8" t="s">
        <v>27</v>
      </c>
      <c r="O2022" s="13" t="s">
        <v>587</v>
      </c>
      <c r="P2022" s="14">
        <v>0.2</v>
      </c>
      <c r="Q2022" s="15">
        <v>0.4</v>
      </c>
      <c r="R2022" s="16" t="str">
        <f t="shared" si="179"/>
        <v>KOMODO</v>
      </c>
      <c r="S2022" s="17"/>
      <c r="T2022" s="10" t="str">
        <f t="shared" si="177"/>
        <v>INSTALACIÓN DE UNIDAD DE POTENCIA. NO INCLUYE ACOMETIDAS ELÉCTRICAS.</v>
      </c>
    </row>
    <row r="2023" spans="1:20" ht="27" customHeight="1" x14ac:dyDescent="0.25">
      <c r="A2023" s="8" t="s">
        <v>3977</v>
      </c>
      <c r="B2023" s="9" t="s">
        <v>2515</v>
      </c>
      <c r="C2023" s="9"/>
      <c r="D2023" s="8" t="s">
        <v>4009</v>
      </c>
      <c r="E2023" s="8" t="s">
        <v>4082</v>
      </c>
      <c r="F2023" s="8" t="s">
        <v>22</v>
      </c>
      <c r="G2023" s="10" t="s">
        <v>4083</v>
      </c>
      <c r="H2023" s="8" t="s">
        <v>4084</v>
      </c>
      <c r="I2023" s="10" t="s">
        <v>4085</v>
      </c>
      <c r="J2023" s="11" t="s">
        <v>33</v>
      </c>
      <c r="K2023" s="18">
        <v>150000</v>
      </c>
      <c r="L2023" s="12">
        <f t="shared" si="178"/>
        <v>250000</v>
      </c>
      <c r="M2023" s="8">
        <v>1</v>
      </c>
      <c r="N2023" s="8" t="s">
        <v>27</v>
      </c>
      <c r="O2023" s="13" t="s">
        <v>588</v>
      </c>
      <c r="P2023" s="14">
        <v>0.2</v>
      </c>
      <c r="Q2023" s="15">
        <v>0.4</v>
      </c>
      <c r="R2023" s="16" t="str">
        <f t="shared" si="179"/>
        <v>KOMODO</v>
      </c>
      <c r="S2023" s="17"/>
      <c r="T2023" s="10" t="str">
        <f t="shared" si="177"/>
        <v>INSTALACIÓN DE SOPORTE TIPO ASCENSOR PARA PROYECTOR.</v>
      </c>
    </row>
    <row r="2024" spans="1:20" ht="27" customHeight="1" x14ac:dyDescent="0.25">
      <c r="A2024" s="8" t="s">
        <v>3977</v>
      </c>
      <c r="B2024" s="9" t="s">
        <v>2515</v>
      </c>
      <c r="C2024" s="9"/>
      <c r="D2024" s="8" t="s">
        <v>4009</v>
      </c>
      <c r="E2024" s="8" t="s">
        <v>4086</v>
      </c>
      <c r="F2024" s="8" t="s">
        <v>22</v>
      </c>
      <c r="G2024" s="10" t="s">
        <v>4645</v>
      </c>
      <c r="H2024" s="8" t="s">
        <v>4088</v>
      </c>
      <c r="I2024" s="10" t="s">
        <v>4089</v>
      </c>
      <c r="J2024" s="11" t="s">
        <v>33</v>
      </c>
      <c r="K2024" s="18">
        <v>125000</v>
      </c>
      <c r="L2024" s="12">
        <f t="shared" si="178"/>
        <v>208400</v>
      </c>
      <c r="M2024" s="8">
        <v>1</v>
      </c>
      <c r="N2024" s="8" t="s">
        <v>27</v>
      </c>
      <c r="O2024" s="13" t="s">
        <v>587</v>
      </c>
      <c r="P2024" s="14">
        <v>0.2</v>
      </c>
      <c r="Q2024" s="15">
        <v>0.4</v>
      </c>
      <c r="R2024" s="16" t="str">
        <f t="shared" si="179"/>
        <v>KOMODO</v>
      </c>
      <c r="S2024" s="17"/>
      <c r="T2024" s="10" t="str">
        <f t="shared" si="177"/>
        <v>INSTALACIÓN DE TELÓN MOTORIZADO.</v>
      </c>
    </row>
    <row r="2025" spans="1:20" ht="27" customHeight="1" x14ac:dyDescent="0.25">
      <c r="A2025" s="8" t="s">
        <v>3977</v>
      </c>
      <c r="B2025" s="9" t="s">
        <v>2515</v>
      </c>
      <c r="C2025" s="9"/>
      <c r="D2025" s="8" t="s">
        <v>4009</v>
      </c>
      <c r="E2025" s="8" t="s">
        <v>4090</v>
      </c>
      <c r="F2025" s="8" t="s">
        <v>22</v>
      </c>
      <c r="G2025" s="10" t="s">
        <v>4646</v>
      </c>
      <c r="H2025" s="8" t="s">
        <v>4092</v>
      </c>
      <c r="I2025" s="10" t="s">
        <v>4093</v>
      </c>
      <c r="J2025" s="11" t="s">
        <v>33</v>
      </c>
      <c r="K2025" s="18">
        <f>35000*6</f>
        <v>210000</v>
      </c>
      <c r="L2025" s="12">
        <f t="shared" si="178"/>
        <v>350000</v>
      </c>
      <c r="M2025" s="8">
        <v>1</v>
      </c>
      <c r="N2025" s="8" t="s">
        <v>27</v>
      </c>
      <c r="O2025" s="13" t="s">
        <v>588</v>
      </c>
      <c r="P2025" s="14">
        <v>0.2</v>
      </c>
      <c r="Q2025" s="15">
        <v>0.4</v>
      </c>
      <c r="R2025" s="16" t="str">
        <f t="shared" si="179"/>
        <v>KOMODO</v>
      </c>
      <c r="S2025" s="17"/>
      <c r="T2025" s="10" t="str">
        <f t="shared" si="177"/>
        <v>INSTALACIÓN DE SISTEMA DE ALTAVOCES 5.1.</v>
      </c>
    </row>
    <row r="2026" spans="1:20" ht="27" customHeight="1" x14ac:dyDescent="0.25">
      <c r="A2026" s="8" t="s">
        <v>3977</v>
      </c>
      <c r="B2026" s="9" t="s">
        <v>2515</v>
      </c>
      <c r="C2026" s="9"/>
      <c r="D2026" s="8" t="s">
        <v>4009</v>
      </c>
      <c r="E2026" s="8">
        <v>5.0999999999999996</v>
      </c>
      <c r="F2026" s="8" t="s">
        <v>22</v>
      </c>
      <c r="G2026" s="10" t="s">
        <v>4646</v>
      </c>
      <c r="H2026" s="8" t="s">
        <v>4094</v>
      </c>
      <c r="I2026" s="10" t="s">
        <v>4095</v>
      </c>
      <c r="J2026" s="11" t="s">
        <v>33</v>
      </c>
      <c r="K2026" s="18">
        <v>125000</v>
      </c>
      <c r="L2026" s="12">
        <f t="shared" si="178"/>
        <v>208400</v>
      </c>
      <c r="M2026" s="8">
        <v>1</v>
      </c>
      <c r="N2026" s="8" t="s">
        <v>27</v>
      </c>
      <c r="O2026" s="13" t="s">
        <v>587</v>
      </c>
      <c r="P2026" s="14">
        <v>0.2</v>
      </c>
      <c r="Q2026" s="15">
        <v>0.4</v>
      </c>
      <c r="R2026" s="16" t="str">
        <f t="shared" si="179"/>
        <v>KOMODO</v>
      </c>
      <c r="S2026" s="17"/>
      <c r="T2026" s="10" t="str">
        <f t="shared" si="177"/>
        <v>INSTALACIÓN DE SISTEMA DE ALTAVOCES 5.1.</v>
      </c>
    </row>
    <row r="2027" spans="1:20" ht="27" customHeight="1" x14ac:dyDescent="0.25">
      <c r="A2027" s="8" t="s">
        <v>3977</v>
      </c>
      <c r="B2027" s="9" t="s">
        <v>2515</v>
      </c>
      <c r="C2027" s="9"/>
      <c r="D2027" s="8" t="s">
        <v>4009</v>
      </c>
      <c r="E2027" s="8" t="s">
        <v>4096</v>
      </c>
      <c r="F2027" s="8" t="s">
        <v>22</v>
      </c>
      <c r="G2027" s="10" t="s">
        <v>4647</v>
      </c>
      <c r="H2027" s="8" t="s">
        <v>4098</v>
      </c>
      <c r="I2027" s="10" t="s">
        <v>4099</v>
      </c>
      <c r="J2027" s="11" t="s">
        <v>33</v>
      </c>
      <c r="K2027" s="18">
        <v>65000</v>
      </c>
      <c r="L2027" s="12">
        <f t="shared" si="178"/>
        <v>108400</v>
      </c>
      <c r="M2027" s="8">
        <v>1</v>
      </c>
      <c r="N2027" s="8" t="s">
        <v>27</v>
      </c>
      <c r="O2027" s="13" t="s">
        <v>588</v>
      </c>
      <c r="P2027" s="14">
        <v>0.2</v>
      </c>
      <c r="Q2027" s="15">
        <v>0.4</v>
      </c>
      <c r="R2027" s="16" t="str">
        <f t="shared" si="179"/>
        <v>KOMODO</v>
      </c>
      <c r="S2027" s="17"/>
      <c r="T2027" s="10" t="str">
        <f t="shared" si="177"/>
        <v>INSTALACIÓN DE SISTEMA SOUND BAR.</v>
      </c>
    </row>
    <row r="2028" spans="1:20" ht="27" customHeight="1" x14ac:dyDescent="0.25">
      <c r="A2028" s="8" t="s">
        <v>3977</v>
      </c>
      <c r="B2028" s="9" t="s">
        <v>2515</v>
      </c>
      <c r="C2028" s="9"/>
      <c r="D2028" s="8" t="s">
        <v>4009</v>
      </c>
      <c r="E2028" s="8"/>
      <c r="F2028" s="8" t="s">
        <v>22</v>
      </c>
      <c r="G2028" s="10" t="s">
        <v>4100</v>
      </c>
      <c r="H2028" s="8" t="s">
        <v>4101</v>
      </c>
      <c r="I2028" s="10" t="s">
        <v>4100</v>
      </c>
      <c r="J2028" s="11" t="s">
        <v>33</v>
      </c>
      <c r="K2028" s="18">
        <v>55000</v>
      </c>
      <c r="L2028" s="12">
        <f t="shared" si="178"/>
        <v>110000</v>
      </c>
      <c r="M2028" s="8">
        <v>1</v>
      </c>
      <c r="N2028" s="8" t="s">
        <v>27</v>
      </c>
      <c r="O2028" s="13" t="s">
        <v>587</v>
      </c>
      <c r="P2028" s="14">
        <v>0.2</v>
      </c>
      <c r="Q2028" s="15">
        <v>0.5</v>
      </c>
      <c r="R2028" s="16" t="str">
        <f t="shared" si="179"/>
        <v>KOMODO</v>
      </c>
      <c r="S2028" s="17"/>
      <c r="T2028" s="10" t="str">
        <f t="shared" si="177"/>
        <v>INSTALACIÓN DE PANEL 0-10 VOLTIOS, DE LA SERIE QSN.</v>
      </c>
    </row>
    <row r="2029" spans="1:20" ht="27" customHeight="1" x14ac:dyDescent="0.25">
      <c r="A2029" s="8" t="s">
        <v>3977</v>
      </c>
      <c r="B2029" s="9" t="s">
        <v>2515</v>
      </c>
      <c r="C2029" s="9"/>
      <c r="D2029" s="8" t="s">
        <v>4009</v>
      </c>
      <c r="E2029" s="8"/>
      <c r="F2029" s="8" t="s">
        <v>22</v>
      </c>
      <c r="G2029" s="10" t="s">
        <v>4102</v>
      </c>
      <c r="H2029" s="8" t="s">
        <v>4103</v>
      </c>
      <c r="I2029" s="10" t="s">
        <v>4102</v>
      </c>
      <c r="J2029" s="11" t="s">
        <v>33</v>
      </c>
      <c r="K2029" s="18">
        <v>55000</v>
      </c>
      <c r="L2029" s="12">
        <f t="shared" si="178"/>
        <v>110000</v>
      </c>
      <c r="M2029" s="8">
        <v>1</v>
      </c>
      <c r="N2029" s="8" t="s">
        <v>27</v>
      </c>
      <c r="O2029" s="13" t="s">
        <v>588</v>
      </c>
      <c r="P2029" s="14">
        <v>0.2</v>
      </c>
      <c r="Q2029" s="15">
        <v>0.5</v>
      </c>
      <c r="R2029" s="16" t="str">
        <f t="shared" si="179"/>
        <v>KOMODO</v>
      </c>
      <c r="S2029" s="17"/>
      <c r="T2029" s="10" t="str">
        <f t="shared" si="177"/>
        <v>INSTALACIÓN DE PANEL DE 4 INTERRUPTORES DE LA SERIE QSN.</v>
      </c>
    </row>
    <row r="2030" spans="1:20" ht="27" customHeight="1" x14ac:dyDescent="0.25">
      <c r="A2030" s="8" t="s">
        <v>3977</v>
      </c>
      <c r="B2030" s="9" t="s">
        <v>2515</v>
      </c>
      <c r="C2030" s="9"/>
      <c r="D2030" s="8" t="s">
        <v>4009</v>
      </c>
      <c r="E2030" s="8"/>
      <c r="F2030" s="8" t="s">
        <v>22</v>
      </c>
      <c r="G2030" s="10" t="s">
        <v>4104</v>
      </c>
      <c r="H2030" s="8" t="s">
        <v>4105</v>
      </c>
      <c r="I2030" s="10" t="s">
        <v>4106</v>
      </c>
      <c r="J2030" s="11" t="s">
        <v>26</v>
      </c>
      <c r="K2030" s="18">
        <v>45</v>
      </c>
      <c r="L2030" s="12">
        <f t="shared" si="178"/>
        <v>73.972602739726028</v>
      </c>
      <c r="M2030" s="8">
        <v>1</v>
      </c>
      <c r="N2030" s="8" t="s">
        <v>27</v>
      </c>
      <c r="O2030" s="13" t="s">
        <v>587</v>
      </c>
      <c r="P2030" s="14">
        <v>0.2</v>
      </c>
      <c r="Q2030" s="15">
        <v>0.27</v>
      </c>
      <c r="R2030" s="16" t="str">
        <f t="shared" si="179"/>
        <v>KOMODO</v>
      </c>
      <c r="S2030" s="17"/>
      <c r="T2030" s="10" t="str">
        <f t="shared" si="177"/>
        <v>INSTALACIÓN DE PROYECTOR EN SOPORTE FIJO.</v>
      </c>
    </row>
    <row r="2031" spans="1:20" ht="27" customHeight="1" x14ac:dyDescent="0.25">
      <c r="A2031" s="8" t="s">
        <v>3977</v>
      </c>
      <c r="B2031" s="9" t="s">
        <v>2515</v>
      </c>
      <c r="C2031" s="9"/>
      <c r="D2031" s="8" t="s">
        <v>4009</v>
      </c>
      <c r="E2031" s="8"/>
      <c r="F2031" s="8" t="s">
        <v>22</v>
      </c>
      <c r="G2031" s="10" t="s">
        <v>4107</v>
      </c>
      <c r="H2031" s="8" t="s">
        <v>4108</v>
      </c>
      <c r="I2031" s="10" t="s">
        <v>4109</v>
      </c>
      <c r="J2031" s="11" t="s">
        <v>26</v>
      </c>
      <c r="K2031" s="18">
        <v>80</v>
      </c>
      <c r="L2031" s="12">
        <f t="shared" si="178"/>
        <v>133.33333333333334</v>
      </c>
      <c r="M2031" s="8">
        <v>1</v>
      </c>
      <c r="N2031" s="8" t="s">
        <v>27</v>
      </c>
      <c r="O2031" s="13" t="s">
        <v>588</v>
      </c>
      <c r="P2031" s="14">
        <v>0.2</v>
      </c>
      <c r="Q2031" s="15">
        <v>0.28000000000000003</v>
      </c>
      <c r="R2031" s="16" t="str">
        <f t="shared" si="179"/>
        <v>KOMODO</v>
      </c>
      <c r="S2031" s="17"/>
      <c r="T2031" s="10" t="str">
        <f t="shared" si="177"/>
        <v>INSTALACIÓN DE TELÓN MOTORIZADO EN TECHO.</v>
      </c>
    </row>
    <row r="2032" spans="1:20" ht="27" customHeight="1" x14ac:dyDescent="0.25">
      <c r="A2032" s="8" t="s">
        <v>3977</v>
      </c>
      <c r="B2032" s="9" t="s">
        <v>2515</v>
      </c>
      <c r="C2032" s="9"/>
      <c r="D2032" s="8" t="s">
        <v>4009</v>
      </c>
      <c r="E2032" s="8"/>
      <c r="F2032" s="8" t="s">
        <v>22</v>
      </c>
      <c r="G2032" s="10" t="s">
        <v>4110</v>
      </c>
      <c r="H2032" s="8" t="s">
        <v>4111</v>
      </c>
      <c r="I2032" s="10" t="s">
        <v>4112</v>
      </c>
      <c r="J2032" s="11" t="s">
        <v>33</v>
      </c>
      <c r="K2032" s="18">
        <v>15000</v>
      </c>
      <c r="L2032" s="12">
        <f t="shared" si="178"/>
        <v>25000</v>
      </c>
      <c r="M2032" s="8">
        <v>1</v>
      </c>
      <c r="N2032" s="8" t="s">
        <v>27</v>
      </c>
      <c r="O2032" s="13" t="s">
        <v>587</v>
      </c>
      <c r="P2032" s="14">
        <v>0.2</v>
      </c>
      <c r="Q2032" s="15">
        <v>0.4</v>
      </c>
      <c r="R2032" s="16" t="str">
        <f t="shared" si="179"/>
        <v>KOMODO</v>
      </c>
      <c r="S2032" s="17"/>
      <c r="T2032" s="10" t="str">
        <f t="shared" si="177"/>
        <v>INSTALACIÓN DE LÁMPARA TIPO LED EN ESTRUCTURA TIPO DRYWALL O MODULAR.</v>
      </c>
    </row>
    <row r="2033" spans="1:20" ht="27" customHeight="1" x14ac:dyDescent="0.25">
      <c r="A2033" s="8" t="s">
        <v>3977</v>
      </c>
      <c r="B2033" s="9" t="s">
        <v>2515</v>
      </c>
      <c r="C2033" s="9"/>
      <c r="D2033" s="8" t="s">
        <v>4009</v>
      </c>
      <c r="E2033" s="8"/>
      <c r="F2033" s="8" t="s">
        <v>22</v>
      </c>
      <c r="G2033" s="10" t="s">
        <v>4648</v>
      </c>
      <c r="H2033" s="8" t="s">
        <v>4114</v>
      </c>
      <c r="I2033" s="10" t="s">
        <v>4115</v>
      </c>
      <c r="J2033" s="11" t="s">
        <v>33</v>
      </c>
      <c r="K2033" s="18">
        <v>45000</v>
      </c>
      <c r="L2033" s="12">
        <f t="shared" si="178"/>
        <v>75000</v>
      </c>
      <c r="M2033" s="8">
        <v>1</v>
      </c>
      <c r="N2033" s="8" t="s">
        <v>27</v>
      </c>
      <c r="O2033" s="13" t="s">
        <v>588</v>
      </c>
      <c r="P2033" s="14">
        <v>0.2</v>
      </c>
      <c r="Q2033" s="15">
        <v>0.4</v>
      </c>
      <c r="R2033" s="16" t="str">
        <f t="shared" si="179"/>
        <v>KOMODO</v>
      </c>
      <c r="S2033" s="17"/>
      <c r="T2033" s="10" t="str">
        <f t="shared" si="177"/>
        <v>INSTALACIÓN DE SALIDA PARA CÁMARA INTERIOR.</v>
      </c>
    </row>
    <row r="2034" spans="1:20" ht="27" customHeight="1" x14ac:dyDescent="0.25">
      <c r="A2034" s="8" t="s">
        <v>3977</v>
      </c>
      <c r="B2034" s="9" t="s">
        <v>2515</v>
      </c>
      <c r="C2034" s="9"/>
      <c r="D2034" s="8" t="s">
        <v>4009</v>
      </c>
      <c r="E2034" s="8"/>
      <c r="F2034" s="8" t="s">
        <v>22</v>
      </c>
      <c r="G2034" s="10" t="s">
        <v>4649</v>
      </c>
      <c r="H2034" s="8" t="s">
        <v>4117</v>
      </c>
      <c r="I2034" s="10" t="s">
        <v>4118</v>
      </c>
      <c r="J2034" s="11" t="s">
        <v>33</v>
      </c>
      <c r="K2034" s="18">
        <v>80000</v>
      </c>
      <c r="L2034" s="12">
        <f t="shared" si="178"/>
        <v>133400</v>
      </c>
      <c r="M2034" s="8">
        <v>1</v>
      </c>
      <c r="N2034" s="8" t="s">
        <v>27</v>
      </c>
      <c r="O2034" s="13" t="s">
        <v>587</v>
      </c>
      <c r="P2034" s="14">
        <v>0.2</v>
      </c>
      <c r="Q2034" s="15">
        <v>0.4</v>
      </c>
      <c r="R2034" s="16" t="str">
        <f t="shared" si="179"/>
        <v>KOMODO</v>
      </c>
      <c r="S2034" s="17"/>
      <c r="T2034" s="10" t="str">
        <f t="shared" si="177"/>
        <v>INSTALACIÓN DE SALIDA PARA CÁMARA DE EXTERIOR.</v>
      </c>
    </row>
    <row r="2035" spans="1:20" ht="27" customHeight="1" x14ac:dyDescent="0.25">
      <c r="A2035" s="8" t="s">
        <v>3977</v>
      </c>
      <c r="B2035" s="9" t="s">
        <v>2515</v>
      </c>
      <c r="C2035" s="9"/>
      <c r="D2035" s="8" t="s">
        <v>4009</v>
      </c>
      <c r="E2035" s="8"/>
      <c r="F2035" s="8" t="s">
        <v>22</v>
      </c>
      <c r="G2035" s="10" t="s">
        <v>4650</v>
      </c>
      <c r="H2035" s="8" t="s">
        <v>4120</v>
      </c>
      <c r="I2035" s="10" t="s">
        <v>4121</v>
      </c>
      <c r="J2035" s="11" t="s">
        <v>33</v>
      </c>
      <c r="K2035" s="18">
        <v>15000</v>
      </c>
      <c r="L2035" s="12">
        <f t="shared" si="178"/>
        <v>25000</v>
      </c>
      <c r="M2035" s="8">
        <v>1</v>
      </c>
      <c r="N2035" s="8" t="s">
        <v>27</v>
      </c>
      <c r="O2035" s="13" t="s">
        <v>588</v>
      </c>
      <c r="P2035" s="14">
        <v>0.2</v>
      </c>
      <c r="Q2035" s="15">
        <v>0.4</v>
      </c>
      <c r="R2035" s="16" t="str">
        <f t="shared" si="179"/>
        <v>KOMODO</v>
      </c>
      <c r="S2035" s="17"/>
      <c r="T2035" s="10" t="str">
        <f t="shared" si="177"/>
        <v>INSTALACIÓN DE SENSOR DE PRESENCIA.</v>
      </c>
    </row>
    <row r="2036" spans="1:20" ht="27" customHeight="1" x14ac:dyDescent="0.25">
      <c r="A2036" s="8" t="s">
        <v>3977</v>
      </c>
      <c r="B2036" s="9" t="s">
        <v>2515</v>
      </c>
      <c r="C2036" s="9"/>
      <c r="D2036" s="8" t="s">
        <v>4009</v>
      </c>
      <c r="E2036" s="8"/>
      <c r="F2036" s="8" t="s">
        <v>22</v>
      </c>
      <c r="G2036" s="10" t="s">
        <v>4122</v>
      </c>
      <c r="H2036" s="8" t="s">
        <v>4123</v>
      </c>
      <c r="I2036" s="10" t="s">
        <v>4122</v>
      </c>
      <c r="J2036" s="11" t="s">
        <v>33</v>
      </c>
      <c r="K2036" s="18">
        <v>18000</v>
      </c>
      <c r="L2036" s="12">
        <f t="shared" si="178"/>
        <v>30000</v>
      </c>
      <c r="M2036" s="8">
        <v>1</v>
      </c>
      <c r="N2036" s="8" t="s">
        <v>27</v>
      </c>
      <c r="O2036" s="13" t="s">
        <v>587</v>
      </c>
      <c r="P2036" s="14">
        <v>0.2</v>
      </c>
      <c r="Q2036" s="15">
        <v>0.4</v>
      </c>
      <c r="R2036" s="16" t="str">
        <f t="shared" si="179"/>
        <v>KOMODO</v>
      </c>
      <c r="S2036" s="17"/>
      <c r="T2036" s="10" t="str">
        <f t="shared" si="177"/>
        <v>INSTALACIÓN DE CAJA ELÉCTRICA FIGURADA.</v>
      </c>
    </row>
    <row r="2037" spans="1:20" ht="27" customHeight="1" x14ac:dyDescent="0.25">
      <c r="A2037" s="8" t="s">
        <v>3977</v>
      </c>
      <c r="B2037" s="9" t="s">
        <v>2515</v>
      </c>
      <c r="C2037" s="9"/>
      <c r="D2037" s="8" t="s">
        <v>4009</v>
      </c>
      <c r="E2037" s="8"/>
      <c r="F2037" s="8" t="s">
        <v>22</v>
      </c>
      <c r="G2037" s="10" t="s">
        <v>4124</v>
      </c>
      <c r="H2037" s="8" t="s">
        <v>4125</v>
      </c>
      <c r="I2037" s="10" t="s">
        <v>4124</v>
      </c>
      <c r="J2037" s="11" t="s">
        <v>33</v>
      </c>
      <c r="K2037" s="18">
        <v>20000</v>
      </c>
      <c r="L2037" s="12">
        <f t="shared" si="178"/>
        <v>33400</v>
      </c>
      <c r="M2037" s="8">
        <v>1</v>
      </c>
      <c r="N2037" s="8" t="s">
        <v>27</v>
      </c>
      <c r="O2037" s="13" t="s">
        <v>588</v>
      </c>
      <c r="P2037" s="14">
        <v>0.2</v>
      </c>
      <c r="Q2037" s="15">
        <v>0.4</v>
      </c>
      <c r="R2037" s="16" t="str">
        <f t="shared" si="179"/>
        <v>KOMODO</v>
      </c>
      <c r="S2037" s="17"/>
      <c r="T2037" s="10" t="str">
        <f t="shared" si="177"/>
        <v>INSTALACIÓN DE CONTACTOR PARA COMO INTERRUPTOR DE CARGAS.</v>
      </c>
    </row>
    <row r="2038" spans="1:20" ht="27" customHeight="1" x14ac:dyDescent="0.25">
      <c r="A2038" s="8" t="s">
        <v>3977</v>
      </c>
      <c r="B2038" s="9" t="s">
        <v>2515</v>
      </c>
      <c r="C2038" s="9"/>
      <c r="D2038" s="8" t="s">
        <v>4009</v>
      </c>
      <c r="E2038" s="8"/>
      <c r="F2038" s="8" t="s">
        <v>22</v>
      </c>
      <c r="G2038" s="10" t="s">
        <v>4126</v>
      </c>
      <c r="H2038" s="8" t="s">
        <v>4127</v>
      </c>
      <c r="I2038" s="10" t="s">
        <v>4128</v>
      </c>
      <c r="J2038" s="11" t="s">
        <v>33</v>
      </c>
      <c r="K2038" s="18">
        <f>250000</f>
        <v>250000</v>
      </c>
      <c r="L2038" s="12">
        <f t="shared" si="178"/>
        <v>416700</v>
      </c>
      <c r="M2038" s="8">
        <v>1</v>
      </c>
      <c r="N2038" s="8" t="s">
        <v>27</v>
      </c>
      <c r="O2038" s="13" t="s">
        <v>587</v>
      </c>
      <c r="P2038" s="14">
        <v>0.2</v>
      </c>
      <c r="Q2038" s="15">
        <v>0.4</v>
      </c>
      <c r="R2038" s="16" t="str">
        <f t="shared" si="179"/>
        <v>KOMODO</v>
      </c>
      <c r="S2038" s="17"/>
      <c r="T2038" s="10" t="str">
        <f t="shared" si="177"/>
        <v>INSTALACIÓN DE CONTROL DE ACCESO PARA DOS PUERTAS.</v>
      </c>
    </row>
    <row r="2039" spans="1:20" ht="27" customHeight="1" x14ac:dyDescent="0.25">
      <c r="A2039" s="8" t="s">
        <v>3977</v>
      </c>
      <c r="B2039" s="9" t="s">
        <v>2515</v>
      </c>
      <c r="C2039" s="9"/>
      <c r="D2039" s="8" t="s">
        <v>4009</v>
      </c>
      <c r="E2039" s="8"/>
      <c r="F2039" s="8" t="s">
        <v>22</v>
      </c>
      <c r="G2039" s="10" t="s">
        <v>4651</v>
      </c>
      <c r="H2039" s="8" t="s">
        <v>4130</v>
      </c>
      <c r="I2039" s="10" t="s">
        <v>4131</v>
      </c>
      <c r="J2039" s="11" t="s">
        <v>26</v>
      </c>
      <c r="K2039" s="18">
        <v>15</v>
      </c>
      <c r="L2039" s="12">
        <f t="shared" si="178"/>
        <v>22.5</v>
      </c>
      <c r="M2039" s="8">
        <v>1</v>
      </c>
      <c r="N2039" s="8" t="s">
        <v>27</v>
      </c>
      <c r="O2039" s="13" t="s">
        <v>588</v>
      </c>
      <c r="P2039" s="14">
        <v>0.2</v>
      </c>
      <c r="Q2039" s="15">
        <v>0.2</v>
      </c>
      <c r="R2039" s="16" t="str">
        <f t="shared" si="179"/>
        <v>KOMODO</v>
      </c>
      <c r="S2039" s="17"/>
      <c r="T2039" s="10" t="str">
        <f t="shared" si="177"/>
        <v>INSTALACIÓN DE EQUIPO AIRPORT.</v>
      </c>
    </row>
    <row r="2040" spans="1:20" ht="27" customHeight="1" x14ac:dyDescent="0.25">
      <c r="A2040" s="8" t="s">
        <v>3977</v>
      </c>
      <c r="B2040" s="9" t="s">
        <v>2515</v>
      </c>
      <c r="C2040" s="9"/>
      <c r="D2040" s="8" t="s">
        <v>4009</v>
      </c>
      <c r="E2040" s="8"/>
      <c r="F2040" s="8" t="s">
        <v>22</v>
      </c>
      <c r="G2040" s="10" t="s">
        <v>4132</v>
      </c>
      <c r="H2040" s="8" t="s">
        <v>4133</v>
      </c>
      <c r="I2040" s="10" t="s">
        <v>4132</v>
      </c>
      <c r="J2040" s="11" t="s">
        <v>26</v>
      </c>
      <c r="K2040" s="18">
        <v>50</v>
      </c>
      <c r="L2040" s="12">
        <f t="shared" si="178"/>
        <v>75</v>
      </c>
      <c r="M2040" s="8">
        <v>1</v>
      </c>
      <c r="N2040" s="8" t="s">
        <v>27</v>
      </c>
      <c r="O2040" s="13" t="s">
        <v>587</v>
      </c>
      <c r="P2040" s="14">
        <v>0.2</v>
      </c>
      <c r="Q2040" s="15">
        <v>0.2</v>
      </c>
      <c r="R2040" s="16" t="str">
        <f t="shared" si="179"/>
        <v>KOMODO</v>
      </c>
      <c r="S2040" s="17"/>
      <c r="T2040" s="10" t="str">
        <f t="shared" si="177"/>
        <v>INSTALACIÓN DE PROCESADOR HOMEWORKS QS. INCLUYE SEGUIMIENTO DE OBRA.</v>
      </c>
    </row>
    <row r="2041" spans="1:20" ht="27" customHeight="1" x14ac:dyDescent="0.25">
      <c r="A2041" s="8" t="s">
        <v>3977</v>
      </c>
      <c r="B2041" s="9" t="s">
        <v>2515</v>
      </c>
      <c r="C2041" s="9"/>
      <c r="D2041" s="8" t="s">
        <v>4009</v>
      </c>
      <c r="E2041" s="8"/>
      <c r="F2041" s="8" t="s">
        <v>22</v>
      </c>
      <c r="G2041" s="10" t="s">
        <v>4652</v>
      </c>
      <c r="H2041" s="8" t="s">
        <v>4135</v>
      </c>
      <c r="I2041" s="10" t="s">
        <v>4136</v>
      </c>
      <c r="J2041" s="11" t="s">
        <v>33</v>
      </c>
      <c r="K2041" s="18">
        <v>3000</v>
      </c>
      <c r="L2041" s="12">
        <f t="shared" si="178"/>
        <v>6000</v>
      </c>
      <c r="M2041" s="8">
        <v>1</v>
      </c>
      <c r="N2041" s="8" t="s">
        <v>27</v>
      </c>
      <c r="O2041" s="13" t="s">
        <v>588</v>
      </c>
      <c r="P2041" s="14">
        <v>0.2</v>
      </c>
      <c r="Q2041" s="15">
        <v>0.5</v>
      </c>
      <c r="R2041" s="16" t="str">
        <f t="shared" si="179"/>
        <v>KOMODO</v>
      </c>
      <c r="S2041" s="17"/>
      <c r="T2041" s="10" t="str">
        <f t="shared" ref="T2041:T2104" si="180">G2041</f>
        <v>INSTALACIÓN DE METRO LINEAL DE TUBERÍA MT DE SOBRE PONER.</v>
      </c>
    </row>
    <row r="2042" spans="1:20" ht="27" customHeight="1" x14ac:dyDescent="0.25">
      <c r="A2042" s="8" t="s">
        <v>3977</v>
      </c>
      <c r="B2042" s="9" t="s">
        <v>2515</v>
      </c>
      <c r="C2042" s="9"/>
      <c r="D2042" s="8" t="s">
        <v>4009</v>
      </c>
      <c r="E2042" s="8"/>
      <c r="F2042" s="8" t="s">
        <v>22</v>
      </c>
      <c r="G2042" s="10" t="s">
        <v>4137</v>
      </c>
      <c r="H2042" s="8" t="s">
        <v>4138</v>
      </c>
      <c r="I2042" s="10" t="s">
        <v>4137</v>
      </c>
      <c r="J2042" s="11" t="s">
        <v>33</v>
      </c>
      <c r="K2042" s="18">
        <v>3000</v>
      </c>
      <c r="L2042" s="12">
        <f t="shared" si="178"/>
        <v>6000</v>
      </c>
      <c r="M2042" s="8">
        <v>1</v>
      </c>
      <c r="N2042" s="8" t="s">
        <v>27</v>
      </c>
      <c r="O2042" s="13" t="s">
        <v>587</v>
      </c>
      <c r="P2042" s="14">
        <v>0.2</v>
      </c>
      <c r="Q2042" s="15">
        <v>0.5</v>
      </c>
      <c r="R2042" s="16" t="str">
        <f t="shared" si="179"/>
        <v>KOMODO</v>
      </c>
      <c r="S2042" s="17"/>
      <c r="T2042" s="10" t="str">
        <f t="shared" si="180"/>
        <v>INSTALACIÓN DE CAJA DE SOBRE PONER</v>
      </c>
    </row>
    <row r="2043" spans="1:20" ht="27" customHeight="1" x14ac:dyDescent="0.25">
      <c r="A2043" s="8" t="s">
        <v>3977</v>
      </c>
      <c r="B2043" s="9" t="s">
        <v>2515</v>
      </c>
      <c r="C2043" s="9"/>
      <c r="D2043" s="8" t="s">
        <v>4009</v>
      </c>
      <c r="E2043" s="8"/>
      <c r="F2043" s="8" t="s">
        <v>22</v>
      </c>
      <c r="G2043" s="10" t="s">
        <v>4137</v>
      </c>
      <c r="H2043" s="8" t="s">
        <v>4138</v>
      </c>
      <c r="I2043" s="10" t="s">
        <v>4137</v>
      </c>
      <c r="J2043" s="11" t="s">
        <v>33</v>
      </c>
      <c r="K2043" s="18">
        <v>3000</v>
      </c>
      <c r="L2043" s="12">
        <f t="shared" ref="L2043:L2106" si="181">IF(J2043="P",ROUNDUP(K2043/(1-Q2043),-2),K2043*(1+P2043)/(1-Q2043))</f>
        <v>6000</v>
      </c>
      <c r="M2043" s="8">
        <v>1</v>
      </c>
      <c r="N2043" s="8" t="s">
        <v>27</v>
      </c>
      <c r="O2043" s="13" t="s">
        <v>588</v>
      </c>
      <c r="P2043" s="14">
        <v>0.2</v>
      </c>
      <c r="Q2043" s="15">
        <v>0.5</v>
      </c>
      <c r="R2043" s="16" t="str">
        <f t="shared" si="179"/>
        <v>KOMODO</v>
      </c>
      <c r="S2043" s="17"/>
      <c r="T2043" s="10" t="str">
        <f t="shared" si="180"/>
        <v>INSTALACIÓN DE CAJA DE SOBRE PONER</v>
      </c>
    </row>
    <row r="2044" spans="1:20" ht="27" customHeight="1" x14ac:dyDescent="0.25">
      <c r="A2044" s="8" t="s">
        <v>3977</v>
      </c>
      <c r="B2044" s="9" t="s">
        <v>2515</v>
      </c>
      <c r="C2044" s="9"/>
      <c r="D2044" s="8" t="s">
        <v>4009</v>
      </c>
      <c r="E2044" s="8"/>
      <c r="F2044" s="8" t="s">
        <v>22</v>
      </c>
      <c r="G2044" s="10" t="s">
        <v>4139</v>
      </c>
      <c r="H2044" s="8" t="s">
        <v>4140</v>
      </c>
      <c r="I2044" s="10" t="s">
        <v>4141</v>
      </c>
      <c r="J2044" s="11" t="s">
        <v>33</v>
      </c>
      <c r="K2044" s="18">
        <v>9000</v>
      </c>
      <c r="L2044" s="12">
        <f t="shared" si="181"/>
        <v>18000</v>
      </c>
      <c r="M2044" s="8">
        <v>1</v>
      </c>
      <c r="N2044" s="8" t="s">
        <v>27</v>
      </c>
      <c r="O2044" s="13" t="s">
        <v>587</v>
      </c>
      <c r="P2044" s="14">
        <v>0.2</v>
      </c>
      <c r="Q2044" s="15">
        <v>0.5</v>
      </c>
      <c r="R2044" s="16" t="str">
        <f t="shared" si="179"/>
        <v>KOMODO</v>
      </c>
      <c r="S2044" s="17"/>
      <c r="T2044" s="10" t="str">
        <f t="shared" si="180"/>
        <v>INSTALACIÓN DE LÁMPARA HERMÉTICA CON VARILLA ROSCADA A PLACA.</v>
      </c>
    </row>
    <row r="2045" spans="1:20" ht="27" customHeight="1" x14ac:dyDescent="0.25">
      <c r="A2045" s="8" t="s">
        <v>3977</v>
      </c>
      <c r="B2045" s="9" t="s">
        <v>2515</v>
      </c>
      <c r="C2045" s="9"/>
      <c r="D2045" s="8" t="s">
        <v>4009</v>
      </c>
      <c r="E2045" s="8"/>
      <c r="F2045" s="8" t="s">
        <v>22</v>
      </c>
      <c r="G2045" s="10" t="s">
        <v>4653</v>
      </c>
      <c r="H2045" s="8" t="s">
        <v>4143</v>
      </c>
      <c r="I2045" s="10" t="s">
        <v>4144</v>
      </c>
      <c r="J2045" s="11" t="s">
        <v>33</v>
      </c>
      <c r="K2045" s="18">
        <v>50000</v>
      </c>
      <c r="L2045" s="12">
        <f t="shared" si="181"/>
        <v>83400</v>
      </c>
      <c r="M2045" s="8">
        <v>1</v>
      </c>
      <c r="N2045" s="8" t="s">
        <v>27</v>
      </c>
      <c r="O2045" s="13" t="s">
        <v>588</v>
      </c>
      <c r="P2045" s="14">
        <v>0.2</v>
      </c>
      <c r="Q2045" s="15">
        <v>0.4</v>
      </c>
      <c r="R2045" s="16" t="str">
        <f t="shared" si="179"/>
        <v>KOMODO</v>
      </c>
      <c r="S2045" s="17"/>
      <c r="T2045" s="10" t="str">
        <f t="shared" si="180"/>
        <v>INSTALACIÓN DE ROUTER EN RACK DE EQUIPOS.</v>
      </c>
    </row>
    <row r="2046" spans="1:20" ht="27" customHeight="1" x14ac:dyDescent="0.25">
      <c r="A2046" s="8" t="s">
        <v>3977</v>
      </c>
      <c r="B2046" s="9" t="s">
        <v>2515</v>
      </c>
      <c r="C2046" s="9"/>
      <c r="D2046" s="8" t="s">
        <v>4009</v>
      </c>
      <c r="E2046" s="8"/>
      <c r="F2046" s="8" t="s">
        <v>22</v>
      </c>
      <c r="G2046" s="10" t="s">
        <v>4145</v>
      </c>
      <c r="H2046" s="8" t="s">
        <v>4146</v>
      </c>
      <c r="I2046" s="10" t="s">
        <v>4147</v>
      </c>
      <c r="J2046" s="11" t="s">
        <v>33</v>
      </c>
      <c r="K2046" s="18">
        <v>85000</v>
      </c>
      <c r="L2046" s="12">
        <f t="shared" si="181"/>
        <v>141700</v>
      </c>
      <c r="M2046" s="8">
        <v>1</v>
      </c>
      <c r="N2046" s="8" t="s">
        <v>27</v>
      </c>
      <c r="O2046" s="13" t="s">
        <v>587</v>
      </c>
      <c r="P2046" s="14">
        <v>0.2</v>
      </c>
      <c r="Q2046" s="15">
        <v>0.4</v>
      </c>
      <c r="R2046" s="16" t="str">
        <f t="shared" si="179"/>
        <v>KOMODO</v>
      </c>
      <c r="S2046" s="17"/>
      <c r="T2046" s="10" t="str">
        <f t="shared" si="180"/>
        <v>INSTALACIÓN DE PUNTO DE ACCESO INALÁMBRICO EN POSTES.</v>
      </c>
    </row>
    <row r="2047" spans="1:20" ht="27" customHeight="1" x14ac:dyDescent="0.25">
      <c r="A2047" s="8" t="s">
        <v>3977</v>
      </c>
      <c r="B2047" s="9" t="s">
        <v>2515</v>
      </c>
      <c r="C2047" s="9"/>
      <c r="D2047" s="8" t="s">
        <v>4009</v>
      </c>
      <c r="E2047" s="8"/>
      <c r="F2047" s="8" t="s">
        <v>22</v>
      </c>
      <c r="G2047" s="10" t="s">
        <v>4148</v>
      </c>
      <c r="H2047" s="8" t="s">
        <v>4149</v>
      </c>
      <c r="I2047" s="10" t="s">
        <v>4150</v>
      </c>
      <c r="J2047" s="11" t="s">
        <v>33</v>
      </c>
      <c r="K2047" s="18">
        <v>60000</v>
      </c>
      <c r="L2047" s="12">
        <f t="shared" si="181"/>
        <v>100000</v>
      </c>
      <c r="M2047" s="8">
        <v>1</v>
      </c>
      <c r="N2047" s="8" t="s">
        <v>27</v>
      </c>
      <c r="O2047" s="13" t="s">
        <v>588</v>
      </c>
      <c r="P2047" s="14">
        <v>0.2</v>
      </c>
      <c r="Q2047" s="15">
        <v>0.4</v>
      </c>
      <c r="R2047" s="16" t="str">
        <f t="shared" si="179"/>
        <v>KOMODO</v>
      </c>
      <c r="S2047" s="17"/>
      <c r="T2047" s="10" t="str">
        <f t="shared" si="180"/>
        <v>INSTALACIÓN DE PUNTO DE ACCESO INALÁMBRICO EN INTERIOR.</v>
      </c>
    </row>
    <row r="2048" spans="1:20" ht="27" customHeight="1" x14ac:dyDescent="0.25">
      <c r="A2048" s="8" t="s">
        <v>3977</v>
      </c>
      <c r="B2048" s="9" t="s">
        <v>2515</v>
      </c>
      <c r="C2048" s="9"/>
      <c r="D2048" s="8" t="s">
        <v>4009</v>
      </c>
      <c r="E2048" s="8"/>
      <c r="F2048" s="8" t="s">
        <v>22</v>
      </c>
      <c r="G2048" s="10" t="s">
        <v>4151</v>
      </c>
      <c r="H2048" s="8" t="s">
        <v>4152</v>
      </c>
      <c r="I2048" s="10" t="s">
        <v>4151</v>
      </c>
      <c r="J2048" s="11" t="s">
        <v>33</v>
      </c>
      <c r="K2048" s="18">
        <v>50000</v>
      </c>
      <c r="L2048" s="12">
        <f t="shared" si="181"/>
        <v>83400</v>
      </c>
      <c r="M2048" s="8">
        <v>1</v>
      </c>
      <c r="N2048" s="8" t="s">
        <v>27</v>
      </c>
      <c r="O2048" s="13" t="s">
        <v>587</v>
      </c>
      <c r="P2048" s="14">
        <v>0.2</v>
      </c>
      <c r="Q2048" s="15">
        <v>0.4</v>
      </c>
      <c r="R2048" s="16" t="str">
        <f t="shared" si="179"/>
        <v>KOMODO</v>
      </c>
      <c r="S2048" s="17"/>
      <c r="T2048" s="10" t="str">
        <f t="shared" si="180"/>
        <v>INSTALACIÓN DE MANEJADOR DE PUNTOS DE ACCESO TIPO ROAMING.</v>
      </c>
    </row>
    <row r="2049" spans="1:20" ht="27" customHeight="1" x14ac:dyDescent="0.25">
      <c r="A2049" s="8" t="s">
        <v>3977</v>
      </c>
      <c r="B2049" s="9" t="s">
        <v>2515</v>
      </c>
      <c r="C2049" s="9"/>
      <c r="D2049" s="8" t="s">
        <v>4009</v>
      </c>
      <c r="E2049" s="8"/>
      <c r="F2049" s="8" t="s">
        <v>22</v>
      </c>
      <c r="G2049" s="10" t="s">
        <v>4153</v>
      </c>
      <c r="H2049" s="8" t="s">
        <v>4154</v>
      </c>
      <c r="I2049" s="10" t="s">
        <v>4155</v>
      </c>
      <c r="J2049" s="11" t="s">
        <v>33</v>
      </c>
      <c r="K2049" s="18">
        <v>50000</v>
      </c>
      <c r="L2049" s="12">
        <f t="shared" si="181"/>
        <v>83400</v>
      </c>
      <c r="M2049" s="8">
        <v>1</v>
      </c>
      <c r="N2049" s="8" t="s">
        <v>27</v>
      </c>
      <c r="O2049" s="13" t="s">
        <v>588</v>
      </c>
      <c r="P2049" s="14">
        <v>0.2</v>
      </c>
      <c r="Q2049" s="15">
        <v>0.4</v>
      </c>
      <c r="R2049" s="16" t="str">
        <f t="shared" ref="R2049:R2112" si="182">A2049</f>
        <v>KOMODO</v>
      </c>
      <c r="S2049" s="17"/>
      <c r="T2049" s="10" t="str">
        <f t="shared" si="180"/>
        <v>INSTALACIÓN DE SWITCH DE DATOS.</v>
      </c>
    </row>
    <row r="2050" spans="1:20" ht="27" customHeight="1" x14ac:dyDescent="0.25">
      <c r="A2050" s="8" t="s">
        <v>3977</v>
      </c>
      <c r="B2050" s="9" t="s">
        <v>2515</v>
      </c>
      <c r="C2050" s="9"/>
      <c r="D2050" s="8" t="s">
        <v>4009</v>
      </c>
      <c r="E2050" s="8"/>
      <c r="F2050" s="8" t="s">
        <v>22</v>
      </c>
      <c r="G2050" s="10" t="s">
        <v>4126</v>
      </c>
      <c r="H2050" s="8" t="s">
        <v>4156</v>
      </c>
      <c r="I2050" s="10" t="s">
        <v>4128</v>
      </c>
      <c r="J2050" s="11" t="s">
        <v>26</v>
      </c>
      <c r="K2050" s="18">
        <v>150</v>
      </c>
      <c r="L2050" s="12">
        <f t="shared" si="181"/>
        <v>250</v>
      </c>
      <c r="M2050" s="8">
        <v>1</v>
      </c>
      <c r="N2050" s="8" t="s">
        <v>27</v>
      </c>
      <c r="O2050" s="13" t="s">
        <v>587</v>
      </c>
      <c r="P2050" s="14">
        <v>0.2</v>
      </c>
      <c r="Q2050" s="15">
        <v>0.28000000000000003</v>
      </c>
      <c r="R2050" s="16" t="str">
        <f t="shared" si="182"/>
        <v>KOMODO</v>
      </c>
      <c r="S2050" s="17"/>
      <c r="T2050" s="10" t="str">
        <f t="shared" si="180"/>
        <v>INSTALACIÓN DE CONTROL DE ACCESO PARA DOS PUERTAS.</v>
      </c>
    </row>
    <row r="2051" spans="1:20" ht="27" customHeight="1" x14ac:dyDescent="0.25">
      <c r="A2051" s="8" t="s">
        <v>3977</v>
      </c>
      <c r="B2051" s="9" t="s">
        <v>2515</v>
      </c>
      <c r="C2051" s="9"/>
      <c r="D2051" s="8" t="s">
        <v>4009</v>
      </c>
      <c r="E2051" s="8"/>
      <c r="F2051" s="8" t="s">
        <v>22</v>
      </c>
      <c r="G2051" s="10" t="s">
        <v>4157</v>
      </c>
      <c r="H2051" s="8" t="s">
        <v>4158</v>
      </c>
      <c r="I2051" s="10" t="s">
        <v>4157</v>
      </c>
      <c r="J2051" s="11" t="s">
        <v>26</v>
      </c>
      <c r="K2051" s="18">
        <v>200</v>
      </c>
      <c r="L2051" s="12">
        <f t="shared" si="181"/>
        <v>333.33333333333337</v>
      </c>
      <c r="M2051" s="8">
        <v>1</v>
      </c>
      <c r="N2051" s="8" t="s">
        <v>27</v>
      </c>
      <c r="O2051" s="13" t="s">
        <v>588</v>
      </c>
      <c r="P2051" s="14">
        <v>0.2</v>
      </c>
      <c r="Q2051" s="15">
        <v>0.28000000000000003</v>
      </c>
      <c r="R2051" s="16" t="str">
        <f t="shared" si="182"/>
        <v>KOMODO</v>
      </c>
      <c r="S2051" s="17"/>
      <c r="T2051" s="10" t="str">
        <f t="shared" si="180"/>
        <v>INSTALACIÓN DE TALANQUERA, NO INCLUYE OBRA CIVIL NI INFRA ESTRUCTURA ELÉCTRICA.</v>
      </c>
    </row>
    <row r="2052" spans="1:20" ht="27" customHeight="1" x14ac:dyDescent="0.25">
      <c r="A2052" s="8" t="s">
        <v>3977</v>
      </c>
      <c r="B2052" s="9" t="s">
        <v>2515</v>
      </c>
      <c r="C2052" s="9"/>
      <c r="D2052" s="8" t="s">
        <v>4009</v>
      </c>
      <c r="E2052" s="8"/>
      <c r="F2052" s="8" t="s">
        <v>22</v>
      </c>
      <c r="G2052" s="10" t="s">
        <v>4159</v>
      </c>
      <c r="H2052" s="8" t="s">
        <v>4160</v>
      </c>
      <c r="I2052" s="10" t="s">
        <v>4161</v>
      </c>
      <c r="J2052" s="11" t="s">
        <v>33</v>
      </c>
      <c r="K2052" s="18">
        <v>30000</v>
      </c>
      <c r="L2052" s="12">
        <f t="shared" si="181"/>
        <v>50000</v>
      </c>
      <c r="M2052" s="8">
        <v>1</v>
      </c>
      <c r="N2052" s="8" t="s">
        <v>27</v>
      </c>
      <c r="O2052" s="13" t="s">
        <v>587</v>
      </c>
      <c r="P2052" s="14">
        <v>0.2</v>
      </c>
      <c r="Q2052" s="15">
        <v>0.4</v>
      </c>
      <c r="R2052" s="16" t="str">
        <f t="shared" si="182"/>
        <v>KOMODO</v>
      </c>
      <c r="S2052" s="17"/>
      <c r="T2052" s="10" t="str">
        <f t="shared" si="180"/>
        <v>INSTALACIÓN DE LÁMPARA DE PISO.</v>
      </c>
    </row>
    <row r="2053" spans="1:20" ht="27" customHeight="1" x14ac:dyDescent="0.25">
      <c r="A2053" s="8" t="s">
        <v>3977</v>
      </c>
      <c r="B2053" s="9" t="s">
        <v>2515</v>
      </c>
      <c r="C2053" s="9"/>
      <c r="D2053" s="8" t="s">
        <v>4009</v>
      </c>
      <c r="E2053" s="8"/>
      <c r="F2053" s="8" t="s">
        <v>22</v>
      </c>
      <c r="G2053" s="10" t="s">
        <v>4162</v>
      </c>
      <c r="H2053" s="8" t="s">
        <v>4163</v>
      </c>
      <c r="I2053" s="10" t="s">
        <v>4164</v>
      </c>
      <c r="J2053" s="11" t="s">
        <v>33</v>
      </c>
      <c r="K2053" s="18">
        <v>30000</v>
      </c>
      <c r="L2053" s="12">
        <f t="shared" si="181"/>
        <v>50000</v>
      </c>
      <c r="M2053" s="8">
        <v>1</v>
      </c>
      <c r="N2053" s="8" t="s">
        <v>27</v>
      </c>
      <c r="O2053" s="13" t="s">
        <v>588</v>
      </c>
      <c r="P2053" s="14">
        <v>0.2</v>
      </c>
      <c r="Q2053" s="15">
        <v>0.4</v>
      </c>
      <c r="R2053" s="16" t="str">
        <f t="shared" si="182"/>
        <v>KOMODO</v>
      </c>
      <c r="S2053" s="17"/>
      <c r="T2053" s="10" t="str">
        <f t="shared" si="180"/>
        <v>INSTALACIÓN DE LÁMPARA TIPO PANEL EN DRYWALL.</v>
      </c>
    </row>
    <row r="2054" spans="1:20" ht="27" customHeight="1" x14ac:dyDescent="0.25">
      <c r="A2054" s="8" t="s">
        <v>3977</v>
      </c>
      <c r="B2054" s="9" t="s">
        <v>2515</v>
      </c>
      <c r="C2054" s="9"/>
      <c r="D2054" s="8" t="s">
        <v>4009</v>
      </c>
      <c r="E2054" s="8"/>
      <c r="F2054" s="8" t="s">
        <v>22</v>
      </c>
      <c r="G2054" s="10" t="s">
        <v>4165</v>
      </c>
      <c r="H2054" s="8" t="s">
        <v>4166</v>
      </c>
      <c r="I2054" s="10" t="s">
        <v>4165</v>
      </c>
      <c r="J2054" s="11" t="s">
        <v>33</v>
      </c>
      <c r="K2054" s="18">
        <v>120000</v>
      </c>
      <c r="L2054" s="12">
        <f t="shared" si="181"/>
        <v>200000</v>
      </c>
      <c r="M2054" s="8">
        <v>1</v>
      </c>
      <c r="N2054" s="8" t="s">
        <v>27</v>
      </c>
      <c r="O2054" s="13" t="s">
        <v>587</v>
      </c>
      <c r="P2054" s="14">
        <v>0.2</v>
      </c>
      <c r="Q2054" s="15">
        <v>0.4</v>
      </c>
      <c r="R2054" s="16" t="str">
        <f t="shared" si="182"/>
        <v>KOMODO</v>
      </c>
      <c r="S2054" s="17"/>
      <c r="T2054" s="10" t="str">
        <f t="shared" si="180"/>
        <v>INSTALACIÓN DE PANEL DE VIDEO WALL EN SOPORTE COMPATIBLE.</v>
      </c>
    </row>
    <row r="2055" spans="1:20" ht="27" customHeight="1" x14ac:dyDescent="0.25">
      <c r="A2055" s="8" t="s">
        <v>3977</v>
      </c>
      <c r="B2055" s="9" t="s">
        <v>2515</v>
      </c>
      <c r="C2055" s="9"/>
      <c r="D2055" s="8" t="s">
        <v>4009</v>
      </c>
      <c r="E2055" s="8"/>
      <c r="F2055" s="8" t="s">
        <v>22</v>
      </c>
      <c r="G2055" s="10" t="s">
        <v>4167</v>
      </c>
      <c r="H2055" s="8" t="s">
        <v>4168</v>
      </c>
      <c r="I2055" s="10" t="s">
        <v>4167</v>
      </c>
      <c r="J2055" s="11" t="s">
        <v>33</v>
      </c>
      <c r="K2055" s="18">
        <v>220000</v>
      </c>
      <c r="L2055" s="12">
        <f t="shared" si="181"/>
        <v>366700</v>
      </c>
      <c r="M2055" s="8">
        <v>1</v>
      </c>
      <c r="N2055" s="8" t="s">
        <v>27</v>
      </c>
      <c r="O2055" s="13" t="s">
        <v>588</v>
      </c>
      <c r="P2055" s="14">
        <v>0.2</v>
      </c>
      <c r="Q2055" s="15">
        <v>0.4</v>
      </c>
      <c r="R2055" s="16" t="str">
        <f t="shared" si="182"/>
        <v>KOMODO</v>
      </c>
      <c r="S2055" s="17"/>
      <c r="T2055" s="10" t="str">
        <f t="shared" si="180"/>
        <v>INSTALACIÓN DE SISTEMA INTERACTIVO DE PRESENTACIÓN</v>
      </c>
    </row>
    <row r="2056" spans="1:20" ht="27" customHeight="1" x14ac:dyDescent="0.25">
      <c r="A2056" s="8" t="s">
        <v>3977</v>
      </c>
      <c r="B2056" s="9" t="s">
        <v>2515</v>
      </c>
      <c r="C2056" s="9"/>
      <c r="D2056" s="8" t="s">
        <v>4009</v>
      </c>
      <c r="E2056" s="8"/>
      <c r="F2056" s="8" t="s">
        <v>22</v>
      </c>
      <c r="G2056" s="10" t="s">
        <v>4169</v>
      </c>
      <c r="H2056" s="8" t="s">
        <v>4170</v>
      </c>
      <c r="I2056" s="10" t="s">
        <v>4169</v>
      </c>
      <c r="J2056" s="11" t="s">
        <v>33</v>
      </c>
      <c r="K2056" s="18">
        <v>33000</v>
      </c>
      <c r="L2056" s="12">
        <f t="shared" si="181"/>
        <v>41300</v>
      </c>
      <c r="M2056" s="8">
        <v>1</v>
      </c>
      <c r="N2056" s="8" t="s">
        <v>27</v>
      </c>
      <c r="O2056" s="13" t="s">
        <v>587</v>
      </c>
      <c r="P2056" s="14">
        <v>0.2</v>
      </c>
      <c r="Q2056" s="15">
        <v>0.2</v>
      </c>
      <c r="R2056" s="16" t="str">
        <f t="shared" si="182"/>
        <v>KOMODO</v>
      </c>
      <c r="S2056" s="17"/>
      <c r="T2056" s="10" t="str">
        <f t="shared" si="180"/>
        <v>INSTALACIÓN DE PUNTO ELÉCTRICO O DE DATOS</v>
      </c>
    </row>
    <row r="2057" spans="1:20" ht="27" customHeight="1" x14ac:dyDescent="0.25">
      <c r="A2057" s="8" t="s">
        <v>3977</v>
      </c>
      <c r="B2057" s="9" t="s">
        <v>2515</v>
      </c>
      <c r="C2057" s="9"/>
      <c r="D2057" s="8" t="s">
        <v>4009</v>
      </c>
      <c r="E2057" s="8"/>
      <c r="F2057" s="8" t="s">
        <v>22</v>
      </c>
      <c r="G2057" s="10" t="s">
        <v>4372</v>
      </c>
      <c r="H2057" s="8" t="s">
        <v>4172</v>
      </c>
      <c r="I2057" s="10" t="s">
        <v>4173</v>
      </c>
      <c r="J2057" s="11" t="s">
        <v>33</v>
      </c>
      <c r="K2057" s="18">
        <v>550000</v>
      </c>
      <c r="L2057" s="12">
        <f t="shared" si="181"/>
        <v>687500</v>
      </c>
      <c r="M2057" s="8">
        <v>1</v>
      </c>
      <c r="N2057" s="8" t="s">
        <v>27</v>
      </c>
      <c r="O2057" s="13" t="s">
        <v>588</v>
      </c>
      <c r="P2057" s="14">
        <v>0.2</v>
      </c>
      <c r="Q2057" s="15">
        <v>0.2</v>
      </c>
      <c r="R2057" s="16" t="str">
        <f t="shared" si="182"/>
        <v>KOMODO</v>
      </c>
      <c r="S2057" s="17"/>
      <c r="T2057" s="10" t="str">
        <f t="shared" si="180"/>
        <v>INSTALACIÓN Y FIGURADO DE TABLERO DE ALIMENTACIÓN DE HASTA 24 BREAKERS.</v>
      </c>
    </row>
    <row r="2058" spans="1:20" ht="27" customHeight="1" x14ac:dyDescent="0.25">
      <c r="A2058" s="8" t="s">
        <v>3977</v>
      </c>
      <c r="B2058" s="9" t="s">
        <v>2515</v>
      </c>
      <c r="C2058" s="9"/>
      <c r="D2058" s="8" t="s">
        <v>4009</v>
      </c>
      <c r="E2058" s="8"/>
      <c r="F2058" s="8" t="s">
        <v>22</v>
      </c>
      <c r="G2058" s="10" t="s">
        <v>4174</v>
      </c>
      <c r="H2058" s="8" t="s">
        <v>4175</v>
      </c>
      <c r="I2058" s="10" t="s">
        <v>4176</v>
      </c>
      <c r="J2058" s="11" t="s">
        <v>33</v>
      </c>
      <c r="K2058" s="18">
        <v>3500</v>
      </c>
      <c r="L2058" s="12">
        <f t="shared" si="181"/>
        <v>5000</v>
      </c>
      <c r="M2058" s="8">
        <v>1</v>
      </c>
      <c r="N2058" s="8" t="s">
        <v>27</v>
      </c>
      <c r="O2058" s="13" t="s">
        <v>587</v>
      </c>
      <c r="P2058" s="14">
        <v>0.2</v>
      </c>
      <c r="Q2058" s="15">
        <v>0.3</v>
      </c>
      <c r="R2058" s="16" t="str">
        <f t="shared" si="182"/>
        <v>KOMODO</v>
      </c>
      <c r="S2058" s="17"/>
      <c r="T2058" s="10" t="str">
        <f t="shared" si="180"/>
        <v>INSTALACIÓN DE LÁMPARA DE LECTURA EN CABECERO DE MADERA.</v>
      </c>
    </row>
    <row r="2059" spans="1:20" ht="27" customHeight="1" x14ac:dyDescent="0.25">
      <c r="A2059" s="8" t="s">
        <v>3977</v>
      </c>
      <c r="B2059" s="9" t="s">
        <v>2515</v>
      </c>
      <c r="C2059" s="9"/>
      <c r="D2059" s="8" t="s">
        <v>4009</v>
      </c>
      <c r="E2059" s="8"/>
      <c r="F2059" s="8" t="s">
        <v>22</v>
      </c>
      <c r="G2059" s="10" t="s">
        <v>4177</v>
      </c>
      <c r="H2059" s="8" t="s">
        <v>4178</v>
      </c>
      <c r="I2059" s="10" t="s">
        <v>4177</v>
      </c>
      <c r="J2059" s="11" t="s">
        <v>33</v>
      </c>
      <c r="K2059" s="18">
        <v>6500</v>
      </c>
      <c r="L2059" s="12">
        <f t="shared" si="181"/>
        <v>9300</v>
      </c>
      <c r="M2059" s="8">
        <v>1</v>
      </c>
      <c r="N2059" s="8" t="s">
        <v>27</v>
      </c>
      <c r="O2059" s="13" t="s">
        <v>588</v>
      </c>
      <c r="P2059" s="14">
        <v>0.2</v>
      </c>
      <c r="Q2059" s="15">
        <v>0.3</v>
      </c>
      <c r="R2059" s="16" t="str">
        <f t="shared" si="182"/>
        <v>KOMODO</v>
      </c>
      <c r="S2059" s="17"/>
      <c r="T2059" s="10" t="str">
        <f t="shared" si="180"/>
        <v>INSTALACIÓN DE METRO DE CABLOFIL CON SUJECIÓN A TECHO O PARED</v>
      </c>
    </row>
    <row r="2060" spans="1:20" ht="27" customHeight="1" x14ac:dyDescent="0.25">
      <c r="A2060" s="8" t="s">
        <v>3977</v>
      </c>
      <c r="B2060" s="9" t="s">
        <v>2515</v>
      </c>
      <c r="C2060" s="9"/>
      <c r="D2060" s="8" t="s">
        <v>4009</v>
      </c>
      <c r="E2060" s="8"/>
      <c r="F2060" s="8" t="s">
        <v>22</v>
      </c>
      <c r="G2060" s="10" t="s">
        <v>4179</v>
      </c>
      <c r="H2060" s="8" t="s">
        <v>4180</v>
      </c>
      <c r="I2060" s="10" t="s">
        <v>4179</v>
      </c>
      <c r="J2060" s="11" t="s">
        <v>33</v>
      </c>
      <c r="K2060" s="18">
        <v>50000</v>
      </c>
      <c r="L2060" s="12">
        <f t="shared" si="181"/>
        <v>71500</v>
      </c>
      <c r="M2060" s="8">
        <v>1</v>
      </c>
      <c r="N2060" s="8" t="s">
        <v>27</v>
      </c>
      <c r="O2060" s="13" t="s">
        <v>587</v>
      </c>
      <c r="P2060" s="14">
        <v>0.2</v>
      </c>
      <c r="Q2060" s="15">
        <v>0.3</v>
      </c>
      <c r="R2060" s="16" t="str">
        <f t="shared" si="182"/>
        <v>KOMODO</v>
      </c>
      <c r="S2060" s="17"/>
      <c r="T2060" s="10" t="str">
        <f t="shared" si="180"/>
        <v>INSTALACIÓN DE UPS</v>
      </c>
    </row>
    <row r="2061" spans="1:20" ht="27" customHeight="1" x14ac:dyDescent="0.25">
      <c r="A2061" s="8" t="s">
        <v>3977</v>
      </c>
      <c r="B2061" s="9" t="s">
        <v>2515</v>
      </c>
      <c r="C2061" s="9"/>
      <c r="D2061" s="8" t="s">
        <v>4009</v>
      </c>
      <c r="E2061" s="8"/>
      <c r="F2061" s="8" t="s">
        <v>22</v>
      </c>
      <c r="G2061" s="10" t="s">
        <v>4181</v>
      </c>
      <c r="H2061" s="8" t="s">
        <v>4182</v>
      </c>
      <c r="I2061" s="10" t="s">
        <v>4181</v>
      </c>
      <c r="J2061" s="11" t="s">
        <v>33</v>
      </c>
      <c r="K2061" s="18">
        <v>90000</v>
      </c>
      <c r="L2061" s="12">
        <f t="shared" si="181"/>
        <v>150000</v>
      </c>
      <c r="M2061" s="8">
        <v>1</v>
      </c>
      <c r="N2061" s="8" t="s">
        <v>27</v>
      </c>
      <c r="O2061" s="13" t="s">
        <v>588</v>
      </c>
      <c r="P2061" s="14">
        <v>0.2</v>
      </c>
      <c r="Q2061" s="15">
        <v>0.4</v>
      </c>
      <c r="R2061" s="16" t="str">
        <f t="shared" si="182"/>
        <v>KOMODO</v>
      </c>
      <c r="S2061" s="17"/>
      <c r="T2061" s="10" t="str">
        <f t="shared" si="180"/>
        <v>CONEXIÓN DE NVR, PONCHADO DE CABLES Y ORGANIZACIÓN DE CABLES</v>
      </c>
    </row>
    <row r="2062" spans="1:20" ht="27" customHeight="1" x14ac:dyDescent="0.25">
      <c r="A2062" s="8" t="s">
        <v>3977</v>
      </c>
      <c r="B2062" s="9" t="s">
        <v>2515</v>
      </c>
      <c r="C2062" s="9"/>
      <c r="D2062" s="8" t="s">
        <v>4009</v>
      </c>
      <c r="E2062" s="8"/>
      <c r="F2062" s="8" t="s">
        <v>22</v>
      </c>
      <c r="G2062" s="10" t="s">
        <v>4183</v>
      </c>
      <c r="H2062" s="8" t="s">
        <v>4184</v>
      </c>
      <c r="I2062" s="10" t="s">
        <v>4185</v>
      </c>
      <c r="J2062" s="11" t="s">
        <v>33</v>
      </c>
      <c r="K2062" s="18">
        <v>130000</v>
      </c>
      <c r="L2062" s="12">
        <f t="shared" si="181"/>
        <v>216700</v>
      </c>
      <c r="M2062" s="8">
        <v>1</v>
      </c>
      <c r="N2062" s="8" t="s">
        <v>27</v>
      </c>
      <c r="O2062" s="13" t="s">
        <v>587</v>
      </c>
      <c r="P2062" s="14">
        <v>0.2</v>
      </c>
      <c r="Q2062" s="15">
        <v>0.4</v>
      </c>
      <c r="R2062" s="16" t="str">
        <f t="shared" si="182"/>
        <v>KOMODO</v>
      </c>
      <c r="S2062" s="17"/>
      <c r="T2062" s="10" t="str">
        <f t="shared" si="180"/>
        <v>RECONFIGURACIÓN DE CABLEADO EN RACK DE HASTA 12 UNIDADES.</v>
      </c>
    </row>
    <row r="2063" spans="1:20" ht="27" customHeight="1" x14ac:dyDescent="0.25">
      <c r="A2063" s="8" t="s">
        <v>3977</v>
      </c>
      <c r="B2063" s="9" t="s">
        <v>2515</v>
      </c>
      <c r="C2063" s="9"/>
      <c r="D2063" s="8" t="s">
        <v>4009</v>
      </c>
      <c r="E2063" s="8"/>
      <c r="F2063" s="8" t="s">
        <v>22</v>
      </c>
      <c r="G2063" s="10" t="s">
        <v>4654</v>
      </c>
      <c r="H2063" s="8" t="s">
        <v>4187</v>
      </c>
      <c r="I2063" s="10" t="s">
        <v>4188</v>
      </c>
      <c r="J2063" s="11" t="s">
        <v>33</v>
      </c>
      <c r="K2063" s="18">
        <v>75000</v>
      </c>
      <c r="L2063" s="12">
        <f t="shared" si="181"/>
        <v>93800</v>
      </c>
      <c r="M2063" s="8">
        <v>1</v>
      </c>
      <c r="N2063" s="8" t="s">
        <v>27</v>
      </c>
      <c r="O2063" s="13" t="s">
        <v>588</v>
      </c>
      <c r="P2063" s="14">
        <v>0.2</v>
      </c>
      <c r="Q2063" s="15">
        <v>0.2</v>
      </c>
      <c r="R2063" s="16" t="str">
        <f t="shared" si="182"/>
        <v>KOMODO</v>
      </c>
      <c r="S2063" s="17"/>
      <c r="T2063" s="10" t="str">
        <f t="shared" si="180"/>
        <v>INSTALACIÓN DE REGLETA COLOR KINETICS.</v>
      </c>
    </row>
    <row r="2064" spans="1:20" ht="27" customHeight="1" x14ac:dyDescent="0.25">
      <c r="A2064" s="8" t="s">
        <v>3977</v>
      </c>
      <c r="B2064" s="9" t="s">
        <v>2515</v>
      </c>
      <c r="C2064" s="9"/>
      <c r="D2064" s="8" t="s">
        <v>4009</v>
      </c>
      <c r="E2064" s="8"/>
      <c r="F2064" s="8" t="s">
        <v>22</v>
      </c>
      <c r="G2064" s="10" t="s">
        <v>4189</v>
      </c>
      <c r="H2064" s="8" t="s">
        <v>4190</v>
      </c>
      <c r="I2064" s="10" t="s">
        <v>4191</v>
      </c>
      <c r="J2064" s="11" t="s">
        <v>33</v>
      </c>
      <c r="K2064" s="18">
        <v>14000</v>
      </c>
      <c r="L2064" s="12">
        <f t="shared" si="181"/>
        <v>20000</v>
      </c>
      <c r="M2064" s="8">
        <v>1</v>
      </c>
      <c r="N2064" s="8" t="s">
        <v>27</v>
      </c>
      <c r="O2064" s="13" t="s">
        <v>587</v>
      </c>
      <c r="P2064" s="14">
        <v>0.2</v>
      </c>
      <c r="Q2064" s="15">
        <v>0.3</v>
      </c>
      <c r="R2064" s="16" t="str">
        <f t="shared" si="182"/>
        <v>KOMODO</v>
      </c>
      <c r="S2064" s="17"/>
      <c r="T2064" s="10" t="str">
        <f t="shared" si="180"/>
        <v>REVISIÓN DE LUMINARIA T5, REVISIÓN DE CABLEADO, TUBERÍA Y BALASTRO.</v>
      </c>
    </row>
    <row r="2065" spans="1:20" ht="27" customHeight="1" x14ac:dyDescent="0.25">
      <c r="A2065" s="8" t="s">
        <v>3977</v>
      </c>
      <c r="B2065" s="9" t="s">
        <v>2515</v>
      </c>
      <c r="C2065" s="9"/>
      <c r="D2065" s="8" t="s">
        <v>4009</v>
      </c>
      <c r="E2065" s="8"/>
      <c r="F2065" s="8" t="s">
        <v>22</v>
      </c>
      <c r="G2065" s="10" t="s">
        <v>4655</v>
      </c>
      <c r="H2065" s="8" t="s">
        <v>4193</v>
      </c>
      <c r="I2065" s="10" t="s">
        <v>4194</v>
      </c>
      <c r="J2065" s="11" t="s">
        <v>33</v>
      </c>
      <c r="K2065" s="18">
        <v>15000</v>
      </c>
      <c r="L2065" s="12">
        <f t="shared" si="181"/>
        <v>25000</v>
      </c>
      <c r="M2065" s="8">
        <v>1</v>
      </c>
      <c r="N2065" s="8" t="s">
        <v>27</v>
      </c>
      <c r="O2065" s="13" t="s">
        <v>588</v>
      </c>
      <c r="P2065" s="14">
        <v>0.2</v>
      </c>
      <c r="Q2065" s="15">
        <v>0.4</v>
      </c>
      <c r="R2065" s="16" t="str">
        <f t="shared" si="182"/>
        <v>KOMODO</v>
      </c>
      <c r="S2065" s="17"/>
      <c r="T2065" s="10" t="str">
        <f t="shared" si="180"/>
        <v>INSTALACIÓN DE SENSOR DE LUZ.</v>
      </c>
    </row>
    <row r="2066" spans="1:20" ht="27" customHeight="1" x14ac:dyDescent="0.25">
      <c r="A2066" s="8" t="s">
        <v>3977</v>
      </c>
      <c r="B2066" s="9" t="s">
        <v>2515</v>
      </c>
      <c r="C2066" s="9"/>
      <c r="D2066" s="8" t="s">
        <v>4009</v>
      </c>
      <c r="E2066" s="8"/>
      <c r="F2066" s="8" t="s">
        <v>22</v>
      </c>
      <c r="G2066" s="10" t="s">
        <v>4195</v>
      </c>
      <c r="H2066" s="8" t="s">
        <v>4196</v>
      </c>
      <c r="I2066" s="10" t="s">
        <v>4195</v>
      </c>
      <c r="J2066" s="11" t="s">
        <v>33</v>
      </c>
      <c r="K2066" s="18">
        <v>15000</v>
      </c>
      <c r="L2066" s="12">
        <f t="shared" si="181"/>
        <v>25000</v>
      </c>
      <c r="M2066" s="8">
        <v>1</v>
      </c>
      <c r="N2066" s="8" t="s">
        <v>27</v>
      </c>
      <c r="O2066" s="13" t="s">
        <v>587</v>
      </c>
      <c r="P2066" s="14">
        <v>0.2</v>
      </c>
      <c r="Q2066" s="15">
        <v>0.4</v>
      </c>
      <c r="R2066" s="16" t="str">
        <f t="shared" si="182"/>
        <v>KOMODO</v>
      </c>
      <c r="S2066" s="17"/>
      <c r="T2066" s="10" t="str">
        <f t="shared" si="180"/>
        <v>CONFIGURACIÓN DE REPETIDORA PRINCIPAL DE SISTEMA RADIO RA2</v>
      </c>
    </row>
    <row r="2067" spans="1:20" ht="27" customHeight="1" x14ac:dyDescent="0.25">
      <c r="A2067" s="8" t="s">
        <v>3977</v>
      </c>
      <c r="B2067" s="9" t="s">
        <v>2515</v>
      </c>
      <c r="C2067" s="9"/>
      <c r="D2067" s="8" t="s">
        <v>4009</v>
      </c>
      <c r="E2067" s="8"/>
      <c r="F2067" s="8" t="s">
        <v>22</v>
      </c>
      <c r="G2067" s="10" t="s">
        <v>4197</v>
      </c>
      <c r="H2067" s="8" t="s">
        <v>4198</v>
      </c>
      <c r="I2067" s="10" t="s">
        <v>4197</v>
      </c>
      <c r="J2067" s="11" t="s">
        <v>33</v>
      </c>
      <c r="K2067" s="18">
        <v>15000</v>
      </c>
      <c r="L2067" s="12">
        <f t="shared" si="181"/>
        <v>25000</v>
      </c>
      <c r="M2067" s="8">
        <v>1</v>
      </c>
      <c r="N2067" s="8" t="s">
        <v>27</v>
      </c>
      <c r="O2067" s="13" t="s">
        <v>588</v>
      </c>
      <c r="P2067" s="14">
        <v>0.2</v>
      </c>
      <c r="Q2067" s="15">
        <v>0.4</v>
      </c>
      <c r="R2067" s="16" t="str">
        <f t="shared" si="182"/>
        <v>KOMODO</v>
      </c>
      <c r="S2067" s="17"/>
      <c r="T2067" s="10" t="str">
        <f t="shared" si="180"/>
        <v>CONFIGURACIÓN DE REPETIDORA INALÁMBRICA RADIO RA 2</v>
      </c>
    </row>
    <row r="2068" spans="1:20" ht="27" customHeight="1" x14ac:dyDescent="0.25">
      <c r="A2068" s="8" t="s">
        <v>3977</v>
      </c>
      <c r="B2068" s="9" t="s">
        <v>2515</v>
      </c>
      <c r="C2068" s="9"/>
      <c r="D2068" s="8" t="s">
        <v>4009</v>
      </c>
      <c r="E2068" s="8"/>
      <c r="F2068" s="8" t="s">
        <v>22</v>
      </c>
      <c r="G2068" s="10" t="s">
        <v>4199</v>
      </c>
      <c r="H2068" s="8" t="s">
        <v>4200</v>
      </c>
      <c r="I2068" s="10" t="s">
        <v>4199</v>
      </c>
      <c r="J2068" s="11" t="s">
        <v>33</v>
      </c>
      <c r="K2068" s="18">
        <v>18000</v>
      </c>
      <c r="L2068" s="12">
        <f t="shared" si="181"/>
        <v>25800</v>
      </c>
      <c r="M2068" s="8">
        <v>1</v>
      </c>
      <c r="N2068" s="8" t="s">
        <v>27</v>
      </c>
      <c r="O2068" s="13" t="s">
        <v>587</v>
      </c>
      <c r="P2068" s="14">
        <v>0.2</v>
      </c>
      <c r="Q2068" s="15">
        <v>0.3</v>
      </c>
      <c r="R2068" s="16" t="str">
        <f t="shared" si="182"/>
        <v>KOMODO</v>
      </c>
      <c r="S2068" s="17"/>
      <c r="T2068" s="10" t="str">
        <f t="shared" si="180"/>
        <v>INSTALACIÓN DE MÓDULO POW PACK.</v>
      </c>
    </row>
    <row r="2069" spans="1:20" ht="27" customHeight="1" x14ac:dyDescent="0.25">
      <c r="A2069" s="8" t="s">
        <v>3977</v>
      </c>
      <c r="B2069" s="9" t="s">
        <v>2515</v>
      </c>
      <c r="C2069" s="9"/>
      <c r="D2069" s="8" t="s">
        <v>4009</v>
      </c>
      <c r="E2069" s="8"/>
      <c r="F2069" s="8" t="s">
        <v>22</v>
      </c>
      <c r="G2069" s="10" t="s">
        <v>4201</v>
      </c>
      <c r="H2069" s="8" t="s">
        <v>4202</v>
      </c>
      <c r="I2069" s="10" t="s">
        <v>4201</v>
      </c>
      <c r="J2069" s="11" t="s">
        <v>33</v>
      </c>
      <c r="K2069" s="18">
        <v>15000</v>
      </c>
      <c r="L2069" s="12">
        <f t="shared" si="181"/>
        <v>21500</v>
      </c>
      <c r="M2069" s="8">
        <v>1</v>
      </c>
      <c r="N2069" s="8" t="s">
        <v>27</v>
      </c>
      <c r="O2069" s="13" t="s">
        <v>588</v>
      </c>
      <c r="P2069" s="14">
        <v>0.2</v>
      </c>
      <c r="Q2069" s="15">
        <v>0.3</v>
      </c>
      <c r="R2069" s="16" t="str">
        <f t="shared" si="182"/>
        <v>KOMODO</v>
      </c>
      <c r="S2069" s="17"/>
      <c r="T2069" s="10" t="str">
        <f t="shared" si="180"/>
        <v>INSTALACIÓN DE MODULO CCO POW PACK</v>
      </c>
    </row>
    <row r="2070" spans="1:20" ht="27" customHeight="1" x14ac:dyDescent="0.25">
      <c r="A2070" s="8" t="s">
        <v>3977</v>
      </c>
      <c r="B2070" s="9" t="s">
        <v>2515</v>
      </c>
      <c r="C2070" s="9"/>
      <c r="D2070" s="8" t="s">
        <v>4009</v>
      </c>
      <c r="E2070" s="8"/>
      <c r="F2070" s="8" t="s">
        <v>22</v>
      </c>
      <c r="G2070" s="10" t="s">
        <v>4203</v>
      </c>
      <c r="H2070" s="8" t="s">
        <v>4204</v>
      </c>
      <c r="I2070" s="10" t="s">
        <v>4203</v>
      </c>
      <c r="J2070" s="11" t="s">
        <v>33</v>
      </c>
      <c r="K2070" s="18">
        <v>18000</v>
      </c>
      <c r="L2070" s="12">
        <f t="shared" si="181"/>
        <v>25800</v>
      </c>
      <c r="M2070" s="8">
        <v>1</v>
      </c>
      <c r="N2070" s="8" t="s">
        <v>27</v>
      </c>
      <c r="O2070" s="13" t="s">
        <v>587</v>
      </c>
      <c r="P2070" s="14">
        <v>0.2</v>
      </c>
      <c r="Q2070" s="15">
        <v>0.3</v>
      </c>
      <c r="R2070" s="16" t="str">
        <f t="shared" si="182"/>
        <v>KOMODO</v>
      </c>
      <c r="S2070" s="17"/>
      <c r="T2070" s="10" t="str">
        <f t="shared" si="180"/>
        <v>INSTALACIÓN DE MÓDULO DUAL DE CONTACTOS SECOS.</v>
      </c>
    </row>
    <row r="2071" spans="1:20" ht="27" customHeight="1" x14ac:dyDescent="0.25">
      <c r="A2071" s="8" t="s">
        <v>3977</v>
      </c>
      <c r="B2071" s="9" t="s">
        <v>2515</v>
      </c>
      <c r="C2071" s="9"/>
      <c r="D2071" s="8" t="s">
        <v>4009</v>
      </c>
      <c r="E2071" s="8"/>
      <c r="F2071" s="8" t="s">
        <v>22</v>
      </c>
      <c r="G2071" s="10" t="s">
        <v>4205</v>
      </c>
      <c r="H2071" s="8" t="s">
        <v>4206</v>
      </c>
      <c r="I2071" s="10" t="s">
        <v>4205</v>
      </c>
      <c r="J2071" s="11" t="s">
        <v>33</v>
      </c>
      <c r="K2071" s="18">
        <v>15000</v>
      </c>
      <c r="L2071" s="12">
        <f t="shared" si="181"/>
        <v>21500</v>
      </c>
      <c r="M2071" s="8">
        <v>1</v>
      </c>
      <c r="N2071" s="8" t="s">
        <v>27</v>
      </c>
      <c r="O2071" s="13" t="s">
        <v>588</v>
      </c>
      <c r="P2071" s="14">
        <v>0.2</v>
      </c>
      <c r="Q2071" s="15">
        <v>0.3</v>
      </c>
      <c r="R2071" s="16" t="str">
        <f t="shared" si="182"/>
        <v>KOMODO</v>
      </c>
      <c r="S2071" s="17"/>
      <c r="T2071" s="10" t="str">
        <f t="shared" si="180"/>
        <v>INSTALACIÓN DE MÓDULO DE ACCESO REMOTO.</v>
      </c>
    </row>
    <row r="2072" spans="1:20" ht="27" customHeight="1" x14ac:dyDescent="0.25">
      <c r="A2072" s="8" t="s">
        <v>3977</v>
      </c>
      <c r="B2072" s="9" t="s">
        <v>2515</v>
      </c>
      <c r="C2072" s="9"/>
      <c r="D2072" s="8" t="s">
        <v>4009</v>
      </c>
      <c r="E2072" s="8"/>
      <c r="F2072" s="8" t="s">
        <v>22</v>
      </c>
      <c r="G2072" s="10" t="s">
        <v>4207</v>
      </c>
      <c r="H2072" s="8" t="s">
        <v>4208</v>
      </c>
      <c r="I2072" s="10" t="s">
        <v>4207</v>
      </c>
      <c r="J2072" s="11" t="s">
        <v>33</v>
      </c>
      <c r="K2072" s="18">
        <v>55000</v>
      </c>
      <c r="L2072" s="12">
        <f t="shared" si="181"/>
        <v>110000</v>
      </c>
      <c r="M2072" s="8">
        <v>1</v>
      </c>
      <c r="N2072" s="8" t="s">
        <v>27</v>
      </c>
      <c r="O2072" s="13" t="s">
        <v>587</v>
      </c>
      <c r="P2072" s="14">
        <v>0.2</v>
      </c>
      <c r="Q2072" s="15">
        <v>0.5</v>
      </c>
      <c r="R2072" s="16" t="str">
        <f t="shared" si="182"/>
        <v>KOMODO</v>
      </c>
      <c r="S2072" s="17"/>
      <c r="T2072" s="10" t="str">
        <f t="shared" si="180"/>
        <v>INSTALACIÓN DE PANEL BUS DE DATOS ECOSYSTEM</v>
      </c>
    </row>
    <row r="2073" spans="1:20" ht="27" customHeight="1" x14ac:dyDescent="0.25">
      <c r="A2073" s="8" t="s">
        <v>3977</v>
      </c>
      <c r="B2073" s="9" t="s">
        <v>2515</v>
      </c>
      <c r="C2073" s="9"/>
      <c r="D2073" s="8" t="s">
        <v>4009</v>
      </c>
      <c r="E2073" s="8"/>
      <c r="F2073" s="8" t="s">
        <v>22</v>
      </c>
      <c r="G2073" s="10" t="s">
        <v>4209</v>
      </c>
      <c r="H2073" s="8" t="s">
        <v>4210</v>
      </c>
      <c r="I2073" s="10" t="s">
        <v>4209</v>
      </c>
      <c r="J2073" s="11" t="s">
        <v>33</v>
      </c>
      <c r="K2073" s="18">
        <v>500000</v>
      </c>
      <c r="L2073" s="12">
        <f t="shared" si="181"/>
        <v>1000000</v>
      </c>
      <c r="M2073" s="8">
        <v>1</v>
      </c>
      <c r="N2073" s="8" t="s">
        <v>27</v>
      </c>
      <c r="O2073" s="13" t="s">
        <v>588</v>
      </c>
      <c r="P2073" s="14">
        <v>0.2</v>
      </c>
      <c r="Q2073" s="15">
        <v>0.5</v>
      </c>
      <c r="R2073" s="16" t="str">
        <f t="shared" si="182"/>
        <v>KOMODO</v>
      </c>
      <c r="S2073" s="17"/>
      <c r="T2073" s="10" t="str">
        <f t="shared" si="180"/>
        <v>INSTALACIÓN DE LOS EQUIPOS QUE HACEN PARTE DE ESTA PROPUESTA</v>
      </c>
    </row>
    <row r="2074" spans="1:20" ht="27" customHeight="1" x14ac:dyDescent="0.25">
      <c r="A2074" s="8" t="s">
        <v>3977</v>
      </c>
      <c r="B2074" s="9" t="s">
        <v>2515</v>
      </c>
      <c r="C2074" s="9"/>
      <c r="D2074" s="8" t="s">
        <v>4009</v>
      </c>
      <c r="E2074" s="8"/>
      <c r="F2074" s="8" t="s">
        <v>22</v>
      </c>
      <c r="G2074" s="10" t="s">
        <v>4211</v>
      </c>
      <c r="H2074" s="8" t="s">
        <v>4212</v>
      </c>
      <c r="I2074" s="10" t="s">
        <v>4211</v>
      </c>
      <c r="J2074" s="11" t="s">
        <v>33</v>
      </c>
      <c r="K2074" s="18">
        <v>1000000</v>
      </c>
      <c r="L2074" s="12">
        <f t="shared" si="181"/>
        <v>2000000</v>
      </c>
      <c r="M2074" s="8">
        <v>1</v>
      </c>
      <c r="N2074" s="8" t="s">
        <v>27</v>
      </c>
      <c r="O2074" s="13" t="s">
        <v>587</v>
      </c>
      <c r="P2074" s="14">
        <v>0.2</v>
      </c>
      <c r="Q2074" s="15">
        <v>0.5</v>
      </c>
      <c r="R2074" s="16" t="str">
        <f t="shared" si="182"/>
        <v>KOMODO</v>
      </c>
      <c r="S2074" s="17"/>
      <c r="T2074" s="10" t="str">
        <f t="shared" si="180"/>
        <v>INSTALACIÓN Y PROGRAMACIÓN DE LOS EQUIPOS QUE HACEN PARTE DE ESTA PROPUESTA</v>
      </c>
    </row>
    <row r="2075" spans="1:20" ht="27" customHeight="1" x14ac:dyDescent="0.25">
      <c r="A2075" s="8" t="s">
        <v>3977</v>
      </c>
      <c r="B2075" s="9" t="s">
        <v>2515</v>
      </c>
      <c r="C2075" s="9"/>
      <c r="D2075" s="8" t="s">
        <v>4009</v>
      </c>
      <c r="E2075" s="8"/>
      <c r="F2075" s="8" t="s">
        <v>22</v>
      </c>
      <c r="G2075" s="10" t="s">
        <v>4213</v>
      </c>
      <c r="H2075" s="8" t="s">
        <v>4214</v>
      </c>
      <c r="I2075" s="10" t="s">
        <v>4213</v>
      </c>
      <c r="J2075" s="11" t="s">
        <v>26</v>
      </c>
      <c r="K2075" s="18">
        <v>15</v>
      </c>
      <c r="L2075" s="12">
        <f t="shared" si="181"/>
        <v>30</v>
      </c>
      <c r="M2075" s="8">
        <v>1</v>
      </c>
      <c r="N2075" s="8" t="s">
        <v>27</v>
      </c>
      <c r="O2075" s="13" t="s">
        <v>588</v>
      </c>
      <c r="P2075" s="14">
        <v>0.2</v>
      </c>
      <c r="Q2075" s="15">
        <v>0.4</v>
      </c>
      <c r="R2075" s="16" t="str">
        <f t="shared" si="182"/>
        <v>KOMODO</v>
      </c>
      <c r="S2075" s="17"/>
      <c r="T2075" s="10" t="str">
        <f t="shared" si="180"/>
        <v>INSTALACIÓN DE SENSOR DE HUMO Y TEMPERATURA.</v>
      </c>
    </row>
    <row r="2076" spans="1:20" ht="27" customHeight="1" x14ac:dyDescent="0.25">
      <c r="A2076" s="8" t="s">
        <v>3977</v>
      </c>
      <c r="B2076" s="9" t="s">
        <v>2515</v>
      </c>
      <c r="C2076" s="9"/>
      <c r="D2076" s="8" t="s">
        <v>4009</v>
      </c>
      <c r="E2076" s="8"/>
      <c r="F2076" s="8" t="s">
        <v>22</v>
      </c>
      <c r="G2076" s="10" t="s">
        <v>4215</v>
      </c>
      <c r="H2076" s="8" t="s">
        <v>4216</v>
      </c>
      <c r="I2076" s="10" t="s">
        <v>4215</v>
      </c>
      <c r="J2076" s="11" t="s">
        <v>33</v>
      </c>
      <c r="K2076" s="18">
        <v>95000</v>
      </c>
      <c r="L2076" s="12">
        <f t="shared" si="181"/>
        <v>135800</v>
      </c>
      <c r="M2076" s="8">
        <v>1</v>
      </c>
      <c r="N2076" s="8" t="s">
        <v>27</v>
      </c>
      <c r="O2076" s="13" t="s">
        <v>587</v>
      </c>
      <c r="P2076" s="14">
        <v>0.2</v>
      </c>
      <c r="Q2076" s="15">
        <v>0.3</v>
      </c>
      <c r="R2076" s="16" t="str">
        <f t="shared" si="182"/>
        <v>KOMODO</v>
      </c>
      <c r="S2076" s="17"/>
      <c r="T2076" s="10" t="str">
        <f t="shared" si="180"/>
        <v>INSTALACIÓN DE CANTONERA O ELECTROIMÁN</v>
      </c>
    </row>
    <row r="2077" spans="1:20" ht="27" customHeight="1" x14ac:dyDescent="0.25">
      <c r="A2077" s="8" t="s">
        <v>3977</v>
      </c>
      <c r="B2077" s="9" t="s">
        <v>2515</v>
      </c>
      <c r="C2077" s="9"/>
      <c r="D2077" s="8" t="s">
        <v>4009</v>
      </c>
      <c r="E2077" s="8"/>
      <c r="F2077" s="8" t="s">
        <v>22</v>
      </c>
      <c r="G2077" s="10" t="s">
        <v>4217</v>
      </c>
      <c r="H2077" s="8" t="s">
        <v>4218</v>
      </c>
      <c r="I2077" s="10" t="s">
        <v>4217</v>
      </c>
      <c r="J2077" s="11" t="s">
        <v>33</v>
      </c>
      <c r="K2077" s="18">
        <v>120000</v>
      </c>
      <c r="L2077" s="12">
        <f t="shared" si="181"/>
        <v>171500</v>
      </c>
      <c r="M2077" s="8">
        <v>1</v>
      </c>
      <c r="N2077" s="8" t="s">
        <v>27</v>
      </c>
      <c r="O2077" s="13" t="s">
        <v>588</v>
      </c>
      <c r="P2077" s="14">
        <v>0.2</v>
      </c>
      <c r="Q2077" s="15">
        <v>0.3</v>
      </c>
      <c r="R2077" s="16" t="str">
        <f t="shared" si="182"/>
        <v>KOMODO</v>
      </c>
      <c r="S2077" s="17"/>
      <c r="T2077" s="10" t="str">
        <f t="shared" si="180"/>
        <v>INSTALACIÓN DE TV EN SOPORTE FIJO</v>
      </c>
    </row>
    <row r="2078" spans="1:20" ht="27" customHeight="1" x14ac:dyDescent="0.25">
      <c r="A2078" s="8" t="s">
        <v>3977</v>
      </c>
      <c r="B2078" s="9" t="s">
        <v>2515</v>
      </c>
      <c r="C2078" s="9"/>
      <c r="D2078" s="8" t="s">
        <v>4009</v>
      </c>
      <c r="E2078" s="8"/>
      <c r="F2078" s="8" t="s">
        <v>22</v>
      </c>
      <c r="G2078" s="10" t="s">
        <v>4656</v>
      </c>
      <c r="H2078" s="8" t="s">
        <v>4220</v>
      </c>
      <c r="I2078" s="10" t="s">
        <v>4221</v>
      </c>
      <c r="J2078" s="11" t="s">
        <v>33</v>
      </c>
      <c r="K2078" s="18">
        <v>15000</v>
      </c>
      <c r="L2078" s="12">
        <f t="shared" si="181"/>
        <v>21500</v>
      </c>
      <c r="M2078" s="8">
        <v>1</v>
      </c>
      <c r="N2078" s="8" t="s">
        <v>27</v>
      </c>
      <c r="O2078" s="13" t="s">
        <v>587</v>
      </c>
      <c r="P2078" s="14">
        <v>0.2</v>
      </c>
      <c r="Q2078" s="15">
        <v>0.3</v>
      </c>
      <c r="R2078" s="16" t="str">
        <f t="shared" si="182"/>
        <v>KOMODO</v>
      </c>
      <c r="S2078" s="17"/>
      <c r="T2078" s="10" t="str">
        <f t="shared" si="180"/>
        <v>INSTALACIÓN DE LUMINARIA TIPO BALA.</v>
      </c>
    </row>
    <row r="2079" spans="1:20" ht="27" customHeight="1" x14ac:dyDescent="0.25">
      <c r="A2079" s="8" t="s">
        <v>3977</v>
      </c>
      <c r="B2079" s="9" t="s">
        <v>2515</v>
      </c>
      <c r="C2079" s="9"/>
      <c r="D2079" s="8" t="s">
        <v>4009</v>
      </c>
      <c r="E2079" s="8"/>
      <c r="F2079" s="8" t="s">
        <v>22</v>
      </c>
      <c r="G2079" s="10" t="s">
        <v>4657</v>
      </c>
      <c r="H2079" s="8" t="s">
        <v>4223</v>
      </c>
      <c r="I2079" s="10" t="s">
        <v>4224</v>
      </c>
      <c r="J2079" s="11" t="s">
        <v>33</v>
      </c>
      <c r="K2079" s="18">
        <v>15000</v>
      </c>
      <c r="L2079" s="12">
        <f t="shared" si="181"/>
        <v>21500</v>
      </c>
      <c r="M2079" s="8">
        <v>1</v>
      </c>
      <c r="N2079" s="8" t="s">
        <v>27</v>
      </c>
      <c r="O2079" s="13" t="s">
        <v>588</v>
      </c>
      <c r="P2079" s="14">
        <v>0.2</v>
      </c>
      <c r="Q2079" s="15">
        <v>0.3</v>
      </c>
      <c r="R2079" s="16" t="str">
        <f t="shared" si="182"/>
        <v>KOMODO</v>
      </c>
      <c r="S2079" s="17"/>
      <c r="T2079" s="10" t="str">
        <f t="shared" si="180"/>
        <v>INSTALACIÓN DE LUMINARIA TIPO PANEL PEQUEÑO.</v>
      </c>
    </row>
    <row r="2080" spans="1:20" ht="27" customHeight="1" x14ac:dyDescent="0.25">
      <c r="A2080" s="8" t="s">
        <v>3977</v>
      </c>
      <c r="B2080" s="9" t="s">
        <v>2515</v>
      </c>
      <c r="C2080" s="9"/>
      <c r="D2080" s="8" t="s">
        <v>4009</v>
      </c>
      <c r="E2080" s="8"/>
      <c r="F2080" s="8" t="s">
        <v>22</v>
      </c>
      <c r="G2080" s="10" t="s">
        <v>4225</v>
      </c>
      <c r="H2080" s="8" t="s">
        <v>4226</v>
      </c>
      <c r="I2080" s="10" t="s">
        <v>4227</v>
      </c>
      <c r="J2080" s="11" t="s">
        <v>33</v>
      </c>
      <c r="K2080" s="18">
        <v>25000</v>
      </c>
      <c r="L2080" s="12">
        <f t="shared" si="181"/>
        <v>35800</v>
      </c>
      <c r="M2080" s="8">
        <v>1</v>
      </c>
      <c r="N2080" s="8" t="s">
        <v>27</v>
      </c>
      <c r="O2080" s="13" t="s">
        <v>587</v>
      </c>
      <c r="P2080" s="14">
        <v>0.2</v>
      </c>
      <c r="Q2080" s="15">
        <v>0.3</v>
      </c>
      <c r="R2080" s="16" t="str">
        <f t="shared" si="182"/>
        <v>KOMODO</v>
      </c>
      <c r="S2080" s="17"/>
      <c r="T2080" s="10" t="str">
        <f t="shared" si="180"/>
        <v>INSTALACIÓN DE LUMINARIA TIPO PANEL.</v>
      </c>
    </row>
    <row r="2081" spans="1:20" ht="27" customHeight="1" x14ac:dyDescent="0.25">
      <c r="A2081" s="8" t="s">
        <v>3977</v>
      </c>
      <c r="B2081" s="9" t="s">
        <v>2515</v>
      </c>
      <c r="C2081" s="9"/>
      <c r="D2081" s="8" t="s">
        <v>4009</v>
      </c>
      <c r="E2081" s="8"/>
      <c r="F2081" s="8" t="s">
        <v>22</v>
      </c>
      <c r="G2081" s="10" t="s">
        <v>4228</v>
      </c>
      <c r="H2081" s="8" t="s">
        <v>4229</v>
      </c>
      <c r="I2081" s="10" t="s">
        <v>4230</v>
      </c>
      <c r="J2081" s="11" t="s">
        <v>33</v>
      </c>
      <c r="K2081" s="18">
        <v>50000</v>
      </c>
      <c r="L2081" s="12">
        <f t="shared" si="181"/>
        <v>71500</v>
      </c>
      <c r="M2081" s="8">
        <v>1</v>
      </c>
      <c r="N2081" s="8" t="s">
        <v>27</v>
      </c>
      <c r="O2081" s="13" t="s">
        <v>588</v>
      </c>
      <c r="P2081" s="14">
        <v>0.2</v>
      </c>
      <c r="Q2081" s="15">
        <v>0.3</v>
      </c>
      <c r="R2081" s="16" t="str">
        <f t="shared" si="182"/>
        <v>KOMODO</v>
      </c>
      <c r="S2081" s="17"/>
      <c r="T2081" s="10" t="str">
        <f t="shared" si="180"/>
        <v>INSTALACIÓN DE LUMINARIA EN RIEL.</v>
      </c>
    </row>
    <row r="2082" spans="1:20" ht="27" customHeight="1" x14ac:dyDescent="0.25">
      <c r="A2082" s="8" t="s">
        <v>3977</v>
      </c>
      <c r="B2082" s="9" t="s">
        <v>2515</v>
      </c>
      <c r="C2082" s="9"/>
      <c r="D2082" s="8" t="s">
        <v>4009</v>
      </c>
      <c r="E2082" s="8"/>
      <c r="F2082" s="8" t="s">
        <v>22</v>
      </c>
      <c r="G2082" s="10" t="s">
        <v>4225</v>
      </c>
      <c r="H2082" s="8" t="s">
        <v>4231</v>
      </c>
      <c r="I2082" s="10" t="s">
        <v>4227</v>
      </c>
      <c r="J2082" s="11" t="s">
        <v>33</v>
      </c>
      <c r="K2082" s="18">
        <v>40000</v>
      </c>
      <c r="L2082" s="12">
        <f t="shared" si="181"/>
        <v>57200</v>
      </c>
      <c r="M2082" s="8">
        <v>1</v>
      </c>
      <c r="N2082" s="8" t="s">
        <v>27</v>
      </c>
      <c r="O2082" s="13" t="s">
        <v>587</v>
      </c>
      <c r="P2082" s="14">
        <v>0.2</v>
      </c>
      <c r="Q2082" s="15">
        <v>0.3</v>
      </c>
      <c r="R2082" s="16" t="str">
        <f t="shared" si="182"/>
        <v>KOMODO</v>
      </c>
      <c r="S2082" s="17"/>
      <c r="T2082" s="10" t="str">
        <f t="shared" si="180"/>
        <v>INSTALACIÓN DE LUMINARIA TIPO PANEL.</v>
      </c>
    </row>
    <row r="2083" spans="1:20" ht="27" customHeight="1" x14ac:dyDescent="0.25">
      <c r="A2083" s="8" t="s">
        <v>3977</v>
      </c>
      <c r="B2083" s="9" t="s">
        <v>2515</v>
      </c>
      <c r="C2083" s="9"/>
      <c r="D2083" s="8" t="s">
        <v>4009</v>
      </c>
      <c r="E2083" s="8"/>
      <c r="F2083" s="8" t="s">
        <v>22</v>
      </c>
      <c r="G2083" s="10" t="s">
        <v>4232</v>
      </c>
      <c r="H2083" s="8" t="s">
        <v>4233</v>
      </c>
      <c r="I2083" s="10" t="s">
        <v>4234</v>
      </c>
      <c r="J2083" s="11" t="s">
        <v>33</v>
      </c>
      <c r="K2083" s="18">
        <v>40000</v>
      </c>
      <c r="L2083" s="12">
        <f t="shared" si="181"/>
        <v>57200</v>
      </c>
      <c r="M2083" s="8">
        <v>1</v>
      </c>
      <c r="N2083" s="8" t="s">
        <v>27</v>
      </c>
      <c r="O2083" s="13" t="s">
        <v>588</v>
      </c>
      <c r="P2083" s="14">
        <v>0.2</v>
      </c>
      <c r="Q2083" s="15">
        <v>0.3</v>
      </c>
      <c r="R2083" s="16" t="str">
        <f t="shared" si="182"/>
        <v>KOMODO</v>
      </c>
      <c r="S2083" s="17"/>
      <c r="T2083" s="10" t="str">
        <f t="shared" si="180"/>
        <v>INSTALACIÓN DE LUMINARIA TIPO TABACO DE EXTERIOR.</v>
      </c>
    </row>
    <row r="2084" spans="1:20" ht="27" customHeight="1" x14ac:dyDescent="0.25">
      <c r="A2084" s="8" t="s">
        <v>3977</v>
      </c>
      <c r="B2084" s="9" t="s">
        <v>2515</v>
      </c>
      <c r="C2084" s="9"/>
      <c r="D2084" s="8" t="s">
        <v>4009</v>
      </c>
      <c r="E2084" s="8"/>
      <c r="F2084" s="8" t="s">
        <v>22</v>
      </c>
      <c r="G2084" s="10" t="s">
        <v>4235</v>
      </c>
      <c r="H2084" s="8" t="s">
        <v>4236</v>
      </c>
      <c r="I2084" s="10" t="s">
        <v>4237</v>
      </c>
      <c r="J2084" s="11" t="s">
        <v>33</v>
      </c>
      <c r="K2084" s="18">
        <v>20000</v>
      </c>
      <c r="L2084" s="12">
        <f t="shared" si="181"/>
        <v>28600</v>
      </c>
      <c r="M2084" s="8">
        <v>1</v>
      </c>
      <c r="N2084" s="8" t="s">
        <v>27</v>
      </c>
      <c r="O2084" s="13" t="s">
        <v>587</v>
      </c>
      <c r="P2084" s="14">
        <v>0.2</v>
      </c>
      <c r="Q2084" s="15">
        <v>0.3</v>
      </c>
      <c r="R2084" s="16" t="str">
        <f t="shared" si="182"/>
        <v>KOMODO</v>
      </c>
      <c r="S2084" s="17"/>
      <c r="T2084" s="10" t="str">
        <f t="shared" si="180"/>
        <v>INSTALACIÓN DE LUMINARIA TIPO APLIQUE DE EXTERIOR.</v>
      </c>
    </row>
    <row r="2085" spans="1:20" ht="27" customHeight="1" x14ac:dyDescent="0.25">
      <c r="A2085" s="8" t="s">
        <v>3977</v>
      </c>
      <c r="B2085" s="9" t="s">
        <v>2515</v>
      </c>
      <c r="C2085" s="9"/>
      <c r="D2085" s="8" t="s">
        <v>4009</v>
      </c>
      <c r="E2085" s="8"/>
      <c r="F2085" s="8" t="s">
        <v>22</v>
      </c>
      <c r="G2085" s="10" t="s">
        <v>4238</v>
      </c>
      <c r="H2085" s="8" t="s">
        <v>4239</v>
      </c>
      <c r="I2085" s="10" t="s">
        <v>4240</v>
      </c>
      <c r="J2085" s="11" t="s">
        <v>33</v>
      </c>
      <c r="K2085" s="18">
        <v>35000</v>
      </c>
      <c r="L2085" s="12">
        <f t="shared" si="181"/>
        <v>50000</v>
      </c>
      <c r="M2085" s="8">
        <v>1</v>
      </c>
      <c r="N2085" s="8" t="s">
        <v>27</v>
      </c>
      <c r="O2085" s="13" t="s">
        <v>588</v>
      </c>
      <c r="P2085" s="14">
        <v>0.2</v>
      </c>
      <c r="Q2085" s="15">
        <v>0.3</v>
      </c>
      <c r="R2085" s="16" t="str">
        <f t="shared" si="182"/>
        <v>KOMODO</v>
      </c>
      <c r="S2085" s="17"/>
      <c r="T2085" s="10" t="str">
        <f t="shared" si="180"/>
        <v>INSTALACIÓN DE LUMINARIA DESCOLGADA.</v>
      </c>
    </row>
    <row r="2086" spans="1:20" ht="27" customHeight="1" x14ac:dyDescent="0.25">
      <c r="A2086" s="8" t="s">
        <v>3977</v>
      </c>
      <c r="B2086" s="9" t="s">
        <v>2515</v>
      </c>
      <c r="C2086" s="9"/>
      <c r="D2086" s="8" t="s">
        <v>4009</v>
      </c>
      <c r="E2086" s="8"/>
      <c r="F2086" s="8" t="s">
        <v>22</v>
      </c>
      <c r="G2086" s="10" t="s">
        <v>4241</v>
      </c>
      <c r="H2086" s="8" t="s">
        <v>4242</v>
      </c>
      <c r="I2086" s="10" t="s">
        <v>4243</v>
      </c>
      <c r="J2086" s="11" t="s">
        <v>33</v>
      </c>
      <c r="K2086" s="18">
        <v>5000</v>
      </c>
      <c r="L2086" s="12">
        <f t="shared" si="181"/>
        <v>7200</v>
      </c>
      <c r="M2086" s="8">
        <v>1</v>
      </c>
      <c r="N2086" s="8" t="s">
        <v>27</v>
      </c>
      <c r="O2086" s="13" t="s">
        <v>587</v>
      </c>
      <c r="P2086" s="14">
        <v>0.2</v>
      </c>
      <c r="Q2086" s="15">
        <v>0.3</v>
      </c>
      <c r="R2086" s="16" t="str">
        <f t="shared" si="182"/>
        <v>KOMODO</v>
      </c>
      <c r="S2086" s="17"/>
      <c r="T2086" s="10" t="str">
        <f t="shared" si="180"/>
        <v>INSTALACIÓN DE METRO LINEAL DE CINTA LED.</v>
      </c>
    </row>
    <row r="2087" spans="1:20" ht="27" customHeight="1" x14ac:dyDescent="0.25">
      <c r="A2087" s="8" t="s">
        <v>3977</v>
      </c>
      <c r="B2087" s="9" t="s">
        <v>2515</v>
      </c>
      <c r="C2087" s="9"/>
      <c r="D2087" s="8" t="s">
        <v>4009</v>
      </c>
      <c r="E2087" s="8"/>
      <c r="F2087" s="8" t="s">
        <v>22</v>
      </c>
      <c r="G2087" s="10" t="s">
        <v>4244</v>
      </c>
      <c r="H2087" s="8" t="s">
        <v>4245</v>
      </c>
      <c r="I2087" s="10" t="s">
        <v>4244</v>
      </c>
      <c r="J2087" s="11" t="s">
        <v>33</v>
      </c>
      <c r="K2087" s="18">
        <v>45000</v>
      </c>
      <c r="L2087" s="12">
        <f t="shared" si="181"/>
        <v>64300</v>
      </c>
      <c r="M2087" s="8">
        <v>1</v>
      </c>
      <c r="N2087" s="8" t="s">
        <v>27</v>
      </c>
      <c r="O2087" s="13" t="s">
        <v>588</v>
      </c>
      <c r="P2087" s="14">
        <v>0.2</v>
      </c>
      <c r="Q2087" s="15">
        <v>0.3</v>
      </c>
      <c r="R2087" s="16" t="str">
        <f t="shared" si="182"/>
        <v>KOMODO</v>
      </c>
      <c r="S2087" s="17"/>
      <c r="T2087" s="10" t="str">
        <f t="shared" si="180"/>
        <v>INSTALACIÓN DE REFLECTOR. NO INCLUYE OBRAS CIVILES O ADAPTACIONES NECESARIAS.</v>
      </c>
    </row>
    <row r="2088" spans="1:20" ht="27" customHeight="1" x14ac:dyDescent="0.25">
      <c r="A2088" s="8" t="s">
        <v>3977</v>
      </c>
      <c r="B2088" s="9" t="s">
        <v>2515</v>
      </c>
      <c r="C2088" s="9"/>
      <c r="D2088" s="8" t="s">
        <v>4009</v>
      </c>
      <c r="E2088" s="8"/>
      <c r="F2088" s="8" t="s">
        <v>22</v>
      </c>
      <c r="G2088" s="10" t="s">
        <v>4246</v>
      </c>
      <c r="H2088" s="8" t="s">
        <v>4247</v>
      </c>
      <c r="I2088" s="10" t="s">
        <v>4248</v>
      </c>
      <c r="J2088" s="11" t="s">
        <v>33</v>
      </c>
      <c r="K2088" s="18">
        <v>40000</v>
      </c>
      <c r="L2088" s="12">
        <f t="shared" si="181"/>
        <v>57200</v>
      </c>
      <c r="M2088" s="8">
        <v>1</v>
      </c>
      <c r="N2088" s="8" t="s">
        <v>27</v>
      </c>
      <c r="O2088" s="13" t="s">
        <v>587</v>
      </c>
      <c r="P2088" s="14">
        <v>0.2</v>
      </c>
      <c r="Q2088" s="15">
        <v>0.3</v>
      </c>
      <c r="R2088" s="16" t="str">
        <f t="shared" si="182"/>
        <v>KOMODO</v>
      </c>
      <c r="S2088" s="17"/>
      <c r="T2088" s="10" t="str">
        <f t="shared" si="180"/>
        <v>INSTALACIÓN DE LUMINARIA TIPO HASTA.</v>
      </c>
    </row>
    <row r="2089" spans="1:20" ht="27" customHeight="1" x14ac:dyDescent="0.25">
      <c r="A2089" s="8" t="s">
        <v>3977</v>
      </c>
      <c r="B2089" s="9" t="s">
        <v>2515</v>
      </c>
      <c r="C2089" s="9"/>
      <c r="D2089" s="8" t="s">
        <v>4009</v>
      </c>
      <c r="E2089" s="8"/>
      <c r="F2089" s="8" t="s">
        <v>22</v>
      </c>
      <c r="G2089" s="10" t="s">
        <v>4249</v>
      </c>
      <c r="H2089" s="8" t="s">
        <v>4250</v>
      </c>
      <c r="I2089" s="10" t="s">
        <v>4249</v>
      </c>
      <c r="J2089" s="11" t="s">
        <v>26</v>
      </c>
      <c r="K2089" s="18">
        <v>80</v>
      </c>
      <c r="L2089" s="12">
        <f t="shared" si="181"/>
        <v>120</v>
      </c>
      <c r="M2089" s="8">
        <v>1</v>
      </c>
      <c r="N2089" s="8" t="s">
        <v>27</v>
      </c>
      <c r="O2089" s="13" t="s">
        <v>588</v>
      </c>
      <c r="P2089" s="14">
        <v>0.2</v>
      </c>
      <c r="Q2089" s="15">
        <v>0.2</v>
      </c>
      <c r="R2089" s="16" t="str">
        <f t="shared" si="182"/>
        <v>KOMODO</v>
      </c>
      <c r="S2089" s="17"/>
      <c r="T2089" s="10" t="str">
        <f t="shared" si="180"/>
        <v>INSTALACIÓN DE TELÓN FIJO EN PARED, NO INCLUYE REFUERZOS O ACABADOS.</v>
      </c>
    </row>
    <row r="2090" spans="1:20" ht="27" customHeight="1" x14ac:dyDescent="0.25">
      <c r="A2090" s="8" t="s">
        <v>3977</v>
      </c>
      <c r="B2090" s="9" t="s">
        <v>2515</v>
      </c>
      <c r="C2090" s="9"/>
      <c r="D2090" s="8" t="s">
        <v>4009</v>
      </c>
      <c r="E2090" s="8"/>
      <c r="F2090" s="8" t="s">
        <v>22</v>
      </c>
      <c r="G2090" s="10" t="s">
        <v>4251</v>
      </c>
      <c r="H2090" s="8" t="s">
        <v>4252</v>
      </c>
      <c r="I2090" s="10" t="s">
        <v>4251</v>
      </c>
      <c r="J2090" s="11" t="s">
        <v>33</v>
      </c>
      <c r="K2090" s="18">
        <v>100000</v>
      </c>
      <c r="L2090" s="12">
        <f t="shared" si="181"/>
        <v>142900</v>
      </c>
      <c r="M2090" s="8">
        <v>1</v>
      </c>
      <c r="N2090" s="8" t="s">
        <v>27</v>
      </c>
      <c r="O2090" s="13" t="s">
        <v>587</v>
      </c>
      <c r="P2090" s="14">
        <v>0.2</v>
      </c>
      <c r="Q2090" s="15">
        <v>0.3</v>
      </c>
      <c r="R2090" s="16" t="str">
        <f t="shared" si="182"/>
        <v>KOMODO</v>
      </c>
      <c r="S2090" s="17"/>
      <c r="T2090" s="10" t="str">
        <f t="shared" si="180"/>
        <v>DESMONTE Y BODEGAJE DE PANTALLA VIDEO WALL.</v>
      </c>
    </row>
    <row r="2091" spans="1:20" ht="27" customHeight="1" x14ac:dyDescent="0.25">
      <c r="A2091" s="8" t="s">
        <v>3977</v>
      </c>
      <c r="B2091" s="9" t="s">
        <v>2515</v>
      </c>
      <c r="C2091" s="9"/>
      <c r="D2091" s="8" t="s">
        <v>4009</v>
      </c>
      <c r="E2091" s="8"/>
      <c r="F2091" s="8" t="s">
        <v>22</v>
      </c>
      <c r="G2091" s="10" t="s">
        <v>4658</v>
      </c>
      <c r="H2091" s="8" t="s">
        <v>4254</v>
      </c>
      <c r="I2091" s="10" t="s">
        <v>4255</v>
      </c>
      <c r="J2091" s="11" t="s">
        <v>33</v>
      </c>
      <c r="K2091" s="18">
        <v>34930</v>
      </c>
      <c r="L2091" s="12">
        <f t="shared" si="181"/>
        <v>49900</v>
      </c>
      <c r="M2091" s="8">
        <v>1</v>
      </c>
      <c r="N2091" s="8" t="s">
        <v>27</v>
      </c>
      <c r="O2091" s="13" t="s">
        <v>588</v>
      </c>
      <c r="P2091" s="14">
        <v>0.2</v>
      </c>
      <c r="Q2091" s="15">
        <v>0.3</v>
      </c>
      <c r="R2091" s="16" t="str">
        <f t="shared" si="182"/>
        <v>KOMODO</v>
      </c>
      <c r="S2091" s="17"/>
      <c r="T2091" s="10" t="str">
        <f t="shared" si="180"/>
        <v>VISITA TÉCNICA PARA REVISIÓN O INSTALACIÓN DE EQUIPOS DE ILUMINACIÓN O CONTROL.</v>
      </c>
    </row>
    <row r="2092" spans="1:20" ht="27" customHeight="1" x14ac:dyDescent="0.25">
      <c r="A2092" s="8" t="s">
        <v>3977</v>
      </c>
      <c r="B2092" s="9" t="s">
        <v>2515</v>
      </c>
      <c r="C2092" s="9"/>
      <c r="D2092" s="8" t="s">
        <v>4009</v>
      </c>
      <c r="E2092" s="8"/>
      <c r="F2092" s="8" t="s">
        <v>22</v>
      </c>
      <c r="G2092" s="10" t="s">
        <v>4256</v>
      </c>
      <c r="H2092" s="8" t="s">
        <v>4257</v>
      </c>
      <c r="I2092" s="10" t="s">
        <v>4258</v>
      </c>
      <c r="J2092" s="11" t="s">
        <v>33</v>
      </c>
      <c r="K2092" s="18">
        <v>5000</v>
      </c>
      <c r="L2092" s="12">
        <f t="shared" si="181"/>
        <v>6300</v>
      </c>
      <c r="M2092" s="8">
        <v>1</v>
      </c>
      <c r="N2092" s="8" t="s">
        <v>27</v>
      </c>
      <c r="O2092" s="13" t="s">
        <v>587</v>
      </c>
      <c r="P2092" s="14">
        <v>0.2</v>
      </c>
      <c r="Q2092" s="15">
        <v>0.2</v>
      </c>
      <c r="R2092" s="16" t="str">
        <f t="shared" si="182"/>
        <v>KOMODO</v>
      </c>
      <c r="S2092" s="17"/>
      <c r="T2092" s="10" t="str">
        <f t="shared" si="180"/>
        <v>MONTAJE DE BALA DE ILUMINACIÓN EN TECHO.</v>
      </c>
    </row>
    <row r="2093" spans="1:20" ht="27" customHeight="1" x14ac:dyDescent="0.25">
      <c r="A2093" s="8" t="s">
        <v>3977</v>
      </c>
      <c r="B2093" s="9" t="s">
        <v>2515</v>
      </c>
      <c r="C2093" s="9"/>
      <c r="D2093" s="8" t="s">
        <v>4009</v>
      </c>
      <c r="E2093" s="8"/>
      <c r="F2093" s="8" t="s">
        <v>22</v>
      </c>
      <c r="G2093" s="10" t="s">
        <v>4256</v>
      </c>
      <c r="H2093" s="8" t="s">
        <v>4259</v>
      </c>
      <c r="I2093" s="10" t="s">
        <v>4260</v>
      </c>
      <c r="J2093" s="11" t="s">
        <v>33</v>
      </c>
      <c r="K2093" s="18">
        <v>7000</v>
      </c>
      <c r="L2093" s="12">
        <f t="shared" si="181"/>
        <v>8800</v>
      </c>
      <c r="M2093" s="8">
        <v>1</v>
      </c>
      <c r="N2093" s="8" t="s">
        <v>27</v>
      </c>
      <c r="O2093" s="13" t="s">
        <v>588</v>
      </c>
      <c r="P2093" s="14">
        <v>0.2</v>
      </c>
      <c r="Q2093" s="15">
        <v>0.2</v>
      </c>
      <c r="R2093" s="16" t="str">
        <f t="shared" si="182"/>
        <v>KOMODO</v>
      </c>
      <c r="S2093" s="17"/>
      <c r="T2093" s="10" t="str">
        <f t="shared" si="180"/>
        <v>MONTAJE DE BALA DE ILUMINACIÓN EN TECHO.</v>
      </c>
    </row>
    <row r="2094" spans="1:20" ht="27" customHeight="1" x14ac:dyDescent="0.25">
      <c r="A2094" s="8" t="s">
        <v>3977</v>
      </c>
      <c r="B2094" s="9" t="s">
        <v>2515</v>
      </c>
      <c r="C2094" s="9"/>
      <c r="D2094" s="8" t="s">
        <v>4009</v>
      </c>
      <c r="E2094" s="8"/>
      <c r="F2094" s="8" t="s">
        <v>22</v>
      </c>
      <c r="G2094" s="10" t="s">
        <v>4261</v>
      </c>
      <c r="H2094" s="8" t="s">
        <v>4262</v>
      </c>
      <c r="I2094" s="10" t="s">
        <v>4263</v>
      </c>
      <c r="J2094" s="11" t="s">
        <v>33</v>
      </c>
      <c r="K2094" s="18">
        <v>11000</v>
      </c>
      <c r="L2094" s="12">
        <f t="shared" si="181"/>
        <v>13800</v>
      </c>
      <c r="M2094" s="8">
        <v>1</v>
      </c>
      <c r="N2094" s="8" t="s">
        <v>27</v>
      </c>
      <c r="O2094" s="13" t="s">
        <v>587</v>
      </c>
      <c r="P2094" s="14">
        <v>0.2</v>
      </c>
      <c r="Q2094" s="15">
        <v>0.2</v>
      </c>
      <c r="R2094" s="16" t="str">
        <f t="shared" si="182"/>
        <v>KOMODO</v>
      </c>
      <c r="S2094" s="17"/>
      <c r="T2094" s="10" t="str">
        <f t="shared" si="180"/>
        <v>MONTAJE DE BALA CUADRADA DE ILUMINACIÓN EN TECHO.</v>
      </c>
    </row>
    <row r="2095" spans="1:20" ht="27" customHeight="1" x14ac:dyDescent="0.25">
      <c r="A2095" s="8" t="s">
        <v>3977</v>
      </c>
      <c r="B2095" s="9" t="s">
        <v>2515</v>
      </c>
      <c r="C2095" s="9"/>
      <c r="D2095" s="8" t="s">
        <v>4009</v>
      </c>
      <c r="E2095" s="8"/>
      <c r="F2095" s="8" t="s">
        <v>22</v>
      </c>
      <c r="G2095" s="10" t="s">
        <v>4261</v>
      </c>
      <c r="H2095" s="8" t="s">
        <v>4264</v>
      </c>
      <c r="I2095" s="10" t="s">
        <v>4265</v>
      </c>
      <c r="J2095" s="11" t="s">
        <v>33</v>
      </c>
      <c r="K2095" s="18">
        <v>15000</v>
      </c>
      <c r="L2095" s="12">
        <f t="shared" si="181"/>
        <v>18800</v>
      </c>
      <c r="M2095" s="8">
        <v>1</v>
      </c>
      <c r="N2095" s="8" t="s">
        <v>27</v>
      </c>
      <c r="O2095" s="13" t="s">
        <v>588</v>
      </c>
      <c r="P2095" s="14">
        <v>0.2</v>
      </c>
      <c r="Q2095" s="15">
        <v>0.2</v>
      </c>
      <c r="R2095" s="16" t="str">
        <f t="shared" si="182"/>
        <v>KOMODO</v>
      </c>
      <c r="S2095" s="17"/>
      <c r="T2095" s="10" t="str">
        <f t="shared" si="180"/>
        <v>MONTAJE DE BALA CUADRADA DE ILUMINACIÓN EN TECHO.</v>
      </c>
    </row>
    <row r="2096" spans="1:20" ht="27" customHeight="1" x14ac:dyDescent="0.25">
      <c r="A2096" s="8" t="s">
        <v>3977</v>
      </c>
      <c r="B2096" s="9" t="s">
        <v>2515</v>
      </c>
      <c r="C2096" s="9"/>
      <c r="D2096" s="8" t="s">
        <v>4009</v>
      </c>
      <c r="E2096" s="8"/>
      <c r="F2096" s="8" t="s">
        <v>22</v>
      </c>
      <c r="G2096" s="10" t="s">
        <v>4266</v>
      </c>
      <c r="H2096" s="8" t="s">
        <v>4267</v>
      </c>
      <c r="I2096" s="10" t="s">
        <v>4268</v>
      </c>
      <c r="J2096" s="11" t="s">
        <v>33</v>
      </c>
      <c r="K2096" s="18">
        <v>30000</v>
      </c>
      <c r="L2096" s="12">
        <f t="shared" si="181"/>
        <v>37500</v>
      </c>
      <c r="M2096" s="8">
        <v>1</v>
      </c>
      <c r="N2096" s="8" t="s">
        <v>27</v>
      </c>
      <c r="O2096" s="13" t="s">
        <v>587</v>
      </c>
      <c r="P2096" s="14">
        <v>0.2</v>
      </c>
      <c r="Q2096" s="15">
        <v>0.2</v>
      </c>
      <c r="R2096" s="16" t="str">
        <f t="shared" si="182"/>
        <v>KOMODO</v>
      </c>
      <c r="S2096" s="17"/>
      <c r="T2096" s="10" t="str">
        <f t="shared" si="180"/>
        <v>MONTAJE DE LÁMPARA PEQUEÑA DESCOLGADA.</v>
      </c>
    </row>
    <row r="2097" spans="1:20" ht="27" customHeight="1" x14ac:dyDescent="0.25">
      <c r="A2097" s="8" t="s">
        <v>3977</v>
      </c>
      <c r="B2097" s="9" t="s">
        <v>2515</v>
      </c>
      <c r="C2097" s="9"/>
      <c r="D2097" s="8" t="s">
        <v>4009</v>
      </c>
      <c r="E2097" s="8"/>
      <c r="F2097" s="8" t="s">
        <v>22</v>
      </c>
      <c r="G2097" s="10" t="s">
        <v>4266</v>
      </c>
      <c r="H2097" s="8" t="s">
        <v>4269</v>
      </c>
      <c r="I2097" s="10" t="s">
        <v>4270</v>
      </c>
      <c r="J2097" s="11" t="s">
        <v>33</v>
      </c>
      <c r="K2097" s="18">
        <v>40000</v>
      </c>
      <c r="L2097" s="12">
        <f t="shared" si="181"/>
        <v>50000</v>
      </c>
      <c r="M2097" s="8">
        <v>1</v>
      </c>
      <c r="N2097" s="8" t="s">
        <v>27</v>
      </c>
      <c r="O2097" s="13" t="s">
        <v>588</v>
      </c>
      <c r="P2097" s="14">
        <v>0.2</v>
      </c>
      <c r="Q2097" s="15">
        <v>0.2</v>
      </c>
      <c r="R2097" s="16" t="str">
        <f t="shared" si="182"/>
        <v>KOMODO</v>
      </c>
      <c r="S2097" s="17"/>
      <c r="T2097" s="10" t="str">
        <f t="shared" si="180"/>
        <v>MONTAJE DE LÁMPARA PEQUEÑA DESCOLGADA.</v>
      </c>
    </row>
    <row r="2098" spans="1:20" ht="27" customHeight="1" x14ac:dyDescent="0.25">
      <c r="A2098" s="8" t="s">
        <v>3977</v>
      </c>
      <c r="B2098" s="9" t="s">
        <v>2515</v>
      </c>
      <c r="C2098" s="9"/>
      <c r="D2098" s="8" t="s">
        <v>4009</v>
      </c>
      <c r="E2098" s="8"/>
      <c r="F2098" s="8" t="s">
        <v>22</v>
      </c>
      <c r="G2098" s="10" t="s">
        <v>4271</v>
      </c>
      <c r="H2098" s="8" t="s">
        <v>4272</v>
      </c>
      <c r="I2098" s="10" t="s">
        <v>4271</v>
      </c>
      <c r="J2098" s="11" t="s">
        <v>33</v>
      </c>
      <c r="K2098" s="18">
        <v>4500</v>
      </c>
      <c r="L2098" s="12">
        <f t="shared" si="181"/>
        <v>5700</v>
      </c>
      <c r="M2098" s="8">
        <v>1</v>
      </c>
      <c r="N2098" s="8" t="s">
        <v>27</v>
      </c>
      <c r="O2098" s="13" t="s">
        <v>587</v>
      </c>
      <c r="P2098" s="14">
        <v>0.2</v>
      </c>
      <c r="Q2098" s="15">
        <v>0.2</v>
      </c>
      <c r="R2098" s="16" t="str">
        <f t="shared" si="182"/>
        <v>KOMODO</v>
      </c>
      <c r="S2098" s="17"/>
      <c r="T2098" s="10" t="str">
        <f t="shared" si="180"/>
        <v>MONTAJE DE METRO LINEAL DE CINTA LED. NO INCLUYE ACCESORIOS.</v>
      </c>
    </row>
    <row r="2099" spans="1:20" ht="27" customHeight="1" x14ac:dyDescent="0.25">
      <c r="A2099" s="8" t="s">
        <v>3977</v>
      </c>
      <c r="B2099" s="9" t="s">
        <v>2515</v>
      </c>
      <c r="C2099" s="9"/>
      <c r="D2099" s="8" t="s">
        <v>4009</v>
      </c>
      <c r="E2099" s="8"/>
      <c r="F2099" s="8" t="s">
        <v>22</v>
      </c>
      <c r="G2099" s="10" t="s">
        <v>4273</v>
      </c>
      <c r="H2099" s="8" t="s">
        <v>4274</v>
      </c>
      <c r="I2099" s="10" t="s">
        <v>4275</v>
      </c>
      <c r="J2099" s="11" t="s">
        <v>33</v>
      </c>
      <c r="K2099" s="18">
        <v>6000</v>
      </c>
      <c r="L2099" s="12">
        <f t="shared" si="181"/>
        <v>7500</v>
      </c>
      <c r="M2099" s="8">
        <v>1</v>
      </c>
      <c r="N2099" s="8" t="s">
        <v>27</v>
      </c>
      <c r="O2099" s="13" t="s">
        <v>588</v>
      </c>
      <c r="P2099" s="14">
        <v>0.2</v>
      </c>
      <c r="Q2099" s="15">
        <v>0.2</v>
      </c>
      <c r="R2099" s="16" t="str">
        <f t="shared" si="182"/>
        <v>KOMODO</v>
      </c>
      <c r="S2099" s="17"/>
      <c r="T2099" s="10" t="str">
        <f t="shared" si="180"/>
        <v>MONTAJE DE METRO LINEAL DE CINTA LED.</v>
      </c>
    </row>
    <row r="2100" spans="1:20" ht="27" customHeight="1" x14ac:dyDescent="0.25">
      <c r="A2100" s="8" t="s">
        <v>3977</v>
      </c>
      <c r="B2100" s="9" t="s">
        <v>2515</v>
      </c>
      <c r="C2100" s="9"/>
      <c r="D2100" s="8" t="s">
        <v>4009</v>
      </c>
      <c r="E2100" s="8"/>
      <c r="F2100" s="8" t="s">
        <v>22</v>
      </c>
      <c r="G2100" s="10" t="s">
        <v>4276</v>
      </c>
      <c r="H2100" s="8" t="s">
        <v>4277</v>
      </c>
      <c r="I2100" s="10" t="s">
        <v>4276</v>
      </c>
      <c r="J2100" s="11" t="s">
        <v>33</v>
      </c>
      <c r="K2100" s="18">
        <v>30000</v>
      </c>
      <c r="L2100" s="12">
        <f t="shared" si="181"/>
        <v>42900</v>
      </c>
      <c r="M2100" s="8">
        <v>1</v>
      </c>
      <c r="N2100" s="8" t="s">
        <v>27</v>
      </c>
      <c r="O2100" s="13" t="s">
        <v>587</v>
      </c>
      <c r="P2100" s="14">
        <v>0.2</v>
      </c>
      <c r="Q2100" s="15">
        <v>0.3</v>
      </c>
      <c r="R2100" s="16" t="str">
        <f t="shared" si="182"/>
        <v>KOMODO</v>
      </c>
      <c r="S2100" s="17"/>
      <c r="T2100" s="10" t="str">
        <f t="shared" si="180"/>
        <v>INSTALACIÓN DE LUMINARIA INTERNA EN LETRA CON RECUBRIMIENTO ACRÍLICO.</v>
      </c>
    </row>
    <row r="2101" spans="1:20" ht="27" customHeight="1" x14ac:dyDescent="0.25">
      <c r="A2101" s="8" t="s">
        <v>3977</v>
      </c>
      <c r="B2101" s="9" t="s">
        <v>2515</v>
      </c>
      <c r="C2101" s="9"/>
      <c r="D2101" s="8" t="s">
        <v>4009</v>
      </c>
      <c r="E2101" s="8"/>
      <c r="F2101" s="8" t="s">
        <v>22</v>
      </c>
      <c r="G2101" s="10" t="s">
        <v>4659</v>
      </c>
      <c r="H2101" s="8" t="s">
        <v>4279</v>
      </c>
      <c r="I2101" s="10" t="s">
        <v>4280</v>
      </c>
      <c r="J2101" s="11" t="s">
        <v>33</v>
      </c>
      <c r="K2101" s="18">
        <v>50000</v>
      </c>
      <c r="L2101" s="12">
        <f t="shared" si="181"/>
        <v>83400</v>
      </c>
      <c r="M2101" s="8">
        <v>1</v>
      </c>
      <c r="N2101" s="8" t="s">
        <v>27</v>
      </c>
      <c r="O2101" s="13" t="s">
        <v>588</v>
      </c>
      <c r="P2101" s="14">
        <v>0.2</v>
      </c>
      <c r="Q2101" s="15">
        <v>0.4</v>
      </c>
      <c r="R2101" s="16" t="str">
        <f t="shared" si="182"/>
        <v>KOMODO</v>
      </c>
      <c r="S2101" s="17"/>
      <c r="T2101" s="10" t="str">
        <f t="shared" si="180"/>
        <v>DESMONTE O MONTAJE DE ELEMENTO EN FACHADA CON DESCENSO CONTROLADO.</v>
      </c>
    </row>
    <row r="2102" spans="1:20" ht="27" customHeight="1" x14ac:dyDescent="0.25">
      <c r="A2102" s="8" t="s">
        <v>3977</v>
      </c>
      <c r="B2102" s="9" t="s">
        <v>2515</v>
      </c>
      <c r="C2102" s="9"/>
      <c r="D2102" s="8" t="s">
        <v>4009</v>
      </c>
      <c r="E2102" s="8"/>
      <c r="F2102" s="8" t="s">
        <v>22</v>
      </c>
      <c r="G2102" s="10" t="s">
        <v>4281</v>
      </c>
      <c r="H2102" s="8" t="s">
        <v>4282</v>
      </c>
      <c r="I2102" s="10" t="s">
        <v>4281</v>
      </c>
      <c r="J2102" s="11" t="s">
        <v>33</v>
      </c>
      <c r="K2102" s="18">
        <v>80000</v>
      </c>
      <c r="L2102" s="12">
        <f t="shared" si="181"/>
        <v>133400</v>
      </c>
      <c r="M2102" s="8">
        <v>1</v>
      </c>
      <c r="N2102" s="8" t="s">
        <v>27</v>
      </c>
      <c r="O2102" s="13" t="s">
        <v>587</v>
      </c>
      <c r="P2102" s="14">
        <v>0.2</v>
      </c>
      <c r="Q2102" s="15">
        <v>0.4</v>
      </c>
      <c r="R2102" s="16" t="str">
        <f t="shared" si="182"/>
        <v>KOMODO</v>
      </c>
      <c r="S2102" s="17"/>
      <c r="T2102" s="10" t="str">
        <f t="shared" si="180"/>
        <v>INSTALACIÓN DE PUNTO ELÉCTRICO EN FACHADA, CON DESCENSO CONTROLADO EN ALTURA.</v>
      </c>
    </row>
    <row r="2103" spans="1:20" ht="27" customHeight="1" x14ac:dyDescent="0.25">
      <c r="A2103" s="8" t="s">
        <v>3977</v>
      </c>
      <c r="B2103" s="9" t="s">
        <v>2515</v>
      </c>
      <c r="C2103" s="9"/>
      <c r="D2103" s="8" t="s">
        <v>4009</v>
      </c>
      <c r="E2103" s="8"/>
      <c r="F2103" s="8" t="s">
        <v>22</v>
      </c>
      <c r="G2103" s="10" t="s">
        <v>4283</v>
      </c>
      <c r="H2103" s="8" t="s">
        <v>4284</v>
      </c>
      <c r="I2103" s="10" t="s">
        <v>4283</v>
      </c>
      <c r="J2103" s="11" t="s">
        <v>33</v>
      </c>
      <c r="K2103" s="18">
        <v>80000</v>
      </c>
      <c r="L2103" s="12">
        <f t="shared" si="181"/>
        <v>133400</v>
      </c>
      <c r="M2103" s="8">
        <v>1</v>
      </c>
      <c r="N2103" s="8" t="s">
        <v>27</v>
      </c>
      <c r="O2103" s="13" t="s">
        <v>588</v>
      </c>
      <c r="P2103" s="14">
        <v>0.2</v>
      </c>
      <c r="Q2103" s="15">
        <v>0.4</v>
      </c>
      <c r="R2103" s="16" t="str">
        <f t="shared" si="182"/>
        <v>KOMODO</v>
      </c>
      <c r="S2103" s="17"/>
      <c r="T2103" s="10" t="str">
        <f t="shared" si="180"/>
        <v>REVISIÓN DE PUNTO ELÉCTRICO O DE DATOS</v>
      </c>
    </row>
    <row r="2104" spans="1:20" ht="27" customHeight="1" x14ac:dyDescent="0.25">
      <c r="A2104" s="8" t="s">
        <v>3977</v>
      </c>
      <c r="B2104" s="9" t="s">
        <v>2515</v>
      </c>
      <c r="C2104" s="9"/>
      <c r="D2104" s="8" t="s">
        <v>4009</v>
      </c>
      <c r="E2104" s="8"/>
      <c r="F2104" s="8" t="s">
        <v>22</v>
      </c>
      <c r="G2104" s="10" t="s">
        <v>4285</v>
      </c>
      <c r="H2104" s="8" t="s">
        <v>4286</v>
      </c>
      <c r="I2104" s="10" t="s">
        <v>4287</v>
      </c>
      <c r="J2104" s="11" t="s">
        <v>33</v>
      </c>
      <c r="K2104" s="18">
        <v>80000</v>
      </c>
      <c r="L2104" s="12">
        <f t="shared" si="181"/>
        <v>133400</v>
      </c>
      <c r="M2104" s="8">
        <v>1</v>
      </c>
      <c r="N2104" s="8" t="s">
        <v>27</v>
      </c>
      <c r="O2104" s="13" t="s">
        <v>587</v>
      </c>
      <c r="P2104" s="14">
        <v>0.2</v>
      </c>
      <c r="Q2104" s="15">
        <v>0.4</v>
      </c>
      <c r="R2104" s="16" t="str">
        <f t="shared" si="182"/>
        <v>KOMODO</v>
      </c>
      <c r="S2104" s="17"/>
      <c r="T2104" s="10" t="str">
        <f t="shared" si="180"/>
        <v>VISITA TÉCNICA PARA REVISIÓN DE EQUIPOS DE CONTROL AUDIO O VIDEO.</v>
      </c>
    </row>
    <row r="2105" spans="1:20" ht="27" customHeight="1" x14ac:dyDescent="0.25">
      <c r="A2105" s="8" t="s">
        <v>3977</v>
      </c>
      <c r="B2105" s="9"/>
      <c r="C2105" s="9"/>
      <c r="D2105" s="8"/>
      <c r="E2105" s="8"/>
      <c r="F2105" s="8" t="s">
        <v>22</v>
      </c>
      <c r="G2105" s="10" t="s">
        <v>4288</v>
      </c>
      <c r="H2105" s="8" t="s">
        <v>4289</v>
      </c>
      <c r="I2105" s="10" t="s">
        <v>4288</v>
      </c>
      <c r="J2105" s="11" t="s">
        <v>33</v>
      </c>
      <c r="K2105" s="18">
        <v>90000</v>
      </c>
      <c r="L2105" s="12">
        <f t="shared" si="181"/>
        <v>150000</v>
      </c>
      <c r="M2105" s="8">
        <v>1</v>
      </c>
      <c r="N2105" s="8" t="s">
        <v>27</v>
      </c>
      <c r="O2105" s="13" t="s">
        <v>588</v>
      </c>
      <c r="P2105" s="14">
        <v>0.2</v>
      </c>
      <c r="Q2105" s="15">
        <v>0.4</v>
      </c>
      <c r="R2105" s="16" t="str">
        <f t="shared" si="182"/>
        <v>KOMODO</v>
      </c>
      <c r="S2105" s="17"/>
      <c r="T2105" s="10" t="str">
        <f t="shared" ref="T2105:T2168" si="183">G2105</f>
        <v>PONCHADO Y CONEXIÓN DE PATCH PANEL DE 24 PUERTOS</v>
      </c>
    </row>
    <row r="2106" spans="1:20" ht="27" customHeight="1" x14ac:dyDescent="0.25">
      <c r="A2106" s="8" t="s">
        <v>3977</v>
      </c>
      <c r="B2106" s="9"/>
      <c r="C2106" s="9"/>
      <c r="D2106" s="8"/>
      <c r="E2106" s="8"/>
      <c r="F2106" s="8" t="s">
        <v>22</v>
      </c>
      <c r="G2106" s="10" t="s">
        <v>4290</v>
      </c>
      <c r="H2106" s="8" t="s">
        <v>4291</v>
      </c>
      <c r="I2106" s="10" t="s">
        <v>4290</v>
      </c>
      <c r="J2106" s="11" t="s">
        <v>33</v>
      </c>
      <c r="K2106" s="18">
        <v>150000</v>
      </c>
      <c r="L2106" s="12">
        <f t="shared" si="181"/>
        <v>250000</v>
      </c>
      <c r="M2106" s="8">
        <v>1</v>
      </c>
      <c r="N2106" s="8" t="s">
        <v>27</v>
      </c>
      <c r="O2106" s="13" t="s">
        <v>587</v>
      </c>
      <c r="P2106" s="14">
        <v>0.2</v>
      </c>
      <c r="Q2106" s="15">
        <v>0.4</v>
      </c>
      <c r="R2106" s="16" t="str">
        <f t="shared" si="182"/>
        <v>KOMODO</v>
      </c>
      <c r="S2106" s="17"/>
      <c r="T2106" s="10" t="str">
        <f t="shared" si="183"/>
        <v>INSTALACIÓN DE BARRERA DE ACCESO PEATONAL</v>
      </c>
    </row>
    <row r="2107" spans="1:20" ht="27" customHeight="1" x14ac:dyDescent="0.25">
      <c r="A2107" s="8" t="s">
        <v>3977</v>
      </c>
      <c r="B2107" s="9"/>
      <c r="C2107" s="9"/>
      <c r="D2107" s="8"/>
      <c r="E2107" s="8"/>
      <c r="F2107" s="8" t="s">
        <v>22</v>
      </c>
      <c r="G2107" s="10" t="s">
        <v>4292</v>
      </c>
      <c r="H2107" s="8" t="s">
        <v>4293</v>
      </c>
      <c r="I2107" s="10" t="s">
        <v>4294</v>
      </c>
      <c r="J2107" s="11" t="s">
        <v>33</v>
      </c>
      <c r="K2107" s="18">
        <v>80000</v>
      </c>
      <c r="L2107" s="12">
        <f t="shared" ref="L2107:L2170" si="184">IF(J2107="P",ROUNDUP(K2107/(1-Q2107),-2),K2107*(1+P2107)/(1-Q2107))</f>
        <v>133400</v>
      </c>
      <c r="M2107" s="8">
        <v>1</v>
      </c>
      <c r="N2107" s="8" t="s">
        <v>27</v>
      </c>
      <c r="O2107" s="13" t="s">
        <v>588</v>
      </c>
      <c r="P2107" s="14">
        <v>0.2</v>
      </c>
      <c r="Q2107" s="15">
        <v>0.4</v>
      </c>
      <c r="R2107" s="16" t="str">
        <f t="shared" si="182"/>
        <v>KOMODO</v>
      </c>
      <c r="S2107" s="17"/>
      <c r="T2107" s="10" t="str">
        <f t="shared" si="183"/>
        <v>REORGANIZACIÓN DE CABLEADO DE SISTEMA 5.1.</v>
      </c>
    </row>
    <row r="2108" spans="1:20" ht="27" customHeight="1" x14ac:dyDescent="0.25">
      <c r="A2108" s="8" t="s">
        <v>3977</v>
      </c>
      <c r="B2108" s="9"/>
      <c r="C2108" s="9"/>
      <c r="D2108" s="8"/>
      <c r="E2108" s="8"/>
      <c r="F2108" s="8" t="s">
        <v>22</v>
      </c>
      <c r="G2108" s="10" t="s">
        <v>4295</v>
      </c>
      <c r="H2108" s="8" t="s">
        <v>4296</v>
      </c>
      <c r="I2108" s="10" t="s">
        <v>4297</v>
      </c>
      <c r="J2108" s="11" t="s">
        <v>33</v>
      </c>
      <c r="K2108" s="18">
        <v>25000</v>
      </c>
      <c r="L2108" s="12">
        <f t="shared" si="184"/>
        <v>41700</v>
      </c>
      <c r="M2108" s="8">
        <v>1</v>
      </c>
      <c r="N2108" s="8" t="s">
        <v>27</v>
      </c>
      <c r="O2108" s="13" t="s">
        <v>587</v>
      </c>
      <c r="P2108" s="14">
        <v>0.2</v>
      </c>
      <c r="Q2108" s="15">
        <v>0.4</v>
      </c>
      <c r="R2108" s="16" t="str">
        <f t="shared" si="182"/>
        <v>KOMODO</v>
      </c>
      <c r="S2108" s="17"/>
      <c r="T2108" s="10" t="str">
        <f t="shared" si="183"/>
        <v>INSTALACIÓN DE SALIDA DE AUDIO.</v>
      </c>
    </row>
    <row r="2109" spans="1:20" ht="27" customHeight="1" x14ac:dyDescent="0.25">
      <c r="A2109" s="8" t="s">
        <v>3977</v>
      </c>
      <c r="B2109" s="9"/>
      <c r="C2109" s="9"/>
      <c r="D2109" s="8"/>
      <c r="E2109" s="8"/>
      <c r="F2109" s="8" t="s">
        <v>22</v>
      </c>
      <c r="G2109" s="10" t="s">
        <v>4298</v>
      </c>
      <c r="H2109" s="8" t="s">
        <v>4299</v>
      </c>
      <c r="I2109" s="10" t="s">
        <v>4298</v>
      </c>
      <c r="J2109" s="11" t="s">
        <v>33</v>
      </c>
      <c r="K2109" s="18">
        <v>95000</v>
      </c>
      <c r="L2109" s="12">
        <f t="shared" si="184"/>
        <v>158400</v>
      </c>
      <c r="M2109" s="8">
        <v>1</v>
      </c>
      <c r="N2109" s="8" t="s">
        <v>27</v>
      </c>
      <c r="O2109" s="13" t="s">
        <v>588</v>
      </c>
      <c r="P2109" s="14">
        <v>0.2</v>
      </c>
      <c r="Q2109" s="15">
        <v>0.4</v>
      </c>
      <c r="R2109" s="16" t="str">
        <f t="shared" si="182"/>
        <v>KOMODO</v>
      </c>
      <c r="S2109" s="17"/>
      <c r="T2109" s="10" t="str">
        <f t="shared" si="183"/>
        <v>MOVIMIENTO DE ALIMENTACIÓN PARCIAL</v>
      </c>
    </row>
    <row r="2110" spans="1:20" ht="27" customHeight="1" x14ac:dyDescent="0.25">
      <c r="A2110" s="8" t="s">
        <v>3977</v>
      </c>
      <c r="B2110" s="9"/>
      <c r="C2110" s="9"/>
      <c r="D2110" s="8"/>
      <c r="E2110" s="8"/>
      <c r="F2110" s="8" t="s">
        <v>22</v>
      </c>
      <c r="G2110" s="10" t="s">
        <v>4300</v>
      </c>
      <c r="H2110" s="8" t="s">
        <v>4301</v>
      </c>
      <c r="I2110" s="10" t="s">
        <v>4300</v>
      </c>
      <c r="J2110" s="11" t="s">
        <v>33</v>
      </c>
      <c r="K2110" s="18">
        <v>6000</v>
      </c>
      <c r="L2110" s="12">
        <f t="shared" si="184"/>
        <v>10000</v>
      </c>
      <c r="M2110" s="8">
        <v>1</v>
      </c>
      <c r="N2110" s="8" t="s">
        <v>27</v>
      </c>
      <c r="O2110" s="13" t="s">
        <v>587</v>
      </c>
      <c r="P2110" s="14">
        <v>0.2</v>
      </c>
      <c r="Q2110" s="15">
        <v>0.4</v>
      </c>
      <c r="R2110" s="16" t="str">
        <f t="shared" si="182"/>
        <v>KOMODO</v>
      </c>
      <c r="S2110" s="17"/>
      <c r="T2110" s="10" t="str">
        <f t="shared" si="183"/>
        <v>INSTALACIÓN DE METRO DE CANALETA</v>
      </c>
    </row>
    <row r="2111" spans="1:20" ht="27" customHeight="1" x14ac:dyDescent="0.25">
      <c r="A2111" s="8" t="s">
        <v>3977</v>
      </c>
      <c r="B2111" s="9"/>
      <c r="C2111" s="9"/>
      <c r="D2111" s="8"/>
      <c r="E2111" s="8"/>
      <c r="F2111" s="8" t="s">
        <v>22</v>
      </c>
      <c r="G2111" s="10" t="s">
        <v>4302</v>
      </c>
      <c r="H2111" s="8" t="s">
        <v>4303</v>
      </c>
      <c r="I2111" s="10" t="s">
        <v>4302</v>
      </c>
      <c r="J2111" s="11" t="s">
        <v>33</v>
      </c>
      <c r="K2111" s="18">
        <v>350000</v>
      </c>
      <c r="L2111" s="12">
        <f t="shared" si="184"/>
        <v>583400</v>
      </c>
      <c r="M2111" s="8">
        <v>1</v>
      </c>
      <c r="N2111" s="8" t="s">
        <v>27</v>
      </c>
      <c r="O2111" s="13" t="s">
        <v>588</v>
      </c>
      <c r="P2111" s="14">
        <v>0.2</v>
      </c>
      <c r="Q2111" s="15">
        <v>0.4</v>
      </c>
      <c r="R2111" s="16" t="str">
        <f t="shared" si="182"/>
        <v>KOMODO</v>
      </c>
      <c r="S2111" s="17"/>
      <c r="T2111" s="10" t="str">
        <f t="shared" si="183"/>
        <v>ADECUACIÓN Y ORGANIZACIÓN DE EQUIPOS EN RACK</v>
      </c>
    </row>
    <row r="2112" spans="1:20" ht="27" customHeight="1" x14ac:dyDescent="0.25">
      <c r="A2112" s="8" t="s">
        <v>3977</v>
      </c>
      <c r="B2112" s="9"/>
      <c r="C2112" s="9"/>
      <c r="D2112" s="8"/>
      <c r="E2112" s="8"/>
      <c r="F2112" s="8" t="s">
        <v>22</v>
      </c>
      <c r="G2112" s="10" t="s">
        <v>4304</v>
      </c>
      <c r="H2112" s="8" t="s">
        <v>4305</v>
      </c>
      <c r="I2112" s="10" t="s">
        <v>4304</v>
      </c>
      <c r="J2112" s="11" t="s">
        <v>33</v>
      </c>
      <c r="K2112" s="18">
        <v>35000</v>
      </c>
      <c r="L2112" s="12">
        <f t="shared" si="184"/>
        <v>58400</v>
      </c>
      <c r="M2112" s="8">
        <v>1</v>
      </c>
      <c r="N2112" s="8" t="s">
        <v>27</v>
      </c>
      <c r="O2112" s="13" t="s">
        <v>587</v>
      </c>
      <c r="P2112" s="14">
        <v>0.2</v>
      </c>
      <c r="Q2112" s="15">
        <v>0.4</v>
      </c>
      <c r="R2112" s="16" t="str">
        <f t="shared" si="182"/>
        <v>KOMODO</v>
      </c>
      <c r="S2112" s="17"/>
      <c r="T2112" s="10" t="str">
        <f t="shared" si="183"/>
        <v>INSTALACIÓN DE INTERFAZ DE ATENUACIÓN WIRELESS TIPO PLUG.</v>
      </c>
    </row>
    <row r="2113" spans="1:20" ht="27" customHeight="1" x14ac:dyDescent="0.25">
      <c r="A2113" s="8" t="s">
        <v>3977</v>
      </c>
      <c r="B2113" s="9"/>
      <c r="C2113" s="9"/>
      <c r="D2113" s="8"/>
      <c r="E2113" s="8"/>
      <c r="F2113" s="8" t="s">
        <v>22</v>
      </c>
      <c r="G2113" s="10" t="s">
        <v>4306</v>
      </c>
      <c r="H2113" s="8" t="s">
        <v>4307</v>
      </c>
      <c r="I2113" s="10" t="s">
        <v>4306</v>
      </c>
      <c r="J2113" s="11" t="s">
        <v>33</v>
      </c>
      <c r="K2113" s="18">
        <v>50000</v>
      </c>
      <c r="L2113" s="12">
        <f t="shared" si="184"/>
        <v>83400</v>
      </c>
      <c r="M2113" s="8">
        <v>1</v>
      </c>
      <c r="N2113" s="8" t="s">
        <v>27</v>
      </c>
      <c r="O2113" s="13" t="s">
        <v>588</v>
      </c>
      <c r="P2113" s="14">
        <v>0.2</v>
      </c>
      <c r="Q2113" s="15">
        <v>0.4</v>
      </c>
      <c r="R2113" s="16" t="str">
        <f t="shared" ref="R2113:R2176" si="185">A2113</f>
        <v>KOMODO</v>
      </c>
      <c r="S2113" s="17"/>
      <c r="T2113" s="10" t="str">
        <f t="shared" si="183"/>
        <v>INSTALACIÓN DE EXTRACTOR</v>
      </c>
    </row>
    <row r="2114" spans="1:20" ht="27" customHeight="1" x14ac:dyDescent="0.25">
      <c r="A2114" s="8" t="s">
        <v>3977</v>
      </c>
      <c r="B2114" s="9"/>
      <c r="C2114" s="9"/>
      <c r="D2114" s="8"/>
      <c r="E2114" s="8"/>
      <c r="F2114" s="8" t="s">
        <v>22</v>
      </c>
      <c r="G2114" s="10" t="s">
        <v>4308</v>
      </c>
      <c r="H2114" s="8" t="s">
        <v>4309</v>
      </c>
      <c r="I2114" s="10" t="s">
        <v>4308</v>
      </c>
      <c r="J2114" s="11" t="s">
        <v>33</v>
      </c>
      <c r="K2114" s="18">
        <v>30000</v>
      </c>
      <c r="L2114" s="12">
        <f t="shared" si="184"/>
        <v>50000</v>
      </c>
      <c r="M2114" s="8">
        <v>1</v>
      </c>
      <c r="N2114" s="8" t="s">
        <v>27</v>
      </c>
      <c r="O2114" s="13" t="s">
        <v>587</v>
      </c>
      <c r="P2114" s="14">
        <v>0.2</v>
      </c>
      <c r="Q2114" s="15">
        <v>0.4</v>
      </c>
      <c r="R2114" s="16" t="str">
        <f t="shared" si="185"/>
        <v>KOMODO</v>
      </c>
      <c r="S2114" s="17"/>
      <c r="T2114" s="10" t="str">
        <f t="shared" si="183"/>
        <v>INSTALACIÓN DE CITÓFONO</v>
      </c>
    </row>
    <row r="2115" spans="1:20" ht="27" customHeight="1" x14ac:dyDescent="0.25">
      <c r="A2115" s="8" t="s">
        <v>3977</v>
      </c>
      <c r="B2115" s="9"/>
      <c r="C2115" s="9"/>
      <c r="D2115" s="8"/>
      <c r="E2115" s="8"/>
      <c r="F2115" s="8" t="s">
        <v>22</v>
      </c>
      <c r="G2115" s="10" t="s">
        <v>4310</v>
      </c>
      <c r="H2115" s="8" t="s">
        <v>4311</v>
      </c>
      <c r="I2115" s="10" t="s">
        <v>4310</v>
      </c>
      <c r="J2115" s="11" t="s">
        <v>33</v>
      </c>
      <c r="K2115" s="18">
        <v>35000</v>
      </c>
      <c r="L2115" s="12">
        <f t="shared" si="184"/>
        <v>58400</v>
      </c>
      <c r="M2115" s="8">
        <v>1</v>
      </c>
      <c r="N2115" s="8" t="s">
        <v>27</v>
      </c>
      <c r="O2115" s="13" t="s">
        <v>588</v>
      </c>
      <c r="P2115" s="14">
        <v>0.2</v>
      </c>
      <c r="Q2115" s="15">
        <v>0.4</v>
      </c>
      <c r="R2115" s="16" t="str">
        <f t="shared" si="185"/>
        <v>KOMODO</v>
      </c>
      <c r="S2115" s="17"/>
      <c r="T2115" s="10" t="str">
        <f t="shared" si="183"/>
        <v>INSTALACIÓN DE DRIVER PARA LETRERO</v>
      </c>
    </row>
    <row r="2116" spans="1:20" ht="27" customHeight="1" x14ac:dyDescent="0.25">
      <c r="A2116" s="8" t="s">
        <v>3977</v>
      </c>
      <c r="B2116" s="9"/>
      <c r="C2116" s="9"/>
      <c r="D2116" s="8"/>
      <c r="E2116" s="8"/>
      <c r="F2116" s="8" t="s">
        <v>22</v>
      </c>
      <c r="G2116" s="10" t="s">
        <v>4312</v>
      </c>
      <c r="H2116" s="8" t="s">
        <v>4313</v>
      </c>
      <c r="I2116" s="10" t="s">
        <v>4312</v>
      </c>
      <c r="J2116" s="11" t="s">
        <v>33</v>
      </c>
      <c r="K2116" s="18">
        <v>10000</v>
      </c>
      <c r="L2116" s="12">
        <f t="shared" si="184"/>
        <v>16700</v>
      </c>
      <c r="M2116" s="8">
        <v>1</v>
      </c>
      <c r="N2116" s="8" t="s">
        <v>27</v>
      </c>
      <c r="O2116" s="13" t="s">
        <v>587</v>
      </c>
      <c r="P2116" s="14">
        <v>0.2</v>
      </c>
      <c r="Q2116" s="15">
        <v>0.4</v>
      </c>
      <c r="R2116" s="16" t="str">
        <f t="shared" si="185"/>
        <v>KOMODO</v>
      </c>
      <c r="S2116" s="17"/>
      <c r="T2116" s="10" t="str">
        <f t="shared" si="183"/>
        <v>INSTALACIÓN DE METRO DE DUCTO DE AIRE PARA EXTRACCIÓN</v>
      </c>
    </row>
    <row r="2117" spans="1:20" ht="27" customHeight="1" x14ac:dyDescent="0.25">
      <c r="A2117" s="8" t="s">
        <v>3977</v>
      </c>
      <c r="B2117" s="9"/>
      <c r="C2117" s="9"/>
      <c r="D2117" s="8"/>
      <c r="E2117" s="8"/>
      <c r="F2117" s="8" t="s">
        <v>22</v>
      </c>
      <c r="G2117" s="10" t="s">
        <v>4314</v>
      </c>
      <c r="H2117" s="8" t="s">
        <v>4315</v>
      </c>
      <c r="I2117" s="10" t="s">
        <v>4314</v>
      </c>
      <c r="J2117" s="11" t="s">
        <v>33</v>
      </c>
      <c r="K2117" s="18">
        <v>155000</v>
      </c>
      <c r="L2117" s="12">
        <f t="shared" si="184"/>
        <v>258400</v>
      </c>
      <c r="M2117" s="8">
        <v>1</v>
      </c>
      <c r="N2117" s="8" t="s">
        <v>27</v>
      </c>
      <c r="O2117" s="13" t="s">
        <v>588</v>
      </c>
      <c r="P2117" s="14">
        <v>0.2</v>
      </c>
      <c r="Q2117" s="15">
        <v>0.4</v>
      </c>
      <c r="R2117" s="16" t="str">
        <f t="shared" si="185"/>
        <v>KOMODO</v>
      </c>
      <c r="S2117" s="17"/>
      <c r="T2117" s="10" t="str">
        <f t="shared" si="183"/>
        <v>DESMONTE DE TABLERO ELÉCTRICO Y BYPASS DE TABLERO ELÉCTRICO</v>
      </c>
    </row>
    <row r="2118" spans="1:20" ht="27" customHeight="1" x14ac:dyDescent="0.25">
      <c r="A2118" s="8" t="s">
        <v>3977</v>
      </c>
      <c r="B2118" s="9"/>
      <c r="C2118" s="9"/>
      <c r="D2118" s="8"/>
      <c r="E2118" s="8"/>
      <c r="F2118" s="8" t="s">
        <v>22</v>
      </c>
      <c r="G2118" s="10" t="s">
        <v>4316</v>
      </c>
      <c r="H2118" s="8" t="s">
        <v>4317</v>
      </c>
      <c r="I2118" s="10" t="s">
        <v>4316</v>
      </c>
      <c r="J2118" s="11" t="s">
        <v>33</v>
      </c>
      <c r="K2118" s="18">
        <v>150000</v>
      </c>
      <c r="L2118" s="12">
        <f t="shared" si="184"/>
        <v>250000</v>
      </c>
      <c r="M2118" s="8">
        <v>1</v>
      </c>
      <c r="N2118" s="8" t="s">
        <v>27</v>
      </c>
      <c r="O2118" s="13" t="s">
        <v>587</v>
      </c>
      <c r="P2118" s="14">
        <v>0.2</v>
      </c>
      <c r="Q2118" s="15">
        <v>0.4</v>
      </c>
      <c r="R2118" s="16" t="str">
        <f t="shared" si="185"/>
        <v>KOMODO</v>
      </c>
      <c r="S2118" s="17"/>
      <c r="T2118" s="10" t="str">
        <f t="shared" si="183"/>
        <v>INSTALACIÓN DE PANEL DE ALARMA HASTA POR 16 ZONAS</v>
      </c>
    </row>
    <row r="2119" spans="1:20" ht="27" customHeight="1" x14ac:dyDescent="0.25">
      <c r="A2119" s="8" t="s">
        <v>3977</v>
      </c>
      <c r="B2119" s="9"/>
      <c r="C2119" s="9"/>
      <c r="D2119" s="8"/>
      <c r="E2119" s="8"/>
      <c r="F2119" s="8" t="s">
        <v>22</v>
      </c>
      <c r="G2119" s="10" t="s">
        <v>4660</v>
      </c>
      <c r="H2119" s="8" t="s">
        <v>4319</v>
      </c>
      <c r="I2119" s="10" t="s">
        <v>4320</v>
      </c>
      <c r="J2119" s="11" t="s">
        <v>33</v>
      </c>
      <c r="K2119" s="18">
        <v>600000</v>
      </c>
      <c r="L2119" s="12">
        <f t="shared" si="184"/>
        <v>1000000</v>
      </c>
      <c r="M2119" s="8">
        <v>1</v>
      </c>
      <c r="N2119" s="8" t="s">
        <v>27</v>
      </c>
      <c r="O2119" s="13" t="s">
        <v>588</v>
      </c>
      <c r="P2119" s="14">
        <v>0.2</v>
      </c>
      <c r="Q2119" s="15">
        <v>0.4</v>
      </c>
      <c r="R2119" s="16" t="str">
        <f t="shared" si="185"/>
        <v>KOMODO</v>
      </c>
      <c r="S2119" s="17"/>
      <c r="T2119" s="10" t="str">
        <f t="shared" si="183"/>
        <v>MONTAJE DE BASE DE DATOS DE SISTEMA QUANTUM EN SERVIDOR PROPORCIONADO POR EL CLIENTE.</v>
      </c>
    </row>
    <row r="2120" spans="1:20" ht="27" customHeight="1" x14ac:dyDescent="0.25">
      <c r="A2120" s="8" t="s">
        <v>3977</v>
      </c>
      <c r="B2120" s="9"/>
      <c r="C2120" s="9"/>
      <c r="D2120" s="8"/>
      <c r="E2120" s="8"/>
      <c r="F2120" s="8" t="s">
        <v>22</v>
      </c>
      <c r="G2120" s="10" t="s">
        <v>4321</v>
      </c>
      <c r="H2120" s="8" t="s">
        <v>4322</v>
      </c>
      <c r="I2120" s="10" t="s">
        <v>4321</v>
      </c>
      <c r="J2120" s="11" t="s">
        <v>33</v>
      </c>
      <c r="K2120" s="18">
        <v>40000</v>
      </c>
      <c r="L2120" s="12">
        <f t="shared" si="184"/>
        <v>66700</v>
      </c>
      <c r="M2120" s="8">
        <v>1</v>
      </c>
      <c r="N2120" s="8" t="s">
        <v>27</v>
      </c>
      <c r="O2120" s="13" t="s">
        <v>587</v>
      </c>
      <c r="P2120" s="14">
        <v>0.2</v>
      </c>
      <c r="Q2120" s="15">
        <v>0.4</v>
      </c>
      <c r="R2120" s="16" t="str">
        <f t="shared" si="185"/>
        <v>KOMODO</v>
      </c>
      <c r="S2120" s="17"/>
      <c r="T2120" s="10" t="str">
        <f t="shared" si="183"/>
        <v>INSTALACIÓN DE DRIVER</v>
      </c>
    </row>
    <row r="2121" spans="1:20" ht="27" customHeight="1" x14ac:dyDescent="0.25">
      <c r="A2121" s="8" t="s">
        <v>3977</v>
      </c>
      <c r="B2121" s="9"/>
      <c r="C2121" s="9"/>
      <c r="D2121" s="8"/>
      <c r="E2121" s="8"/>
      <c r="F2121" s="8" t="s">
        <v>22</v>
      </c>
      <c r="G2121" s="10" t="s">
        <v>4323</v>
      </c>
      <c r="H2121" s="8" t="s">
        <v>4324</v>
      </c>
      <c r="I2121" s="10" t="s">
        <v>4323</v>
      </c>
      <c r="J2121" s="11" t="s">
        <v>33</v>
      </c>
      <c r="K2121" s="18">
        <v>30000</v>
      </c>
      <c r="L2121" s="12">
        <f t="shared" si="184"/>
        <v>50000</v>
      </c>
      <c r="M2121" s="8">
        <v>1</v>
      </c>
      <c r="N2121" s="8" t="s">
        <v>27</v>
      </c>
      <c r="O2121" s="13" t="s">
        <v>588</v>
      </c>
      <c r="P2121" s="14">
        <v>0.2</v>
      </c>
      <c r="Q2121" s="15">
        <v>0.4</v>
      </c>
      <c r="R2121" s="16" t="str">
        <f t="shared" si="185"/>
        <v>KOMODO</v>
      </c>
      <c r="S2121" s="17"/>
      <c r="T2121" s="10" t="str">
        <f t="shared" si="183"/>
        <v>INSTALACIÓN DE TIMER</v>
      </c>
    </row>
    <row r="2122" spans="1:20" ht="27" customHeight="1" x14ac:dyDescent="0.25">
      <c r="A2122" s="8" t="s">
        <v>3977</v>
      </c>
      <c r="B2122" s="9"/>
      <c r="C2122" s="9"/>
      <c r="D2122" s="8"/>
      <c r="E2122" s="8"/>
      <c r="F2122" s="8" t="s">
        <v>22</v>
      </c>
      <c r="G2122" s="10" t="s">
        <v>4325</v>
      </c>
      <c r="H2122" s="8" t="s">
        <v>4326</v>
      </c>
      <c r="I2122" s="10" t="s">
        <v>4327</v>
      </c>
      <c r="J2122" s="11" t="s">
        <v>33</v>
      </c>
      <c r="K2122" s="18">
        <v>1300000</v>
      </c>
      <c r="L2122" s="12">
        <f t="shared" si="184"/>
        <v>2166700</v>
      </c>
      <c r="M2122" s="8">
        <v>1</v>
      </c>
      <c r="N2122" s="8" t="s">
        <v>27</v>
      </c>
      <c r="O2122" s="13" t="s">
        <v>587</v>
      </c>
      <c r="P2122" s="14">
        <v>0.2</v>
      </c>
      <c r="Q2122" s="15">
        <v>0.4</v>
      </c>
      <c r="R2122" s="16" t="str">
        <f t="shared" si="185"/>
        <v>KOMODO</v>
      </c>
      <c r="S2122" s="17"/>
      <c r="T2122" s="10" t="str">
        <f t="shared" si="183"/>
        <v>DISENO DE SISTEMA ELÉCTRICO DE CONTROL DE ILUMINACIÓN.</v>
      </c>
    </row>
    <row r="2123" spans="1:20" ht="27" customHeight="1" x14ac:dyDescent="0.25">
      <c r="A2123" s="8" t="s">
        <v>3977</v>
      </c>
      <c r="B2123" s="9"/>
      <c r="C2123" s="9"/>
      <c r="D2123" s="8"/>
      <c r="E2123" s="8"/>
      <c r="F2123" s="8" t="s">
        <v>22</v>
      </c>
      <c r="G2123" s="10" t="s">
        <v>4328</v>
      </c>
      <c r="H2123" s="8" t="s">
        <v>4329</v>
      </c>
      <c r="I2123" s="10" t="s">
        <v>4328</v>
      </c>
      <c r="J2123" s="11" t="s">
        <v>33</v>
      </c>
      <c r="K2123" s="18">
        <v>80000</v>
      </c>
      <c r="L2123" s="12">
        <f t="shared" si="184"/>
        <v>133400</v>
      </c>
      <c r="M2123" s="8">
        <v>1</v>
      </c>
      <c r="N2123" s="8" t="s">
        <v>27</v>
      </c>
      <c r="O2123" s="13" t="s">
        <v>588</v>
      </c>
      <c r="P2123" s="14">
        <v>0.2</v>
      </c>
      <c r="Q2123" s="15">
        <v>0.4</v>
      </c>
      <c r="R2123" s="16" t="str">
        <f t="shared" si="185"/>
        <v>KOMODO</v>
      </c>
      <c r="S2123" s="17"/>
      <c r="T2123" s="10" t="str">
        <f t="shared" si="183"/>
        <v>VISITA DE SEGUIMIENTO, REVISIÓN Y CONSULTORÍA</v>
      </c>
    </row>
    <row r="2124" spans="1:20" ht="27" customHeight="1" x14ac:dyDescent="0.25">
      <c r="A2124" s="8" t="s">
        <v>3977</v>
      </c>
      <c r="B2124" s="9"/>
      <c r="C2124" s="9"/>
      <c r="D2124" s="8"/>
      <c r="E2124" s="8"/>
      <c r="F2124" s="8" t="s">
        <v>22</v>
      </c>
      <c r="G2124" s="10" t="s">
        <v>4330</v>
      </c>
      <c r="H2124" s="8" t="s">
        <v>4331</v>
      </c>
      <c r="I2124" s="10" t="s">
        <v>4330</v>
      </c>
      <c r="J2124" s="11" t="s">
        <v>33</v>
      </c>
      <c r="K2124" s="18">
        <v>9000</v>
      </c>
      <c r="L2124" s="12">
        <f t="shared" si="184"/>
        <v>15000</v>
      </c>
      <c r="M2124" s="8">
        <v>1</v>
      </c>
      <c r="N2124" s="8" t="s">
        <v>27</v>
      </c>
      <c r="O2124" s="13" t="s">
        <v>587</v>
      </c>
      <c r="P2124" s="14">
        <v>0.2</v>
      </c>
      <c r="Q2124" s="15">
        <v>0.4</v>
      </c>
      <c r="R2124" s="16" t="str">
        <f t="shared" si="185"/>
        <v>KOMODO</v>
      </c>
      <c r="S2124" s="17"/>
      <c r="T2124" s="10" t="str">
        <f t="shared" si="183"/>
        <v>INSTALACIÓN DE CABLE HDMI EN INFRA ESTRUCTURA EXISTENTE</v>
      </c>
    </row>
    <row r="2125" spans="1:20" ht="27" customHeight="1" x14ac:dyDescent="0.25">
      <c r="A2125" s="8" t="s">
        <v>3977</v>
      </c>
      <c r="B2125" s="9"/>
      <c r="C2125" s="9"/>
      <c r="D2125" s="8"/>
      <c r="E2125" s="8"/>
      <c r="F2125" s="8" t="s">
        <v>22</v>
      </c>
      <c r="G2125" s="10" t="s">
        <v>4332</v>
      </c>
      <c r="H2125" s="8" t="s">
        <v>4333</v>
      </c>
      <c r="I2125" s="10" t="s">
        <v>4332</v>
      </c>
      <c r="J2125" s="11" t="s">
        <v>33</v>
      </c>
      <c r="K2125" s="18">
        <v>9000</v>
      </c>
      <c r="L2125" s="12">
        <f t="shared" si="184"/>
        <v>15000</v>
      </c>
      <c r="M2125" s="8">
        <v>1</v>
      </c>
      <c r="N2125" s="8" t="s">
        <v>27</v>
      </c>
      <c r="O2125" s="13" t="s">
        <v>588</v>
      </c>
      <c r="P2125" s="14">
        <v>0.2</v>
      </c>
      <c r="Q2125" s="15">
        <v>0.4</v>
      </c>
      <c r="R2125" s="16" t="str">
        <f t="shared" si="185"/>
        <v>KOMODO</v>
      </c>
      <c r="S2125" s="17"/>
      <c r="T2125" s="10" t="str">
        <f t="shared" si="183"/>
        <v>INSTALACIÓN DE CABLE VGA EN INFRA ESTRUCTURA EXISTENTE</v>
      </c>
    </row>
    <row r="2126" spans="1:20" ht="27" customHeight="1" x14ac:dyDescent="0.25">
      <c r="A2126" s="8" t="s">
        <v>3977</v>
      </c>
      <c r="B2126" s="9"/>
      <c r="C2126" s="9"/>
      <c r="D2126" s="8"/>
      <c r="E2126" s="8"/>
      <c r="F2126" s="8" t="s">
        <v>22</v>
      </c>
      <c r="G2126" s="10" t="s">
        <v>4334</v>
      </c>
      <c r="H2126" s="8" t="s">
        <v>4335</v>
      </c>
      <c r="I2126" s="10" t="s">
        <v>4334</v>
      </c>
      <c r="J2126" s="11" t="s">
        <v>33</v>
      </c>
      <c r="K2126" s="18">
        <v>9000</v>
      </c>
      <c r="L2126" s="12">
        <f t="shared" si="184"/>
        <v>15000</v>
      </c>
      <c r="M2126" s="8">
        <v>1</v>
      </c>
      <c r="N2126" s="8" t="s">
        <v>27</v>
      </c>
      <c r="O2126" s="13" t="s">
        <v>587</v>
      </c>
      <c r="P2126" s="14">
        <v>0.2</v>
      </c>
      <c r="Q2126" s="15">
        <v>0.4</v>
      </c>
      <c r="R2126" s="16" t="str">
        <f t="shared" si="185"/>
        <v>KOMODO</v>
      </c>
      <c r="S2126" s="17"/>
      <c r="T2126" s="10" t="str">
        <f t="shared" si="183"/>
        <v>INSTALACIÓN DE CABLE ESTÉREO EN INFRA ESTRUCTURA EXISTENTE</v>
      </c>
    </row>
    <row r="2127" spans="1:20" ht="27" customHeight="1" x14ac:dyDescent="0.25">
      <c r="A2127" s="8" t="s">
        <v>3977</v>
      </c>
      <c r="B2127" s="9"/>
      <c r="C2127" s="9"/>
      <c r="D2127" s="8"/>
      <c r="E2127" s="8"/>
      <c r="F2127" s="8" t="s">
        <v>22</v>
      </c>
      <c r="G2127" s="10" t="s">
        <v>4336</v>
      </c>
      <c r="H2127" s="8" t="s">
        <v>4337</v>
      </c>
      <c r="I2127" s="10" t="s">
        <v>4336</v>
      </c>
      <c r="J2127" s="11" t="s">
        <v>33</v>
      </c>
      <c r="K2127" s="18">
        <v>10000</v>
      </c>
      <c r="L2127" s="12">
        <f t="shared" si="184"/>
        <v>16700</v>
      </c>
      <c r="M2127" s="8">
        <v>1</v>
      </c>
      <c r="N2127" s="8" t="s">
        <v>27</v>
      </c>
      <c r="O2127" s="13" t="s">
        <v>588</v>
      </c>
      <c r="P2127" s="14">
        <v>0.2</v>
      </c>
      <c r="Q2127" s="15">
        <v>0.4</v>
      </c>
      <c r="R2127" s="16" t="str">
        <f t="shared" si="185"/>
        <v>KOMODO</v>
      </c>
      <c r="S2127" s="17"/>
      <c r="T2127" s="10" t="str">
        <f t="shared" si="183"/>
        <v>INSTALACIÓN DE PUNTO DE ACCESO DE AUDIO Y VIDEO</v>
      </c>
    </row>
    <row r="2128" spans="1:20" ht="27" customHeight="1" x14ac:dyDescent="0.25">
      <c r="A2128" s="8" t="s">
        <v>3977</v>
      </c>
      <c r="B2128" s="9"/>
      <c r="C2128" s="9"/>
      <c r="D2128" s="8"/>
      <c r="E2128" s="8"/>
      <c r="F2128" s="8" t="s">
        <v>22</v>
      </c>
      <c r="G2128" s="10" t="s">
        <v>4338</v>
      </c>
      <c r="H2128" s="8" t="s">
        <v>4339</v>
      </c>
      <c r="I2128" s="10" t="s">
        <v>4338</v>
      </c>
      <c r="J2128" s="11" t="s">
        <v>33</v>
      </c>
      <c r="K2128" s="18">
        <v>50000</v>
      </c>
      <c r="L2128" s="12">
        <f t="shared" si="184"/>
        <v>83400</v>
      </c>
      <c r="M2128" s="8">
        <v>1</v>
      </c>
      <c r="N2128" s="8" t="s">
        <v>27</v>
      </c>
      <c r="O2128" s="13" t="s">
        <v>587</v>
      </c>
      <c r="P2128" s="14">
        <v>0.2</v>
      </c>
      <c r="Q2128" s="15">
        <v>0.4</v>
      </c>
      <c r="R2128" s="16" t="str">
        <f t="shared" si="185"/>
        <v>KOMODO</v>
      </c>
      <c r="S2128" s="17"/>
      <c r="T2128" s="10" t="str">
        <f t="shared" si="183"/>
        <v>INSTALACIÓN Y CONFIGURACIÓN DE MATRIZ INALÁMBRICA</v>
      </c>
    </row>
    <row r="2129" spans="1:20" ht="27" customHeight="1" x14ac:dyDescent="0.25">
      <c r="A2129" s="8" t="s">
        <v>3977</v>
      </c>
      <c r="B2129" s="9"/>
      <c r="C2129" s="9"/>
      <c r="D2129" s="8"/>
      <c r="E2129" s="8"/>
      <c r="F2129" s="8" t="s">
        <v>22</v>
      </c>
      <c r="G2129" s="10" t="s">
        <v>4340</v>
      </c>
      <c r="H2129" s="8" t="s">
        <v>4341</v>
      </c>
      <c r="I2129" s="10" t="s">
        <v>4340</v>
      </c>
      <c r="J2129" s="11" t="s">
        <v>33</v>
      </c>
      <c r="K2129" s="18">
        <v>35000</v>
      </c>
      <c r="L2129" s="12">
        <f t="shared" si="184"/>
        <v>58400</v>
      </c>
      <c r="M2129" s="8">
        <v>1</v>
      </c>
      <c r="N2129" s="8" t="s">
        <v>27</v>
      </c>
      <c r="O2129" s="13" t="s">
        <v>588</v>
      </c>
      <c r="P2129" s="14">
        <v>0.2</v>
      </c>
      <c r="Q2129" s="15">
        <v>0.4</v>
      </c>
      <c r="R2129" s="16" t="str">
        <f t="shared" si="185"/>
        <v>KOMODO</v>
      </c>
      <c r="S2129" s="17"/>
      <c r="T2129" s="10" t="str">
        <f t="shared" si="183"/>
        <v>CONEXIÓN DE PUNTOS DE DATOS, REGULADOS O USB EN GROMMET.</v>
      </c>
    </row>
    <row r="2130" spans="1:20" ht="27" customHeight="1" x14ac:dyDescent="0.25">
      <c r="A2130" s="8" t="s">
        <v>3977</v>
      </c>
      <c r="B2130" s="9"/>
      <c r="C2130" s="9"/>
      <c r="D2130" s="8"/>
      <c r="E2130" s="8"/>
      <c r="F2130" s="8" t="s">
        <v>22</v>
      </c>
      <c r="G2130" s="10" t="s">
        <v>4661</v>
      </c>
      <c r="H2130" s="8" t="s">
        <v>4343</v>
      </c>
      <c r="I2130" s="10" t="s">
        <v>4344</v>
      </c>
      <c r="J2130" s="11" t="s">
        <v>33</v>
      </c>
      <c r="K2130" s="18">
        <v>440000</v>
      </c>
      <c r="L2130" s="12">
        <f t="shared" si="184"/>
        <v>733400</v>
      </c>
      <c r="M2130" s="8">
        <v>1</v>
      </c>
      <c r="N2130" s="8" t="s">
        <v>27</v>
      </c>
      <c r="O2130" s="13" t="s">
        <v>587</v>
      </c>
      <c r="P2130" s="14">
        <v>0.2</v>
      </c>
      <c r="Q2130" s="15">
        <v>0.4</v>
      </c>
      <c r="R2130" s="16" t="str">
        <f t="shared" si="185"/>
        <v>KOMODO</v>
      </c>
      <c r="S2130" s="17"/>
      <c r="T2130" s="10" t="str">
        <f t="shared" si="183"/>
        <v>DESCENSO CONTROLADO EN ALTURAS, REALIZADO POR DOS TÉCNICOS CERTIFICADOS.</v>
      </c>
    </row>
    <row r="2131" spans="1:20" ht="27" customHeight="1" x14ac:dyDescent="0.25">
      <c r="A2131" s="8" t="s">
        <v>3977</v>
      </c>
      <c r="B2131" s="9"/>
      <c r="C2131" s="9"/>
      <c r="D2131" s="8"/>
      <c r="E2131" s="8"/>
      <c r="F2131" s="8" t="s">
        <v>22</v>
      </c>
      <c r="G2131" s="10" t="s">
        <v>4345</v>
      </c>
      <c r="H2131" s="8" t="s">
        <v>4346</v>
      </c>
      <c r="I2131" s="10" t="s">
        <v>4345</v>
      </c>
      <c r="J2131" s="11" t="s">
        <v>33</v>
      </c>
      <c r="K2131" s="18">
        <v>80000</v>
      </c>
      <c r="L2131" s="12">
        <f t="shared" si="184"/>
        <v>133400</v>
      </c>
      <c r="M2131" s="8">
        <v>1</v>
      </c>
      <c r="N2131" s="8" t="s">
        <v>27</v>
      </c>
      <c r="O2131" s="13" t="s">
        <v>588</v>
      </c>
      <c r="P2131" s="14">
        <v>0.2</v>
      </c>
      <c r="Q2131" s="15">
        <v>0.4</v>
      </c>
      <c r="R2131" s="16" t="str">
        <f t="shared" si="185"/>
        <v>KOMODO</v>
      </c>
      <c r="S2131" s="17"/>
      <c r="T2131" s="10" t="str">
        <f t="shared" si="183"/>
        <v>INSTALACIÓN DE TABLERO ELÉCTRICO</v>
      </c>
    </row>
    <row r="2132" spans="1:20" ht="27" customHeight="1" x14ac:dyDescent="0.25">
      <c r="A2132" s="8" t="s">
        <v>3977</v>
      </c>
      <c r="B2132" s="9"/>
      <c r="C2132" s="9"/>
      <c r="D2132" s="8"/>
      <c r="E2132" s="8"/>
      <c r="F2132" s="8" t="s">
        <v>22</v>
      </c>
      <c r="G2132" s="10" t="s">
        <v>4347</v>
      </c>
      <c r="H2132" s="8" t="s">
        <v>4348</v>
      </c>
      <c r="I2132" s="10" t="s">
        <v>4347</v>
      </c>
      <c r="J2132" s="11" t="s">
        <v>33</v>
      </c>
      <c r="K2132" s="18">
        <v>125000</v>
      </c>
      <c r="L2132" s="12">
        <f t="shared" si="184"/>
        <v>208400</v>
      </c>
      <c r="M2132" s="8">
        <v>1</v>
      </c>
      <c r="N2132" s="8" t="s">
        <v>27</v>
      </c>
      <c r="O2132" s="13" t="s">
        <v>587</v>
      </c>
      <c r="P2132" s="14">
        <v>0.2</v>
      </c>
      <c r="Q2132" s="15">
        <v>0.4</v>
      </c>
      <c r="R2132" s="16" t="str">
        <f t="shared" si="185"/>
        <v>KOMODO</v>
      </c>
      <c r="S2132" s="17"/>
      <c r="T2132" s="10" t="str">
        <f t="shared" si="183"/>
        <v>MOVIMIENTO DE TABLERO ELÉCTRICO Y ACOMETIDA</v>
      </c>
    </row>
    <row r="2133" spans="1:20" ht="27" customHeight="1" x14ac:dyDescent="0.25">
      <c r="A2133" s="8" t="s">
        <v>3977</v>
      </c>
      <c r="B2133" s="9"/>
      <c r="C2133" s="9"/>
      <c r="D2133" s="8"/>
      <c r="E2133" s="8"/>
      <c r="F2133" s="8" t="s">
        <v>22</v>
      </c>
      <c r="G2133" s="10" t="s">
        <v>4349</v>
      </c>
      <c r="H2133" s="8" t="s">
        <v>4350</v>
      </c>
      <c r="I2133" s="10" t="s">
        <v>4349</v>
      </c>
      <c r="J2133" s="11" t="s">
        <v>33</v>
      </c>
      <c r="K2133" s="18">
        <v>30000</v>
      </c>
      <c r="L2133" s="12">
        <f t="shared" si="184"/>
        <v>50000</v>
      </c>
      <c r="M2133" s="8">
        <v>1</v>
      </c>
      <c r="N2133" s="8" t="s">
        <v>27</v>
      </c>
      <c r="O2133" s="13" t="s">
        <v>588</v>
      </c>
      <c r="P2133" s="14">
        <v>0.2</v>
      </c>
      <c r="Q2133" s="15">
        <v>0.4</v>
      </c>
      <c r="R2133" s="16" t="str">
        <f t="shared" si="185"/>
        <v>KOMODO</v>
      </c>
      <c r="S2133" s="17"/>
      <c r="T2133" s="10" t="str">
        <f t="shared" si="183"/>
        <v>MOVIMIENTO DE SIRENA EN SISTEMA DE DETECCIÓN DE INCENDIO</v>
      </c>
    </row>
    <row r="2134" spans="1:20" ht="27" customHeight="1" x14ac:dyDescent="0.25">
      <c r="A2134" s="8" t="s">
        <v>3977</v>
      </c>
      <c r="B2134" s="9"/>
      <c r="C2134" s="9"/>
      <c r="D2134" s="8"/>
      <c r="E2134" s="8"/>
      <c r="F2134" s="8" t="s">
        <v>22</v>
      </c>
      <c r="G2134" s="10" t="s">
        <v>4308</v>
      </c>
      <c r="H2134" s="8" t="s">
        <v>4309</v>
      </c>
      <c r="I2134" s="10" t="s">
        <v>4308</v>
      </c>
      <c r="J2134" s="11" t="s">
        <v>33</v>
      </c>
      <c r="K2134" s="18">
        <v>16000</v>
      </c>
      <c r="L2134" s="12">
        <f t="shared" si="184"/>
        <v>26700</v>
      </c>
      <c r="M2134" s="8">
        <v>1</v>
      </c>
      <c r="N2134" s="8" t="s">
        <v>27</v>
      </c>
      <c r="O2134" s="13" t="s">
        <v>587</v>
      </c>
      <c r="P2134" s="14">
        <v>0.2</v>
      </c>
      <c r="Q2134" s="15">
        <v>0.4</v>
      </c>
      <c r="R2134" s="16" t="str">
        <f t="shared" si="185"/>
        <v>KOMODO</v>
      </c>
      <c r="S2134" s="17"/>
      <c r="T2134" s="10" t="str">
        <f t="shared" si="183"/>
        <v>INSTALACIÓN DE CITÓFONO</v>
      </c>
    </row>
    <row r="2135" spans="1:20" ht="27" customHeight="1" x14ac:dyDescent="0.25">
      <c r="A2135" s="8" t="s">
        <v>3977</v>
      </c>
      <c r="B2135" s="9"/>
      <c r="C2135" s="9"/>
      <c r="D2135" s="8"/>
      <c r="E2135" s="8"/>
      <c r="F2135" s="8" t="s">
        <v>22</v>
      </c>
      <c r="G2135" s="10" t="s">
        <v>4351</v>
      </c>
      <c r="H2135" s="8" t="s">
        <v>4352</v>
      </c>
      <c r="I2135" s="10" t="s">
        <v>4351</v>
      </c>
      <c r="J2135" s="11" t="s">
        <v>33</v>
      </c>
      <c r="K2135" s="18">
        <v>8000</v>
      </c>
      <c r="L2135" s="12">
        <f t="shared" si="184"/>
        <v>13400</v>
      </c>
      <c r="M2135" s="8">
        <v>1</v>
      </c>
      <c r="N2135" s="8" t="s">
        <v>27</v>
      </c>
      <c r="O2135" s="13" t="s">
        <v>588</v>
      </c>
      <c r="P2135" s="14">
        <v>0.2</v>
      </c>
      <c r="Q2135" s="15">
        <v>0.4</v>
      </c>
      <c r="R2135" s="16" t="str">
        <f t="shared" si="185"/>
        <v>KOMODO</v>
      </c>
      <c r="S2135" s="17"/>
      <c r="T2135" s="10" t="str">
        <f t="shared" si="183"/>
        <v>INSTALACIÓN DE CLAVIJA</v>
      </c>
    </row>
    <row r="2136" spans="1:20" ht="27" customHeight="1" x14ac:dyDescent="0.25">
      <c r="A2136" s="8" t="s">
        <v>3977</v>
      </c>
      <c r="B2136" s="9"/>
      <c r="C2136" s="9"/>
      <c r="D2136" s="8"/>
      <c r="E2136" s="8"/>
      <c r="F2136" s="8" t="s">
        <v>22</v>
      </c>
      <c r="G2136" s="10" t="s">
        <v>4353</v>
      </c>
      <c r="H2136" s="8" t="s">
        <v>4354</v>
      </c>
      <c r="I2136" s="10" t="s">
        <v>4353</v>
      </c>
      <c r="J2136" s="11" t="s">
        <v>33</v>
      </c>
      <c r="K2136" s="18">
        <v>35000</v>
      </c>
      <c r="L2136" s="12">
        <f t="shared" si="184"/>
        <v>58400</v>
      </c>
      <c r="M2136" s="8">
        <v>1</v>
      </c>
      <c r="N2136" s="8" t="s">
        <v>27</v>
      </c>
      <c r="O2136" s="13" t="s">
        <v>587</v>
      </c>
      <c r="P2136" s="14">
        <v>0.2</v>
      </c>
      <c r="Q2136" s="15">
        <v>0.4</v>
      </c>
      <c r="R2136" s="16" t="str">
        <f t="shared" si="185"/>
        <v>KOMODO</v>
      </c>
      <c r="S2136" s="17"/>
      <c r="T2136" s="10" t="str">
        <f t="shared" si="183"/>
        <v>MOVIMIENTO DE LUMINARIA PREVIAMENTE INSTALADA.</v>
      </c>
    </row>
    <row r="2137" spans="1:20" ht="27" customHeight="1" x14ac:dyDescent="0.25">
      <c r="A2137" s="8" t="s">
        <v>3977</v>
      </c>
      <c r="B2137" s="9"/>
      <c r="C2137" s="9"/>
      <c r="D2137" s="8"/>
      <c r="E2137" s="8"/>
      <c r="F2137" s="8" t="s">
        <v>22</v>
      </c>
      <c r="G2137" s="10" t="s">
        <v>4355</v>
      </c>
      <c r="H2137" s="8" t="s">
        <v>4356</v>
      </c>
      <c r="I2137" s="10" t="s">
        <v>4355</v>
      </c>
      <c r="J2137" s="11" t="s">
        <v>33</v>
      </c>
      <c r="K2137" s="18">
        <v>4000</v>
      </c>
      <c r="L2137" s="12">
        <f t="shared" si="184"/>
        <v>6700</v>
      </c>
      <c r="M2137" s="8">
        <v>1</v>
      </c>
      <c r="N2137" s="8" t="s">
        <v>27</v>
      </c>
      <c r="O2137" s="13" t="s">
        <v>588</v>
      </c>
      <c r="P2137" s="14">
        <v>0.2</v>
      </c>
      <c r="Q2137" s="15">
        <v>0.4</v>
      </c>
      <c r="R2137" s="16" t="str">
        <f t="shared" si="185"/>
        <v>KOMODO</v>
      </c>
      <c r="S2137" s="17"/>
      <c r="T2137" s="10" t="str">
        <f t="shared" si="183"/>
        <v>CERTIFICACIÓN DE PUNTO DE DATOS CON ANALIZADOR CALIBRADO POR PARTE DE UN TERCERO</v>
      </c>
    </row>
    <row r="2138" spans="1:20" ht="27" customHeight="1" x14ac:dyDescent="0.25">
      <c r="A2138" s="8" t="s">
        <v>3977</v>
      </c>
      <c r="B2138" s="9"/>
      <c r="C2138" s="9"/>
      <c r="D2138" s="8"/>
      <c r="E2138" s="8"/>
      <c r="F2138" s="8" t="s">
        <v>22</v>
      </c>
      <c r="G2138" s="10" t="s">
        <v>4357</v>
      </c>
      <c r="H2138" s="8" t="s">
        <v>4358</v>
      </c>
      <c r="I2138" s="10" t="s">
        <v>4357</v>
      </c>
      <c r="J2138" s="11" t="s">
        <v>33</v>
      </c>
      <c r="K2138" s="18">
        <v>35000</v>
      </c>
      <c r="L2138" s="12">
        <f t="shared" si="184"/>
        <v>58400</v>
      </c>
      <c r="M2138" s="8">
        <v>1</v>
      </c>
      <c r="N2138" s="8" t="s">
        <v>27</v>
      </c>
      <c r="O2138" s="13" t="s">
        <v>587</v>
      </c>
      <c r="P2138" s="14">
        <v>0.2</v>
      </c>
      <c r="Q2138" s="15">
        <v>0.4</v>
      </c>
      <c r="R2138" s="16" t="str">
        <f t="shared" si="185"/>
        <v>KOMODO</v>
      </c>
      <c r="S2138" s="17"/>
      <c r="T2138" s="10" t="str">
        <f t="shared" si="183"/>
        <v>REORGANIZACIÓN DE HASTA 48 PATCH CORE EN ORGANIZADOR</v>
      </c>
    </row>
    <row r="2139" spans="1:20" ht="27" customHeight="1" x14ac:dyDescent="0.25">
      <c r="A2139" s="8" t="s">
        <v>3977</v>
      </c>
      <c r="B2139" s="9"/>
      <c r="C2139" s="9"/>
      <c r="D2139" s="8"/>
      <c r="E2139" s="8"/>
      <c r="F2139" s="8" t="s">
        <v>22</v>
      </c>
      <c r="G2139" s="10" t="s">
        <v>4359</v>
      </c>
      <c r="H2139" s="8" t="s">
        <v>4360</v>
      </c>
      <c r="I2139" s="10" t="s">
        <v>4361</v>
      </c>
      <c r="J2139" s="11" t="s">
        <v>33</v>
      </c>
      <c r="K2139" s="18">
        <v>5500</v>
      </c>
      <c r="L2139" s="12">
        <f t="shared" si="184"/>
        <v>9200</v>
      </c>
      <c r="M2139" s="8">
        <v>1</v>
      </c>
      <c r="N2139" s="8" t="s">
        <v>27</v>
      </c>
      <c r="O2139" s="13" t="s">
        <v>588</v>
      </c>
      <c r="P2139" s="14">
        <v>0.2</v>
      </c>
      <c r="Q2139" s="15">
        <v>0.4</v>
      </c>
      <c r="R2139" s="16" t="str">
        <f t="shared" si="185"/>
        <v>KOMODO</v>
      </c>
      <c r="S2139" s="17"/>
      <c r="T2139" s="10" t="str">
        <f t="shared" si="183"/>
        <v>INSTALACIÓN DE TUBO LED O FLUORESCENTE.</v>
      </c>
    </row>
    <row r="2140" spans="1:20" ht="27" customHeight="1" x14ac:dyDescent="0.25">
      <c r="A2140" s="8" t="s">
        <v>3977</v>
      </c>
      <c r="B2140" s="9"/>
      <c r="C2140" s="9"/>
      <c r="D2140" s="8"/>
      <c r="E2140" s="8"/>
      <c r="F2140" s="8" t="s">
        <v>22</v>
      </c>
      <c r="G2140" s="10" t="s">
        <v>4362</v>
      </c>
      <c r="H2140" s="8" t="s">
        <v>4363</v>
      </c>
      <c r="I2140" s="10" t="s">
        <v>4362</v>
      </c>
      <c r="J2140" s="11" t="s">
        <v>33</v>
      </c>
      <c r="K2140" s="18">
        <v>15000</v>
      </c>
      <c r="L2140" s="12">
        <f t="shared" si="184"/>
        <v>25000</v>
      </c>
      <c r="M2140" s="8">
        <v>1</v>
      </c>
      <c r="N2140" s="8" t="s">
        <v>27</v>
      </c>
      <c r="O2140" s="13" t="s">
        <v>587</v>
      </c>
      <c r="P2140" s="14">
        <v>0.2</v>
      </c>
      <c r="Q2140" s="15">
        <v>0.4</v>
      </c>
      <c r="R2140" s="16" t="str">
        <f t="shared" si="185"/>
        <v>KOMODO</v>
      </c>
      <c r="S2140" s="17"/>
      <c r="T2140" s="10" t="str">
        <f t="shared" si="183"/>
        <v>DERIVACIÓN DE PUNTO ELÉCTRICO</v>
      </c>
    </row>
    <row r="2141" spans="1:20" ht="27" customHeight="1" x14ac:dyDescent="0.25">
      <c r="A2141" s="8" t="s">
        <v>3977</v>
      </c>
      <c r="B2141" s="9"/>
      <c r="C2141" s="9"/>
      <c r="D2141" s="8"/>
      <c r="E2141" s="8"/>
      <c r="F2141" s="8" t="s">
        <v>22</v>
      </c>
      <c r="G2141" s="10" t="s">
        <v>4364</v>
      </c>
      <c r="H2141" s="8" t="s">
        <v>4365</v>
      </c>
      <c r="I2141" s="10" t="s">
        <v>4364</v>
      </c>
      <c r="J2141" s="11" t="s">
        <v>33</v>
      </c>
      <c r="K2141" s="18">
        <f>65000*1.53/5</f>
        <v>19890</v>
      </c>
      <c r="L2141" s="12">
        <f t="shared" si="184"/>
        <v>33200</v>
      </c>
      <c r="M2141" s="8">
        <v>1</v>
      </c>
      <c r="N2141" s="8" t="s">
        <v>27</v>
      </c>
      <c r="O2141" s="13" t="s">
        <v>588</v>
      </c>
      <c r="P2141" s="14">
        <v>0.2</v>
      </c>
      <c r="Q2141" s="15">
        <v>0.4</v>
      </c>
      <c r="R2141" s="16" t="str">
        <f t="shared" si="185"/>
        <v>KOMODO</v>
      </c>
      <c r="S2141" s="17"/>
      <c r="T2141" s="10" t="str">
        <f t="shared" si="183"/>
        <v>HORA DE TÉCNICO PARA REVISIÓN O EJECUCIONES ADICIONALES</v>
      </c>
    </row>
    <row r="2142" spans="1:20" ht="27" customHeight="1" x14ac:dyDescent="0.25">
      <c r="A2142" s="8" t="s">
        <v>3977</v>
      </c>
      <c r="B2142" s="9"/>
      <c r="C2142" s="9"/>
      <c r="D2142" s="8"/>
      <c r="E2142" s="8"/>
      <c r="F2142" s="8" t="s">
        <v>22</v>
      </c>
      <c r="G2142" s="10" t="s">
        <v>4366</v>
      </c>
      <c r="H2142" s="8" t="s">
        <v>4367</v>
      </c>
      <c r="I2142" s="10" t="s">
        <v>4366</v>
      </c>
      <c r="J2142" s="11" t="s">
        <v>33</v>
      </c>
      <c r="K2142" s="18">
        <v>1000</v>
      </c>
      <c r="L2142" s="12">
        <f t="shared" si="184"/>
        <v>1700</v>
      </c>
      <c r="M2142" s="8">
        <v>1</v>
      </c>
      <c r="N2142" s="8" t="s">
        <v>27</v>
      </c>
      <c r="O2142" s="13" t="s">
        <v>587</v>
      </c>
      <c r="P2142" s="14">
        <v>0.2</v>
      </c>
      <c r="Q2142" s="15">
        <v>0.4</v>
      </c>
      <c r="R2142" s="16" t="str">
        <f t="shared" si="185"/>
        <v>KOMODO</v>
      </c>
      <c r="S2142" s="17"/>
      <c r="T2142" s="10" t="str">
        <f t="shared" si="183"/>
        <v>INSTALACIÓN DE METRO DE CABLE EN TUBERÍA EXISTENTE</v>
      </c>
    </row>
    <row r="2143" spans="1:20" ht="27" customHeight="1" x14ac:dyDescent="0.25">
      <c r="A2143" s="8" t="s">
        <v>3977</v>
      </c>
      <c r="B2143" s="9"/>
      <c r="C2143" s="9"/>
      <c r="D2143" s="8"/>
      <c r="E2143" s="8"/>
      <c r="F2143" s="8" t="s">
        <v>22</v>
      </c>
      <c r="G2143" s="10" t="s">
        <v>4368</v>
      </c>
      <c r="H2143" s="8" t="s">
        <v>4369</v>
      </c>
      <c r="I2143" s="10" t="s">
        <v>4368</v>
      </c>
      <c r="J2143" s="11" t="s">
        <v>33</v>
      </c>
      <c r="K2143" s="18">
        <f>65000*1.51</f>
        <v>98150</v>
      </c>
      <c r="L2143" s="12">
        <f t="shared" si="184"/>
        <v>140300</v>
      </c>
      <c r="M2143" s="8">
        <v>1</v>
      </c>
      <c r="N2143" s="8" t="s">
        <v>27</v>
      </c>
      <c r="O2143" s="13" t="s">
        <v>588</v>
      </c>
      <c r="P2143" s="14">
        <v>0.2</v>
      </c>
      <c r="Q2143" s="15">
        <v>0.3</v>
      </c>
      <c r="R2143" s="16" t="str">
        <f t="shared" si="185"/>
        <v>KOMODO</v>
      </c>
      <c r="S2143" s="17"/>
      <c r="T2143" s="10" t="str">
        <f t="shared" si="183"/>
        <v>HASTA 8 HORAS DE TRABAJO PARA INSTALACIONES TÉCNICAS.</v>
      </c>
    </row>
    <row r="2144" spans="1:20" ht="27" customHeight="1" x14ac:dyDescent="0.25">
      <c r="A2144" s="8" t="s">
        <v>3977</v>
      </c>
      <c r="B2144" s="9"/>
      <c r="C2144" s="9"/>
      <c r="D2144" s="8"/>
      <c r="E2144" s="8"/>
      <c r="F2144" s="8" t="s">
        <v>22</v>
      </c>
      <c r="G2144" s="10" t="s">
        <v>4370</v>
      </c>
      <c r="H2144" s="8" t="s">
        <v>4371</v>
      </c>
      <c r="I2144" s="10" t="s">
        <v>4370</v>
      </c>
      <c r="J2144" s="11" t="s">
        <v>33</v>
      </c>
      <c r="K2144" s="18">
        <v>135000</v>
      </c>
      <c r="L2144" s="12">
        <f t="shared" si="184"/>
        <v>192900</v>
      </c>
      <c r="M2144" s="8">
        <v>1</v>
      </c>
      <c r="N2144" s="8" t="s">
        <v>27</v>
      </c>
      <c r="O2144" s="13" t="s">
        <v>587</v>
      </c>
      <c r="P2144" s="14">
        <v>0.2</v>
      </c>
      <c r="Q2144" s="15">
        <v>0.3</v>
      </c>
      <c r="R2144" s="16" t="str">
        <f t="shared" si="185"/>
        <v>KOMODO</v>
      </c>
      <c r="S2144" s="17"/>
      <c r="T2144" s="10" t="str">
        <f t="shared" si="183"/>
        <v>DESMONTE DE TABLERO ELÉCTRICO</v>
      </c>
    </row>
    <row r="2145" spans="1:20" ht="27" customHeight="1" x14ac:dyDescent="0.25">
      <c r="A2145" s="8" t="s">
        <v>3977</v>
      </c>
      <c r="B2145" s="9" t="s">
        <v>2515</v>
      </c>
      <c r="C2145" s="9"/>
      <c r="D2145" s="8" t="s">
        <v>4009</v>
      </c>
      <c r="E2145" s="8"/>
      <c r="F2145" s="8" t="s">
        <v>22</v>
      </c>
      <c r="G2145" s="10" t="s">
        <v>4662</v>
      </c>
      <c r="H2145" s="8" t="s">
        <v>4373</v>
      </c>
      <c r="I2145" s="10" t="s">
        <v>4173</v>
      </c>
      <c r="J2145" s="11" t="s">
        <v>33</v>
      </c>
      <c r="K2145" s="18">
        <v>412500</v>
      </c>
      <c r="L2145" s="12">
        <f t="shared" si="184"/>
        <v>589300</v>
      </c>
      <c r="M2145" s="8">
        <v>1</v>
      </c>
      <c r="N2145" s="8" t="s">
        <v>27</v>
      </c>
      <c r="O2145" s="13" t="s">
        <v>588</v>
      </c>
      <c r="P2145" s="14">
        <v>0.2</v>
      </c>
      <c r="Q2145" s="15">
        <v>0.3</v>
      </c>
      <c r="R2145" s="16" t="str">
        <f t="shared" si="185"/>
        <v>KOMODO</v>
      </c>
      <c r="S2145" s="17"/>
      <c r="T2145" s="10" t="str">
        <f t="shared" si="183"/>
        <v>INSTALACIÓN Y FIGURADO DE TABLERO ELÉCTRICO DE HASTA 24 BREAKERS.</v>
      </c>
    </row>
    <row r="2146" spans="1:20" ht="27" customHeight="1" x14ac:dyDescent="0.25">
      <c r="A2146" s="8" t="s">
        <v>3977</v>
      </c>
      <c r="B2146" s="9" t="s">
        <v>2515</v>
      </c>
      <c r="C2146" s="9"/>
      <c r="D2146" s="8" t="s">
        <v>4009</v>
      </c>
      <c r="E2146" s="8"/>
      <c r="F2146" s="8" t="s">
        <v>22</v>
      </c>
      <c r="G2146" s="10" t="s">
        <v>4662</v>
      </c>
      <c r="H2146" s="8" t="s">
        <v>4374</v>
      </c>
      <c r="I2146" s="10" t="s">
        <v>4173</v>
      </c>
      <c r="J2146" s="11" t="s">
        <v>33</v>
      </c>
      <c r="K2146" s="18">
        <v>275000</v>
      </c>
      <c r="L2146" s="12">
        <f t="shared" si="184"/>
        <v>392900</v>
      </c>
      <c r="M2146" s="8">
        <v>1</v>
      </c>
      <c r="N2146" s="8" t="s">
        <v>27</v>
      </c>
      <c r="O2146" s="13" t="s">
        <v>587</v>
      </c>
      <c r="P2146" s="14">
        <v>0.2</v>
      </c>
      <c r="Q2146" s="15">
        <v>0.3</v>
      </c>
      <c r="R2146" s="16" t="str">
        <f t="shared" si="185"/>
        <v>KOMODO</v>
      </c>
      <c r="S2146" s="17"/>
      <c r="T2146" s="10" t="str">
        <f t="shared" si="183"/>
        <v>INSTALACIÓN Y FIGURADO DE TABLERO ELÉCTRICO DE HASTA 24 BREAKERS.</v>
      </c>
    </row>
    <row r="2147" spans="1:20" ht="27" customHeight="1" x14ac:dyDescent="0.25">
      <c r="A2147" s="8" t="s">
        <v>3977</v>
      </c>
      <c r="B2147" s="9"/>
      <c r="C2147" s="9"/>
      <c r="D2147" s="8"/>
      <c r="E2147" s="8"/>
      <c r="F2147" s="8" t="s">
        <v>22</v>
      </c>
      <c r="G2147" s="10" t="s">
        <v>4375</v>
      </c>
      <c r="H2147" s="8" t="s">
        <v>4376</v>
      </c>
      <c r="I2147" s="10" t="s">
        <v>4375</v>
      </c>
      <c r="J2147" s="11" t="s">
        <v>33</v>
      </c>
      <c r="K2147" s="18">
        <v>360000</v>
      </c>
      <c r="L2147" s="12">
        <f t="shared" si="184"/>
        <v>514300</v>
      </c>
      <c r="M2147" s="8">
        <v>1</v>
      </c>
      <c r="N2147" s="8" t="s">
        <v>27</v>
      </c>
      <c r="O2147" s="13" t="s">
        <v>588</v>
      </c>
      <c r="P2147" s="14">
        <v>0.2</v>
      </c>
      <c r="Q2147" s="15">
        <v>0.3</v>
      </c>
      <c r="R2147" s="16" t="str">
        <f t="shared" si="185"/>
        <v>KOMODO</v>
      </c>
      <c r="S2147" s="17"/>
      <c r="T2147" s="10" t="str">
        <f t="shared" si="183"/>
        <v>DESMONTAJE DE RACK Y MONTAJE DE RACK POR CAMBIO DE CONFIGURACIÓN</v>
      </c>
    </row>
    <row r="2148" spans="1:20" ht="27" customHeight="1" x14ac:dyDescent="0.25">
      <c r="A2148" s="8" t="s">
        <v>3977</v>
      </c>
      <c r="B2148" s="9"/>
      <c r="C2148" s="9"/>
      <c r="D2148" s="8"/>
      <c r="E2148" s="8"/>
      <c r="F2148" s="8" t="s">
        <v>22</v>
      </c>
      <c r="G2148" s="10" t="s">
        <v>4377</v>
      </c>
      <c r="H2148" s="8" t="s">
        <v>4378</v>
      </c>
      <c r="I2148" s="10" t="s">
        <v>4379</v>
      </c>
      <c r="J2148" s="11" t="s">
        <v>33</v>
      </c>
      <c r="K2148" s="18">
        <v>1000000</v>
      </c>
      <c r="L2148" s="12">
        <f t="shared" si="184"/>
        <v>1428600</v>
      </c>
      <c r="M2148" s="8">
        <v>1</v>
      </c>
      <c r="N2148" s="8" t="s">
        <v>27</v>
      </c>
      <c r="O2148" s="13" t="s">
        <v>587</v>
      </c>
      <c r="P2148" s="14">
        <v>0.2</v>
      </c>
      <c r="Q2148" s="15">
        <v>0.3</v>
      </c>
      <c r="R2148" s="16" t="str">
        <f t="shared" si="185"/>
        <v>KOMODO</v>
      </c>
      <c r="S2148" s="17"/>
      <c r="T2148" s="10" t="str">
        <f t="shared" si="183"/>
        <v>ADMINISTRACION DEL PROYECTO.</v>
      </c>
    </row>
    <row r="2149" spans="1:20" ht="27" customHeight="1" x14ac:dyDescent="0.25">
      <c r="A2149" s="8" t="s">
        <v>3977</v>
      </c>
      <c r="B2149" s="9"/>
      <c r="C2149" s="9"/>
      <c r="D2149" s="8"/>
      <c r="E2149" s="8"/>
      <c r="F2149" s="8" t="s">
        <v>22</v>
      </c>
      <c r="G2149" s="10" t="s">
        <v>4380</v>
      </c>
      <c r="H2149" s="8" t="s">
        <v>4381</v>
      </c>
      <c r="I2149" s="10" t="s">
        <v>4380</v>
      </c>
      <c r="J2149" s="11" t="s">
        <v>33</v>
      </c>
      <c r="K2149" s="18">
        <v>1000000</v>
      </c>
      <c r="L2149" s="12">
        <f t="shared" si="184"/>
        <v>1428600</v>
      </c>
      <c r="M2149" s="8">
        <v>1</v>
      </c>
      <c r="N2149" s="8" t="s">
        <v>27</v>
      </c>
      <c r="O2149" s="13" t="s">
        <v>588</v>
      </c>
      <c r="P2149" s="14">
        <v>0.2</v>
      </c>
      <c r="Q2149" s="15">
        <v>0.3</v>
      </c>
      <c r="R2149" s="16" t="str">
        <f t="shared" si="185"/>
        <v>KOMODO</v>
      </c>
      <c r="S2149" s="17"/>
      <c r="T2149" s="10" t="str">
        <f t="shared" si="183"/>
        <v>CORRESPONDE A LA UTILIDAD SOBRE LOS COSTOS DEL PROYECTO.</v>
      </c>
    </row>
    <row r="2150" spans="1:20" ht="27" customHeight="1" x14ac:dyDescent="0.25">
      <c r="A2150" s="8" t="s">
        <v>3977</v>
      </c>
      <c r="B2150" s="9"/>
      <c r="C2150" s="9"/>
      <c r="D2150" s="8"/>
      <c r="E2150" s="8"/>
      <c r="F2150" s="8" t="s">
        <v>22</v>
      </c>
      <c r="G2150" s="10" t="s">
        <v>4382</v>
      </c>
      <c r="H2150" s="8" t="s">
        <v>4383</v>
      </c>
      <c r="I2150" s="10" t="s">
        <v>4382</v>
      </c>
      <c r="J2150" s="11" t="s">
        <v>33</v>
      </c>
      <c r="K2150" s="18">
        <v>25000</v>
      </c>
      <c r="L2150" s="12">
        <f t="shared" si="184"/>
        <v>35800</v>
      </c>
      <c r="M2150" s="8">
        <v>1</v>
      </c>
      <c r="N2150" s="8" t="s">
        <v>27</v>
      </c>
      <c r="O2150" s="13" t="s">
        <v>587</v>
      </c>
      <c r="P2150" s="14">
        <v>0.2</v>
      </c>
      <c r="Q2150" s="15">
        <v>0.3</v>
      </c>
      <c r="R2150" s="16" t="str">
        <f t="shared" si="185"/>
        <v>KOMODO</v>
      </c>
      <c r="S2150" s="17"/>
      <c r="T2150" s="10" t="str">
        <f t="shared" si="183"/>
        <v>INSTALACIÓN DE KIT RF PARA CHAPA</v>
      </c>
    </row>
    <row r="2151" spans="1:20" ht="27" customHeight="1" x14ac:dyDescent="0.25">
      <c r="A2151" s="8" t="s">
        <v>3977</v>
      </c>
      <c r="B2151" s="9"/>
      <c r="C2151" s="9"/>
      <c r="D2151" s="8"/>
      <c r="E2151" s="8"/>
      <c r="F2151" s="8" t="s">
        <v>22</v>
      </c>
      <c r="G2151" s="10" t="s">
        <v>4384</v>
      </c>
      <c r="H2151" s="8" t="s">
        <v>4385</v>
      </c>
      <c r="I2151" s="10" t="s">
        <v>4384</v>
      </c>
      <c r="J2151" s="11" t="s">
        <v>33</v>
      </c>
      <c r="K2151" s="18">
        <v>80000</v>
      </c>
      <c r="L2151" s="12">
        <f t="shared" si="184"/>
        <v>114300</v>
      </c>
      <c r="M2151" s="8">
        <v>1</v>
      </c>
      <c r="N2151" s="8" t="s">
        <v>27</v>
      </c>
      <c r="O2151" s="13" t="s">
        <v>588</v>
      </c>
      <c r="P2151" s="14">
        <v>0.2</v>
      </c>
      <c r="Q2151" s="15">
        <v>0.3</v>
      </c>
      <c r="R2151" s="16" t="str">
        <f t="shared" si="185"/>
        <v>KOMODO</v>
      </c>
      <c r="S2151" s="17"/>
      <c r="T2151" s="10" t="str">
        <f t="shared" si="183"/>
        <v>INSTALACIÓN DE PUNTO ELÉCTRICO O DATOS EN ALTURA</v>
      </c>
    </row>
    <row r="2152" spans="1:20" ht="27" customHeight="1" x14ac:dyDescent="0.25">
      <c r="A2152" s="8" t="s">
        <v>3977</v>
      </c>
      <c r="B2152" s="9"/>
      <c r="C2152" s="9"/>
      <c r="D2152" s="8"/>
      <c r="E2152" s="8"/>
      <c r="F2152" s="8" t="s">
        <v>22</v>
      </c>
      <c r="G2152" s="10" t="s">
        <v>4386</v>
      </c>
      <c r="H2152" s="8" t="s">
        <v>4387</v>
      </c>
      <c r="I2152" s="10" t="s">
        <v>4386</v>
      </c>
      <c r="J2152" s="11" t="s">
        <v>33</v>
      </c>
      <c r="K2152" s="18">
        <v>95000</v>
      </c>
      <c r="L2152" s="12">
        <f t="shared" si="184"/>
        <v>158400</v>
      </c>
      <c r="M2152" s="8">
        <v>1</v>
      </c>
      <c r="N2152" s="8" t="s">
        <v>27</v>
      </c>
      <c r="O2152" s="13" t="s">
        <v>587</v>
      </c>
      <c r="P2152" s="14">
        <v>0.2</v>
      </c>
      <c r="Q2152" s="15">
        <v>0.4</v>
      </c>
      <c r="R2152" s="16" t="str">
        <f t="shared" si="185"/>
        <v>KOMODO</v>
      </c>
      <c r="S2152" s="17"/>
      <c r="T2152" s="10" t="str">
        <f t="shared" si="183"/>
        <v>DIA DE TÉCNICO CERTIFICADO CON PAPELES Y HERRAMIENTA DE MANO.</v>
      </c>
    </row>
    <row r="2153" spans="1:20" ht="27" customHeight="1" x14ac:dyDescent="0.25">
      <c r="A2153" s="8" t="s">
        <v>3977</v>
      </c>
      <c r="B2153" s="9"/>
      <c r="C2153" s="9"/>
      <c r="D2153" s="8"/>
      <c r="E2153" s="8"/>
      <c r="F2153" s="8" t="s">
        <v>22</v>
      </c>
      <c r="G2153" s="10" t="s">
        <v>4388</v>
      </c>
      <c r="H2153" s="8" t="s">
        <v>4389</v>
      </c>
      <c r="I2153" s="10" t="s">
        <v>4388</v>
      </c>
      <c r="J2153" s="11" t="s">
        <v>33</v>
      </c>
      <c r="K2153" s="18">
        <v>100000</v>
      </c>
      <c r="L2153" s="12">
        <f t="shared" si="184"/>
        <v>166700</v>
      </c>
      <c r="M2153" s="8">
        <v>1</v>
      </c>
      <c r="N2153" s="8" t="s">
        <v>27</v>
      </c>
      <c r="O2153" s="13" t="s">
        <v>588</v>
      </c>
      <c r="P2153" s="14">
        <v>0.2</v>
      </c>
      <c r="Q2153" s="15">
        <v>0.4</v>
      </c>
      <c r="R2153" s="16" t="str">
        <f t="shared" si="185"/>
        <v>KOMODO</v>
      </c>
      <c r="S2153" s="17"/>
      <c r="T2153" s="10" t="str">
        <f t="shared" si="183"/>
        <v>DIA LABORAL DE INSPECTOR SISOMA</v>
      </c>
    </row>
    <row r="2154" spans="1:20" ht="27" customHeight="1" x14ac:dyDescent="0.25">
      <c r="A2154" s="8" t="s">
        <v>3977</v>
      </c>
      <c r="B2154" s="9"/>
      <c r="C2154" s="9"/>
      <c r="D2154" s="8"/>
      <c r="E2154" s="8"/>
      <c r="F2154" s="8" t="s">
        <v>22</v>
      </c>
      <c r="G2154" s="10" t="s">
        <v>4390</v>
      </c>
      <c r="H2154" s="8" t="s">
        <v>4391</v>
      </c>
      <c r="I2154" s="10" t="s">
        <v>4390</v>
      </c>
      <c r="J2154" s="11" t="s">
        <v>33</v>
      </c>
      <c r="K2154" s="18">
        <v>95000</v>
      </c>
      <c r="L2154" s="12">
        <f t="shared" si="184"/>
        <v>158400</v>
      </c>
      <c r="M2154" s="8">
        <v>1</v>
      </c>
      <c r="N2154" s="8" t="s">
        <v>27</v>
      </c>
      <c r="O2154" s="13" t="s">
        <v>587</v>
      </c>
      <c r="P2154" s="14">
        <v>0.2</v>
      </c>
      <c r="Q2154" s="15">
        <v>0.4</v>
      </c>
      <c r="R2154" s="16" t="str">
        <f t="shared" si="185"/>
        <v>KOMODO</v>
      </c>
      <c r="S2154" s="17"/>
      <c r="T2154" s="10" t="str">
        <f t="shared" si="183"/>
        <v>INSTALACIÓN DE CONTROLADOR RGB</v>
      </c>
    </row>
    <row r="2155" spans="1:20" ht="27" customHeight="1" x14ac:dyDescent="0.25">
      <c r="A2155" s="8" t="s">
        <v>3977</v>
      </c>
      <c r="B2155" s="9"/>
      <c r="C2155" s="9"/>
      <c r="D2155" s="8"/>
      <c r="E2155" s="8"/>
      <c r="F2155" s="8" t="s">
        <v>22</v>
      </c>
      <c r="G2155" s="10" t="s">
        <v>4392</v>
      </c>
      <c r="H2155" s="8" t="s">
        <v>4393</v>
      </c>
      <c r="I2155" s="10" t="s">
        <v>4392</v>
      </c>
      <c r="J2155" s="11" t="s">
        <v>33</v>
      </c>
      <c r="K2155" s="18">
        <v>100000</v>
      </c>
      <c r="L2155" s="12">
        <f t="shared" si="184"/>
        <v>166700</v>
      </c>
      <c r="M2155" s="8">
        <v>1</v>
      </c>
      <c r="N2155" s="8" t="s">
        <v>27</v>
      </c>
      <c r="O2155" s="13" t="s">
        <v>587</v>
      </c>
      <c r="P2155" s="14">
        <v>0.2</v>
      </c>
      <c r="Q2155" s="15">
        <v>0.4</v>
      </c>
      <c r="R2155" s="16" t="str">
        <f t="shared" si="185"/>
        <v>KOMODO</v>
      </c>
      <c r="S2155" s="17"/>
      <c r="T2155" s="10" t="str">
        <f t="shared" si="183"/>
        <v>INSTALACIÓN DE MODULO DE ATENUACIÓN O SWITCHEO DE 4 ZONAS</v>
      </c>
    </row>
    <row r="2156" spans="1:20" ht="27" customHeight="1" x14ac:dyDescent="0.25">
      <c r="A2156" s="8" t="s">
        <v>3977</v>
      </c>
      <c r="B2156" s="9"/>
      <c r="C2156" s="9"/>
      <c r="D2156" s="8"/>
      <c r="E2156" s="8"/>
      <c r="F2156" s="8" t="s">
        <v>22</v>
      </c>
      <c r="G2156" s="10" t="s">
        <v>4663</v>
      </c>
      <c r="H2156" s="8" t="s">
        <v>4395</v>
      </c>
      <c r="I2156" s="10" t="s">
        <v>4396</v>
      </c>
      <c r="J2156" s="11" t="s">
        <v>697</v>
      </c>
      <c r="K2156" s="18">
        <v>12500</v>
      </c>
      <c r="L2156" s="12">
        <f t="shared" si="184"/>
        <v>20900</v>
      </c>
      <c r="M2156" s="8">
        <v>1</v>
      </c>
      <c r="N2156" s="8" t="s">
        <v>27</v>
      </c>
      <c r="O2156" s="13" t="s">
        <v>587</v>
      </c>
      <c r="P2156" s="14">
        <v>0.2</v>
      </c>
      <c r="Q2156" s="15">
        <v>0.4</v>
      </c>
      <c r="R2156" s="16" t="str">
        <f t="shared" si="185"/>
        <v>KOMODO</v>
      </c>
      <c r="S2156" s="17"/>
      <c r="T2156" s="10" t="str">
        <f t="shared" si="183"/>
        <v>ADAPTACIÓN DE HUECO DE DRYWALL.</v>
      </c>
    </row>
    <row r="2157" spans="1:20" ht="27" customHeight="1" x14ac:dyDescent="0.25">
      <c r="A2157" s="8" t="s">
        <v>3977</v>
      </c>
      <c r="B2157" s="9"/>
      <c r="C2157" s="9"/>
      <c r="D2157" s="8"/>
      <c r="E2157" s="8"/>
      <c r="F2157" s="8" t="s">
        <v>22</v>
      </c>
      <c r="G2157" s="10" t="s">
        <v>4397</v>
      </c>
      <c r="H2157" s="8" t="s">
        <v>4398</v>
      </c>
      <c r="I2157" s="10" t="s">
        <v>4397</v>
      </c>
      <c r="J2157" s="11" t="s">
        <v>33</v>
      </c>
      <c r="K2157" s="18">
        <v>50000</v>
      </c>
      <c r="L2157" s="12">
        <f t="shared" si="184"/>
        <v>83400</v>
      </c>
      <c r="M2157" s="8">
        <v>1</v>
      </c>
      <c r="N2157" s="8" t="s">
        <v>27</v>
      </c>
      <c r="O2157" s="13" t="s">
        <v>587</v>
      </c>
      <c r="P2157" s="14">
        <v>0.2</v>
      </c>
      <c r="Q2157" s="15">
        <v>0.4</v>
      </c>
      <c r="R2157" s="16" t="str">
        <f t="shared" si="185"/>
        <v>KOMODO</v>
      </c>
      <c r="S2157" s="17"/>
      <c r="T2157" s="10" t="str">
        <f t="shared" si="183"/>
        <v>ORGANIZACIÓN DEA CABLEADO PARA SISTEMA DE TV.</v>
      </c>
    </row>
    <row r="2158" spans="1:20" ht="27" customHeight="1" x14ac:dyDescent="0.25">
      <c r="A2158" s="8" t="s">
        <v>3977</v>
      </c>
      <c r="B2158" s="9"/>
      <c r="C2158" s="9"/>
      <c r="D2158" s="8"/>
      <c r="E2158" s="8"/>
      <c r="F2158" s="8" t="s">
        <v>22</v>
      </c>
      <c r="G2158" s="10" t="s">
        <v>4399</v>
      </c>
      <c r="H2158" s="8" t="s">
        <v>4400</v>
      </c>
      <c r="I2158" s="10" t="s">
        <v>4399</v>
      </c>
      <c r="J2158" s="11" t="s">
        <v>33</v>
      </c>
      <c r="K2158" s="18">
        <v>40000</v>
      </c>
      <c r="L2158" s="12">
        <f t="shared" si="184"/>
        <v>66700</v>
      </c>
      <c r="M2158" s="8">
        <v>1</v>
      </c>
      <c r="N2158" s="8" t="s">
        <v>27</v>
      </c>
      <c r="O2158" s="13" t="s">
        <v>587</v>
      </c>
      <c r="P2158" s="14">
        <v>0.2</v>
      </c>
      <c r="Q2158" s="15">
        <v>0.4</v>
      </c>
      <c r="R2158" s="16" t="str">
        <f t="shared" si="185"/>
        <v>KOMODO</v>
      </c>
      <c r="S2158" s="17"/>
      <c r="T2158" s="10" t="str">
        <f t="shared" si="183"/>
        <v>INSTALACIÓN Y ADAPTACIÓN DE SENSOR DE NIVEL DE LÍQUIDOS EN TANQUE</v>
      </c>
    </row>
    <row r="2159" spans="1:20" ht="27" customHeight="1" x14ac:dyDescent="0.25">
      <c r="A2159" s="8" t="s">
        <v>3977</v>
      </c>
      <c r="B2159" s="9"/>
      <c r="C2159" s="9"/>
      <c r="D2159" s="8"/>
      <c r="E2159" s="8"/>
      <c r="F2159" s="8" t="s">
        <v>22</v>
      </c>
      <c r="G2159" s="10" t="s">
        <v>4401</v>
      </c>
      <c r="H2159" s="8" t="s">
        <v>4402</v>
      </c>
      <c r="I2159" s="10" t="s">
        <v>4401</v>
      </c>
      <c r="J2159" s="11" t="s">
        <v>33</v>
      </c>
      <c r="K2159" s="18">
        <v>100000</v>
      </c>
      <c r="L2159" s="12">
        <f t="shared" si="184"/>
        <v>166700</v>
      </c>
      <c r="M2159" s="8">
        <v>1</v>
      </c>
      <c r="N2159" s="8" t="s">
        <v>27</v>
      </c>
      <c r="O2159" s="13" t="s">
        <v>587</v>
      </c>
      <c r="P2159" s="14">
        <v>0.2</v>
      </c>
      <c r="Q2159" s="15">
        <v>0.4</v>
      </c>
      <c r="R2159" s="16" t="str">
        <f t="shared" si="185"/>
        <v>KOMODO</v>
      </c>
      <c r="S2159" s="17"/>
      <c r="T2159" s="10" t="str">
        <f t="shared" si="183"/>
        <v>INSTALACIÓN DE SISTEMA DE CONTROL REMOTO UNIVERSAL CON CONTROLADOR</v>
      </c>
    </row>
    <row r="2160" spans="1:20" ht="27" customHeight="1" x14ac:dyDescent="0.25">
      <c r="A2160" s="8" t="s">
        <v>3977</v>
      </c>
      <c r="B2160" s="9" t="s">
        <v>2515</v>
      </c>
      <c r="C2160" s="9"/>
      <c r="D2160" s="8"/>
      <c r="E2160" s="8"/>
      <c r="F2160" s="8" t="s">
        <v>22</v>
      </c>
      <c r="G2160" s="10" t="s">
        <v>4664</v>
      </c>
      <c r="H2160" s="8" t="s">
        <v>4665</v>
      </c>
      <c r="I2160" s="10" t="s">
        <v>4666</v>
      </c>
      <c r="J2160" s="11" t="s">
        <v>33</v>
      </c>
      <c r="K2160" s="18">
        <v>40000</v>
      </c>
      <c r="L2160" s="12">
        <f t="shared" si="184"/>
        <v>66700</v>
      </c>
      <c r="M2160" s="8">
        <v>1</v>
      </c>
      <c r="N2160" s="8" t="s">
        <v>27</v>
      </c>
      <c r="O2160" s="13" t="s">
        <v>587</v>
      </c>
      <c r="P2160" s="14">
        <v>0.2</v>
      </c>
      <c r="Q2160" s="15">
        <v>0.4</v>
      </c>
      <c r="R2160" s="16" t="str">
        <f t="shared" si="185"/>
        <v>KOMODO</v>
      </c>
      <c r="S2160" s="17"/>
      <c r="T2160" s="10" t="str">
        <f t="shared" si="183"/>
        <v>CAPACITACIÓN DEL SISTEMA DE INTEGRACIÓN.</v>
      </c>
    </row>
    <row r="2161" spans="1:20" ht="27" customHeight="1" x14ac:dyDescent="0.25">
      <c r="A2161" s="8" t="s">
        <v>3977</v>
      </c>
      <c r="B2161" s="9" t="s">
        <v>2515</v>
      </c>
      <c r="C2161" s="9"/>
      <c r="D2161" s="8"/>
      <c r="E2161" s="8"/>
      <c r="F2161" s="8" t="s">
        <v>22</v>
      </c>
      <c r="G2161" s="10" t="s">
        <v>4667</v>
      </c>
      <c r="H2161" s="8" t="s">
        <v>4668</v>
      </c>
      <c r="I2161" s="10" t="s">
        <v>4667</v>
      </c>
      <c r="J2161" s="11" t="s">
        <v>33</v>
      </c>
      <c r="K2161" s="18">
        <v>180000</v>
      </c>
      <c r="L2161" s="12">
        <f t="shared" si="184"/>
        <v>300000</v>
      </c>
      <c r="M2161" s="8">
        <v>1</v>
      </c>
      <c r="N2161" s="8" t="s">
        <v>27</v>
      </c>
      <c r="O2161" s="13" t="s">
        <v>587</v>
      </c>
      <c r="P2161" s="14">
        <v>0.2</v>
      </c>
      <c r="Q2161" s="15">
        <v>0.4</v>
      </c>
      <c r="R2161" s="16" t="str">
        <f t="shared" si="185"/>
        <v>KOMODO</v>
      </c>
      <c r="S2161" s="17"/>
      <c r="T2161" s="10" t="str">
        <f t="shared" si="183"/>
        <v>CAPACITACIÓN DE 2 HORAS EN FUNCIONAMIENTO DE TABLERO INTERACTIVO.</v>
      </c>
    </row>
    <row r="2162" spans="1:20" ht="27" customHeight="1" x14ac:dyDescent="0.25">
      <c r="A2162" s="8" t="s">
        <v>3977</v>
      </c>
      <c r="B2162" s="9" t="s">
        <v>2515</v>
      </c>
      <c r="C2162" s="9"/>
      <c r="D2162" s="8"/>
      <c r="E2162" s="8"/>
      <c r="F2162" s="8" t="s">
        <v>22</v>
      </c>
      <c r="G2162" s="10" t="s">
        <v>4669</v>
      </c>
      <c r="H2162" s="8" t="s">
        <v>4670</v>
      </c>
      <c r="I2162" s="10" t="s">
        <v>4671</v>
      </c>
      <c r="J2162" s="11" t="s">
        <v>33</v>
      </c>
      <c r="K2162" s="18">
        <v>35000</v>
      </c>
      <c r="L2162" s="12">
        <f t="shared" si="184"/>
        <v>58400</v>
      </c>
      <c r="M2162" s="8">
        <v>1</v>
      </c>
      <c r="N2162" s="8" t="s">
        <v>27</v>
      </c>
      <c r="O2162" s="13" t="s">
        <v>588</v>
      </c>
      <c r="P2162" s="14">
        <v>0.2</v>
      </c>
      <c r="Q2162" s="15">
        <v>0.4</v>
      </c>
      <c r="R2162" s="16" t="str">
        <f t="shared" si="185"/>
        <v>KOMODO</v>
      </c>
      <c r="S2162" s="17"/>
      <c r="T2162" s="10" t="str">
        <f t="shared" si="183"/>
        <v>CAPACITACIÓN DEL USO DE SISTEMA DE CONTROL DE ILUMINACIÓN.</v>
      </c>
    </row>
    <row r="2163" spans="1:20" ht="27" customHeight="1" x14ac:dyDescent="0.25">
      <c r="A2163" s="8" t="s">
        <v>3977</v>
      </c>
      <c r="B2163" s="9" t="s">
        <v>2515</v>
      </c>
      <c r="C2163" s="9"/>
      <c r="D2163" s="8"/>
      <c r="E2163" s="8"/>
      <c r="F2163" s="8" t="s">
        <v>22</v>
      </c>
      <c r="G2163" s="10" t="s">
        <v>4672</v>
      </c>
      <c r="H2163" s="8" t="s">
        <v>4673</v>
      </c>
      <c r="I2163" s="10" t="s">
        <v>4674</v>
      </c>
      <c r="J2163" s="11" t="s">
        <v>33</v>
      </c>
      <c r="K2163" s="18">
        <v>35000</v>
      </c>
      <c r="L2163" s="12">
        <f t="shared" si="184"/>
        <v>58400</v>
      </c>
      <c r="M2163" s="8">
        <v>1</v>
      </c>
      <c r="N2163" s="8" t="s">
        <v>27</v>
      </c>
      <c r="O2163" s="13" t="s">
        <v>587</v>
      </c>
      <c r="P2163" s="14">
        <v>0.2</v>
      </c>
      <c r="Q2163" s="15">
        <v>0.4</v>
      </c>
      <c r="R2163" s="16" t="str">
        <f t="shared" si="185"/>
        <v>KOMODO</v>
      </c>
      <c r="S2163" s="17"/>
      <c r="T2163" s="10" t="str">
        <f t="shared" si="183"/>
        <v>CAPACITACIÓN DEL SISTEMA DE AUDIO MULTIROOM.</v>
      </c>
    </row>
    <row r="2164" spans="1:20" ht="27" customHeight="1" x14ac:dyDescent="0.25">
      <c r="A2164" s="8" t="s">
        <v>3977</v>
      </c>
      <c r="B2164" s="9" t="s">
        <v>2515</v>
      </c>
      <c r="C2164" s="9"/>
      <c r="D2164" s="8"/>
      <c r="E2164" s="8"/>
      <c r="F2164" s="8" t="s">
        <v>22</v>
      </c>
      <c r="G2164" s="10" t="s">
        <v>4675</v>
      </c>
      <c r="H2164" s="8" t="s">
        <v>4676</v>
      </c>
      <c r="I2164" s="10" t="s">
        <v>4675</v>
      </c>
      <c r="J2164" s="11" t="s">
        <v>33</v>
      </c>
      <c r="K2164" s="18">
        <v>40000</v>
      </c>
      <c r="L2164" s="12">
        <f t="shared" si="184"/>
        <v>66700</v>
      </c>
      <c r="M2164" s="8">
        <v>1</v>
      </c>
      <c r="N2164" s="8" t="s">
        <v>27</v>
      </c>
      <c r="O2164" s="13" t="s">
        <v>588</v>
      </c>
      <c r="P2164" s="14">
        <v>0.2</v>
      </c>
      <c r="Q2164" s="15">
        <v>0.4</v>
      </c>
      <c r="R2164" s="16" t="str">
        <f t="shared" si="185"/>
        <v>KOMODO</v>
      </c>
      <c r="S2164" s="17"/>
      <c r="T2164" s="10" t="str">
        <f t="shared" si="183"/>
        <v>CAPACITACIÓN DEL SISTEMA DE ALARMA. INCLUYE UNA VISITA DE UNA HORA EN SITIO.</v>
      </c>
    </row>
    <row r="2165" spans="1:20" ht="27" customHeight="1" x14ac:dyDescent="0.25">
      <c r="A2165" s="8" t="s">
        <v>3977</v>
      </c>
      <c r="B2165" s="9" t="s">
        <v>2515</v>
      </c>
      <c r="C2165" s="9"/>
      <c r="D2165" s="8"/>
      <c r="E2165" s="8"/>
      <c r="F2165" s="8" t="s">
        <v>22</v>
      </c>
      <c r="G2165" s="10" t="s">
        <v>4664</v>
      </c>
      <c r="H2165" s="8" t="s">
        <v>4665</v>
      </c>
      <c r="I2165" s="10" t="s">
        <v>4666</v>
      </c>
      <c r="J2165" s="11" t="s">
        <v>33</v>
      </c>
      <c r="K2165" s="18">
        <v>40000</v>
      </c>
      <c r="L2165" s="12">
        <f t="shared" si="184"/>
        <v>66700</v>
      </c>
      <c r="M2165" s="8">
        <v>1</v>
      </c>
      <c r="N2165" s="8" t="s">
        <v>27</v>
      </c>
      <c r="O2165" s="13" t="s">
        <v>587</v>
      </c>
      <c r="P2165" s="14">
        <v>0.2</v>
      </c>
      <c r="Q2165" s="15">
        <v>0.4</v>
      </c>
      <c r="R2165" s="16" t="str">
        <f t="shared" si="185"/>
        <v>KOMODO</v>
      </c>
      <c r="S2165" s="17"/>
      <c r="T2165" s="10" t="str">
        <f t="shared" si="183"/>
        <v>CAPACITACIÓN DEL SISTEMA DE INTEGRACIÓN.</v>
      </c>
    </row>
    <row r="2166" spans="1:20" ht="27" customHeight="1" x14ac:dyDescent="0.25">
      <c r="A2166" s="8" t="s">
        <v>3977</v>
      </c>
      <c r="B2166" s="9" t="s">
        <v>2515</v>
      </c>
      <c r="C2166" s="9"/>
      <c r="D2166" s="8"/>
      <c r="E2166" s="8"/>
      <c r="F2166" s="8" t="s">
        <v>22</v>
      </c>
      <c r="G2166" s="10" t="s">
        <v>4667</v>
      </c>
      <c r="H2166" s="8" t="s">
        <v>4668</v>
      </c>
      <c r="I2166" s="10" t="s">
        <v>4667</v>
      </c>
      <c r="J2166" s="11" t="s">
        <v>33</v>
      </c>
      <c r="K2166" s="18">
        <v>180000</v>
      </c>
      <c r="L2166" s="12">
        <f t="shared" si="184"/>
        <v>300000</v>
      </c>
      <c r="M2166" s="8">
        <v>1</v>
      </c>
      <c r="N2166" s="8" t="s">
        <v>27</v>
      </c>
      <c r="O2166" s="13" t="s">
        <v>587</v>
      </c>
      <c r="P2166" s="14">
        <v>0.2</v>
      </c>
      <c r="Q2166" s="15">
        <v>0.4</v>
      </c>
      <c r="R2166" s="16" t="str">
        <f t="shared" si="185"/>
        <v>KOMODO</v>
      </c>
      <c r="S2166" s="17"/>
      <c r="T2166" s="10" t="str">
        <f t="shared" si="183"/>
        <v>CAPACITACIÓN DE 2 HORAS EN FUNCIONAMIENTO DE TABLERO INTERACTIVO.</v>
      </c>
    </row>
    <row r="2167" spans="1:20" ht="27" customHeight="1" x14ac:dyDescent="0.25">
      <c r="A2167" s="8" t="s">
        <v>3977</v>
      </c>
      <c r="B2167" s="9" t="s">
        <v>2515</v>
      </c>
      <c r="C2167" s="9"/>
      <c r="D2167" s="8"/>
      <c r="E2167" s="8"/>
      <c r="F2167" s="8" t="s">
        <v>22</v>
      </c>
      <c r="G2167" s="10" t="s">
        <v>4677</v>
      </c>
      <c r="H2167" s="8" t="s">
        <v>4678</v>
      </c>
      <c r="I2167" s="10" t="s">
        <v>4677</v>
      </c>
      <c r="J2167" s="11" t="s">
        <v>33</v>
      </c>
      <c r="K2167" s="18">
        <v>0</v>
      </c>
      <c r="L2167" s="12">
        <f t="shared" si="184"/>
        <v>0</v>
      </c>
      <c r="M2167" s="8">
        <v>1</v>
      </c>
      <c r="N2167" s="8" t="s">
        <v>27</v>
      </c>
      <c r="O2167" s="13" t="s">
        <v>588</v>
      </c>
      <c r="P2167" s="14">
        <v>0.2</v>
      </c>
      <c r="Q2167" s="15">
        <v>0.4</v>
      </c>
      <c r="R2167" s="16" t="str">
        <f t="shared" si="185"/>
        <v>KOMODO</v>
      </c>
      <c r="S2167" s="17"/>
      <c r="T2167" s="10" t="str">
        <f t="shared" si="183"/>
        <v>XXXXXX</v>
      </c>
    </row>
    <row r="2168" spans="1:20" ht="27" customHeight="1" x14ac:dyDescent="0.25">
      <c r="A2168" s="8" t="s">
        <v>3977</v>
      </c>
      <c r="B2168" s="9" t="s">
        <v>2515</v>
      </c>
      <c r="C2168" s="9"/>
      <c r="D2168" s="8"/>
      <c r="E2168" s="8"/>
      <c r="F2168" s="8" t="s">
        <v>22</v>
      </c>
      <c r="G2168" s="10" t="s">
        <v>4677</v>
      </c>
      <c r="H2168" s="8" t="s">
        <v>4679</v>
      </c>
      <c r="I2168" s="10" t="s">
        <v>4677</v>
      </c>
      <c r="J2168" s="11" t="s">
        <v>33</v>
      </c>
      <c r="K2168" s="18">
        <v>0</v>
      </c>
      <c r="L2168" s="12">
        <f t="shared" si="184"/>
        <v>0</v>
      </c>
      <c r="M2168" s="8">
        <v>1</v>
      </c>
      <c r="N2168" s="8" t="s">
        <v>27</v>
      </c>
      <c r="O2168" s="13" t="s">
        <v>587</v>
      </c>
      <c r="P2168" s="14">
        <v>0.2</v>
      </c>
      <c r="Q2168" s="15">
        <v>0.4</v>
      </c>
      <c r="R2168" s="16" t="str">
        <f t="shared" si="185"/>
        <v>KOMODO</v>
      </c>
      <c r="S2168" s="17"/>
      <c r="T2168" s="10" t="str">
        <f t="shared" si="183"/>
        <v>XXXXXX</v>
      </c>
    </row>
    <row r="2169" spans="1:20" ht="27" customHeight="1" x14ac:dyDescent="0.25">
      <c r="A2169" s="8" t="s">
        <v>3977</v>
      </c>
      <c r="B2169" s="9" t="s">
        <v>2515</v>
      </c>
      <c r="C2169" s="9"/>
      <c r="D2169" s="8"/>
      <c r="E2169" s="8"/>
      <c r="F2169" s="8" t="s">
        <v>22</v>
      </c>
      <c r="G2169" s="10" t="s">
        <v>4677</v>
      </c>
      <c r="H2169" s="8" t="s">
        <v>4680</v>
      </c>
      <c r="I2169" s="10" t="s">
        <v>4677</v>
      </c>
      <c r="J2169" s="11" t="s">
        <v>33</v>
      </c>
      <c r="K2169" s="18">
        <v>0</v>
      </c>
      <c r="L2169" s="12">
        <f t="shared" si="184"/>
        <v>0</v>
      </c>
      <c r="M2169" s="8">
        <v>1</v>
      </c>
      <c r="N2169" s="8" t="s">
        <v>27</v>
      </c>
      <c r="O2169" s="13" t="s">
        <v>588</v>
      </c>
      <c r="P2169" s="14">
        <v>0.2</v>
      </c>
      <c r="Q2169" s="15">
        <v>0.4</v>
      </c>
      <c r="R2169" s="16" t="str">
        <f t="shared" si="185"/>
        <v>KOMODO</v>
      </c>
      <c r="S2169" s="17"/>
      <c r="T2169" s="10" t="str">
        <f t="shared" ref="T2169:T2232" si="186">G2169</f>
        <v>XXXXXX</v>
      </c>
    </row>
    <row r="2170" spans="1:20" ht="27" customHeight="1" x14ac:dyDescent="0.25">
      <c r="A2170" s="8" t="s">
        <v>3977</v>
      </c>
      <c r="B2170" s="9"/>
      <c r="C2170" s="9"/>
      <c r="D2170" s="8"/>
      <c r="E2170" s="8"/>
      <c r="F2170" s="8" t="s">
        <v>22</v>
      </c>
      <c r="G2170" s="10" t="s">
        <v>4681</v>
      </c>
      <c r="H2170" s="8" t="s">
        <v>4682</v>
      </c>
      <c r="I2170" s="10" t="s">
        <v>4683</v>
      </c>
      <c r="J2170" s="11" t="s">
        <v>33</v>
      </c>
      <c r="K2170" s="18">
        <v>15000</v>
      </c>
      <c r="L2170" s="12">
        <f t="shared" si="184"/>
        <v>25000</v>
      </c>
      <c r="M2170" s="8">
        <v>1</v>
      </c>
      <c r="N2170" s="8" t="s">
        <v>27</v>
      </c>
      <c r="O2170" s="13" t="s">
        <v>588</v>
      </c>
      <c r="P2170" s="14">
        <v>0</v>
      </c>
      <c r="Q2170" s="15">
        <v>0.4</v>
      </c>
      <c r="R2170" s="16" t="str">
        <f t="shared" si="185"/>
        <v>KOMODO</v>
      </c>
      <c r="S2170" s="17"/>
      <c r="T2170" s="10" t="str">
        <f t="shared" si="186"/>
        <v>INSTALACIÓN DE PASTILLA LED EN LUMINARIA EXISTENTE.</v>
      </c>
    </row>
    <row r="2171" spans="1:20" ht="27" customHeight="1" x14ac:dyDescent="0.25">
      <c r="A2171" s="8" t="s">
        <v>3977</v>
      </c>
      <c r="B2171" s="9"/>
      <c r="C2171" s="9"/>
      <c r="D2171" s="8"/>
      <c r="E2171" s="8"/>
      <c r="F2171" s="8" t="s">
        <v>22</v>
      </c>
      <c r="G2171" s="10" t="s">
        <v>4684</v>
      </c>
      <c r="H2171" s="8" t="s">
        <v>4685</v>
      </c>
      <c r="I2171" s="10" t="s">
        <v>4686</v>
      </c>
      <c r="J2171" s="11" t="s">
        <v>33</v>
      </c>
      <c r="K2171" s="18">
        <v>40000</v>
      </c>
      <c r="L2171" s="12">
        <f t="shared" ref="L2171:L2189" si="187">IF(J2171="P",ROUNDUP(K2171/(1-Q2171),-2),K2171*(1+P2171)/(1-Q2171))</f>
        <v>57200</v>
      </c>
      <c r="M2171" s="8">
        <v>1</v>
      </c>
      <c r="N2171" s="8" t="s">
        <v>27</v>
      </c>
      <c r="O2171" s="13" t="s">
        <v>588</v>
      </c>
      <c r="P2171" s="14">
        <v>0</v>
      </c>
      <c r="Q2171" s="15">
        <v>0.3</v>
      </c>
      <c r="R2171" s="16" t="str">
        <f t="shared" si="185"/>
        <v>KOMODO</v>
      </c>
      <c r="S2171" s="17"/>
      <c r="T2171" s="10" t="str">
        <f t="shared" si="186"/>
        <v>PROGRAMACIÓN DE ENTRADA O SALIDA DE CONTACTO SECO O RELÉ.</v>
      </c>
    </row>
    <row r="2172" spans="1:20" ht="27" customHeight="1" x14ac:dyDescent="0.25">
      <c r="A2172" s="8" t="s">
        <v>3977</v>
      </c>
      <c r="B2172" s="9"/>
      <c r="C2172" s="9"/>
      <c r="D2172" s="8"/>
      <c r="E2172" s="8"/>
      <c r="F2172" s="8" t="s">
        <v>22</v>
      </c>
      <c r="G2172" s="10" t="s">
        <v>4687</v>
      </c>
      <c r="H2172" s="8" t="s">
        <v>4688</v>
      </c>
      <c r="I2172" s="10" t="s">
        <v>4687</v>
      </c>
      <c r="J2172" s="11" t="s">
        <v>33</v>
      </c>
      <c r="K2172" s="18">
        <v>35000</v>
      </c>
      <c r="L2172" s="12">
        <f t="shared" si="187"/>
        <v>70000</v>
      </c>
      <c r="M2172" s="8">
        <v>1</v>
      </c>
      <c r="N2172" s="8" t="s">
        <v>27</v>
      </c>
      <c r="O2172" s="13" t="s">
        <v>588</v>
      </c>
      <c r="P2172" s="14">
        <v>0</v>
      </c>
      <c r="Q2172" s="15">
        <v>0.5</v>
      </c>
      <c r="R2172" s="16" t="str">
        <f t="shared" si="185"/>
        <v>KOMODO</v>
      </c>
      <c r="S2172" s="17"/>
      <c r="T2172" s="10" t="str">
        <f t="shared" si="186"/>
        <v>INSTALACIÓN DE EXTRACTOR A 110V. NO INCLUYE SALIDA ELÉCTRICA.</v>
      </c>
    </row>
    <row r="2173" spans="1:20" ht="27" customHeight="1" x14ac:dyDescent="0.25">
      <c r="A2173" s="8" t="s">
        <v>3977</v>
      </c>
      <c r="B2173" s="9"/>
      <c r="C2173" s="9"/>
      <c r="D2173" s="8"/>
      <c r="E2173" s="8"/>
      <c r="F2173" s="8" t="s">
        <v>22</v>
      </c>
      <c r="G2173" s="10" t="s">
        <v>4689</v>
      </c>
      <c r="H2173" s="8" t="s">
        <v>4690</v>
      </c>
      <c r="I2173" s="10" t="s">
        <v>4689</v>
      </c>
      <c r="J2173" s="11" t="s">
        <v>33</v>
      </c>
      <c r="K2173" s="18">
        <v>25000</v>
      </c>
      <c r="L2173" s="12">
        <f t="shared" si="187"/>
        <v>35800</v>
      </c>
      <c r="M2173" s="8">
        <v>1</v>
      </c>
      <c r="N2173" s="8" t="s">
        <v>27</v>
      </c>
      <c r="O2173" s="13" t="s">
        <v>588</v>
      </c>
      <c r="P2173" s="14">
        <v>0</v>
      </c>
      <c r="Q2173" s="15">
        <v>0.3</v>
      </c>
      <c r="R2173" s="16" t="str">
        <f t="shared" si="185"/>
        <v>KOMODO</v>
      </c>
      <c r="S2173" s="17"/>
      <c r="T2173" s="10" t="str">
        <f t="shared" si="186"/>
        <v>INSTALACIÓN DE SENSOR DE HUMO</v>
      </c>
    </row>
    <row r="2174" spans="1:20" ht="27" customHeight="1" x14ac:dyDescent="0.25">
      <c r="A2174" s="8" t="s">
        <v>3977</v>
      </c>
      <c r="B2174" s="9"/>
      <c r="C2174" s="9"/>
      <c r="D2174" s="8"/>
      <c r="E2174" s="8"/>
      <c r="F2174" s="8" t="s">
        <v>22</v>
      </c>
      <c r="G2174" s="10" t="s">
        <v>4691</v>
      </c>
      <c r="H2174" s="8" t="s">
        <v>4692</v>
      </c>
      <c r="I2174" s="10" t="s">
        <v>4691</v>
      </c>
      <c r="J2174" s="11" t="s">
        <v>33</v>
      </c>
      <c r="K2174" s="18">
        <v>25000</v>
      </c>
      <c r="L2174" s="12">
        <f t="shared" si="187"/>
        <v>35800</v>
      </c>
      <c r="M2174" s="8">
        <v>1</v>
      </c>
      <c r="N2174" s="8" t="s">
        <v>27</v>
      </c>
      <c r="O2174" s="13" t="s">
        <v>588</v>
      </c>
      <c r="P2174" s="14">
        <v>0</v>
      </c>
      <c r="Q2174" s="15">
        <v>0.3</v>
      </c>
      <c r="R2174" s="16" t="str">
        <f t="shared" si="185"/>
        <v>KOMODO</v>
      </c>
      <c r="S2174" s="17"/>
      <c r="T2174" s="10" t="str">
        <f t="shared" si="186"/>
        <v>PROGRAMACIÓN DE SENSOR DE HUMO CON PANEL COMPATIBLE.</v>
      </c>
    </row>
    <row r="2175" spans="1:20" ht="27" customHeight="1" x14ac:dyDescent="0.25">
      <c r="A2175" s="8" t="s">
        <v>3977</v>
      </c>
      <c r="B2175" s="9"/>
      <c r="C2175" s="9"/>
      <c r="D2175" s="8"/>
      <c r="E2175" s="8"/>
      <c r="F2175" s="8" t="s">
        <v>22</v>
      </c>
      <c r="G2175" s="10" t="s">
        <v>4693</v>
      </c>
      <c r="H2175" s="8" t="s">
        <v>4694</v>
      </c>
      <c r="I2175" s="10" t="s">
        <v>4693</v>
      </c>
      <c r="J2175" s="11" t="s">
        <v>33</v>
      </c>
      <c r="K2175" s="18">
        <v>7500</v>
      </c>
      <c r="L2175" s="12">
        <f t="shared" si="187"/>
        <v>10800</v>
      </c>
      <c r="M2175" s="8">
        <v>1</v>
      </c>
      <c r="N2175" s="8" t="s">
        <v>27</v>
      </c>
      <c r="O2175" s="13" t="s">
        <v>588</v>
      </c>
      <c r="P2175" s="14">
        <v>0</v>
      </c>
      <c r="Q2175" s="15">
        <v>0.3</v>
      </c>
      <c r="R2175" s="16" t="str">
        <f t="shared" si="185"/>
        <v>KOMODO</v>
      </c>
      <c r="S2175" s="17"/>
      <c r="T2175" s="10" t="str">
        <f t="shared" si="186"/>
        <v>TEST DE SENSOR CON HUMO SIMULADO</v>
      </c>
    </row>
    <row r="2176" spans="1:20" ht="27" customHeight="1" x14ac:dyDescent="0.25">
      <c r="A2176" s="8" t="s">
        <v>3977</v>
      </c>
      <c r="B2176" s="9"/>
      <c r="C2176" s="9"/>
      <c r="D2176" s="8"/>
      <c r="E2176" s="8"/>
      <c r="F2176" s="8" t="s">
        <v>22</v>
      </c>
      <c r="G2176" s="10" t="s">
        <v>4695</v>
      </c>
      <c r="H2176" s="8" t="s">
        <v>4696</v>
      </c>
      <c r="I2176" s="10" t="s">
        <v>4695</v>
      </c>
      <c r="J2176" s="11" t="s">
        <v>33</v>
      </c>
      <c r="K2176" s="18">
        <f>10800*42</f>
        <v>453600</v>
      </c>
      <c r="L2176" s="12">
        <f t="shared" si="187"/>
        <v>648000</v>
      </c>
      <c r="M2176" s="8">
        <v>1</v>
      </c>
      <c r="N2176" s="8" t="s">
        <v>27</v>
      </c>
      <c r="O2176" s="13"/>
      <c r="P2176" s="14">
        <v>0</v>
      </c>
      <c r="Q2176" s="15">
        <v>0.3</v>
      </c>
      <c r="R2176" s="16" t="str">
        <f t="shared" si="185"/>
        <v>KOMODO</v>
      </c>
      <c r="S2176" s="17"/>
      <c r="T2176" s="10" t="str">
        <f t="shared" si="186"/>
        <v>INSTALACIÓN Y FIGURADO DE TABLERO ESTÁNDAR DE 42 CIRCUITOS.</v>
      </c>
    </row>
    <row r="2177" spans="1:20" ht="27" customHeight="1" x14ac:dyDescent="0.25">
      <c r="A2177" s="8" t="s">
        <v>3977</v>
      </c>
      <c r="B2177" s="9"/>
      <c r="C2177" s="9"/>
      <c r="D2177" s="8"/>
      <c r="E2177" s="8"/>
      <c r="F2177" s="8" t="s">
        <v>22</v>
      </c>
      <c r="G2177" s="10" t="s">
        <v>4697</v>
      </c>
      <c r="H2177" s="8" t="s">
        <v>4698</v>
      </c>
      <c r="I2177" s="10" t="s">
        <v>4697</v>
      </c>
      <c r="J2177" s="11" t="s">
        <v>33</v>
      </c>
      <c r="K2177" s="18">
        <f>10800*36</f>
        <v>388800</v>
      </c>
      <c r="L2177" s="12">
        <f t="shared" si="187"/>
        <v>555500</v>
      </c>
      <c r="M2177" s="8">
        <v>1</v>
      </c>
      <c r="N2177" s="8" t="s">
        <v>27</v>
      </c>
      <c r="O2177" s="13"/>
      <c r="P2177" s="14">
        <v>0</v>
      </c>
      <c r="Q2177" s="15">
        <v>0.3</v>
      </c>
      <c r="R2177" s="16" t="str">
        <f t="shared" ref="R2177:R2240" si="188">A2177</f>
        <v>KOMODO</v>
      </c>
      <c r="S2177" s="17"/>
      <c r="T2177" s="10" t="str">
        <f t="shared" si="186"/>
        <v>INSTALACIÓN Y FIGURADO DE TABLERO ESTÁNDAR DE 36 CIRCUITOS.</v>
      </c>
    </row>
    <row r="2178" spans="1:20" ht="27" customHeight="1" x14ac:dyDescent="0.25">
      <c r="A2178" s="8" t="s">
        <v>3977</v>
      </c>
      <c r="B2178" s="9"/>
      <c r="C2178" s="9"/>
      <c r="D2178" s="8"/>
      <c r="E2178" s="8"/>
      <c r="F2178" s="8" t="s">
        <v>22</v>
      </c>
      <c r="G2178" s="10" t="s">
        <v>4699</v>
      </c>
      <c r="H2178" s="8" t="s">
        <v>4700</v>
      </c>
      <c r="I2178" s="10" t="s">
        <v>4699</v>
      </c>
      <c r="J2178" s="11" t="s">
        <v>33</v>
      </c>
      <c r="K2178" s="18">
        <f>10800*24</f>
        <v>259200</v>
      </c>
      <c r="L2178" s="12">
        <f t="shared" si="187"/>
        <v>370300</v>
      </c>
      <c r="M2178" s="8">
        <v>1</v>
      </c>
      <c r="N2178" s="8" t="s">
        <v>27</v>
      </c>
      <c r="O2178" s="13"/>
      <c r="P2178" s="14">
        <v>0</v>
      </c>
      <c r="Q2178" s="15">
        <v>0.3</v>
      </c>
      <c r="R2178" s="16" t="str">
        <f t="shared" si="188"/>
        <v>KOMODO</v>
      </c>
      <c r="S2178" s="17"/>
      <c r="T2178" s="10" t="str">
        <f t="shared" si="186"/>
        <v>INSTALACIÓN Y FIGURADO DE TABLERO ESTÁNDAR DE 24 CIRCUITOS.</v>
      </c>
    </row>
    <row r="2179" spans="1:20" ht="27" customHeight="1" x14ac:dyDescent="0.25">
      <c r="A2179" s="8" t="s">
        <v>3977</v>
      </c>
      <c r="B2179" s="9"/>
      <c r="C2179" s="9"/>
      <c r="D2179" s="8"/>
      <c r="E2179" s="8"/>
      <c r="F2179" s="8" t="s">
        <v>22</v>
      </c>
      <c r="G2179" s="10" t="s">
        <v>4701</v>
      </c>
      <c r="H2179" s="8" t="s">
        <v>4702</v>
      </c>
      <c r="I2179" s="10" t="s">
        <v>4701</v>
      </c>
      <c r="J2179" s="11" t="s">
        <v>33</v>
      </c>
      <c r="K2179" s="18">
        <f>10800*18</f>
        <v>194400</v>
      </c>
      <c r="L2179" s="12">
        <f t="shared" si="187"/>
        <v>277800</v>
      </c>
      <c r="M2179" s="8">
        <v>1</v>
      </c>
      <c r="N2179" s="8" t="s">
        <v>27</v>
      </c>
      <c r="O2179" s="13"/>
      <c r="P2179" s="14">
        <v>0</v>
      </c>
      <c r="Q2179" s="15">
        <v>0.3</v>
      </c>
      <c r="R2179" s="16" t="str">
        <f t="shared" si="188"/>
        <v>KOMODO</v>
      </c>
      <c r="S2179" s="17"/>
      <c r="T2179" s="10" t="str">
        <f t="shared" si="186"/>
        <v>INSTALACIÓN Y FIGURADO DE TABLERO ESTÁNDAR DE 18 CIRCUITOS.</v>
      </c>
    </row>
    <row r="2180" spans="1:20" ht="27" customHeight="1" x14ac:dyDescent="0.25">
      <c r="A2180" s="8" t="s">
        <v>3977</v>
      </c>
      <c r="B2180" s="9"/>
      <c r="C2180" s="9"/>
      <c r="D2180" s="8"/>
      <c r="E2180" s="8"/>
      <c r="F2180" s="8" t="s">
        <v>22</v>
      </c>
      <c r="G2180" s="10" t="s">
        <v>4703</v>
      </c>
      <c r="H2180" s="8" t="s">
        <v>4704</v>
      </c>
      <c r="I2180" s="10" t="s">
        <v>4703</v>
      </c>
      <c r="J2180" s="11" t="s">
        <v>33</v>
      </c>
      <c r="K2180" s="18">
        <f>10800*12</f>
        <v>129600</v>
      </c>
      <c r="L2180" s="12">
        <f t="shared" si="187"/>
        <v>185200</v>
      </c>
      <c r="M2180" s="8">
        <v>1</v>
      </c>
      <c r="N2180" s="8" t="s">
        <v>27</v>
      </c>
      <c r="O2180" s="13"/>
      <c r="P2180" s="14">
        <v>0</v>
      </c>
      <c r="Q2180" s="15">
        <v>0.3</v>
      </c>
      <c r="R2180" s="16" t="str">
        <f t="shared" si="188"/>
        <v>KOMODO</v>
      </c>
      <c r="S2180" s="17"/>
      <c r="T2180" s="10" t="str">
        <f t="shared" si="186"/>
        <v>INSTALACIÓN Y FIGURADO DE TABLERO ESTÁNDAR DE 12 CIRCUITOS.</v>
      </c>
    </row>
    <row r="2181" spans="1:20" ht="27" customHeight="1" x14ac:dyDescent="0.25">
      <c r="A2181" s="8" t="s">
        <v>3977</v>
      </c>
      <c r="B2181" s="9"/>
      <c r="C2181" s="9"/>
      <c r="D2181" s="8"/>
      <c r="E2181" s="8"/>
      <c r="F2181" s="8" t="s">
        <v>22</v>
      </c>
      <c r="G2181" s="10" t="s">
        <v>4705</v>
      </c>
      <c r="H2181" s="8" t="s">
        <v>4706</v>
      </c>
      <c r="I2181" s="10" t="s">
        <v>4705</v>
      </c>
      <c r="J2181" s="11" t="s">
        <v>33</v>
      </c>
      <c r="K2181" s="18">
        <v>1200</v>
      </c>
      <c r="L2181" s="12">
        <f t="shared" si="187"/>
        <v>2000</v>
      </c>
      <c r="M2181" s="8">
        <v>1</v>
      </c>
      <c r="N2181" s="8" t="s">
        <v>27</v>
      </c>
      <c r="O2181" s="13"/>
      <c r="P2181" s="14">
        <v>0</v>
      </c>
      <c r="Q2181" s="15">
        <v>0.4</v>
      </c>
      <c r="R2181" s="16" t="str">
        <f t="shared" si="188"/>
        <v>KOMODO</v>
      </c>
      <c r="S2181" s="17"/>
      <c r="T2181" s="10" t="str">
        <f t="shared" si="186"/>
        <v>INSTALACIÓN DE METRO LINEAL DE TUBERÍA EMT</v>
      </c>
    </row>
    <row r="2182" spans="1:20" ht="27" customHeight="1" x14ac:dyDescent="0.25">
      <c r="A2182" s="8" t="s">
        <v>3977</v>
      </c>
      <c r="B2182" s="9"/>
      <c r="C2182" s="9"/>
      <c r="D2182" s="8"/>
      <c r="E2182" s="8"/>
      <c r="F2182" s="8" t="s">
        <v>22</v>
      </c>
      <c r="G2182" s="10" t="s">
        <v>4707</v>
      </c>
      <c r="H2182" s="8" t="s">
        <v>4708</v>
      </c>
      <c r="I2182" s="10" t="s">
        <v>4707</v>
      </c>
      <c r="J2182" s="11" t="s">
        <v>33</v>
      </c>
      <c r="K2182" s="18">
        <v>1200</v>
      </c>
      <c r="L2182" s="12">
        <f t="shared" si="187"/>
        <v>2000</v>
      </c>
      <c r="M2182" s="8">
        <v>1</v>
      </c>
      <c r="N2182" s="8" t="s">
        <v>27</v>
      </c>
      <c r="O2182" s="13"/>
      <c r="P2182" s="14">
        <v>0</v>
      </c>
      <c r="Q2182" s="15">
        <v>0.4</v>
      </c>
      <c r="R2182" s="16" t="str">
        <f t="shared" si="188"/>
        <v>KOMODO</v>
      </c>
      <c r="S2182" s="17"/>
      <c r="T2182" s="10" t="str">
        <f t="shared" si="186"/>
        <v>INSTALACIÓN DE METRO LINEAL DE CABLOFIL</v>
      </c>
    </row>
    <row r="2183" spans="1:20" ht="27" customHeight="1" x14ac:dyDescent="0.25">
      <c r="A2183" s="8" t="s">
        <v>3977</v>
      </c>
      <c r="B2183" s="9"/>
      <c r="C2183" s="9"/>
      <c r="D2183" s="8"/>
      <c r="E2183" s="8"/>
      <c r="F2183" s="8" t="s">
        <v>22</v>
      </c>
      <c r="G2183" s="10" t="s">
        <v>4705</v>
      </c>
      <c r="H2183" s="8" t="s">
        <v>4706</v>
      </c>
      <c r="I2183" s="10" t="s">
        <v>4705</v>
      </c>
      <c r="J2183" s="11" t="s">
        <v>33</v>
      </c>
      <c r="K2183" s="18">
        <v>1200</v>
      </c>
      <c r="L2183" s="12">
        <f t="shared" si="187"/>
        <v>2000</v>
      </c>
      <c r="M2183" s="8">
        <v>1</v>
      </c>
      <c r="N2183" s="8" t="s">
        <v>27</v>
      </c>
      <c r="O2183" s="13"/>
      <c r="P2183" s="14">
        <v>0</v>
      </c>
      <c r="Q2183" s="15">
        <v>0.4</v>
      </c>
      <c r="R2183" s="16" t="str">
        <f t="shared" si="188"/>
        <v>KOMODO</v>
      </c>
      <c r="S2183" s="17"/>
      <c r="T2183" s="10" t="str">
        <f t="shared" si="186"/>
        <v>INSTALACIÓN DE METRO LINEAL DE TUBERÍA EMT</v>
      </c>
    </row>
    <row r="2184" spans="1:20" ht="27" customHeight="1" x14ac:dyDescent="0.25">
      <c r="A2184" s="8" t="s">
        <v>3977</v>
      </c>
      <c r="B2184" s="9"/>
      <c r="C2184" s="9"/>
      <c r="D2184" s="8"/>
      <c r="E2184" s="8"/>
      <c r="F2184" s="8" t="s">
        <v>22</v>
      </c>
      <c r="G2184" s="10" t="s">
        <v>4707</v>
      </c>
      <c r="H2184" s="8" t="s">
        <v>4708</v>
      </c>
      <c r="I2184" s="10" t="s">
        <v>4707</v>
      </c>
      <c r="J2184" s="11" t="s">
        <v>33</v>
      </c>
      <c r="K2184" s="18">
        <v>1200</v>
      </c>
      <c r="L2184" s="12">
        <f t="shared" si="187"/>
        <v>2000</v>
      </c>
      <c r="M2184" s="8">
        <v>1</v>
      </c>
      <c r="N2184" s="8" t="s">
        <v>27</v>
      </c>
      <c r="O2184" s="13"/>
      <c r="P2184" s="14">
        <v>0</v>
      </c>
      <c r="Q2184" s="15">
        <v>0.4</v>
      </c>
      <c r="R2184" s="16" t="str">
        <f t="shared" si="188"/>
        <v>KOMODO</v>
      </c>
      <c r="S2184" s="17"/>
      <c r="T2184" s="10" t="str">
        <f t="shared" si="186"/>
        <v>INSTALACIÓN DE METRO LINEAL DE CABLOFIL</v>
      </c>
    </row>
    <row r="2185" spans="1:20" ht="27" customHeight="1" x14ac:dyDescent="0.25">
      <c r="A2185" s="8" t="s">
        <v>3977</v>
      </c>
      <c r="B2185" s="9"/>
      <c r="C2185" s="9"/>
      <c r="D2185" s="8"/>
      <c r="E2185" s="8"/>
      <c r="F2185" s="8" t="s">
        <v>22</v>
      </c>
      <c r="G2185" s="10" t="s">
        <v>4709</v>
      </c>
      <c r="H2185" s="8" t="s">
        <v>4710</v>
      </c>
      <c r="I2185" s="10" t="s">
        <v>4709</v>
      </c>
      <c r="J2185" s="11" t="s">
        <v>33</v>
      </c>
      <c r="K2185" s="18">
        <v>5000</v>
      </c>
      <c r="L2185" s="12">
        <f t="shared" si="187"/>
        <v>10000</v>
      </c>
      <c r="M2185" s="8">
        <v>1</v>
      </c>
      <c r="N2185" s="8" t="s">
        <v>27</v>
      </c>
      <c r="O2185" s="13"/>
      <c r="P2185" s="14">
        <v>0</v>
      </c>
      <c r="Q2185" s="15">
        <v>0.5</v>
      </c>
      <c r="R2185" s="16" t="str">
        <f t="shared" si="188"/>
        <v>KOMODO</v>
      </c>
      <c r="S2185" s="17"/>
      <c r="T2185" s="10" t="str">
        <f t="shared" si="186"/>
        <v>INSTALACIÓN DE PLAFÓN EN SALIDA ELÉCTRICA EXISTENTE</v>
      </c>
    </row>
    <row r="2186" spans="1:20" ht="27" customHeight="1" x14ac:dyDescent="0.25">
      <c r="A2186" s="8" t="s">
        <v>3977</v>
      </c>
      <c r="B2186" s="9"/>
      <c r="C2186" s="9"/>
      <c r="D2186" s="8"/>
      <c r="E2186" s="8"/>
      <c r="F2186" s="8" t="s">
        <v>22</v>
      </c>
      <c r="G2186" s="10" t="s">
        <v>4711</v>
      </c>
      <c r="H2186" s="8" t="s">
        <v>4712</v>
      </c>
      <c r="I2186" s="10" t="s">
        <v>4713</v>
      </c>
      <c r="J2186" s="11" t="s">
        <v>33</v>
      </c>
      <c r="K2186" s="18">
        <v>10000</v>
      </c>
      <c r="L2186" s="12">
        <f t="shared" si="187"/>
        <v>20000</v>
      </c>
      <c r="M2186" s="8">
        <v>1</v>
      </c>
      <c r="N2186" s="8" t="s">
        <v>27</v>
      </c>
      <c r="O2186" s="13"/>
      <c r="P2186" s="14">
        <v>0</v>
      </c>
      <c r="Q2186" s="15">
        <v>0.5</v>
      </c>
      <c r="R2186" s="16" t="str">
        <f t="shared" si="188"/>
        <v>KOMODO</v>
      </c>
      <c r="S2186" s="17"/>
      <c r="T2186" s="10" t="str">
        <f t="shared" si="186"/>
        <v>INSTALACIÓN DE LUMINARIA HERMÉTICA SOBRE PUESTA O DESCOLGADA.</v>
      </c>
    </row>
    <row r="2187" spans="1:20" ht="27" customHeight="1" x14ac:dyDescent="0.25">
      <c r="A2187" s="8" t="s">
        <v>3977</v>
      </c>
      <c r="B2187" s="9"/>
      <c r="C2187" s="9"/>
      <c r="D2187" s="8"/>
      <c r="E2187" s="8"/>
      <c r="F2187" s="8" t="s">
        <v>22</v>
      </c>
      <c r="G2187" s="10" t="s">
        <v>4714</v>
      </c>
      <c r="H2187" s="8" t="s">
        <v>4715</v>
      </c>
      <c r="I2187" s="10" t="s">
        <v>4714</v>
      </c>
      <c r="J2187" s="11" t="s">
        <v>33</v>
      </c>
      <c r="K2187" s="18">
        <v>80000</v>
      </c>
      <c r="L2187" s="12">
        <f t="shared" si="187"/>
        <v>160000</v>
      </c>
      <c r="M2187" s="8">
        <v>1</v>
      </c>
      <c r="N2187" s="8" t="s">
        <v>27</v>
      </c>
      <c r="O2187" s="13"/>
      <c r="P2187" s="14">
        <v>0</v>
      </c>
      <c r="Q2187" s="15">
        <v>0.5</v>
      </c>
      <c r="R2187" s="16" t="str">
        <f t="shared" si="188"/>
        <v>KOMODO</v>
      </c>
      <c r="S2187" s="17"/>
      <c r="T2187" s="10" t="str">
        <f t="shared" si="186"/>
        <v>INSTALACIÓN DE LUMINARIA EN POSTE, NO INCLUYE POLLO DE SUJECIÓN U OBRA CIVIL</v>
      </c>
    </row>
    <row r="2188" spans="1:20" ht="27" customHeight="1" x14ac:dyDescent="0.25">
      <c r="A2188" s="8" t="s">
        <v>3977</v>
      </c>
      <c r="B2188" s="9"/>
      <c r="C2188" s="9"/>
      <c r="D2188" s="8"/>
      <c r="E2188" s="8"/>
      <c r="F2188" s="8" t="s">
        <v>22</v>
      </c>
      <c r="G2188" s="10" t="s">
        <v>4716</v>
      </c>
      <c r="H2188" s="8" t="s">
        <v>4717</v>
      </c>
      <c r="I2188" s="10" t="s">
        <v>4716</v>
      </c>
      <c r="J2188" s="11" t="s">
        <v>33</v>
      </c>
      <c r="K2188" s="18">
        <v>45000</v>
      </c>
      <c r="L2188" s="12">
        <f t="shared" si="187"/>
        <v>90000</v>
      </c>
      <c r="M2188" s="8">
        <v>1</v>
      </c>
      <c r="N2188" s="8" t="s">
        <v>27</v>
      </c>
      <c r="O2188" s="13"/>
      <c r="P2188" s="14">
        <v>0</v>
      </c>
      <c r="Q2188" s="15">
        <v>0.5</v>
      </c>
      <c r="R2188" s="16" t="str">
        <f t="shared" si="188"/>
        <v>KOMODO</v>
      </c>
      <c r="S2188" s="17"/>
      <c r="T2188" s="10" t="str">
        <f t="shared" si="186"/>
        <v>INSTALACIÓN DE TRACK SOBREPUESTO O DESCOLGADO, NO INCLUYE ACCESORIOS.</v>
      </c>
    </row>
    <row r="2189" spans="1:20" ht="27" customHeight="1" x14ac:dyDescent="0.25">
      <c r="A2189" s="8" t="s">
        <v>3977</v>
      </c>
      <c r="B2189" s="9"/>
      <c r="C2189" s="9"/>
      <c r="D2189" s="8"/>
      <c r="E2189" s="8"/>
      <c r="F2189" s="8" t="s">
        <v>22</v>
      </c>
      <c r="G2189" s="10" t="s">
        <v>4718</v>
      </c>
      <c r="H2189" s="8" t="s">
        <v>4719</v>
      </c>
      <c r="I2189" s="10" t="s">
        <v>4718</v>
      </c>
      <c r="J2189" s="11" t="s">
        <v>33</v>
      </c>
      <c r="K2189" s="18">
        <v>50000</v>
      </c>
      <c r="L2189" s="12">
        <f t="shared" si="187"/>
        <v>55300</v>
      </c>
      <c r="M2189" s="8">
        <v>1</v>
      </c>
      <c r="N2189" s="8" t="s">
        <v>27</v>
      </c>
      <c r="O2189" s="13"/>
      <c r="P2189" s="14">
        <v>0</v>
      </c>
      <c r="Q2189" s="15">
        <v>9.4677852142354094E-2</v>
      </c>
      <c r="R2189" s="16" t="str">
        <f t="shared" si="188"/>
        <v>KOMODO</v>
      </c>
      <c r="S2189" s="17"/>
      <c r="T2189" s="10" t="str">
        <f t="shared" si="186"/>
        <v>INSTALACIÓN Y CONFIGURACIÓN DE APPLE TV</v>
      </c>
    </row>
    <row r="2190" spans="1:20" ht="27" customHeight="1" x14ac:dyDescent="0.25">
      <c r="A2190" s="8" t="s">
        <v>3977</v>
      </c>
      <c r="B2190" s="9"/>
      <c r="C2190" s="9"/>
      <c r="D2190" s="8" t="s">
        <v>45</v>
      </c>
      <c r="E2190" s="8"/>
      <c r="F2190" s="8" t="s">
        <v>22</v>
      </c>
      <c r="G2190" s="10" t="s">
        <v>4720</v>
      </c>
      <c r="H2190" s="8" t="s">
        <v>4721</v>
      </c>
      <c r="I2190" s="10" t="s">
        <v>4720</v>
      </c>
      <c r="J2190" s="11" t="s">
        <v>33</v>
      </c>
      <c r="K2190" s="18">
        <v>425000</v>
      </c>
      <c r="L2190" s="12">
        <f t="shared" ref="L2190:L2195" si="189">ROUNDUP(K2190*(1+P2190)/(1-Q2190),0)</f>
        <v>850000</v>
      </c>
      <c r="M2190" s="8">
        <v>1</v>
      </c>
      <c r="N2190" s="8" t="s">
        <v>27</v>
      </c>
      <c r="O2190" s="13"/>
      <c r="P2190" s="14">
        <v>0.2</v>
      </c>
      <c r="Q2190" s="15">
        <v>0.4</v>
      </c>
      <c r="R2190" s="16" t="str">
        <f t="shared" si="188"/>
        <v>KOMODO</v>
      </c>
      <c r="S2190" s="17"/>
      <c r="T2190" s="10" t="str">
        <f t="shared" si="186"/>
        <v>INTEGRACIÓN DE SISTEMA MULTIROOM NUVO</v>
      </c>
    </row>
    <row r="2191" spans="1:20" ht="27" customHeight="1" x14ac:dyDescent="0.25">
      <c r="A2191" s="8" t="s">
        <v>3977</v>
      </c>
      <c r="B2191" s="9"/>
      <c r="C2191" s="9"/>
      <c r="D2191" s="8" t="s">
        <v>45</v>
      </c>
      <c r="E2191" s="8"/>
      <c r="F2191" s="8" t="s">
        <v>22</v>
      </c>
      <c r="G2191" s="10" t="s">
        <v>4722</v>
      </c>
      <c r="H2191" s="8" t="s">
        <v>4723</v>
      </c>
      <c r="I2191" s="10" t="s">
        <v>4722</v>
      </c>
      <c r="J2191" s="11" t="s">
        <v>33</v>
      </c>
      <c r="K2191" s="18">
        <v>225000</v>
      </c>
      <c r="L2191" s="12">
        <f t="shared" si="189"/>
        <v>450000</v>
      </c>
      <c r="M2191" s="8">
        <v>1</v>
      </c>
      <c r="N2191" s="8" t="s">
        <v>27</v>
      </c>
      <c r="O2191" s="13"/>
      <c r="P2191" s="14">
        <v>0.2</v>
      </c>
      <c r="Q2191" s="15">
        <v>0.4</v>
      </c>
      <c r="R2191" s="16" t="str">
        <f t="shared" si="188"/>
        <v>KOMODO</v>
      </c>
      <c r="S2191" s="17"/>
      <c r="T2191" s="10" t="str">
        <f t="shared" si="186"/>
        <v>INTEGRACIÓN Y PROGRAMACIÓN DE PROCESADOR DE AV</v>
      </c>
    </row>
    <row r="2192" spans="1:20" ht="27" customHeight="1" x14ac:dyDescent="0.25">
      <c r="A2192" s="8" t="s">
        <v>3977</v>
      </c>
      <c r="B2192" s="9"/>
      <c r="C2192" s="9"/>
      <c r="D2192" s="8" t="s">
        <v>45</v>
      </c>
      <c r="E2192" s="8"/>
      <c r="F2192" s="8" t="s">
        <v>22</v>
      </c>
      <c r="G2192" s="10" t="s">
        <v>4724</v>
      </c>
      <c r="H2192" s="8" t="s">
        <v>4725</v>
      </c>
      <c r="I2192" s="10" t="s">
        <v>4724</v>
      </c>
      <c r="J2192" s="11" t="s">
        <v>33</v>
      </c>
      <c r="K2192" s="18">
        <v>125000</v>
      </c>
      <c r="L2192" s="12">
        <f t="shared" si="189"/>
        <v>250000</v>
      </c>
      <c r="M2192" s="8">
        <v>1</v>
      </c>
      <c r="N2192" s="8" t="s">
        <v>27</v>
      </c>
      <c r="O2192" s="13"/>
      <c r="P2192" s="14">
        <v>0.2</v>
      </c>
      <c r="Q2192" s="15">
        <v>0.4</v>
      </c>
      <c r="R2192" s="16" t="str">
        <f t="shared" si="188"/>
        <v>KOMODO</v>
      </c>
      <c r="S2192" s="17"/>
      <c r="T2192" s="10" t="str">
        <f t="shared" si="186"/>
        <v>PROGRAMACIÓN E INTEGRACIÓN DE EQUIPOS MEDIANTE IR</v>
      </c>
    </row>
    <row r="2193" spans="1:20" ht="27" customHeight="1" x14ac:dyDescent="0.25">
      <c r="A2193" s="8" t="s">
        <v>3977</v>
      </c>
      <c r="B2193" s="9"/>
      <c r="C2193" s="9"/>
      <c r="D2193" s="8" t="s">
        <v>45</v>
      </c>
      <c r="E2193" s="8"/>
      <c r="F2193" s="8" t="s">
        <v>22</v>
      </c>
      <c r="G2193" s="10" t="s">
        <v>4726</v>
      </c>
      <c r="H2193" s="8" t="s">
        <v>4727</v>
      </c>
      <c r="I2193" s="10" t="s">
        <v>4728</v>
      </c>
      <c r="J2193" s="11" t="s">
        <v>33</v>
      </c>
      <c r="K2193" s="18">
        <v>550000</v>
      </c>
      <c r="L2193" s="12">
        <f t="shared" si="189"/>
        <v>1071429</v>
      </c>
      <c r="M2193" s="8">
        <v>1</v>
      </c>
      <c r="N2193" s="8" t="s">
        <v>27</v>
      </c>
      <c r="O2193" s="13"/>
      <c r="P2193" s="14">
        <v>0.2</v>
      </c>
      <c r="Q2193" s="15">
        <v>0.38400000000000001</v>
      </c>
      <c r="R2193" s="16" t="str">
        <f t="shared" si="188"/>
        <v>KOMODO</v>
      </c>
      <c r="S2193" s="17"/>
      <c r="T2193" s="10" t="str">
        <f t="shared" si="186"/>
        <v>DISENO DE ESTÁNDAR DE CONTROL DE ILUMINACION.</v>
      </c>
    </row>
    <row r="2194" spans="1:20" ht="27" customHeight="1" x14ac:dyDescent="0.25">
      <c r="A2194" s="8" t="s">
        <v>3977</v>
      </c>
      <c r="B2194" s="9"/>
      <c r="C2194" s="9"/>
      <c r="D2194" s="8" t="s">
        <v>45</v>
      </c>
      <c r="E2194" s="8"/>
      <c r="F2194" s="8" t="s">
        <v>22</v>
      </c>
      <c r="G2194" s="10" t="s">
        <v>4729</v>
      </c>
      <c r="H2194" s="8" t="s">
        <v>4730</v>
      </c>
      <c r="I2194" s="10" t="s">
        <v>4729</v>
      </c>
      <c r="J2194" s="11" t="s">
        <v>33</v>
      </c>
      <c r="K2194" s="18">
        <v>10000</v>
      </c>
      <c r="L2194" s="12">
        <f t="shared" si="189"/>
        <v>19481</v>
      </c>
      <c r="M2194" s="8">
        <v>1</v>
      </c>
      <c r="N2194" s="8" t="s">
        <v>27</v>
      </c>
      <c r="O2194" s="13"/>
      <c r="P2194" s="14">
        <v>0.2</v>
      </c>
      <c r="Q2194" s="15">
        <v>0.38400000000000001</v>
      </c>
      <c r="R2194" s="16" t="str">
        <f t="shared" si="188"/>
        <v>KOMODO</v>
      </c>
      <c r="S2194" s="17"/>
      <c r="T2194" s="10" t="str">
        <f t="shared" si="186"/>
        <v>DESMONTE DE LUMINARIA Y RECOLECCIÓN EN PUNTO FIJO DENTRO DE LA MISMA EDIFICACIÓN</v>
      </c>
    </row>
    <row r="2195" spans="1:20" ht="27" customHeight="1" x14ac:dyDescent="0.25">
      <c r="A2195" s="8" t="s">
        <v>3977</v>
      </c>
      <c r="B2195" s="9"/>
      <c r="C2195" s="9"/>
      <c r="D2195" s="8" t="s">
        <v>45</v>
      </c>
      <c r="E2195" s="8"/>
      <c r="F2195" s="8" t="s">
        <v>22</v>
      </c>
      <c r="G2195" s="10" t="s">
        <v>4731</v>
      </c>
      <c r="H2195" s="8" t="s">
        <v>4732</v>
      </c>
      <c r="I2195" s="10" t="s">
        <v>4733</v>
      </c>
      <c r="J2195" s="11" t="s">
        <v>33</v>
      </c>
      <c r="K2195" s="18">
        <v>220000</v>
      </c>
      <c r="L2195" s="12">
        <f t="shared" si="189"/>
        <v>428572</v>
      </c>
      <c r="M2195" s="8">
        <v>1</v>
      </c>
      <c r="N2195" s="8" t="s">
        <v>27</v>
      </c>
      <c r="O2195" s="13"/>
      <c r="P2195" s="14">
        <v>0.2</v>
      </c>
      <c r="Q2195" s="15">
        <v>0.38400000000000001</v>
      </c>
      <c r="R2195" s="16" t="str">
        <f t="shared" si="188"/>
        <v>KOMODO</v>
      </c>
      <c r="S2195" s="17"/>
      <c r="T2195" s="10" t="str">
        <f t="shared" si="186"/>
        <v>RECOLECCIÓN CON CAMIÓN MEDIANO PARA UNA CARGA DE MATERIAL CON DISPOSICIÓN FINAL.</v>
      </c>
    </row>
    <row r="2196" spans="1:20" ht="27" customHeight="1" x14ac:dyDescent="0.25">
      <c r="A2196" s="8" t="s">
        <v>3977</v>
      </c>
      <c r="B2196" s="9"/>
      <c r="C2196" s="9"/>
      <c r="D2196" s="8" t="s">
        <v>45</v>
      </c>
      <c r="E2196" s="8"/>
      <c r="F2196" s="8" t="s">
        <v>22</v>
      </c>
      <c r="G2196" s="10" t="s">
        <v>4734</v>
      </c>
      <c r="H2196" s="8" t="s">
        <v>4735</v>
      </c>
      <c r="I2196" s="10" t="s">
        <v>4736</v>
      </c>
      <c r="J2196" s="11" t="s">
        <v>33</v>
      </c>
      <c r="K2196" s="18">
        <v>50000</v>
      </c>
      <c r="L2196" s="12">
        <f>IF(J2196="P",ROUNDUP(K2196/(1-Q2196),-2),K2196*(1+P2196)/(1-Q2196))</f>
        <v>83400</v>
      </c>
      <c r="M2196" s="8">
        <v>1</v>
      </c>
      <c r="N2196" s="8" t="s">
        <v>27</v>
      </c>
      <c r="O2196" s="13"/>
      <c r="P2196" s="14">
        <v>0</v>
      </c>
      <c r="Q2196" s="15">
        <v>0.4</v>
      </c>
      <c r="R2196" s="16" t="str">
        <f t="shared" si="188"/>
        <v>KOMODO</v>
      </c>
      <c r="S2196" s="17"/>
      <c r="T2196" s="10" t="str">
        <f t="shared" si="186"/>
        <v>MANTENIMIENTO DE CHANDELIER, CONSISTE EN LIMPIEZA TRAPO HÚMEDO SECO DE CADA ELEMENTO.</v>
      </c>
    </row>
    <row r="2197" spans="1:20" ht="27" customHeight="1" x14ac:dyDescent="0.25">
      <c r="A2197" s="8" t="s">
        <v>3977</v>
      </c>
      <c r="B2197" s="9"/>
      <c r="C2197" s="9"/>
      <c r="D2197" s="8" t="s">
        <v>45</v>
      </c>
      <c r="E2197" s="8"/>
      <c r="F2197" s="8" t="s">
        <v>22</v>
      </c>
      <c r="G2197" s="10" t="s">
        <v>4737</v>
      </c>
      <c r="H2197" s="8" t="s">
        <v>4738</v>
      </c>
      <c r="I2197" s="10" t="s">
        <v>4739</v>
      </c>
      <c r="J2197" s="11" t="s">
        <v>33</v>
      </c>
      <c r="K2197" s="18">
        <v>35000</v>
      </c>
      <c r="L2197" s="12">
        <f>IF(J2197="P",ROUNDUP(K2197/(1-Q2197),-2),K2197*(1+P2197)/(1-Q2197))</f>
        <v>58400</v>
      </c>
      <c r="M2197" s="8">
        <v>1</v>
      </c>
      <c r="N2197" s="8" t="s">
        <v>27</v>
      </c>
      <c r="O2197" s="13"/>
      <c r="P2197" s="14">
        <v>0</v>
      </c>
      <c r="Q2197" s="15">
        <v>0.4</v>
      </c>
      <c r="R2197" s="16" t="str">
        <f t="shared" si="188"/>
        <v>KOMODO</v>
      </c>
      <c r="S2197" s="17"/>
      <c r="T2197" s="10" t="str">
        <f t="shared" si="186"/>
        <v>MANTENIMIENTO DE LUMINARIA DECORATIVA DESCOLGADA</v>
      </c>
    </row>
    <row r="2198" spans="1:20" ht="27" customHeight="1" x14ac:dyDescent="0.25">
      <c r="A2198" s="8" t="s">
        <v>3977</v>
      </c>
      <c r="B2198" s="9"/>
      <c r="C2198" s="9"/>
      <c r="D2198" s="8" t="s">
        <v>45</v>
      </c>
      <c r="E2198" s="8"/>
      <c r="F2198" s="8" t="s">
        <v>22</v>
      </c>
      <c r="G2198" s="10" t="s">
        <v>4740</v>
      </c>
      <c r="H2198" s="8" t="s">
        <v>4741</v>
      </c>
      <c r="I2198" s="10" t="s">
        <v>4740</v>
      </c>
      <c r="J2198" s="11" t="s">
        <v>33</v>
      </c>
      <c r="K2198" s="18">
        <v>1200</v>
      </c>
      <c r="L2198" s="12">
        <f>IF(J2198="P",ROUNDUP(K2198/(1-Q2198),-2),K2198*(1+P2198)/(1-Q2198))</f>
        <v>2400</v>
      </c>
      <c r="M2198" s="8">
        <v>1</v>
      </c>
      <c r="N2198" s="8" t="s">
        <v>27</v>
      </c>
      <c r="O2198" s="13"/>
      <c r="P2198" s="14">
        <v>0</v>
      </c>
      <c r="Q2198" s="15">
        <v>0.5</v>
      </c>
      <c r="R2198" s="16" t="str">
        <f t="shared" si="188"/>
        <v>KOMODO</v>
      </c>
      <c r="S2198" s="17"/>
      <c r="T2198" s="10" t="str">
        <f t="shared" si="186"/>
        <v>INSTALACIÓN DE POTENCIÓMETRO EN LAMPARA</v>
      </c>
    </row>
    <row r="2199" spans="1:20" ht="27" customHeight="1" x14ac:dyDescent="0.25">
      <c r="A2199" s="8" t="s">
        <v>3977</v>
      </c>
      <c r="B2199" s="9"/>
      <c r="C2199" s="9"/>
      <c r="D2199" s="8" t="s">
        <v>45</v>
      </c>
      <c r="E2199" s="8"/>
      <c r="F2199" s="8" t="s">
        <v>22</v>
      </c>
      <c r="G2199" s="10" t="s">
        <v>4742</v>
      </c>
      <c r="H2199" s="8" t="s">
        <v>4743</v>
      </c>
      <c r="I2199" s="10" t="s">
        <v>4742</v>
      </c>
      <c r="J2199" s="11" t="s">
        <v>33</v>
      </c>
      <c r="K2199" s="18">
        <v>5000</v>
      </c>
      <c r="L2199" s="12">
        <f>ROUNDUP(K2199*(1+P2199)/(1-Q2199),0)</f>
        <v>7143</v>
      </c>
      <c r="M2199" s="8">
        <v>1</v>
      </c>
      <c r="N2199" s="8" t="s">
        <v>27</v>
      </c>
      <c r="O2199" s="13"/>
      <c r="P2199" s="14">
        <v>0</v>
      </c>
      <c r="Q2199" s="15">
        <v>0.3</v>
      </c>
      <c r="R2199" s="16" t="str">
        <f t="shared" si="188"/>
        <v>KOMODO</v>
      </c>
      <c r="S2199" s="17"/>
      <c r="T2199" s="10" t="str">
        <f t="shared" si="186"/>
        <v>REEMPLAZO DE CHIP LED</v>
      </c>
    </row>
    <row r="2200" spans="1:20" ht="27" customHeight="1" x14ac:dyDescent="0.25">
      <c r="A2200" s="8" t="s">
        <v>3977</v>
      </c>
      <c r="B2200" s="9"/>
      <c r="C2200" s="9"/>
      <c r="D2200" s="8" t="s">
        <v>45</v>
      </c>
      <c r="E2200" s="8"/>
      <c r="F2200" s="8" t="s">
        <v>22</v>
      </c>
      <c r="G2200" s="10" t="s">
        <v>4744</v>
      </c>
      <c r="H2200" s="8" t="s">
        <v>4745</v>
      </c>
      <c r="I2200" s="10" t="s">
        <v>4744</v>
      </c>
      <c r="J2200" s="11" t="s">
        <v>33</v>
      </c>
      <c r="K2200" s="18">
        <v>8000</v>
      </c>
      <c r="L2200" s="12">
        <f>IF(J2200="P",ROUNDUP(K2200/(1-Q2200),-2),K2200*(1+P2200)/(1-Q2200))</f>
        <v>10700</v>
      </c>
      <c r="M2200" s="8">
        <v>1</v>
      </c>
      <c r="N2200" s="8" t="s">
        <v>27</v>
      </c>
      <c r="O2200" s="13"/>
      <c r="P2200" s="14">
        <v>0</v>
      </c>
      <c r="Q2200" s="15">
        <v>0.25</v>
      </c>
      <c r="R2200" s="16" t="str">
        <f t="shared" si="188"/>
        <v>KOMODO</v>
      </c>
      <c r="S2200" s="17"/>
      <c r="T2200" s="10" t="str">
        <f t="shared" si="186"/>
        <v>INSTALACIÓN DE TOMA ELÉCTRICA, VOZ O TELÉFONO. NO INCLUYE MATERIALES.</v>
      </c>
    </row>
    <row r="2201" spans="1:20" ht="27" customHeight="1" x14ac:dyDescent="0.25">
      <c r="A2201" s="8" t="s">
        <v>3977</v>
      </c>
      <c r="B2201" s="9"/>
      <c r="C2201" s="9"/>
      <c r="D2201" s="8" t="s">
        <v>45</v>
      </c>
      <c r="E2201" s="8"/>
      <c r="F2201" s="8" t="s">
        <v>22</v>
      </c>
      <c r="G2201" s="10" t="s">
        <v>4746</v>
      </c>
      <c r="H2201" s="8" t="s">
        <v>4747</v>
      </c>
      <c r="I2201" s="10" t="s">
        <v>4748</v>
      </c>
      <c r="J2201" s="11" t="s">
        <v>33</v>
      </c>
      <c r="K2201" s="18">
        <v>1800000</v>
      </c>
      <c r="L2201" s="12">
        <f>IF(J2201="P",ROUNDUP(K2201/(1-Q2201),-2),K2201*(1+P2201)/(1-Q2201))</f>
        <v>2571500</v>
      </c>
      <c r="M2201" s="8">
        <v>1</v>
      </c>
      <c r="N2201" s="8" t="s">
        <v>27</v>
      </c>
      <c r="O2201" s="13"/>
      <c r="P2201" s="14">
        <v>0</v>
      </c>
      <c r="Q2201" s="15">
        <v>0.3</v>
      </c>
      <c r="R2201" s="16" t="str">
        <f t="shared" si="188"/>
        <v>KOMODO</v>
      </c>
      <c r="S2201" s="17"/>
      <c r="T2201" s="10" t="str">
        <f t="shared" si="186"/>
        <v>MATRIZ HDMI DE 4 ENTRADAS CON 4 SALIDAS, RESOLUCIÓN 4K.</v>
      </c>
    </row>
    <row r="2202" spans="1:20" ht="27" customHeight="1" x14ac:dyDescent="0.25">
      <c r="A2202" s="8" t="s">
        <v>3977</v>
      </c>
      <c r="B2202" s="9"/>
      <c r="C2202" s="9"/>
      <c r="D2202" s="8" t="s">
        <v>45</v>
      </c>
      <c r="E2202" s="8"/>
      <c r="F2202" s="8" t="s">
        <v>22</v>
      </c>
      <c r="G2202" s="10" t="s">
        <v>4749</v>
      </c>
      <c r="H2202" s="8" t="s">
        <v>4750</v>
      </c>
      <c r="I2202" s="10" t="s">
        <v>4749</v>
      </c>
      <c r="J2202" s="11" t="s">
        <v>33</v>
      </c>
      <c r="K2202" s="18"/>
      <c r="L2202" s="12"/>
      <c r="M2202" s="8">
        <v>1</v>
      </c>
      <c r="N2202" s="8"/>
      <c r="O2202" s="13"/>
      <c r="P2202" s="14"/>
      <c r="Q2202" s="15"/>
      <c r="R2202" s="16" t="str">
        <f t="shared" si="188"/>
        <v>KOMODO</v>
      </c>
      <c r="S2202" s="17"/>
      <c r="T2202" s="10" t="str">
        <f t="shared" si="186"/>
        <v>INSTALACIÓN DE TRANSFORMADOR</v>
      </c>
    </row>
    <row r="2203" spans="1:20" ht="27" customHeight="1" x14ac:dyDescent="0.25">
      <c r="A2203" s="8" t="s">
        <v>3977</v>
      </c>
      <c r="B2203" s="9"/>
      <c r="C2203" s="9"/>
      <c r="D2203" s="8" t="s">
        <v>45</v>
      </c>
      <c r="E2203" s="8"/>
      <c r="F2203" s="8" t="s">
        <v>22</v>
      </c>
      <c r="G2203" s="10" t="s">
        <v>4751</v>
      </c>
      <c r="H2203" s="8" t="s">
        <v>4123</v>
      </c>
      <c r="I2203" s="10" t="s">
        <v>4751</v>
      </c>
      <c r="J2203" s="11" t="s">
        <v>33</v>
      </c>
      <c r="K2203" s="18"/>
      <c r="L2203" s="12"/>
      <c r="M2203" s="8">
        <v>1</v>
      </c>
      <c r="N2203" s="8"/>
      <c r="O2203" s="13"/>
      <c r="P2203" s="14"/>
      <c r="Q2203" s="15"/>
      <c r="R2203" s="16" t="str">
        <f t="shared" si="188"/>
        <v>KOMODO</v>
      </c>
      <c r="S2203" s="17"/>
      <c r="T2203" s="10" t="str">
        <f t="shared" si="186"/>
        <v>INSTALACIÓN DE CONTADOR EN MURO EXISTENTE</v>
      </c>
    </row>
    <row r="2204" spans="1:20" ht="27" customHeight="1" x14ac:dyDescent="0.25">
      <c r="A2204" s="8" t="s">
        <v>3977</v>
      </c>
      <c r="B2204" s="9"/>
      <c r="C2204" s="9"/>
      <c r="D2204" s="8" t="s">
        <v>45</v>
      </c>
      <c r="E2204" s="8"/>
      <c r="F2204" s="8" t="s">
        <v>22</v>
      </c>
      <c r="G2204" s="10" t="s">
        <v>4752</v>
      </c>
      <c r="H2204" s="8" t="s">
        <v>4753</v>
      </c>
      <c r="I2204" s="10" t="s">
        <v>4752</v>
      </c>
      <c r="J2204" s="11" t="s">
        <v>33</v>
      </c>
      <c r="K2204" s="18">
        <v>15000</v>
      </c>
      <c r="L2204" s="12">
        <f t="shared" ref="L2204:L2213" si="190">IF(J2204="P",ROUNDUP(K2204/(1-Q2204),-2),K2204*(1+P2204)/(1-Q2204))</f>
        <v>25000</v>
      </c>
      <c r="M2204" s="8">
        <v>1</v>
      </c>
      <c r="N2204" s="8" t="s">
        <v>27</v>
      </c>
      <c r="O2204" s="13"/>
      <c r="P2204" s="14">
        <v>0</v>
      </c>
      <c r="Q2204" s="15">
        <v>0.4</v>
      </c>
      <c r="R2204" s="16" t="str">
        <f t="shared" si="188"/>
        <v>KOMODO</v>
      </c>
      <c r="S2204" s="17"/>
      <c r="T2204" s="10" t="str">
        <f t="shared" si="186"/>
        <v>PONCHADO DE PUNTO DE RED SOBRE CABLEADO EXISTENTE.</v>
      </c>
    </row>
    <row r="2205" spans="1:20" ht="27" customHeight="1" x14ac:dyDescent="0.25">
      <c r="A2205" s="8" t="s">
        <v>3977</v>
      </c>
      <c r="B2205" s="9"/>
      <c r="C2205" s="9"/>
      <c r="D2205" s="8" t="s">
        <v>45</v>
      </c>
      <c r="E2205" s="8"/>
      <c r="F2205" s="8" t="s">
        <v>22</v>
      </c>
      <c r="G2205" s="10" t="s">
        <v>4754</v>
      </c>
      <c r="H2205" s="8" t="s">
        <v>4755</v>
      </c>
      <c r="I2205" s="10" t="s">
        <v>4754</v>
      </c>
      <c r="J2205" s="11" t="s">
        <v>33</v>
      </c>
      <c r="K2205" s="18">
        <v>69135</v>
      </c>
      <c r="L2205" s="12">
        <f t="shared" si="190"/>
        <v>115300</v>
      </c>
      <c r="M2205" s="8">
        <v>1</v>
      </c>
      <c r="N2205" s="8" t="s">
        <v>27</v>
      </c>
      <c r="O2205" s="13"/>
      <c r="P2205" s="14">
        <v>0</v>
      </c>
      <c r="Q2205" s="15">
        <v>0.4</v>
      </c>
      <c r="R2205" s="16" t="str">
        <f t="shared" si="188"/>
        <v>KOMODO</v>
      </c>
      <c r="S2205" s="17"/>
      <c r="T2205" s="10" t="str">
        <f t="shared" si="186"/>
        <v>LUMINARIA LED HERMÉTICA DIMERIZABLE 0-10V, 4000K, 4.400Lm.</v>
      </c>
    </row>
    <row r="2206" spans="1:20" ht="27" customHeight="1" x14ac:dyDescent="0.25">
      <c r="A2206" s="8" t="s">
        <v>3977</v>
      </c>
      <c r="B2206" s="9"/>
      <c r="C2206" s="9"/>
      <c r="D2206" s="8" t="s">
        <v>45</v>
      </c>
      <c r="E2206" s="8"/>
      <c r="F2206" s="8" t="s">
        <v>22</v>
      </c>
      <c r="G2206" s="10" t="s">
        <v>4756</v>
      </c>
      <c r="H2206" s="8" t="s">
        <v>4757</v>
      </c>
      <c r="I2206" s="10" t="s">
        <v>4756</v>
      </c>
      <c r="J2206" s="11" t="s">
        <v>33</v>
      </c>
      <c r="K2206" s="18">
        <v>550000</v>
      </c>
      <c r="L2206" s="12">
        <f t="shared" si="190"/>
        <v>687500</v>
      </c>
      <c r="M2206" s="8">
        <v>1</v>
      </c>
      <c r="N2206" s="8" t="s">
        <v>27</v>
      </c>
      <c r="O2206" s="13"/>
      <c r="P2206" s="14">
        <v>0.2</v>
      </c>
      <c r="Q2206" s="15">
        <v>0.2</v>
      </c>
      <c r="R2206" s="16" t="str">
        <f t="shared" si="188"/>
        <v>KOMODO</v>
      </c>
      <c r="S2206" s="17"/>
      <c r="T2206" s="10" t="str">
        <f t="shared" si="186"/>
        <v>INSTALACIÓN DE SENSOR TIPO EMBOLO DE CONTACTO SECO</v>
      </c>
    </row>
    <row r="2207" spans="1:20" ht="27" customHeight="1" x14ac:dyDescent="0.25">
      <c r="A2207" s="8" t="s">
        <v>3977</v>
      </c>
      <c r="B2207" s="9"/>
      <c r="C2207" s="9"/>
      <c r="D2207" s="8" t="s">
        <v>45</v>
      </c>
      <c r="E2207" s="8"/>
      <c r="F2207" s="8" t="s">
        <v>22</v>
      </c>
      <c r="G2207" s="10" t="s">
        <v>4758</v>
      </c>
      <c r="H2207" s="8" t="s">
        <v>4759</v>
      </c>
      <c r="I2207" s="10" t="s">
        <v>4760</v>
      </c>
      <c r="J2207" s="11" t="s">
        <v>26</v>
      </c>
      <c r="K2207" s="18">
        <v>143</v>
      </c>
      <c r="L2207" s="12">
        <f t="shared" si="190"/>
        <v>286</v>
      </c>
      <c r="M2207" s="8">
        <v>1</v>
      </c>
      <c r="N2207" s="8" t="s">
        <v>27</v>
      </c>
      <c r="O2207" s="13"/>
      <c r="P2207" s="14">
        <v>0.2</v>
      </c>
      <c r="Q2207" s="15">
        <v>0.4</v>
      </c>
      <c r="R2207" s="16" t="str">
        <f t="shared" si="188"/>
        <v>KOMODO</v>
      </c>
      <c r="S2207" s="17"/>
      <c r="T2207" s="10" t="str">
        <f t="shared" si="186"/>
        <v>ALTAVOZ DE 8" A LÍNEA DE 70V.</v>
      </c>
    </row>
    <row r="2208" spans="1:20" ht="27" customHeight="1" x14ac:dyDescent="0.25">
      <c r="A2208" s="8" t="s">
        <v>3977</v>
      </c>
      <c r="B2208" s="9"/>
      <c r="C2208" s="9"/>
      <c r="D2208" s="8" t="s">
        <v>45</v>
      </c>
      <c r="E2208" s="8"/>
      <c r="F2208" s="8" t="s">
        <v>22</v>
      </c>
      <c r="G2208" s="10" t="s">
        <v>4761</v>
      </c>
      <c r="H2208" s="8" t="s">
        <v>4762</v>
      </c>
      <c r="I2208" s="10" t="s">
        <v>4761</v>
      </c>
      <c r="J2208" s="11" t="s">
        <v>33</v>
      </c>
      <c r="K2208" s="18">
        <v>75000</v>
      </c>
      <c r="L2208" s="12">
        <f t="shared" si="190"/>
        <v>107200</v>
      </c>
      <c r="M2208" s="8">
        <v>1</v>
      </c>
      <c r="N2208" s="8" t="s">
        <v>27</v>
      </c>
      <c r="O2208" s="13"/>
      <c r="P2208" s="14">
        <v>0</v>
      </c>
      <c r="Q2208" s="15">
        <v>0.3</v>
      </c>
      <c r="R2208" s="16" t="str">
        <f t="shared" si="188"/>
        <v>KOMODO</v>
      </c>
      <c r="S2208" s="17"/>
      <c r="T2208" s="10" t="str">
        <f t="shared" si="186"/>
        <v>INSTALACIÓN DE LUMINARIA DECORATIVA GRANDE DESCOLGADA</v>
      </c>
    </row>
    <row r="2209" spans="1:20" ht="27" customHeight="1" x14ac:dyDescent="0.25">
      <c r="A2209" s="8" t="s">
        <v>3977</v>
      </c>
      <c r="B2209" s="9"/>
      <c r="C2209" s="9"/>
      <c r="D2209" s="8" t="s">
        <v>45</v>
      </c>
      <c r="E2209" s="8"/>
      <c r="F2209" s="8" t="s">
        <v>22</v>
      </c>
      <c r="G2209" s="10" t="s">
        <v>4763</v>
      </c>
      <c r="H2209" s="8" t="s">
        <v>4764</v>
      </c>
      <c r="I2209" s="10" t="s">
        <v>4765</v>
      </c>
      <c r="J2209" s="11" t="s">
        <v>33</v>
      </c>
      <c r="K2209" s="18">
        <v>250000</v>
      </c>
      <c r="L2209" s="12">
        <f t="shared" si="190"/>
        <v>357200</v>
      </c>
      <c r="M2209" s="8">
        <v>1</v>
      </c>
      <c r="N2209" s="8" t="s">
        <v>27</v>
      </c>
      <c r="O2209" s="13"/>
      <c r="P2209" s="14">
        <v>0</v>
      </c>
      <c r="Q2209" s="15">
        <v>0.3</v>
      </c>
      <c r="R2209" s="16" t="str">
        <f t="shared" si="188"/>
        <v>KOMODO</v>
      </c>
      <c r="S2209" s="17"/>
      <c r="T2209" s="10" t="str">
        <f t="shared" si="186"/>
        <v>INSTALACIÓN DE LUMINARIA TIPO SUPERNOVA.</v>
      </c>
    </row>
    <row r="2210" spans="1:20" ht="27" customHeight="1" x14ac:dyDescent="0.25">
      <c r="A2210" s="8" t="s">
        <v>3977</v>
      </c>
      <c r="B2210" s="9"/>
      <c r="C2210" s="9"/>
      <c r="D2210" s="8" t="s">
        <v>45</v>
      </c>
      <c r="E2210" s="8"/>
      <c r="F2210" s="8" t="s">
        <v>22</v>
      </c>
      <c r="G2210" s="10" t="s">
        <v>4766</v>
      </c>
      <c r="H2210" s="8" t="s">
        <v>4767</v>
      </c>
      <c r="I2210" s="10" t="s">
        <v>4766</v>
      </c>
      <c r="J2210" s="11" t="s">
        <v>33</v>
      </c>
      <c r="K2210" s="18">
        <v>750000</v>
      </c>
      <c r="L2210" s="12">
        <f t="shared" si="190"/>
        <v>1041700</v>
      </c>
      <c r="M2210" s="8">
        <v>1</v>
      </c>
      <c r="N2210" s="8" t="s">
        <v>27</v>
      </c>
      <c r="O2210" s="13"/>
      <c r="P2210" s="14">
        <v>0</v>
      </c>
      <c r="Q2210" s="15">
        <v>0.28000000731268332</v>
      </c>
      <c r="R2210" s="16" t="str">
        <f t="shared" si="188"/>
        <v>KOMODO</v>
      </c>
      <c r="S2210" s="17"/>
      <c r="T2210" s="10" t="str">
        <f t="shared" si="186"/>
        <v>INSTALACIÓN DE PANEL XPS DE 24 CIRCUITOS EN INFRA ESTRUCTURA ELÉCTRICA EXISTE</v>
      </c>
    </row>
    <row r="2211" spans="1:20" ht="27" customHeight="1" x14ac:dyDescent="0.25">
      <c r="A2211" s="8" t="s">
        <v>3977</v>
      </c>
      <c r="B2211" s="9"/>
      <c r="C2211" s="9"/>
      <c r="D2211" s="8" t="s">
        <v>45</v>
      </c>
      <c r="E2211" s="8"/>
      <c r="F2211" s="8" t="s">
        <v>22</v>
      </c>
      <c r="G2211" s="10" t="s">
        <v>4766</v>
      </c>
      <c r="H2211" s="8" t="s">
        <v>4768</v>
      </c>
      <c r="I2211" s="10" t="s">
        <v>4766</v>
      </c>
      <c r="J2211" s="11" t="s">
        <v>33</v>
      </c>
      <c r="K2211" s="18">
        <v>750000</v>
      </c>
      <c r="L2211" s="12">
        <f t="shared" si="190"/>
        <v>1041700</v>
      </c>
      <c r="M2211" s="8">
        <v>1</v>
      </c>
      <c r="N2211" s="8" t="s">
        <v>27</v>
      </c>
      <c r="O2211" s="13"/>
      <c r="P2211" s="14">
        <v>0</v>
      </c>
      <c r="Q2211" s="15">
        <v>0.28000000731268332</v>
      </c>
      <c r="R2211" s="16" t="str">
        <f t="shared" si="188"/>
        <v>KOMODO</v>
      </c>
      <c r="S2211" s="17"/>
      <c r="T2211" s="10" t="str">
        <f t="shared" si="186"/>
        <v>INSTALACIÓN DE PANEL XPS DE 24 CIRCUITOS EN INFRA ESTRUCTURA ELÉCTRICA EXISTE</v>
      </c>
    </row>
    <row r="2212" spans="1:20" ht="27" customHeight="1" x14ac:dyDescent="0.25">
      <c r="A2212" s="8" t="s">
        <v>3977</v>
      </c>
      <c r="B2212" s="9"/>
      <c r="C2212" s="9"/>
      <c r="D2212" s="8" t="s">
        <v>45</v>
      </c>
      <c r="E2212" s="8"/>
      <c r="F2212" s="8" t="s">
        <v>22</v>
      </c>
      <c r="G2212" s="10" t="s">
        <v>4769</v>
      </c>
      <c r="H2212" s="8" t="s">
        <v>4770</v>
      </c>
      <c r="I2212" s="10" t="s">
        <v>4769</v>
      </c>
      <c r="J2212" s="11" t="s">
        <v>33</v>
      </c>
      <c r="K2212" s="18">
        <v>10500</v>
      </c>
      <c r="L2212" s="12">
        <f t="shared" si="190"/>
        <v>17500</v>
      </c>
      <c r="M2212" s="8">
        <v>1</v>
      </c>
      <c r="N2212" s="8" t="s">
        <v>27</v>
      </c>
      <c r="O2212" s="13"/>
      <c r="P2212" s="14">
        <v>0</v>
      </c>
      <c r="Q2212" s="15">
        <v>0.4</v>
      </c>
      <c r="R2212" s="16" t="str">
        <f t="shared" si="188"/>
        <v>KOMODO</v>
      </c>
      <c r="S2212" s="17"/>
      <c r="T2212" s="10" t="str">
        <f t="shared" si="186"/>
        <v>REVISIÓN E INSTALACIÓN DE INTERRUPTOR</v>
      </c>
    </row>
    <row r="2213" spans="1:20" ht="27" customHeight="1" x14ac:dyDescent="0.25">
      <c r="A2213" s="8" t="s">
        <v>3977</v>
      </c>
      <c r="B2213" s="9"/>
      <c r="C2213" s="9"/>
      <c r="D2213" s="8" t="s">
        <v>45</v>
      </c>
      <c r="E2213" s="8"/>
      <c r="F2213" s="8" t="s">
        <v>22</v>
      </c>
      <c r="G2213" s="10" t="s">
        <v>4771</v>
      </c>
      <c r="H2213" s="8" t="s">
        <v>4772</v>
      </c>
      <c r="I2213" s="10" t="s">
        <v>4771</v>
      </c>
      <c r="J2213" s="11" t="s">
        <v>33</v>
      </c>
      <c r="K2213" s="18">
        <v>85000</v>
      </c>
      <c r="L2213" s="12">
        <f t="shared" si="190"/>
        <v>141700</v>
      </c>
      <c r="M2213" s="8">
        <v>1</v>
      </c>
      <c r="N2213" s="8" t="s">
        <v>27</v>
      </c>
      <c r="O2213" s="13"/>
      <c r="P2213" s="14">
        <v>0</v>
      </c>
      <c r="Q2213" s="15">
        <v>0.4</v>
      </c>
      <c r="R2213" s="16" t="str">
        <f t="shared" si="188"/>
        <v>KOMODO</v>
      </c>
      <c r="S2213" s="17"/>
      <c r="T2213" s="10" t="str">
        <f t="shared" si="186"/>
        <v>DIA DE TÉCNICO PARA REVISIÓN DE CONEXIONES ELÉCTRICAS</v>
      </c>
    </row>
    <row r="2214" spans="1:20" ht="27" customHeight="1" x14ac:dyDescent="0.25">
      <c r="A2214" s="8" t="s">
        <v>3977</v>
      </c>
      <c r="B2214" s="9"/>
      <c r="C2214" s="9"/>
      <c r="D2214" s="8" t="s">
        <v>45</v>
      </c>
      <c r="E2214" s="8"/>
      <c r="F2214" s="8" t="s">
        <v>22</v>
      </c>
      <c r="G2214" s="10" t="s">
        <v>4773</v>
      </c>
      <c r="H2214" s="8" t="s">
        <v>4774</v>
      </c>
      <c r="I2214" s="10" t="s">
        <v>4775</v>
      </c>
      <c r="J2214" s="11" t="s">
        <v>33</v>
      </c>
      <c r="K2214" s="18">
        <v>470000</v>
      </c>
      <c r="L2214" s="12">
        <f t="shared" ref="L2214:L2221" si="191">ROUNDUP(K2214*(1+P2214)/(1-Q2214),0)</f>
        <v>940000</v>
      </c>
      <c r="M2214" s="8">
        <v>1</v>
      </c>
      <c r="N2214" s="8" t="s">
        <v>27</v>
      </c>
      <c r="O2214" s="13"/>
      <c r="P2214" s="14">
        <v>0</v>
      </c>
      <c r="Q2214" s="15">
        <v>0.5</v>
      </c>
      <c r="R2214" s="16" t="str">
        <f t="shared" si="188"/>
        <v>KOMODO</v>
      </c>
      <c r="S2214" s="17"/>
      <c r="T2214" s="10" t="str">
        <f t="shared" si="186"/>
        <v>SOFTWARE A MEDIDA PARA REGISTRO DE INGRESOS.</v>
      </c>
    </row>
    <row r="2215" spans="1:20" ht="27" customHeight="1" x14ac:dyDescent="0.25">
      <c r="A2215" s="8" t="s">
        <v>3977</v>
      </c>
      <c r="B2215" s="9"/>
      <c r="C2215" s="9"/>
      <c r="D2215" s="8" t="s">
        <v>45</v>
      </c>
      <c r="E2215" s="8"/>
      <c r="F2215" s="8" t="s">
        <v>22</v>
      </c>
      <c r="G2215" s="10" t="s">
        <v>4776</v>
      </c>
      <c r="H2215" s="8" t="s">
        <v>4777</v>
      </c>
      <c r="I2215" s="10" t="s">
        <v>4776</v>
      </c>
      <c r="J2215" s="11" t="s">
        <v>33</v>
      </c>
      <c r="K2215" s="18">
        <v>8000</v>
      </c>
      <c r="L2215" s="12">
        <f t="shared" si="191"/>
        <v>16000</v>
      </c>
      <c r="M2215" s="8">
        <v>5</v>
      </c>
      <c r="N2215" s="8" t="s">
        <v>27</v>
      </c>
      <c r="O2215" s="13"/>
      <c r="P2215" s="14">
        <v>0</v>
      </c>
      <c r="Q2215" s="15">
        <v>0.5</v>
      </c>
      <c r="R2215" s="16" t="str">
        <f t="shared" si="188"/>
        <v>KOMODO</v>
      </c>
      <c r="S2215" s="17"/>
      <c r="T2215" s="10" t="str">
        <f t="shared" si="186"/>
        <v>INSTALACIÓN DE INTERRUPTOR TIPO MULETILLA</v>
      </c>
    </row>
    <row r="2216" spans="1:20" ht="27" customHeight="1" x14ac:dyDescent="0.25">
      <c r="A2216" s="8" t="s">
        <v>3977</v>
      </c>
      <c r="B2216" s="9"/>
      <c r="C2216" s="9"/>
      <c r="D2216" s="8" t="s">
        <v>45</v>
      </c>
      <c r="E2216" s="8"/>
      <c r="F2216" s="8" t="s">
        <v>22</v>
      </c>
      <c r="G2216" s="10" t="s">
        <v>4778</v>
      </c>
      <c r="H2216" s="8" t="s">
        <v>4779</v>
      </c>
      <c r="I2216" s="10" t="s">
        <v>4780</v>
      </c>
      <c r="J2216" s="11" t="s">
        <v>33</v>
      </c>
      <c r="K2216" s="18">
        <v>335000</v>
      </c>
      <c r="L2216" s="12">
        <f t="shared" si="191"/>
        <v>478572</v>
      </c>
      <c r="M2216" s="8">
        <v>1</v>
      </c>
      <c r="N2216" s="8" t="s">
        <v>27</v>
      </c>
      <c r="O2216" s="13"/>
      <c r="P2216" s="14">
        <v>0</v>
      </c>
      <c r="Q2216" s="15">
        <v>0.3</v>
      </c>
      <c r="R2216" s="16" t="str">
        <f t="shared" si="188"/>
        <v>KOMODO</v>
      </c>
      <c r="S2216" s="17"/>
      <c r="T2216" s="10" t="str">
        <f t="shared" si="186"/>
        <v>INSTALACIÓN DE PUNTO DE ACCESO BIOMÉTRICO.</v>
      </c>
    </row>
    <row r="2217" spans="1:20" ht="27" customHeight="1" x14ac:dyDescent="0.25">
      <c r="A2217" s="8" t="s">
        <v>3977</v>
      </c>
      <c r="B2217" s="9"/>
      <c r="C2217" s="9"/>
      <c r="D2217" s="8" t="s">
        <v>45</v>
      </c>
      <c r="E2217" s="8"/>
      <c r="F2217" s="8" t="s">
        <v>22</v>
      </c>
      <c r="G2217" s="10" t="s">
        <v>4781</v>
      </c>
      <c r="H2217" s="8" t="s">
        <v>4782</v>
      </c>
      <c r="I2217" s="10" t="s">
        <v>4781</v>
      </c>
      <c r="J2217" s="11" t="s">
        <v>33</v>
      </c>
      <c r="K2217" s="18">
        <v>40000</v>
      </c>
      <c r="L2217" s="12">
        <f t="shared" si="191"/>
        <v>57143</v>
      </c>
      <c r="M2217" s="8">
        <v>1</v>
      </c>
      <c r="N2217" s="8" t="s">
        <v>27</v>
      </c>
      <c r="O2217" s="13"/>
      <c r="P2217" s="14">
        <v>0</v>
      </c>
      <c r="Q2217" s="15">
        <v>0.3</v>
      </c>
      <c r="R2217" s="16" t="str">
        <f t="shared" si="188"/>
        <v>KOMODO</v>
      </c>
      <c r="S2217" s="17"/>
      <c r="T2217" s="10" t="str">
        <f t="shared" si="186"/>
        <v>INSTALACIÓN DE BALA TRIMLESS</v>
      </c>
    </row>
    <row r="2218" spans="1:20" ht="27" customHeight="1" x14ac:dyDescent="0.25">
      <c r="A2218" s="8" t="s">
        <v>3977</v>
      </c>
      <c r="B2218" s="9"/>
      <c r="C2218" s="9"/>
      <c r="D2218" s="8" t="s">
        <v>45</v>
      </c>
      <c r="E2218" s="8"/>
      <c r="F2218" s="8" t="s">
        <v>22</v>
      </c>
      <c r="G2218" s="10" t="s">
        <v>4783</v>
      </c>
      <c r="H2218" s="8" t="s">
        <v>4784</v>
      </c>
      <c r="I2218" s="10" t="s">
        <v>4783</v>
      </c>
      <c r="J2218" s="11" t="s">
        <v>33</v>
      </c>
      <c r="K2218" s="18">
        <v>220000</v>
      </c>
      <c r="L2218" s="12">
        <f t="shared" si="191"/>
        <v>400000</v>
      </c>
      <c r="M2218" s="8">
        <v>1</v>
      </c>
      <c r="N2218" s="8" t="s">
        <v>27</v>
      </c>
      <c r="O2218" s="13"/>
      <c r="P2218" s="14">
        <v>0</v>
      </c>
      <c r="Q2218" s="15">
        <v>0.45</v>
      </c>
      <c r="R2218" s="16" t="str">
        <f t="shared" si="188"/>
        <v>KOMODO</v>
      </c>
      <c r="S2218" s="17"/>
      <c r="T2218" s="10" t="str">
        <f t="shared" si="186"/>
        <v>MANTENIMIENTO DE SISTEMA DE CONTROL DE ILUMINACION LUTRON</v>
      </c>
    </row>
    <row r="2219" spans="1:20" ht="27" customHeight="1" x14ac:dyDescent="0.25">
      <c r="A2219" s="8" t="s">
        <v>3977</v>
      </c>
      <c r="B2219" s="9"/>
      <c r="C2219" s="9"/>
      <c r="D2219" s="8" t="s">
        <v>45</v>
      </c>
      <c r="E2219" s="8"/>
      <c r="F2219" s="8" t="s">
        <v>22</v>
      </c>
      <c r="G2219" s="10" t="s">
        <v>4785</v>
      </c>
      <c r="H2219" s="8" t="s">
        <v>4786</v>
      </c>
      <c r="I2219" s="10" t="s">
        <v>4785</v>
      </c>
      <c r="J2219" s="11" t="s">
        <v>33</v>
      </c>
      <c r="K2219" s="18">
        <v>100000</v>
      </c>
      <c r="L2219" s="12">
        <f t="shared" si="191"/>
        <v>142858</v>
      </c>
      <c r="M2219" s="8">
        <v>1</v>
      </c>
      <c r="N2219" s="8" t="s">
        <v>27</v>
      </c>
      <c r="O2219" s="13"/>
      <c r="P2219" s="14">
        <v>0</v>
      </c>
      <c r="Q2219" s="15">
        <v>0.3</v>
      </c>
      <c r="R2219" s="16" t="str">
        <f t="shared" si="188"/>
        <v>KOMODO</v>
      </c>
      <c r="S2219" s="17"/>
      <c r="T2219" s="10" t="str">
        <f t="shared" si="186"/>
        <v>MI PRUEBA</v>
      </c>
    </row>
    <row r="2220" spans="1:20" ht="27" customHeight="1" x14ac:dyDescent="0.25">
      <c r="A2220" s="8" t="s">
        <v>3977</v>
      </c>
      <c r="B2220" s="9"/>
      <c r="C2220" s="9"/>
      <c r="D2220" s="8" t="s">
        <v>45</v>
      </c>
      <c r="E2220" s="8"/>
      <c r="F2220" s="8" t="s">
        <v>22</v>
      </c>
      <c r="G2220" s="10" t="s">
        <v>4787</v>
      </c>
      <c r="H2220" s="8" t="s">
        <v>4788</v>
      </c>
      <c r="I2220" s="10" t="s">
        <v>4787</v>
      </c>
      <c r="J2220" s="11" t="s">
        <v>33</v>
      </c>
      <c r="K2220" s="18">
        <v>350000</v>
      </c>
      <c r="L2220" s="12">
        <f t="shared" si="191"/>
        <v>500000</v>
      </c>
      <c r="M2220" s="8">
        <v>1</v>
      </c>
      <c r="N2220" s="8" t="s">
        <v>27</v>
      </c>
      <c r="O2220" s="13"/>
      <c r="P2220" s="14">
        <v>0</v>
      </c>
      <c r="Q2220" s="15">
        <v>0.3</v>
      </c>
      <c r="R2220" s="16" t="str">
        <f t="shared" si="188"/>
        <v>KOMODO</v>
      </c>
      <c r="S2220" s="17"/>
      <c r="T2220" s="10" t="str">
        <f t="shared" si="186"/>
        <v>INSTALACIÓN DE ASCENSOR PARA BOLILIARIO</v>
      </c>
    </row>
    <row r="2221" spans="1:20" ht="27" customHeight="1" x14ac:dyDescent="0.25">
      <c r="A2221" s="8" t="s">
        <v>3977</v>
      </c>
      <c r="B2221" s="9"/>
      <c r="C2221" s="9"/>
      <c r="D2221" s="8" t="s">
        <v>45</v>
      </c>
      <c r="E2221" s="8"/>
      <c r="F2221" s="8" t="s">
        <v>22</v>
      </c>
      <c r="G2221" s="10" t="str">
        <f>B2221&amp;"-"&amp;D2221&amp;"-"&amp;E2221&amp;F2221</f>
        <v>-PROG_-BLANCO</v>
      </c>
      <c r="H2221" s="8" t="s">
        <v>4789</v>
      </c>
      <c r="I2221" s="10" t="s">
        <v>4790</v>
      </c>
      <c r="J2221" s="11" t="s">
        <v>26</v>
      </c>
      <c r="K2221" s="18">
        <v>500</v>
      </c>
      <c r="L2221" s="12">
        <f t="shared" si="191"/>
        <v>667</v>
      </c>
      <c r="M2221" s="8">
        <v>1</v>
      </c>
      <c r="N2221" s="8" t="s">
        <v>27</v>
      </c>
      <c r="O2221" s="13"/>
      <c r="P2221" s="14">
        <v>0</v>
      </c>
      <c r="Q2221" s="15">
        <v>0.25</v>
      </c>
      <c r="R2221" s="16" t="str">
        <f t="shared" si="188"/>
        <v>KOMODO</v>
      </c>
      <c r="S2221" s="17"/>
      <c r="T2221" s="10" t="str">
        <f t="shared" si="186"/>
        <v>-PROG_-BLANCO</v>
      </c>
    </row>
    <row r="2222" spans="1:20" ht="27" customHeight="1" x14ac:dyDescent="0.25">
      <c r="A2222" s="8" t="s">
        <v>3977</v>
      </c>
      <c r="B2222" s="9"/>
      <c r="C2222" s="9"/>
      <c r="D2222" s="8" t="s">
        <v>45</v>
      </c>
      <c r="E2222" s="8"/>
      <c r="F2222" s="8" t="s">
        <v>22</v>
      </c>
      <c r="G2222" s="10" t="s">
        <v>4791</v>
      </c>
      <c r="H2222" s="8" t="s">
        <v>4792</v>
      </c>
      <c r="I2222" s="10" t="s">
        <v>4793</v>
      </c>
      <c r="J2222" s="11" t="s">
        <v>33</v>
      </c>
      <c r="K2222" s="18">
        <v>80000</v>
      </c>
      <c r="L2222" s="12">
        <f t="shared" ref="L2222:L2233" si="192">K2222*(1+P2222)/(1-Q2222)</f>
        <v>133333.33333333334</v>
      </c>
      <c r="M2222" s="8">
        <v>1</v>
      </c>
      <c r="N2222" s="8" t="s">
        <v>27</v>
      </c>
      <c r="O2222" s="13"/>
      <c r="P2222" s="14">
        <v>0</v>
      </c>
      <c r="Q2222" s="15">
        <v>0.4</v>
      </c>
      <c r="R2222" s="16" t="str">
        <f t="shared" si="188"/>
        <v>KOMODO</v>
      </c>
      <c r="S2222" s="17"/>
      <c r="T2222" s="10" t="str">
        <f t="shared" si="186"/>
        <v>PROGRAMACIÓN/CONFIGURACIÓN DE DIGITAL SIGNAGE O ENRUTADOR</v>
      </c>
    </row>
    <row r="2223" spans="1:20" ht="27" customHeight="1" x14ac:dyDescent="0.25">
      <c r="A2223" s="8" t="s">
        <v>3977</v>
      </c>
      <c r="B2223" s="9"/>
      <c r="C2223" s="9"/>
      <c r="D2223" s="8" t="s">
        <v>45</v>
      </c>
      <c r="E2223" s="8"/>
      <c r="F2223" s="8" t="s">
        <v>22</v>
      </c>
      <c r="G2223" s="10" t="str">
        <f t="shared" ref="G2223:G2239" si="193">B2223&amp;"-"&amp;D2223&amp;"-"&amp;E2223&amp;F2223</f>
        <v>-PROG_-BLANCO</v>
      </c>
      <c r="H2223" s="8" t="s">
        <v>4794</v>
      </c>
      <c r="I2223" s="10" t="s">
        <v>4795</v>
      </c>
      <c r="J2223" s="11" t="s">
        <v>33</v>
      </c>
      <c r="K2223" s="18">
        <v>120000</v>
      </c>
      <c r="L2223" s="12">
        <f t="shared" si="192"/>
        <v>200000</v>
      </c>
      <c r="M2223" s="8">
        <v>1</v>
      </c>
      <c r="N2223" s="8" t="s">
        <v>27</v>
      </c>
      <c r="O2223" s="13"/>
      <c r="P2223" s="14">
        <v>0</v>
      </c>
      <c r="Q2223" s="15">
        <v>0.4</v>
      </c>
      <c r="R2223" s="16" t="str">
        <f t="shared" si="188"/>
        <v>KOMODO</v>
      </c>
      <c r="S2223" s="17"/>
      <c r="T2223" s="10" t="str">
        <f t="shared" si="186"/>
        <v>-PROG_-BLANCO</v>
      </c>
    </row>
    <row r="2224" spans="1:20" ht="27" customHeight="1" x14ac:dyDescent="0.25">
      <c r="A2224" s="8" t="s">
        <v>3977</v>
      </c>
      <c r="B2224" s="9"/>
      <c r="C2224" s="9"/>
      <c r="D2224" s="8" t="s">
        <v>45</v>
      </c>
      <c r="E2224" s="8"/>
      <c r="F2224" s="8" t="s">
        <v>22</v>
      </c>
      <c r="G2224" s="10" t="str">
        <f t="shared" si="193"/>
        <v>-PROG_-BLANCO</v>
      </c>
      <c r="H2224" s="8" t="s">
        <v>4796</v>
      </c>
      <c r="I2224" s="10" t="s">
        <v>4797</v>
      </c>
      <c r="J2224" s="11" t="s">
        <v>33</v>
      </c>
      <c r="K2224" s="18">
        <v>1850000</v>
      </c>
      <c r="L2224" s="12">
        <f t="shared" si="192"/>
        <v>3083333.3333333335</v>
      </c>
      <c r="M2224" s="8">
        <v>1</v>
      </c>
      <c r="N2224" s="8" t="s">
        <v>27</v>
      </c>
      <c r="O2224" s="13"/>
      <c r="P2224" s="14">
        <v>0</v>
      </c>
      <c r="Q2224" s="15">
        <v>0.4</v>
      </c>
      <c r="R2224" s="16" t="str">
        <f t="shared" si="188"/>
        <v>KOMODO</v>
      </c>
      <c r="S2224" s="17"/>
      <c r="T2224" s="10" t="str">
        <f t="shared" si="186"/>
        <v>-PROG_-BLANCO</v>
      </c>
    </row>
    <row r="2225" spans="1:20" ht="27" customHeight="1" x14ac:dyDescent="0.25">
      <c r="A2225" s="8" t="s">
        <v>3977</v>
      </c>
      <c r="B2225" s="9"/>
      <c r="C2225" s="9"/>
      <c r="D2225" s="8" t="s">
        <v>45</v>
      </c>
      <c r="E2225" s="8"/>
      <c r="F2225" s="8" t="s">
        <v>22</v>
      </c>
      <c r="G2225" s="10" t="str">
        <f t="shared" si="193"/>
        <v>-PROG_-BLANCO</v>
      </c>
      <c r="H2225" s="8" t="s">
        <v>4798</v>
      </c>
      <c r="I2225" s="10" t="s">
        <v>4799</v>
      </c>
      <c r="J2225" s="11" t="s">
        <v>33</v>
      </c>
      <c r="K2225" s="18">
        <v>45000</v>
      </c>
      <c r="L2225" s="12">
        <f t="shared" si="192"/>
        <v>75000</v>
      </c>
      <c r="M2225" s="8">
        <v>1</v>
      </c>
      <c r="N2225" s="8" t="s">
        <v>27</v>
      </c>
      <c r="O2225" s="13"/>
      <c r="P2225" s="14">
        <v>0</v>
      </c>
      <c r="Q2225" s="15">
        <v>0.4</v>
      </c>
      <c r="R2225" s="16" t="str">
        <f t="shared" si="188"/>
        <v>KOMODO</v>
      </c>
      <c r="S2225" s="17"/>
      <c r="T2225" s="10" t="str">
        <f t="shared" si="186"/>
        <v>-PROG_-BLANCO</v>
      </c>
    </row>
    <row r="2226" spans="1:20" ht="27" customHeight="1" x14ac:dyDescent="0.25">
      <c r="A2226" s="8" t="s">
        <v>3977</v>
      </c>
      <c r="B2226" s="9"/>
      <c r="C2226" s="9"/>
      <c r="D2226" s="8" t="s">
        <v>45</v>
      </c>
      <c r="E2226" s="8"/>
      <c r="F2226" s="8" t="s">
        <v>22</v>
      </c>
      <c r="G2226" s="10" t="str">
        <f t="shared" si="193"/>
        <v>-PROG_-BLANCO</v>
      </c>
      <c r="H2226" s="8" t="s">
        <v>4800</v>
      </c>
      <c r="I2226" s="10" t="s">
        <v>4801</v>
      </c>
      <c r="J2226" s="11" t="s">
        <v>33</v>
      </c>
      <c r="K2226" s="18">
        <v>250000</v>
      </c>
      <c r="L2226" s="12">
        <f t="shared" si="192"/>
        <v>416666.66666666669</v>
      </c>
      <c r="M2226" s="8">
        <v>1</v>
      </c>
      <c r="N2226" s="8" t="s">
        <v>27</v>
      </c>
      <c r="O2226" s="13"/>
      <c r="P2226" s="14">
        <v>0</v>
      </c>
      <c r="Q2226" s="15">
        <v>0.4</v>
      </c>
      <c r="R2226" s="16" t="str">
        <f t="shared" si="188"/>
        <v>KOMODO</v>
      </c>
      <c r="S2226" s="17"/>
      <c r="T2226" s="10" t="str">
        <f t="shared" si="186"/>
        <v>-PROG_-BLANCO</v>
      </c>
    </row>
    <row r="2227" spans="1:20" ht="27" customHeight="1" x14ac:dyDescent="0.25">
      <c r="A2227" s="8" t="s">
        <v>3977</v>
      </c>
      <c r="B2227" s="9"/>
      <c r="C2227" s="9"/>
      <c r="D2227" s="8" t="s">
        <v>45</v>
      </c>
      <c r="E2227" s="8"/>
      <c r="F2227" s="8" t="s">
        <v>22</v>
      </c>
      <c r="G2227" s="10" t="str">
        <f t="shared" si="193"/>
        <v>-PROG_-BLANCO</v>
      </c>
      <c r="H2227" s="8" t="s">
        <v>4802</v>
      </c>
      <c r="I2227" s="10" t="s">
        <v>4803</v>
      </c>
      <c r="J2227" s="11" t="s">
        <v>33</v>
      </c>
      <c r="K2227" s="18">
        <v>750000</v>
      </c>
      <c r="L2227" s="12">
        <f t="shared" si="192"/>
        <v>1250000</v>
      </c>
      <c r="M2227" s="8">
        <v>1</v>
      </c>
      <c r="N2227" s="8" t="s">
        <v>27</v>
      </c>
      <c r="O2227" s="13"/>
      <c r="P2227" s="14">
        <v>0</v>
      </c>
      <c r="Q2227" s="15">
        <v>0.4</v>
      </c>
      <c r="R2227" s="16" t="str">
        <f t="shared" si="188"/>
        <v>KOMODO</v>
      </c>
      <c r="S2227" s="17"/>
      <c r="T2227" s="10" t="str">
        <f t="shared" si="186"/>
        <v>-PROG_-BLANCO</v>
      </c>
    </row>
    <row r="2228" spans="1:20" ht="27" customHeight="1" x14ac:dyDescent="0.25">
      <c r="A2228" s="8" t="s">
        <v>3977</v>
      </c>
      <c r="B2228" s="9"/>
      <c r="C2228" s="9"/>
      <c r="D2228" s="8" t="s">
        <v>45</v>
      </c>
      <c r="E2228" s="8"/>
      <c r="F2228" s="8" t="s">
        <v>22</v>
      </c>
      <c r="G2228" s="10" t="str">
        <f t="shared" si="193"/>
        <v>-PROG_-BLANCO</v>
      </c>
      <c r="H2228" s="8" t="s">
        <v>4804</v>
      </c>
      <c r="I2228" s="10" t="s">
        <v>4805</v>
      </c>
      <c r="J2228" s="11" t="s">
        <v>33</v>
      </c>
      <c r="K2228" s="18">
        <v>180000</v>
      </c>
      <c r="L2228" s="12">
        <f t="shared" si="192"/>
        <v>225000</v>
      </c>
      <c r="M2228" s="8">
        <v>1</v>
      </c>
      <c r="N2228" s="8" t="s">
        <v>27</v>
      </c>
      <c r="O2228" s="13"/>
      <c r="P2228" s="14">
        <v>0</v>
      </c>
      <c r="Q2228" s="15">
        <v>0.2</v>
      </c>
      <c r="R2228" s="16" t="str">
        <f t="shared" si="188"/>
        <v>KOMODO</v>
      </c>
      <c r="S2228" s="17"/>
      <c r="T2228" s="10" t="str">
        <f t="shared" si="186"/>
        <v>-PROG_-BLANCO</v>
      </c>
    </row>
    <row r="2229" spans="1:20" ht="27" customHeight="1" x14ac:dyDescent="0.25">
      <c r="A2229" s="8" t="s">
        <v>3977</v>
      </c>
      <c r="B2229" s="9"/>
      <c r="C2229" s="9"/>
      <c r="D2229" s="8" t="s">
        <v>45</v>
      </c>
      <c r="E2229" s="8"/>
      <c r="F2229" s="8" t="s">
        <v>22</v>
      </c>
      <c r="G2229" s="10" t="str">
        <f t="shared" si="193"/>
        <v>-PROG_-BLANCO</v>
      </c>
      <c r="H2229" s="8" t="s">
        <v>4806</v>
      </c>
      <c r="I2229" s="10" t="s">
        <v>4807</v>
      </c>
      <c r="J2229" s="11" t="s">
        <v>33</v>
      </c>
      <c r="K2229" s="18">
        <v>150000</v>
      </c>
      <c r="L2229" s="12">
        <f t="shared" si="192"/>
        <v>187500</v>
      </c>
      <c r="M2229" s="8">
        <v>1</v>
      </c>
      <c r="N2229" s="8" t="s">
        <v>27</v>
      </c>
      <c r="O2229" s="13"/>
      <c r="P2229" s="14">
        <v>0</v>
      </c>
      <c r="Q2229" s="15">
        <v>0.2</v>
      </c>
      <c r="R2229" s="16" t="str">
        <f t="shared" si="188"/>
        <v>KOMODO</v>
      </c>
      <c r="S2229" s="17"/>
      <c r="T2229" s="10" t="str">
        <f t="shared" si="186"/>
        <v>-PROG_-BLANCO</v>
      </c>
    </row>
    <row r="2230" spans="1:20" ht="27" customHeight="1" x14ac:dyDescent="0.25">
      <c r="A2230" s="8" t="s">
        <v>3977</v>
      </c>
      <c r="B2230" s="9"/>
      <c r="C2230" s="9"/>
      <c r="D2230" s="8" t="s">
        <v>45</v>
      </c>
      <c r="E2230" s="8"/>
      <c r="F2230" s="8" t="s">
        <v>22</v>
      </c>
      <c r="G2230" s="10" t="str">
        <f t="shared" si="193"/>
        <v>-PROG_-BLANCO</v>
      </c>
      <c r="H2230" s="8" t="s">
        <v>4808</v>
      </c>
      <c r="I2230" s="10" t="s">
        <v>4809</v>
      </c>
      <c r="J2230" s="11" t="s">
        <v>26</v>
      </c>
      <c r="K2230" s="18">
        <v>50</v>
      </c>
      <c r="L2230" s="12">
        <f t="shared" si="192"/>
        <v>62.5</v>
      </c>
      <c r="M2230" s="8">
        <v>1</v>
      </c>
      <c r="N2230" s="8" t="s">
        <v>27</v>
      </c>
      <c r="O2230" s="13"/>
      <c r="P2230" s="14">
        <v>0</v>
      </c>
      <c r="Q2230" s="15">
        <v>0.2</v>
      </c>
      <c r="R2230" s="16" t="str">
        <f t="shared" si="188"/>
        <v>KOMODO</v>
      </c>
      <c r="S2230" s="17"/>
      <c r="T2230" s="10" t="str">
        <f t="shared" si="186"/>
        <v>-PROG_-BLANCO</v>
      </c>
    </row>
    <row r="2231" spans="1:20" ht="27" customHeight="1" x14ac:dyDescent="0.25">
      <c r="A2231" s="8" t="s">
        <v>3977</v>
      </c>
      <c r="B2231" s="9"/>
      <c r="C2231" s="9"/>
      <c r="D2231" s="8" t="s">
        <v>45</v>
      </c>
      <c r="E2231" s="8"/>
      <c r="F2231" s="8" t="s">
        <v>22</v>
      </c>
      <c r="G2231" s="10" t="str">
        <f t="shared" si="193"/>
        <v>-PROG_-BLANCO</v>
      </c>
      <c r="H2231" s="8" t="s">
        <v>4810</v>
      </c>
      <c r="I2231" s="10" t="s">
        <v>4811</v>
      </c>
      <c r="J2231" s="11" t="s">
        <v>33</v>
      </c>
      <c r="K2231" s="18">
        <v>18000</v>
      </c>
      <c r="L2231" s="12">
        <f t="shared" si="192"/>
        <v>25714.285714285717</v>
      </c>
      <c r="M2231" s="8">
        <v>1</v>
      </c>
      <c r="N2231" s="8" t="s">
        <v>27</v>
      </c>
      <c r="O2231" s="13"/>
      <c r="P2231" s="14">
        <v>0</v>
      </c>
      <c r="Q2231" s="15">
        <v>0.3</v>
      </c>
      <c r="R2231" s="16" t="str">
        <f t="shared" si="188"/>
        <v>KOMODO</v>
      </c>
      <c r="S2231" s="17"/>
      <c r="T2231" s="10" t="str">
        <f t="shared" si="186"/>
        <v>-PROG_-BLANCO</v>
      </c>
    </row>
    <row r="2232" spans="1:20" ht="27" customHeight="1" x14ac:dyDescent="0.25">
      <c r="A2232" s="8" t="s">
        <v>3977</v>
      </c>
      <c r="B2232" s="9"/>
      <c r="C2232" s="9"/>
      <c r="D2232" s="8" t="s">
        <v>45</v>
      </c>
      <c r="E2232" s="8"/>
      <c r="F2232" s="8" t="s">
        <v>22</v>
      </c>
      <c r="G2232" s="10" t="str">
        <f t="shared" si="193"/>
        <v>-PROG_-BLANCO</v>
      </c>
      <c r="H2232" s="8" t="s">
        <v>4812</v>
      </c>
      <c r="I2232" s="10" t="s">
        <v>4813</v>
      </c>
      <c r="J2232" s="11" t="s">
        <v>33</v>
      </c>
      <c r="K2232" s="18">
        <v>25000</v>
      </c>
      <c r="L2232" s="12">
        <f t="shared" si="192"/>
        <v>35714.285714285717</v>
      </c>
      <c r="M2232" s="8">
        <v>1</v>
      </c>
      <c r="N2232" s="8" t="s">
        <v>27</v>
      </c>
      <c r="O2232" s="13"/>
      <c r="P2232" s="14">
        <v>0</v>
      </c>
      <c r="Q2232" s="15">
        <v>0.3</v>
      </c>
      <c r="R2232" s="16" t="str">
        <f t="shared" si="188"/>
        <v>KOMODO</v>
      </c>
      <c r="S2232" s="17"/>
      <c r="T2232" s="10" t="str">
        <f t="shared" si="186"/>
        <v>-PROG_-BLANCO</v>
      </c>
    </row>
    <row r="2233" spans="1:20" ht="27" customHeight="1" x14ac:dyDescent="0.25">
      <c r="A2233" s="8" t="s">
        <v>3977</v>
      </c>
      <c r="B2233" s="9"/>
      <c r="C2233" s="9"/>
      <c r="D2233" s="8" t="s">
        <v>45</v>
      </c>
      <c r="E2233" s="8"/>
      <c r="F2233" s="8" t="s">
        <v>22</v>
      </c>
      <c r="G2233" s="10" t="str">
        <f t="shared" si="193"/>
        <v>-PROG_-BLANCO</v>
      </c>
      <c r="H2233" s="8" t="s">
        <v>3771</v>
      </c>
      <c r="I2233" s="10" t="s">
        <v>4814</v>
      </c>
      <c r="J2233" s="11" t="s">
        <v>26</v>
      </c>
      <c r="K2233" s="18">
        <f>536*0.7</f>
        <v>375.2</v>
      </c>
      <c r="L2233" s="12">
        <f t="shared" si="192"/>
        <v>536</v>
      </c>
      <c r="M2233" s="8">
        <v>1</v>
      </c>
      <c r="N2233" s="8" t="s">
        <v>27</v>
      </c>
      <c r="O2233" s="13"/>
      <c r="P2233" s="14">
        <v>0</v>
      </c>
      <c r="Q2233" s="15">
        <v>0.3</v>
      </c>
      <c r="R2233" s="16" t="str">
        <f t="shared" si="188"/>
        <v>KOMODO</v>
      </c>
      <c r="S2233" s="17"/>
      <c r="T2233" s="10" t="str">
        <f t="shared" ref="T2233:T2239" si="194">G2233</f>
        <v>-PROG_-BLANCO</v>
      </c>
    </row>
    <row r="2234" spans="1:20" ht="27" customHeight="1" x14ac:dyDescent="0.25">
      <c r="A2234" s="8" t="s">
        <v>3977</v>
      </c>
      <c r="B2234" s="9"/>
      <c r="C2234" s="9"/>
      <c r="D2234" s="8" t="s">
        <v>45</v>
      </c>
      <c r="E2234" s="8"/>
      <c r="F2234" s="8" t="s">
        <v>22</v>
      </c>
      <c r="G2234" s="10" t="str">
        <f t="shared" si="193"/>
        <v>-PROG_-BLANCO</v>
      </c>
      <c r="H2234" s="8" t="s">
        <v>4180</v>
      </c>
      <c r="I2234" s="10" t="s">
        <v>4815</v>
      </c>
      <c r="J2234" s="11" t="s">
        <v>33</v>
      </c>
      <c r="K2234" s="18">
        <v>120000</v>
      </c>
      <c r="L2234" s="12">
        <f t="shared" ref="L2234:L2255" si="195">IF(J2234="P",ROUNDUP(K2234/(1-Q2234),-2),K2234*(1+P2234)/(1-Q2234))</f>
        <v>200000</v>
      </c>
      <c r="M2234" s="8">
        <v>1</v>
      </c>
      <c r="N2234" s="8" t="s">
        <v>27</v>
      </c>
      <c r="O2234" s="13"/>
      <c r="P2234" s="14">
        <v>0</v>
      </c>
      <c r="Q2234" s="15">
        <v>0.4</v>
      </c>
      <c r="R2234" s="16" t="str">
        <f t="shared" si="188"/>
        <v>KOMODO</v>
      </c>
      <c r="S2234" s="17"/>
      <c r="T2234" s="10" t="str">
        <f t="shared" si="194"/>
        <v>-PROG_-BLANCO</v>
      </c>
    </row>
    <row r="2235" spans="1:20" ht="27" customHeight="1" x14ac:dyDescent="0.25">
      <c r="A2235" s="8" t="s">
        <v>3977</v>
      </c>
      <c r="B2235" s="9"/>
      <c r="C2235" s="9"/>
      <c r="D2235" s="8" t="s">
        <v>45</v>
      </c>
      <c r="E2235" s="8"/>
      <c r="F2235" s="8" t="s">
        <v>22</v>
      </c>
      <c r="G2235" s="10" t="str">
        <f t="shared" si="193"/>
        <v>-PROG_-BLANCO</v>
      </c>
      <c r="H2235" s="8" t="s">
        <v>4816</v>
      </c>
      <c r="I2235" s="10" t="s">
        <v>4817</v>
      </c>
      <c r="J2235" s="11" t="s">
        <v>33</v>
      </c>
      <c r="K2235" s="18">
        <v>364000</v>
      </c>
      <c r="L2235" s="12">
        <f t="shared" si="195"/>
        <v>491900</v>
      </c>
      <c r="M2235" s="8">
        <v>1</v>
      </c>
      <c r="N2235" s="8" t="s">
        <v>27</v>
      </c>
      <c r="O2235" s="13"/>
      <c r="P2235" s="14">
        <v>0</v>
      </c>
      <c r="Q2235" s="15">
        <v>0.26</v>
      </c>
      <c r="R2235" s="16" t="str">
        <f t="shared" si="188"/>
        <v>KOMODO</v>
      </c>
      <c r="S2235" s="17"/>
      <c r="T2235" s="10" t="str">
        <f t="shared" si="194"/>
        <v>-PROG_-BLANCO</v>
      </c>
    </row>
    <row r="2236" spans="1:20" ht="27" customHeight="1" x14ac:dyDescent="0.25">
      <c r="A2236" s="8" t="s">
        <v>3977</v>
      </c>
      <c r="B2236" s="9"/>
      <c r="C2236" s="9"/>
      <c r="D2236" s="8" t="s">
        <v>45</v>
      </c>
      <c r="E2236" s="8"/>
      <c r="F2236" s="8" t="s">
        <v>22</v>
      </c>
      <c r="G2236" s="10" t="str">
        <f t="shared" si="193"/>
        <v>-PROG_-BLANCO</v>
      </c>
      <c r="H2236" s="8" t="s">
        <v>4818</v>
      </c>
      <c r="I2236" s="10" t="s">
        <v>4819</v>
      </c>
      <c r="J2236" s="11" t="s">
        <v>33</v>
      </c>
      <c r="K2236" s="18">
        <v>2000</v>
      </c>
      <c r="L2236" s="12">
        <f t="shared" si="195"/>
        <v>5000</v>
      </c>
      <c r="M2236" s="8">
        <v>1</v>
      </c>
      <c r="N2236" s="8" t="s">
        <v>27</v>
      </c>
      <c r="O2236" s="13"/>
      <c r="P2236" s="14">
        <v>0</v>
      </c>
      <c r="Q2236" s="15">
        <v>0.6</v>
      </c>
      <c r="R2236" s="16" t="str">
        <f t="shared" si="188"/>
        <v>KOMODO</v>
      </c>
      <c r="S2236" s="17"/>
      <c r="T2236" s="10" t="str">
        <f t="shared" si="194"/>
        <v>-PROG_-BLANCO</v>
      </c>
    </row>
    <row r="2237" spans="1:20" ht="27" customHeight="1" x14ac:dyDescent="0.25">
      <c r="A2237" s="8" t="s">
        <v>3977</v>
      </c>
      <c r="B2237" s="9"/>
      <c r="C2237" s="9"/>
      <c r="D2237" s="8" t="s">
        <v>45</v>
      </c>
      <c r="E2237" s="8"/>
      <c r="F2237" s="8" t="s">
        <v>22</v>
      </c>
      <c r="G2237" s="10" t="str">
        <f t="shared" si="193"/>
        <v>-PROG_-BLANCO</v>
      </c>
      <c r="H2237" s="8" t="s">
        <v>4820</v>
      </c>
      <c r="I2237" s="10" t="s">
        <v>4821</v>
      </c>
      <c r="J2237" s="11" t="s">
        <v>33</v>
      </c>
      <c r="K2237" s="18">
        <v>187000</v>
      </c>
      <c r="L2237" s="12">
        <f t="shared" si="195"/>
        <v>311700</v>
      </c>
      <c r="M2237" s="8">
        <v>1</v>
      </c>
      <c r="N2237" s="8" t="s">
        <v>27</v>
      </c>
      <c r="O2237" s="13"/>
      <c r="P2237" s="14">
        <v>0</v>
      </c>
      <c r="Q2237" s="15">
        <v>0.4</v>
      </c>
      <c r="R2237" s="16" t="str">
        <f t="shared" si="188"/>
        <v>KOMODO</v>
      </c>
      <c r="S2237" s="17"/>
      <c r="T2237" s="10" t="str">
        <f t="shared" si="194"/>
        <v>-PROG_-BLANCO</v>
      </c>
    </row>
    <row r="2238" spans="1:20" ht="27" customHeight="1" x14ac:dyDescent="0.25">
      <c r="A2238" s="8" t="s">
        <v>3977</v>
      </c>
      <c r="B2238" s="9"/>
      <c r="C2238" s="9"/>
      <c r="D2238" s="8" t="s">
        <v>45</v>
      </c>
      <c r="E2238" s="8"/>
      <c r="F2238" s="8" t="s">
        <v>22</v>
      </c>
      <c r="G2238" s="10" t="str">
        <f t="shared" si="193"/>
        <v>-PROG_-BLANCO</v>
      </c>
      <c r="H2238" s="8" t="s">
        <v>4822</v>
      </c>
      <c r="I2238" s="10" t="s">
        <v>4823</v>
      </c>
      <c r="J2238" s="11" t="s">
        <v>33</v>
      </c>
      <c r="K2238" s="18">
        <v>1250000</v>
      </c>
      <c r="L2238" s="12">
        <f t="shared" si="195"/>
        <v>2083400</v>
      </c>
      <c r="M2238" s="8">
        <v>1</v>
      </c>
      <c r="N2238" s="8" t="s">
        <v>27</v>
      </c>
      <c r="O2238" s="13"/>
      <c r="P2238" s="14">
        <v>0</v>
      </c>
      <c r="Q2238" s="15">
        <v>0.4</v>
      </c>
      <c r="R2238" s="16" t="str">
        <f t="shared" si="188"/>
        <v>KOMODO</v>
      </c>
      <c r="S2238" s="17"/>
      <c r="T2238" s="10" t="str">
        <f t="shared" si="194"/>
        <v>-PROG_-BLANCO</v>
      </c>
    </row>
    <row r="2239" spans="1:20" ht="27" customHeight="1" x14ac:dyDescent="0.25">
      <c r="A2239" s="8" t="s">
        <v>3977</v>
      </c>
      <c r="B2239" s="9"/>
      <c r="C2239" s="9"/>
      <c r="D2239" s="8" t="s">
        <v>45</v>
      </c>
      <c r="E2239" s="8"/>
      <c r="F2239" s="8" t="s">
        <v>22</v>
      </c>
      <c r="G2239" s="10" t="str">
        <f t="shared" si="193"/>
        <v>-PROG_-BLANCO</v>
      </c>
      <c r="H2239" s="8" t="s">
        <v>4824</v>
      </c>
      <c r="I2239" s="10" t="s">
        <v>4805</v>
      </c>
      <c r="J2239" s="11" t="s">
        <v>33</v>
      </c>
      <c r="K2239" s="18">
        <v>150000</v>
      </c>
      <c r="L2239" s="12">
        <f t="shared" si="195"/>
        <v>214300</v>
      </c>
      <c r="M2239" s="8">
        <v>1</v>
      </c>
      <c r="N2239" s="8" t="s">
        <v>27</v>
      </c>
      <c r="O2239" s="13"/>
      <c r="P2239" s="14">
        <v>0</v>
      </c>
      <c r="Q2239" s="15">
        <v>0.3</v>
      </c>
      <c r="R2239" s="16" t="str">
        <f t="shared" si="188"/>
        <v>KOMODO</v>
      </c>
      <c r="S2239" s="17"/>
      <c r="T2239" s="10" t="str">
        <f t="shared" si="194"/>
        <v>-PROG_-BLANCO</v>
      </c>
    </row>
    <row r="2240" spans="1:20" ht="27" customHeight="1" x14ac:dyDescent="0.25">
      <c r="A2240" s="8" t="s">
        <v>3977</v>
      </c>
      <c r="B2240" s="9"/>
      <c r="C2240" s="9"/>
      <c r="D2240" s="8"/>
      <c r="E2240" s="8"/>
      <c r="F2240" s="8"/>
      <c r="G2240" s="10"/>
      <c r="H2240" s="8" t="s">
        <v>4825</v>
      </c>
      <c r="I2240" s="10" t="s">
        <v>4826</v>
      </c>
      <c r="J2240" s="11" t="s">
        <v>33</v>
      </c>
      <c r="K2240" s="18">
        <v>80000</v>
      </c>
      <c r="L2240" s="12">
        <f t="shared" si="195"/>
        <v>114300</v>
      </c>
      <c r="M2240" s="8">
        <v>1</v>
      </c>
      <c r="N2240" s="8" t="s">
        <v>27</v>
      </c>
      <c r="O2240" s="13"/>
      <c r="P2240" s="14">
        <v>0</v>
      </c>
      <c r="Q2240" s="15">
        <v>0.3</v>
      </c>
      <c r="R2240" s="16" t="str">
        <f t="shared" si="188"/>
        <v>KOMODO</v>
      </c>
      <c r="S2240" s="17"/>
      <c r="T2240" s="10"/>
    </row>
    <row r="2241" spans="1:20" ht="27" customHeight="1" x14ac:dyDescent="0.25">
      <c r="A2241" s="8" t="s">
        <v>3977</v>
      </c>
      <c r="B2241" s="9"/>
      <c r="C2241" s="9"/>
      <c r="D2241" s="8"/>
      <c r="E2241" s="8"/>
      <c r="F2241" s="8"/>
      <c r="G2241" s="10"/>
      <c r="H2241" s="8" t="s">
        <v>4827</v>
      </c>
      <c r="I2241" s="10" t="s">
        <v>4828</v>
      </c>
      <c r="J2241" s="11" t="s">
        <v>33</v>
      </c>
      <c r="K2241" s="18">
        <v>2000000</v>
      </c>
      <c r="L2241" s="12">
        <f t="shared" si="195"/>
        <v>2857200</v>
      </c>
      <c r="M2241" s="8">
        <v>1</v>
      </c>
      <c r="N2241" s="8" t="s">
        <v>27</v>
      </c>
      <c r="O2241" s="13"/>
      <c r="P2241" s="14">
        <v>0</v>
      </c>
      <c r="Q2241" s="15">
        <v>0.3</v>
      </c>
      <c r="R2241" s="16" t="str">
        <f t="shared" ref="R2241:R2304" si="196">A2241</f>
        <v>KOMODO</v>
      </c>
      <c r="S2241" s="17"/>
      <c r="T2241" s="10"/>
    </row>
    <row r="2242" spans="1:20" ht="27" customHeight="1" x14ac:dyDescent="0.25">
      <c r="A2242" s="8" t="s">
        <v>3977</v>
      </c>
      <c r="B2242" s="9"/>
      <c r="C2242" s="9"/>
      <c r="D2242" s="8"/>
      <c r="E2242" s="8"/>
      <c r="F2242" s="8"/>
      <c r="G2242" s="10"/>
      <c r="H2242" s="8" t="s">
        <v>4829</v>
      </c>
      <c r="I2242" s="10" t="s">
        <v>4830</v>
      </c>
      <c r="J2242" s="11" t="s">
        <v>33</v>
      </c>
      <c r="K2242" s="18">
        <v>60000</v>
      </c>
      <c r="L2242" s="12">
        <f t="shared" si="195"/>
        <v>80000</v>
      </c>
      <c r="M2242" s="8">
        <v>1</v>
      </c>
      <c r="N2242" s="8" t="s">
        <v>27</v>
      </c>
      <c r="O2242" s="13"/>
      <c r="P2242" s="14">
        <v>0</v>
      </c>
      <c r="Q2242" s="15">
        <v>0.25</v>
      </c>
      <c r="R2242" s="16" t="str">
        <f t="shared" si="196"/>
        <v>KOMODO</v>
      </c>
      <c r="S2242" s="17"/>
      <c r="T2242" s="10"/>
    </row>
    <row r="2243" spans="1:20" ht="27" customHeight="1" x14ac:dyDescent="0.25">
      <c r="A2243" s="8" t="s">
        <v>3977</v>
      </c>
      <c r="B2243" s="9"/>
      <c r="C2243" s="9"/>
      <c r="D2243" s="8"/>
      <c r="E2243" s="8"/>
      <c r="F2243" s="8"/>
      <c r="G2243" s="10"/>
      <c r="H2243" s="8" t="s">
        <v>4831</v>
      </c>
      <c r="I2243" s="10" t="s">
        <v>4832</v>
      </c>
      <c r="J2243" s="11" t="s">
        <v>33</v>
      </c>
      <c r="K2243" s="18">
        <v>3160000</v>
      </c>
      <c r="L2243" s="12">
        <f t="shared" si="195"/>
        <v>3511200</v>
      </c>
      <c r="M2243" s="8">
        <v>1</v>
      </c>
      <c r="N2243" s="8" t="s">
        <v>27</v>
      </c>
      <c r="O2243" s="13"/>
      <c r="P2243" s="14">
        <v>0</v>
      </c>
      <c r="Q2243" s="15">
        <v>0.1</v>
      </c>
      <c r="R2243" s="16" t="str">
        <f t="shared" si="196"/>
        <v>KOMODO</v>
      </c>
      <c r="S2243" s="17"/>
      <c r="T2243" s="10"/>
    </row>
    <row r="2244" spans="1:20" ht="27" customHeight="1" x14ac:dyDescent="0.25">
      <c r="A2244" s="8" t="s">
        <v>3977</v>
      </c>
      <c r="B2244" s="9"/>
      <c r="C2244" s="9"/>
      <c r="D2244" s="8"/>
      <c r="E2244" s="8"/>
      <c r="F2244" s="8"/>
      <c r="G2244" s="10"/>
      <c r="H2244" s="8" t="s">
        <v>4833</v>
      </c>
      <c r="I2244" s="10" t="s">
        <v>4834</v>
      </c>
      <c r="J2244" s="11" t="s">
        <v>33</v>
      </c>
      <c r="K2244" s="18">
        <v>6630000</v>
      </c>
      <c r="L2244" s="12">
        <f t="shared" si="195"/>
        <v>7366700</v>
      </c>
      <c r="M2244" s="8">
        <v>1</v>
      </c>
      <c r="N2244" s="8" t="s">
        <v>27</v>
      </c>
      <c r="O2244" s="13"/>
      <c r="P2244" s="14">
        <v>0</v>
      </c>
      <c r="Q2244" s="15">
        <v>0.1</v>
      </c>
      <c r="R2244" s="16" t="str">
        <f t="shared" si="196"/>
        <v>KOMODO</v>
      </c>
      <c r="S2244" s="17"/>
      <c r="T2244" s="10"/>
    </row>
    <row r="2245" spans="1:20" ht="27" customHeight="1" x14ac:dyDescent="0.25">
      <c r="A2245" s="8" t="s">
        <v>3977</v>
      </c>
      <c r="B2245" s="9"/>
      <c r="C2245" s="9"/>
      <c r="D2245" s="8"/>
      <c r="E2245" s="8"/>
      <c r="F2245" s="8"/>
      <c r="G2245" s="10"/>
      <c r="H2245" s="8" t="s">
        <v>4835</v>
      </c>
      <c r="I2245" s="10" t="s">
        <v>4836</v>
      </c>
      <c r="J2245" s="11" t="s">
        <v>33</v>
      </c>
      <c r="K2245" s="18">
        <v>174800</v>
      </c>
      <c r="L2245" s="12">
        <f t="shared" si="195"/>
        <v>194300</v>
      </c>
      <c r="M2245" s="8">
        <v>1</v>
      </c>
      <c r="N2245" s="8" t="s">
        <v>27</v>
      </c>
      <c r="O2245" s="13"/>
      <c r="P2245" s="14">
        <v>0</v>
      </c>
      <c r="Q2245" s="15">
        <v>0.1</v>
      </c>
      <c r="R2245" s="16" t="str">
        <f t="shared" si="196"/>
        <v>KOMODO</v>
      </c>
      <c r="S2245" s="17"/>
      <c r="T2245" s="10"/>
    </row>
    <row r="2246" spans="1:20" ht="27" customHeight="1" x14ac:dyDescent="0.25">
      <c r="A2246" s="8" t="s">
        <v>3977</v>
      </c>
      <c r="B2246" s="9"/>
      <c r="C2246" s="9"/>
      <c r="D2246" s="8"/>
      <c r="E2246" s="8"/>
      <c r="F2246" s="8"/>
      <c r="G2246" s="10"/>
      <c r="H2246" s="8" t="s">
        <v>4837</v>
      </c>
      <c r="I2246" s="10" t="s">
        <v>4838</v>
      </c>
      <c r="J2246" s="11" t="s">
        <v>33</v>
      </c>
      <c r="K2246" s="18">
        <v>10700000</v>
      </c>
      <c r="L2246" s="12">
        <f t="shared" si="195"/>
        <v>11888900</v>
      </c>
      <c r="M2246" s="8">
        <v>1</v>
      </c>
      <c r="N2246" s="8" t="s">
        <v>27</v>
      </c>
      <c r="O2246" s="13"/>
      <c r="P2246" s="14">
        <v>0</v>
      </c>
      <c r="Q2246" s="15">
        <v>0.1</v>
      </c>
      <c r="R2246" s="16" t="str">
        <f t="shared" si="196"/>
        <v>KOMODO</v>
      </c>
      <c r="S2246" s="17"/>
      <c r="T2246" s="10"/>
    </row>
    <row r="2247" spans="1:20" ht="27" customHeight="1" x14ac:dyDescent="0.25">
      <c r="A2247" s="8" t="s">
        <v>3977</v>
      </c>
      <c r="B2247" s="9"/>
      <c r="C2247" s="9"/>
      <c r="D2247" s="8"/>
      <c r="E2247" s="8"/>
      <c r="F2247" s="8"/>
      <c r="G2247" s="10"/>
      <c r="H2247" s="8" t="s">
        <v>4839</v>
      </c>
      <c r="I2247" s="10" t="s">
        <v>4840</v>
      </c>
      <c r="J2247" s="11" t="s">
        <v>33</v>
      </c>
      <c r="K2247" s="18">
        <v>44200</v>
      </c>
      <c r="L2247" s="12">
        <f t="shared" si="195"/>
        <v>49200</v>
      </c>
      <c r="M2247" s="8">
        <v>1</v>
      </c>
      <c r="N2247" s="8" t="s">
        <v>27</v>
      </c>
      <c r="O2247" s="13"/>
      <c r="P2247" s="14">
        <v>0</v>
      </c>
      <c r="Q2247" s="15">
        <v>0.1</v>
      </c>
      <c r="R2247" s="16" t="str">
        <f t="shared" si="196"/>
        <v>KOMODO</v>
      </c>
      <c r="S2247" s="17"/>
      <c r="T2247" s="10"/>
    </row>
    <row r="2248" spans="1:20" ht="27" customHeight="1" x14ac:dyDescent="0.25">
      <c r="A2248" s="8" t="s">
        <v>3977</v>
      </c>
      <c r="B2248" s="9"/>
      <c r="C2248" s="9"/>
      <c r="D2248" s="8"/>
      <c r="E2248" s="8"/>
      <c r="F2248" s="8"/>
      <c r="G2248" s="10"/>
      <c r="H2248" s="8" t="s">
        <v>4841</v>
      </c>
      <c r="I2248" s="10" t="s">
        <v>4842</v>
      </c>
      <c r="J2248" s="11" t="s">
        <v>33</v>
      </c>
      <c r="K2248" s="18">
        <v>27800</v>
      </c>
      <c r="L2248" s="12">
        <f t="shared" si="195"/>
        <v>30900</v>
      </c>
      <c r="M2248" s="8">
        <v>1</v>
      </c>
      <c r="N2248" s="8" t="s">
        <v>27</v>
      </c>
      <c r="O2248" s="13"/>
      <c r="P2248" s="14">
        <v>0</v>
      </c>
      <c r="Q2248" s="15">
        <v>0.1</v>
      </c>
      <c r="R2248" s="16" t="str">
        <f t="shared" si="196"/>
        <v>KOMODO</v>
      </c>
      <c r="S2248" s="17"/>
      <c r="T2248" s="10"/>
    </row>
    <row r="2249" spans="1:20" ht="27" customHeight="1" x14ac:dyDescent="0.25">
      <c r="A2249" s="8" t="s">
        <v>3977</v>
      </c>
      <c r="B2249" s="9"/>
      <c r="C2249" s="9"/>
      <c r="D2249" s="8"/>
      <c r="E2249" s="8"/>
      <c r="F2249" s="8"/>
      <c r="G2249" s="10"/>
      <c r="H2249" s="8" t="s">
        <v>4843</v>
      </c>
      <c r="I2249" s="10" t="s">
        <v>4844</v>
      </c>
      <c r="J2249" s="11" t="s">
        <v>33</v>
      </c>
      <c r="K2249" s="18">
        <v>268700</v>
      </c>
      <c r="L2249" s="12">
        <f t="shared" si="195"/>
        <v>298600</v>
      </c>
      <c r="M2249" s="8">
        <v>1</v>
      </c>
      <c r="N2249" s="8" t="s">
        <v>27</v>
      </c>
      <c r="O2249" s="13"/>
      <c r="P2249" s="14">
        <v>0</v>
      </c>
      <c r="Q2249" s="15">
        <v>0.1</v>
      </c>
      <c r="R2249" s="16" t="str">
        <f t="shared" si="196"/>
        <v>KOMODO</v>
      </c>
      <c r="S2249" s="17"/>
      <c r="T2249" s="10"/>
    </row>
    <row r="2250" spans="1:20" ht="27" customHeight="1" x14ac:dyDescent="0.25">
      <c r="A2250" s="8" t="s">
        <v>3977</v>
      </c>
      <c r="B2250" s="9"/>
      <c r="C2250" s="9"/>
      <c r="D2250" s="8"/>
      <c r="E2250" s="8"/>
      <c r="F2250" s="8"/>
      <c r="G2250" s="10"/>
      <c r="H2250" s="8" t="s">
        <v>4845</v>
      </c>
      <c r="I2250" s="10" t="s">
        <v>4846</v>
      </c>
      <c r="J2250" s="11" t="s">
        <v>33</v>
      </c>
      <c r="K2250" s="18">
        <v>607400</v>
      </c>
      <c r="L2250" s="12">
        <f t="shared" si="195"/>
        <v>674900</v>
      </c>
      <c r="M2250" s="8">
        <v>1</v>
      </c>
      <c r="N2250" s="8" t="s">
        <v>27</v>
      </c>
      <c r="O2250" s="13"/>
      <c r="P2250" s="14">
        <v>0</v>
      </c>
      <c r="Q2250" s="15">
        <v>0.1</v>
      </c>
      <c r="R2250" s="16" t="str">
        <f t="shared" si="196"/>
        <v>KOMODO</v>
      </c>
      <c r="S2250" s="17"/>
      <c r="T2250" s="10"/>
    </row>
    <row r="2251" spans="1:20" ht="27" customHeight="1" x14ac:dyDescent="0.25">
      <c r="A2251" s="8" t="s">
        <v>3977</v>
      </c>
      <c r="B2251" s="9"/>
      <c r="C2251" s="9"/>
      <c r="D2251" s="8"/>
      <c r="E2251" s="8"/>
      <c r="F2251" s="8"/>
      <c r="G2251" s="10"/>
      <c r="H2251" s="8" t="s">
        <v>4847</v>
      </c>
      <c r="I2251" s="10" t="s">
        <v>4848</v>
      </c>
      <c r="J2251" s="11" t="s">
        <v>33</v>
      </c>
      <c r="K2251" s="18">
        <v>3605600</v>
      </c>
      <c r="L2251" s="12">
        <f t="shared" si="195"/>
        <v>4006300</v>
      </c>
      <c r="M2251" s="8">
        <v>1</v>
      </c>
      <c r="N2251" s="8" t="s">
        <v>27</v>
      </c>
      <c r="O2251" s="13"/>
      <c r="P2251" s="14">
        <v>0</v>
      </c>
      <c r="Q2251" s="15">
        <v>0.1</v>
      </c>
      <c r="R2251" s="16" t="str">
        <f t="shared" si="196"/>
        <v>KOMODO</v>
      </c>
      <c r="S2251" s="17"/>
      <c r="T2251" s="10"/>
    </row>
    <row r="2252" spans="1:20" ht="27" customHeight="1" x14ac:dyDescent="0.25">
      <c r="A2252" s="8" t="s">
        <v>3977</v>
      </c>
      <c r="B2252" s="9"/>
      <c r="C2252" s="9"/>
      <c r="D2252" s="8"/>
      <c r="E2252" s="8"/>
      <c r="F2252" s="8"/>
      <c r="G2252" s="10"/>
      <c r="H2252" s="8" t="s">
        <v>4849</v>
      </c>
      <c r="I2252" s="10" t="s">
        <v>4850</v>
      </c>
      <c r="J2252" s="11" t="s">
        <v>33</v>
      </c>
      <c r="K2252" s="18">
        <v>402600</v>
      </c>
      <c r="L2252" s="12">
        <f t="shared" si="195"/>
        <v>447400</v>
      </c>
      <c r="M2252" s="8">
        <v>1</v>
      </c>
      <c r="N2252" s="8" t="s">
        <v>27</v>
      </c>
      <c r="O2252" s="13"/>
      <c r="P2252" s="14">
        <v>0</v>
      </c>
      <c r="Q2252" s="15">
        <v>0.1</v>
      </c>
      <c r="R2252" s="16" t="str">
        <f t="shared" si="196"/>
        <v>KOMODO</v>
      </c>
      <c r="S2252" s="17"/>
      <c r="T2252" s="10"/>
    </row>
    <row r="2253" spans="1:20" ht="27" customHeight="1" x14ac:dyDescent="0.25">
      <c r="A2253" s="8" t="s">
        <v>3977</v>
      </c>
      <c r="B2253" s="9"/>
      <c r="C2253" s="9"/>
      <c r="D2253" s="8"/>
      <c r="E2253" s="8"/>
      <c r="F2253" s="8"/>
      <c r="G2253" s="10"/>
      <c r="H2253" s="8" t="s">
        <v>4851</v>
      </c>
      <c r="I2253" s="10" t="s">
        <v>4852</v>
      </c>
      <c r="J2253" s="11" t="s">
        <v>33</v>
      </c>
      <c r="K2253" s="18">
        <v>1200000</v>
      </c>
      <c r="L2253" s="12">
        <f t="shared" si="195"/>
        <v>1333400</v>
      </c>
      <c r="M2253" s="8">
        <v>1</v>
      </c>
      <c r="N2253" s="8" t="s">
        <v>27</v>
      </c>
      <c r="O2253" s="13"/>
      <c r="P2253" s="14">
        <v>0</v>
      </c>
      <c r="Q2253" s="15">
        <v>0.1</v>
      </c>
      <c r="R2253" s="16" t="str">
        <f t="shared" si="196"/>
        <v>KOMODO</v>
      </c>
      <c r="S2253" s="17"/>
      <c r="T2253" s="10"/>
    </row>
    <row r="2254" spans="1:20" ht="27" customHeight="1" x14ac:dyDescent="0.25">
      <c r="A2254" s="8" t="s">
        <v>3977</v>
      </c>
      <c r="B2254" s="9"/>
      <c r="C2254" s="9"/>
      <c r="D2254" s="8"/>
      <c r="E2254" s="8"/>
      <c r="F2254" s="8"/>
      <c r="G2254" s="10"/>
      <c r="H2254" s="8" t="s">
        <v>4853</v>
      </c>
      <c r="I2254" s="10" t="s">
        <v>4854</v>
      </c>
      <c r="J2254" s="11" t="s">
        <v>33</v>
      </c>
      <c r="K2254" s="18">
        <v>1500000</v>
      </c>
      <c r="L2254" s="12">
        <f t="shared" si="195"/>
        <v>1666700</v>
      </c>
      <c r="M2254" s="8">
        <v>1</v>
      </c>
      <c r="N2254" s="8" t="s">
        <v>27</v>
      </c>
      <c r="O2254" s="13"/>
      <c r="P2254" s="14">
        <v>0</v>
      </c>
      <c r="Q2254" s="15">
        <v>0.1</v>
      </c>
      <c r="R2254" s="16" t="str">
        <f t="shared" si="196"/>
        <v>KOMODO</v>
      </c>
      <c r="S2254" s="17"/>
      <c r="T2254" s="10"/>
    </row>
    <row r="2255" spans="1:20" ht="27" customHeight="1" x14ac:dyDescent="0.25">
      <c r="A2255" s="8" t="s">
        <v>3977</v>
      </c>
      <c r="B2255" s="9"/>
      <c r="C2255" s="9"/>
      <c r="D2255" s="8"/>
      <c r="E2255" s="8"/>
      <c r="F2255" s="8"/>
      <c r="G2255" s="10"/>
      <c r="H2255" s="8" t="s">
        <v>4855</v>
      </c>
      <c r="I2255" s="10" t="s">
        <v>4856</v>
      </c>
      <c r="J2255" s="11" t="s">
        <v>33</v>
      </c>
      <c r="K2255" s="18">
        <v>1250000</v>
      </c>
      <c r="L2255" s="12">
        <f t="shared" si="195"/>
        <v>1388900</v>
      </c>
      <c r="M2255" s="8">
        <v>1</v>
      </c>
      <c r="N2255" s="8" t="s">
        <v>27</v>
      </c>
      <c r="O2255" s="13"/>
      <c r="P2255" s="14">
        <v>0</v>
      </c>
      <c r="Q2255" s="15">
        <v>0.1</v>
      </c>
      <c r="R2255" s="16" t="str">
        <f t="shared" si="196"/>
        <v>KOMODO</v>
      </c>
      <c r="S2255" s="17"/>
      <c r="T2255" s="10"/>
    </row>
    <row r="2256" spans="1:20" ht="27" customHeight="1" x14ac:dyDescent="0.25">
      <c r="A2256" s="8" t="s">
        <v>3977</v>
      </c>
      <c r="B2256" s="9"/>
      <c r="C2256" s="9"/>
      <c r="D2256" s="8"/>
      <c r="E2256" s="8"/>
      <c r="F2256" s="8"/>
      <c r="G2256" s="10"/>
      <c r="H2256" s="8" t="s">
        <v>4857</v>
      </c>
      <c r="I2256" s="10" t="s">
        <v>4858</v>
      </c>
      <c r="J2256" s="11" t="s">
        <v>33</v>
      </c>
      <c r="K2256" s="18">
        <v>75000</v>
      </c>
      <c r="L2256" s="12">
        <f>K2256*(1+P2256)/(1-Q2256)</f>
        <v>107142.85714285714</v>
      </c>
      <c r="M2256" s="8">
        <v>1</v>
      </c>
      <c r="N2256" s="8" t="s">
        <v>27</v>
      </c>
      <c r="O2256" s="13"/>
      <c r="P2256" s="14">
        <v>0</v>
      </c>
      <c r="Q2256" s="15">
        <v>0.3</v>
      </c>
      <c r="R2256" s="16" t="str">
        <f t="shared" si="196"/>
        <v>KOMODO</v>
      </c>
      <c r="S2256" s="17"/>
      <c r="T2256" s="10"/>
    </row>
    <row r="2257" spans="1:20" ht="27" customHeight="1" x14ac:dyDescent="0.25">
      <c r="A2257" s="8" t="s">
        <v>3977</v>
      </c>
      <c r="B2257" s="9"/>
      <c r="C2257" s="9"/>
      <c r="D2257" s="8"/>
      <c r="E2257" s="8"/>
      <c r="F2257" s="8"/>
      <c r="G2257" s="10"/>
      <c r="H2257" s="8" t="s">
        <v>4859</v>
      </c>
      <c r="I2257" s="10" t="s">
        <v>4860</v>
      </c>
      <c r="J2257" s="11" t="s">
        <v>33</v>
      </c>
      <c r="K2257" s="18">
        <v>10000</v>
      </c>
      <c r="L2257" s="12">
        <f>K2257*(1+P2257)/(1-Q2257)</f>
        <v>12500</v>
      </c>
      <c r="M2257" s="8">
        <v>1</v>
      </c>
      <c r="N2257" s="8" t="s">
        <v>27</v>
      </c>
      <c r="O2257" s="13"/>
      <c r="P2257" s="14">
        <v>0</v>
      </c>
      <c r="Q2257" s="15">
        <v>0.2</v>
      </c>
      <c r="R2257" s="16" t="str">
        <f t="shared" si="196"/>
        <v>KOMODO</v>
      </c>
      <c r="S2257" s="17"/>
      <c r="T2257" s="10"/>
    </row>
    <row r="2258" spans="1:20" ht="27" customHeight="1" x14ac:dyDescent="0.25">
      <c r="A2258" s="8" t="s">
        <v>3977</v>
      </c>
      <c r="B2258" s="9"/>
      <c r="C2258" s="9"/>
      <c r="D2258" s="8"/>
      <c r="E2258" s="8"/>
      <c r="F2258" s="8"/>
      <c r="G2258" s="10"/>
      <c r="H2258" s="8" t="s">
        <v>4861</v>
      </c>
      <c r="I2258" s="10" t="s">
        <v>4862</v>
      </c>
      <c r="J2258" s="11" t="s">
        <v>33</v>
      </c>
      <c r="K2258" s="18">
        <v>50000</v>
      </c>
      <c r="L2258" s="12">
        <f>K2258*(1+P2258)/(1-Q2258)</f>
        <v>100000</v>
      </c>
      <c r="M2258" s="8">
        <v>1</v>
      </c>
      <c r="N2258" s="8" t="s">
        <v>27</v>
      </c>
      <c r="O2258" s="13"/>
      <c r="P2258" s="14">
        <v>0.2</v>
      </c>
      <c r="Q2258" s="15">
        <v>0.4</v>
      </c>
      <c r="R2258" s="16" t="str">
        <f t="shared" si="196"/>
        <v>KOMODO</v>
      </c>
      <c r="S2258" s="17"/>
      <c r="T2258" s="10"/>
    </row>
    <row r="2259" spans="1:20" ht="27" customHeight="1" x14ac:dyDescent="0.25">
      <c r="A2259" s="8" t="s">
        <v>3977</v>
      </c>
      <c r="B2259" s="9"/>
      <c r="C2259" s="9"/>
      <c r="D2259" s="8"/>
      <c r="E2259" s="8"/>
      <c r="F2259" s="8"/>
      <c r="G2259" s="10"/>
      <c r="H2259" s="8" t="s">
        <v>4863</v>
      </c>
      <c r="I2259" s="10" t="s">
        <v>4864</v>
      </c>
      <c r="J2259" s="11" t="s">
        <v>697</v>
      </c>
      <c r="K2259" s="18">
        <v>20000</v>
      </c>
      <c r="L2259" s="12">
        <f>K2259*(1+P2259)/(1-Q2259)</f>
        <v>40000</v>
      </c>
      <c r="M2259" s="8">
        <v>1</v>
      </c>
      <c r="N2259" s="8" t="s">
        <v>27</v>
      </c>
      <c r="O2259" s="13"/>
      <c r="P2259" s="14">
        <v>0.2</v>
      </c>
      <c r="Q2259" s="15">
        <v>0.4</v>
      </c>
      <c r="R2259" s="16" t="str">
        <f t="shared" si="196"/>
        <v>KOMODO</v>
      </c>
      <c r="S2259" s="17"/>
      <c r="T2259" s="10"/>
    </row>
    <row r="2260" spans="1:20" ht="27" customHeight="1" x14ac:dyDescent="0.25">
      <c r="A2260" s="8" t="s">
        <v>3977</v>
      </c>
      <c r="B2260" s="9"/>
      <c r="C2260" s="9"/>
      <c r="D2260" s="8"/>
      <c r="E2260" s="8"/>
      <c r="F2260" s="8"/>
      <c r="G2260" s="10"/>
      <c r="H2260" s="8" t="s">
        <v>4865</v>
      </c>
      <c r="I2260" s="10" t="s">
        <v>4866</v>
      </c>
      <c r="J2260" s="11" t="s">
        <v>33</v>
      </c>
      <c r="K2260" s="18">
        <v>50000</v>
      </c>
      <c r="L2260" s="12">
        <f>K2260*(1+P2260)/(1-Q2260)</f>
        <v>100000</v>
      </c>
      <c r="M2260" s="8">
        <v>1</v>
      </c>
      <c r="N2260" s="8" t="s">
        <v>27</v>
      </c>
      <c r="O2260" s="13"/>
      <c r="P2260" s="14">
        <v>0.2</v>
      </c>
      <c r="Q2260" s="15">
        <v>0.4</v>
      </c>
      <c r="R2260" s="16" t="str">
        <f t="shared" si="196"/>
        <v>KOMODO</v>
      </c>
      <c r="S2260" s="17"/>
      <c r="T2260" s="10"/>
    </row>
    <row r="2261" spans="1:20" ht="27" customHeight="1" x14ac:dyDescent="0.25">
      <c r="A2261" s="8" t="s">
        <v>3977</v>
      </c>
      <c r="B2261" s="9"/>
      <c r="C2261" s="9"/>
      <c r="D2261" s="8"/>
      <c r="E2261" s="8"/>
      <c r="F2261" s="8"/>
      <c r="G2261" s="10"/>
      <c r="H2261" s="8" t="s">
        <v>4867</v>
      </c>
      <c r="I2261" s="10" t="s">
        <v>4868</v>
      </c>
      <c r="J2261" s="11" t="s">
        <v>33</v>
      </c>
      <c r="K2261" s="18">
        <v>40000</v>
      </c>
      <c r="L2261" s="12">
        <f>IF(J2261="P",ROUNDUP(K2261/(1-Q2261),-2),K2261*(1+P2261)/(1-Q2261))</f>
        <v>66700</v>
      </c>
      <c r="M2261" s="8">
        <v>1</v>
      </c>
      <c r="N2261" s="8" t="s">
        <v>27</v>
      </c>
      <c r="O2261" s="13"/>
      <c r="P2261" s="14">
        <v>0</v>
      </c>
      <c r="Q2261" s="15">
        <v>0.4</v>
      </c>
      <c r="R2261" s="16" t="str">
        <f t="shared" si="196"/>
        <v>KOMODO</v>
      </c>
      <c r="S2261" s="17"/>
      <c r="T2261" s="10"/>
    </row>
    <row r="2262" spans="1:20" ht="27" customHeight="1" x14ac:dyDescent="0.25">
      <c r="A2262" s="8" t="s">
        <v>3977</v>
      </c>
      <c r="B2262" s="9"/>
      <c r="C2262" s="9"/>
      <c r="D2262" s="8"/>
      <c r="E2262" s="8"/>
      <c r="F2262" s="8"/>
      <c r="G2262" s="10"/>
      <c r="H2262" s="8" t="s">
        <v>4869</v>
      </c>
      <c r="I2262" s="10" t="s">
        <v>4870</v>
      </c>
      <c r="J2262" s="11" t="s">
        <v>33</v>
      </c>
      <c r="K2262" s="18">
        <v>35000</v>
      </c>
      <c r="L2262" s="12">
        <f>IF(J2262="P",ROUNDUP(K2262/(1-Q2262),-2),K2262*(1+P2262)/(1-Q2262))</f>
        <v>58400</v>
      </c>
      <c r="M2262" s="8">
        <v>1</v>
      </c>
      <c r="N2262" s="8" t="s">
        <v>27</v>
      </c>
      <c r="O2262" s="13"/>
      <c r="P2262" s="14">
        <v>0</v>
      </c>
      <c r="Q2262" s="15">
        <v>0.4</v>
      </c>
      <c r="R2262" s="16" t="str">
        <f t="shared" si="196"/>
        <v>KOMODO</v>
      </c>
      <c r="S2262" s="17"/>
      <c r="T2262" s="10"/>
    </row>
    <row r="2263" spans="1:20" ht="27" customHeight="1" x14ac:dyDescent="0.25">
      <c r="A2263" s="8" t="s">
        <v>3977</v>
      </c>
      <c r="B2263" s="9"/>
      <c r="C2263" s="9"/>
      <c r="D2263" s="8"/>
      <c r="E2263" s="8"/>
      <c r="F2263" s="8"/>
      <c r="G2263" s="10"/>
      <c r="H2263" s="8" t="s">
        <v>4871</v>
      </c>
      <c r="I2263" s="10" t="s">
        <v>4872</v>
      </c>
      <c r="J2263" s="11" t="s">
        <v>33</v>
      </c>
      <c r="K2263" s="18">
        <v>15000</v>
      </c>
      <c r="L2263" s="12">
        <f>IF(J2263="P",ROUNDUP(K2263/(1-Q2263),-2),K2263*(1+P2263)/(1-Q2263))</f>
        <v>25000</v>
      </c>
      <c r="M2263" s="8">
        <v>1</v>
      </c>
      <c r="N2263" s="8" t="s">
        <v>27</v>
      </c>
      <c r="O2263" s="13"/>
      <c r="P2263" s="14">
        <v>0</v>
      </c>
      <c r="Q2263" s="15">
        <v>0.4</v>
      </c>
      <c r="R2263" s="16" t="str">
        <f t="shared" si="196"/>
        <v>KOMODO</v>
      </c>
      <c r="S2263" s="17"/>
      <c r="T2263" s="10"/>
    </row>
    <row r="2264" spans="1:20" ht="27" customHeight="1" x14ac:dyDescent="0.25">
      <c r="A2264" s="8" t="s">
        <v>3977</v>
      </c>
      <c r="B2264" s="9"/>
      <c r="C2264" s="9"/>
      <c r="D2264" s="8"/>
      <c r="E2264" s="8"/>
      <c r="F2264" s="8"/>
      <c r="G2264" s="10"/>
      <c r="H2264" s="8" t="s">
        <v>4873</v>
      </c>
      <c r="I2264" s="10" t="s">
        <v>4874</v>
      </c>
      <c r="J2264" s="11" t="s">
        <v>33</v>
      </c>
      <c r="K2264" s="18">
        <v>35000</v>
      </c>
      <c r="L2264" s="12">
        <f>IF(J2264="P",ROUNDUP(K2264/(1-Q2264),-2),K2264*(1+P2264)/(1-Q2264))</f>
        <v>58400</v>
      </c>
      <c r="M2264" s="8">
        <v>1</v>
      </c>
      <c r="N2264" s="8" t="s">
        <v>27</v>
      </c>
      <c r="O2264" s="13"/>
      <c r="P2264" s="14">
        <v>0</v>
      </c>
      <c r="Q2264" s="15">
        <v>0.4</v>
      </c>
      <c r="R2264" s="16" t="str">
        <f t="shared" si="196"/>
        <v>KOMODO</v>
      </c>
      <c r="S2264" s="17"/>
      <c r="T2264" s="10"/>
    </row>
    <row r="2265" spans="1:20" ht="27" customHeight="1" x14ac:dyDescent="0.25">
      <c r="A2265" s="8" t="s">
        <v>3977</v>
      </c>
      <c r="B2265" s="9"/>
      <c r="C2265" s="9"/>
      <c r="D2265" s="8"/>
      <c r="E2265" s="8"/>
      <c r="F2265" s="8"/>
      <c r="G2265" s="10"/>
      <c r="H2265" s="8" t="s">
        <v>4875</v>
      </c>
      <c r="I2265" s="10" t="s">
        <v>4876</v>
      </c>
      <c r="J2265" s="11" t="s">
        <v>33</v>
      </c>
      <c r="K2265" s="18">
        <v>50000</v>
      </c>
      <c r="L2265" s="12">
        <f>K2265*(1+P2265)/(1-Q2265)</f>
        <v>62500</v>
      </c>
      <c r="M2265" s="8">
        <v>1</v>
      </c>
      <c r="N2265" s="8" t="s">
        <v>27</v>
      </c>
      <c r="O2265" s="13"/>
      <c r="P2265" s="14">
        <v>0</v>
      </c>
      <c r="Q2265" s="15">
        <v>0.2</v>
      </c>
      <c r="R2265" s="16" t="str">
        <f t="shared" si="196"/>
        <v>KOMODO</v>
      </c>
      <c r="S2265" s="17"/>
      <c r="T2265" s="10"/>
    </row>
    <row r="2266" spans="1:20" ht="27" customHeight="1" x14ac:dyDescent="0.25">
      <c r="A2266" s="8" t="s">
        <v>3977</v>
      </c>
      <c r="B2266" s="9"/>
      <c r="C2266" s="9"/>
      <c r="D2266" s="8"/>
      <c r="E2266" s="8"/>
      <c r="F2266" s="8"/>
      <c r="G2266" s="10"/>
      <c r="H2266" s="8" t="s">
        <v>4877</v>
      </c>
      <c r="I2266" s="10" t="s">
        <v>4878</v>
      </c>
      <c r="J2266" s="11" t="s">
        <v>33</v>
      </c>
      <c r="K2266" s="18">
        <v>25000</v>
      </c>
      <c r="L2266" s="12">
        <f>K2266*(1+P2266)/(1-Q2266)</f>
        <v>38461.538461538461</v>
      </c>
      <c r="M2266" s="8">
        <v>1</v>
      </c>
      <c r="N2266" s="8" t="s">
        <v>27</v>
      </c>
      <c r="O2266" s="13"/>
      <c r="P2266" s="14">
        <v>0.2</v>
      </c>
      <c r="Q2266" s="15">
        <v>0.22</v>
      </c>
      <c r="R2266" s="16" t="str">
        <f t="shared" si="196"/>
        <v>KOMODO</v>
      </c>
      <c r="S2266" s="17"/>
      <c r="T2266" s="10"/>
    </row>
    <row r="2267" spans="1:20" ht="27" customHeight="1" x14ac:dyDescent="0.25">
      <c r="A2267" s="8" t="s">
        <v>3977</v>
      </c>
      <c r="B2267" s="9"/>
      <c r="C2267" s="9"/>
      <c r="D2267" s="8"/>
      <c r="E2267" s="8"/>
      <c r="F2267" s="8"/>
      <c r="G2267" s="10"/>
      <c r="H2267" s="8" t="s">
        <v>4879</v>
      </c>
      <c r="I2267" s="10" t="s">
        <v>4880</v>
      </c>
      <c r="J2267" s="11" t="s">
        <v>33</v>
      </c>
      <c r="K2267" s="18">
        <v>135000</v>
      </c>
      <c r="L2267" s="12">
        <f>K2267*(1+P2267)/(1-Q2267)</f>
        <v>207692.30769230769</v>
      </c>
      <c r="M2267" s="8">
        <v>1</v>
      </c>
      <c r="N2267" s="8" t="s">
        <v>27</v>
      </c>
      <c r="O2267" s="13"/>
      <c r="P2267" s="14">
        <v>0.2</v>
      </c>
      <c r="Q2267" s="15">
        <v>0.22</v>
      </c>
      <c r="R2267" s="16" t="str">
        <f t="shared" si="196"/>
        <v>KOMODO</v>
      </c>
      <c r="S2267" s="17"/>
      <c r="T2267" s="10"/>
    </row>
    <row r="2268" spans="1:20" ht="27" customHeight="1" x14ac:dyDescent="0.25">
      <c r="A2268" s="8" t="s">
        <v>3977</v>
      </c>
      <c r="B2268" s="9"/>
      <c r="C2268" s="9"/>
      <c r="D2268" s="8"/>
      <c r="E2268" s="8"/>
      <c r="F2268" s="8"/>
      <c r="G2268" s="10"/>
      <c r="H2268" s="8" t="s">
        <v>4881</v>
      </c>
      <c r="I2268" s="10" t="s">
        <v>4882</v>
      </c>
      <c r="J2268" s="11" t="s">
        <v>33</v>
      </c>
      <c r="K2268" s="18">
        <v>65000</v>
      </c>
      <c r="L2268" s="12">
        <f>IF(J2268="P",ROUNDUP(K2268/(1-Q2268),-2),K2268*(1+P2268)/(1-Q2268))</f>
        <v>108400</v>
      </c>
      <c r="M2268" s="8">
        <v>1</v>
      </c>
      <c r="N2268" s="8" t="s">
        <v>27</v>
      </c>
      <c r="O2268" s="13"/>
      <c r="P2268" s="14">
        <v>0</v>
      </c>
      <c r="Q2268" s="15">
        <v>0.4</v>
      </c>
      <c r="R2268" s="16" t="str">
        <f t="shared" si="196"/>
        <v>KOMODO</v>
      </c>
      <c r="S2268" s="17"/>
      <c r="T2268" s="10"/>
    </row>
    <row r="2269" spans="1:20" ht="27" customHeight="1" x14ac:dyDescent="0.25">
      <c r="A2269" s="8" t="s">
        <v>3977</v>
      </c>
      <c r="B2269" s="9"/>
      <c r="C2269" s="9"/>
      <c r="D2269" s="8"/>
      <c r="E2269" s="8"/>
      <c r="F2269" s="8"/>
      <c r="G2269" s="10"/>
      <c r="H2269" s="8" t="s">
        <v>4883</v>
      </c>
      <c r="I2269" s="10" t="s">
        <v>4884</v>
      </c>
      <c r="J2269" s="11" t="s">
        <v>33</v>
      </c>
      <c r="K2269" s="18">
        <v>38000</v>
      </c>
      <c r="L2269" s="12">
        <f>K2269*(1+P2269)/(1-Q2269)</f>
        <v>63333.333333333336</v>
      </c>
      <c r="M2269" s="8">
        <v>1</v>
      </c>
      <c r="N2269" s="8" t="s">
        <v>27</v>
      </c>
      <c r="O2269" s="13"/>
      <c r="P2269" s="14">
        <v>0</v>
      </c>
      <c r="Q2269" s="15">
        <v>0.4</v>
      </c>
      <c r="R2269" s="16" t="str">
        <f t="shared" si="196"/>
        <v>KOMODO</v>
      </c>
      <c r="S2269" s="17"/>
      <c r="T2269" s="10"/>
    </row>
    <row r="2270" spans="1:20" ht="27" customHeight="1" x14ac:dyDescent="0.25">
      <c r="A2270" s="8" t="s">
        <v>3977</v>
      </c>
      <c r="B2270" s="9"/>
      <c r="C2270" s="9"/>
      <c r="D2270" s="8"/>
      <c r="E2270" s="8"/>
      <c r="F2270" s="8"/>
      <c r="G2270" s="10"/>
      <c r="H2270" s="8" t="s">
        <v>4885</v>
      </c>
      <c r="I2270" s="10" t="s">
        <v>4886</v>
      </c>
      <c r="J2270" s="11" t="s">
        <v>33</v>
      </c>
      <c r="K2270" s="18">
        <v>450000</v>
      </c>
      <c r="L2270" s="12">
        <f>K2270*(1+P2270)/(1-Q2270)</f>
        <v>642857.14285714284</v>
      </c>
      <c r="M2270" s="8">
        <v>1</v>
      </c>
      <c r="N2270" s="8" t="s">
        <v>27</v>
      </c>
      <c r="O2270" s="13"/>
      <c r="P2270" s="14">
        <v>0</v>
      </c>
      <c r="Q2270" s="15">
        <v>0.3</v>
      </c>
      <c r="R2270" s="16" t="str">
        <f t="shared" si="196"/>
        <v>KOMODO</v>
      </c>
      <c r="S2270" s="17"/>
      <c r="T2270" s="10"/>
    </row>
    <row r="2271" spans="1:20" ht="27" customHeight="1" x14ac:dyDescent="0.25">
      <c r="A2271" s="8" t="s">
        <v>3977</v>
      </c>
      <c r="B2271" s="9"/>
      <c r="C2271" s="9"/>
      <c r="D2271" s="8"/>
      <c r="E2271" s="8"/>
      <c r="F2271" s="8"/>
      <c r="G2271" s="10"/>
      <c r="H2271" s="8" t="s">
        <v>4887</v>
      </c>
      <c r="I2271" s="10" t="s">
        <v>4888</v>
      </c>
      <c r="J2271" s="11" t="s">
        <v>33</v>
      </c>
      <c r="K2271" s="18">
        <v>50000</v>
      </c>
      <c r="L2271" s="12">
        <f>K2271*(1+P2271)/(1-Q2271)</f>
        <v>87580.953594615217</v>
      </c>
      <c r="M2271" s="8">
        <v>1</v>
      </c>
      <c r="N2271" s="8" t="s">
        <v>27</v>
      </c>
      <c r="O2271" s="13"/>
      <c r="P2271" s="14">
        <v>0.2</v>
      </c>
      <c r="Q2271" s="15">
        <v>0.31491953972411402</v>
      </c>
      <c r="R2271" s="16" t="str">
        <f t="shared" si="196"/>
        <v>KOMODO</v>
      </c>
      <c r="S2271" s="17"/>
      <c r="T2271" s="10"/>
    </row>
    <row r="2272" spans="1:20" ht="27" customHeight="1" x14ac:dyDescent="0.25">
      <c r="A2272" s="8" t="s">
        <v>3977</v>
      </c>
      <c r="B2272" s="9"/>
      <c r="C2272" s="9"/>
      <c r="D2272" s="8"/>
      <c r="E2272" s="8"/>
      <c r="F2272" s="8"/>
      <c r="G2272" s="10"/>
      <c r="H2272" s="8" t="s">
        <v>4889</v>
      </c>
      <c r="I2272" s="10" t="s">
        <v>4890</v>
      </c>
      <c r="J2272" s="11" t="s">
        <v>33</v>
      </c>
      <c r="K2272" s="18">
        <v>350000</v>
      </c>
      <c r="L2272" s="12">
        <f>K2272*(1+P2272)/(1-Q2272)</f>
        <v>613066.67516230652</v>
      </c>
      <c r="M2272" s="8">
        <v>1</v>
      </c>
      <c r="N2272" s="8" t="s">
        <v>27</v>
      </c>
      <c r="O2272" s="13"/>
      <c r="P2272" s="14">
        <v>0.2</v>
      </c>
      <c r="Q2272" s="15">
        <v>0.31491953972411402</v>
      </c>
      <c r="R2272" s="16" t="str">
        <f t="shared" si="196"/>
        <v>KOMODO</v>
      </c>
      <c r="S2272" s="17"/>
      <c r="T2272" s="10"/>
    </row>
    <row r="2273" spans="1:20" ht="27" customHeight="1" x14ac:dyDescent="0.25">
      <c r="A2273" s="8" t="s">
        <v>3977</v>
      </c>
      <c r="B2273" s="9"/>
      <c r="C2273" s="9"/>
      <c r="D2273" s="8"/>
      <c r="E2273" s="8"/>
      <c r="F2273" s="8"/>
      <c r="G2273" s="10"/>
      <c r="H2273" s="8" t="s">
        <v>4891</v>
      </c>
      <c r="I2273" s="10" t="s">
        <v>4892</v>
      </c>
      <c r="J2273" s="11" t="s">
        <v>33</v>
      </c>
      <c r="K2273" s="18">
        <v>120000</v>
      </c>
      <c r="L2273" s="12">
        <f>ROUNDUP(K2273*(1+P2273)/(1-Q2273),0)</f>
        <v>171429</v>
      </c>
      <c r="M2273" s="8">
        <v>1</v>
      </c>
      <c r="N2273" s="8" t="s">
        <v>27</v>
      </c>
      <c r="O2273" s="13"/>
      <c r="P2273" s="14">
        <v>0</v>
      </c>
      <c r="Q2273" s="15">
        <v>0.3</v>
      </c>
      <c r="R2273" s="16" t="str">
        <f t="shared" si="196"/>
        <v>KOMODO</v>
      </c>
      <c r="S2273" s="17"/>
      <c r="T2273" s="10"/>
    </row>
    <row r="2274" spans="1:20" ht="27" customHeight="1" x14ac:dyDescent="0.25">
      <c r="A2274" s="8" t="s">
        <v>3977</v>
      </c>
      <c r="B2274" s="9"/>
      <c r="C2274" s="9"/>
      <c r="D2274" s="8"/>
      <c r="E2274" s="8"/>
      <c r="F2274" s="8"/>
      <c r="G2274" s="10"/>
      <c r="H2274" s="8" t="s">
        <v>4893</v>
      </c>
      <c r="I2274" s="10" t="s">
        <v>4894</v>
      </c>
      <c r="J2274" s="11" t="s">
        <v>26</v>
      </c>
      <c r="K2274" s="18">
        <v>10.5</v>
      </c>
      <c r="L2274" s="12">
        <f>ROUNDUP(K2274*(1+P2274)/(1-Q2274),0)</f>
        <v>16</v>
      </c>
      <c r="M2274" s="8">
        <v>1</v>
      </c>
      <c r="N2274" s="8" t="s">
        <v>27</v>
      </c>
      <c r="O2274" s="13"/>
      <c r="P2274" s="14">
        <v>0.2</v>
      </c>
      <c r="Q2274" s="15">
        <v>0.2</v>
      </c>
      <c r="R2274" s="16" t="str">
        <f t="shared" si="196"/>
        <v>KOMODO</v>
      </c>
      <c r="S2274" s="17"/>
      <c r="T2274" s="10"/>
    </row>
    <row r="2275" spans="1:20" ht="27" customHeight="1" x14ac:dyDescent="0.25">
      <c r="A2275" s="8" t="s">
        <v>3977</v>
      </c>
      <c r="B2275" s="9"/>
      <c r="C2275" s="9"/>
      <c r="D2275" s="8"/>
      <c r="E2275" s="8"/>
      <c r="F2275" s="8"/>
      <c r="G2275" s="10"/>
      <c r="H2275" s="8" t="s">
        <v>4895</v>
      </c>
      <c r="I2275" s="10" t="s">
        <v>4896</v>
      </c>
      <c r="J2275" s="11" t="s">
        <v>33</v>
      </c>
      <c r="K2275" s="18">
        <v>140000</v>
      </c>
      <c r="L2275" s="12">
        <f>ROUNDUP(K2275*(1+P2275)/(1-Q2275),0)</f>
        <v>186667</v>
      </c>
      <c r="M2275" s="8">
        <v>1</v>
      </c>
      <c r="N2275" s="8" t="s">
        <v>27</v>
      </c>
      <c r="O2275" s="13"/>
      <c r="P2275" s="14">
        <v>0</v>
      </c>
      <c r="Q2275" s="15">
        <v>0.25</v>
      </c>
      <c r="R2275" s="16" t="str">
        <f t="shared" si="196"/>
        <v>KOMODO</v>
      </c>
      <c r="S2275" s="17"/>
      <c r="T2275" s="10"/>
    </row>
    <row r="2276" spans="1:20" ht="27" customHeight="1" x14ac:dyDescent="0.25">
      <c r="A2276" s="8" t="s">
        <v>3977</v>
      </c>
      <c r="B2276" s="9"/>
      <c r="C2276" s="9"/>
      <c r="D2276" s="8"/>
      <c r="E2276" s="8"/>
      <c r="F2276" s="8"/>
      <c r="G2276" s="10"/>
      <c r="H2276" s="8" t="s">
        <v>4897</v>
      </c>
      <c r="I2276" s="10" t="s">
        <v>4898</v>
      </c>
      <c r="J2276" s="11" t="s">
        <v>33</v>
      </c>
      <c r="K2276" s="18">
        <v>25000</v>
      </c>
      <c r="L2276" s="12">
        <f>ROUNDUP(K2276*(1+P2276)/(1-Q2276),0)</f>
        <v>35715</v>
      </c>
      <c r="M2276" s="8">
        <v>1</v>
      </c>
      <c r="N2276" s="8" t="s">
        <v>27</v>
      </c>
      <c r="O2276" s="13"/>
      <c r="P2276" s="14">
        <v>0</v>
      </c>
      <c r="Q2276" s="15">
        <v>0.3</v>
      </c>
      <c r="R2276" s="16" t="str">
        <f t="shared" si="196"/>
        <v>KOMODO</v>
      </c>
      <c r="S2276" s="17"/>
      <c r="T2276" s="10"/>
    </row>
    <row r="2277" spans="1:20" ht="27" customHeight="1" x14ac:dyDescent="0.25">
      <c r="A2277" s="8" t="s">
        <v>3977</v>
      </c>
      <c r="B2277" s="9"/>
      <c r="C2277" s="9"/>
      <c r="D2277" s="8"/>
      <c r="E2277" s="8"/>
      <c r="F2277" s="8"/>
      <c r="G2277" s="10"/>
      <c r="H2277" s="8" t="s">
        <v>4899</v>
      </c>
      <c r="I2277" s="10" t="s">
        <v>4900</v>
      </c>
      <c r="J2277" s="11" t="s">
        <v>33</v>
      </c>
      <c r="K2277" s="18">
        <v>50000</v>
      </c>
      <c r="L2277" s="12">
        <f>K2277*(1+P2277)/(1-Q2277)</f>
        <v>71428.571428571435</v>
      </c>
      <c r="M2277" s="8">
        <v>1</v>
      </c>
      <c r="N2277" s="8" t="s">
        <v>27</v>
      </c>
      <c r="O2277" s="13"/>
      <c r="P2277" s="14">
        <v>0</v>
      </c>
      <c r="Q2277" s="15">
        <v>0.3</v>
      </c>
      <c r="R2277" s="16" t="str">
        <f t="shared" si="196"/>
        <v>KOMODO</v>
      </c>
      <c r="S2277" s="17"/>
      <c r="T2277" s="10"/>
    </row>
    <row r="2278" spans="1:20" ht="27" customHeight="1" x14ac:dyDescent="0.25">
      <c r="A2278" s="8" t="s">
        <v>3977</v>
      </c>
      <c r="B2278" s="9"/>
      <c r="C2278" s="9"/>
      <c r="D2278" s="8"/>
      <c r="E2278" s="8"/>
      <c r="F2278" s="8"/>
      <c r="G2278" s="10"/>
      <c r="H2278" s="8" t="s">
        <v>4901</v>
      </c>
      <c r="I2278" s="10" t="s">
        <v>4902</v>
      </c>
      <c r="J2278" s="11" t="s">
        <v>33</v>
      </c>
      <c r="K2278" s="18">
        <v>100000</v>
      </c>
      <c r="L2278" s="12">
        <f>K2278*(1+P2278)/(1-Q2278)</f>
        <v>200000</v>
      </c>
      <c r="M2278" s="8">
        <v>1</v>
      </c>
      <c r="N2278" s="8" t="s">
        <v>27</v>
      </c>
      <c r="O2278" s="13"/>
      <c r="P2278" s="14">
        <v>0.2</v>
      </c>
      <c r="Q2278" s="15">
        <v>0.4</v>
      </c>
      <c r="R2278" s="16" t="str">
        <f t="shared" si="196"/>
        <v>KOMODO</v>
      </c>
      <c r="S2278" s="17"/>
      <c r="T2278" s="10"/>
    </row>
    <row r="2279" spans="1:20" ht="27" customHeight="1" x14ac:dyDescent="0.25">
      <c r="A2279" s="8" t="s">
        <v>3977</v>
      </c>
      <c r="B2279" s="9"/>
      <c r="C2279" s="9"/>
      <c r="D2279" s="8"/>
      <c r="E2279" s="8"/>
      <c r="F2279" s="8"/>
      <c r="G2279" s="10"/>
      <c r="H2279" s="8" t="s">
        <v>4903</v>
      </c>
      <c r="I2279" s="10" t="s">
        <v>4904</v>
      </c>
      <c r="J2279" s="11" t="s">
        <v>33</v>
      </c>
      <c r="K2279" s="18">
        <v>80000</v>
      </c>
      <c r="L2279" s="12">
        <f>K2279*(1+P2279)/(1-Q2279)</f>
        <v>133333.33333333334</v>
      </c>
      <c r="M2279" s="8">
        <v>1</v>
      </c>
      <c r="N2279" s="8" t="s">
        <v>27</v>
      </c>
      <c r="O2279" s="13"/>
      <c r="P2279" s="14">
        <v>0</v>
      </c>
      <c r="Q2279" s="15">
        <v>0.4</v>
      </c>
      <c r="R2279" s="16" t="str">
        <f t="shared" si="196"/>
        <v>KOMODO</v>
      </c>
      <c r="S2279" s="17"/>
      <c r="T2279" s="10"/>
    </row>
    <row r="2280" spans="1:20" ht="27" customHeight="1" x14ac:dyDescent="0.25">
      <c r="A2280" s="8" t="s">
        <v>3977</v>
      </c>
      <c r="B2280" s="9"/>
      <c r="C2280" s="9"/>
      <c r="D2280" s="8"/>
      <c r="E2280" s="8"/>
      <c r="F2280" s="8"/>
      <c r="G2280" s="10"/>
      <c r="H2280" s="8" t="s">
        <v>4905</v>
      </c>
      <c r="I2280" s="10" t="s">
        <v>4906</v>
      </c>
      <c r="J2280" s="11" t="s">
        <v>33</v>
      </c>
      <c r="K2280" s="18">
        <v>100000</v>
      </c>
      <c r="L2280" s="12">
        <f>K2280*(1+P2280)/(1-Q2280)</f>
        <v>166666.66666666669</v>
      </c>
      <c r="M2280" s="8">
        <v>1</v>
      </c>
      <c r="N2280" s="8" t="s">
        <v>27</v>
      </c>
      <c r="O2280" s="13"/>
      <c r="P2280" s="14">
        <v>0</v>
      </c>
      <c r="Q2280" s="15">
        <v>0.4</v>
      </c>
      <c r="R2280" s="16" t="str">
        <f t="shared" si="196"/>
        <v>KOMODO</v>
      </c>
      <c r="S2280" s="17"/>
      <c r="T2280" s="10"/>
    </row>
    <row r="2281" spans="1:20" ht="27" customHeight="1" x14ac:dyDescent="0.25">
      <c r="A2281" s="8" t="s">
        <v>3977</v>
      </c>
      <c r="B2281" s="9"/>
      <c r="C2281" s="9"/>
      <c r="D2281" s="8"/>
      <c r="E2281" s="8"/>
      <c r="F2281" s="8"/>
      <c r="G2281" s="10"/>
      <c r="H2281" s="8" t="s">
        <v>4907</v>
      </c>
      <c r="I2281" s="10" t="s">
        <v>4908</v>
      </c>
      <c r="J2281" s="11" t="s">
        <v>33</v>
      </c>
      <c r="K2281" s="18">
        <v>2000000</v>
      </c>
      <c r="L2281" s="12">
        <f>IF(J2281="P",ROUNDUP(K2281/(1-Q2281),-2),K2281*(1+P2281)/(1-Q2281))</f>
        <v>2857200</v>
      </c>
      <c r="M2281" s="8">
        <v>1</v>
      </c>
      <c r="N2281" s="8" t="s">
        <v>27</v>
      </c>
      <c r="O2281" s="13" t="s">
        <v>588</v>
      </c>
      <c r="P2281" s="14">
        <v>0</v>
      </c>
      <c r="Q2281" s="15">
        <v>0.3</v>
      </c>
      <c r="R2281" s="16" t="str">
        <f t="shared" si="196"/>
        <v>KOMODO</v>
      </c>
      <c r="S2281" s="17"/>
      <c r="T2281" s="10"/>
    </row>
    <row r="2282" spans="1:20" ht="27" customHeight="1" x14ac:dyDescent="0.25">
      <c r="A2282" s="8" t="s">
        <v>3977</v>
      </c>
      <c r="B2282" s="9"/>
      <c r="C2282" s="9"/>
      <c r="D2282" s="8"/>
      <c r="E2282" s="8"/>
      <c r="F2282" s="8"/>
      <c r="G2282" s="10"/>
      <c r="H2282" s="8" t="s">
        <v>4909</v>
      </c>
      <c r="I2282" s="10" t="s">
        <v>4910</v>
      </c>
      <c r="J2282" s="11" t="s">
        <v>33</v>
      </c>
      <c r="K2282" s="18">
        <v>180000</v>
      </c>
      <c r="L2282" s="12">
        <f>IF(J2282="P",ROUNDUP(K2282/(1-Q2282),-2),K2282*(1+P2282)/(1-Q2282))</f>
        <v>257200</v>
      </c>
      <c r="M2282" s="8">
        <v>1</v>
      </c>
      <c r="N2282" s="8" t="s">
        <v>27</v>
      </c>
      <c r="O2282" s="13"/>
      <c r="P2282" s="14">
        <v>0</v>
      </c>
      <c r="Q2282" s="15">
        <v>0.3</v>
      </c>
      <c r="R2282" s="16" t="str">
        <f t="shared" si="196"/>
        <v>KOMODO</v>
      </c>
      <c r="S2282" s="17"/>
      <c r="T2282" s="10"/>
    </row>
    <row r="2283" spans="1:20" ht="27" customHeight="1" x14ac:dyDescent="0.25">
      <c r="A2283" s="8" t="s">
        <v>3977</v>
      </c>
      <c r="B2283" s="9"/>
      <c r="C2283" s="9"/>
      <c r="D2283" s="8"/>
      <c r="E2283" s="8"/>
      <c r="F2283" s="8"/>
      <c r="G2283" s="10"/>
      <c r="H2283" s="8" t="s">
        <v>4911</v>
      </c>
      <c r="I2283" s="10" t="s">
        <v>4912</v>
      </c>
      <c r="J2283" s="11" t="s">
        <v>33</v>
      </c>
      <c r="K2283" s="18">
        <v>90000</v>
      </c>
      <c r="L2283" s="12">
        <f>IF(J2283="P",ROUNDUP(K2283/(1-Q2283),-2),K2283*(1+P2283)/(1-Q2283))</f>
        <v>128600</v>
      </c>
      <c r="M2283" s="8">
        <v>1</v>
      </c>
      <c r="N2283" s="8" t="s">
        <v>27</v>
      </c>
      <c r="O2283" s="13"/>
      <c r="P2283" s="14">
        <v>0.2</v>
      </c>
      <c r="Q2283" s="15">
        <v>0.3</v>
      </c>
      <c r="R2283" s="16" t="str">
        <f t="shared" si="196"/>
        <v>KOMODO</v>
      </c>
      <c r="S2283" s="17"/>
      <c r="T2283" s="10"/>
    </row>
    <row r="2284" spans="1:20" ht="27" customHeight="1" x14ac:dyDescent="0.25">
      <c r="A2284" s="8" t="s">
        <v>3977</v>
      </c>
      <c r="B2284" s="9"/>
      <c r="C2284" s="9"/>
      <c r="D2284" s="8"/>
      <c r="E2284" s="8"/>
      <c r="F2284" s="8"/>
      <c r="G2284" s="10"/>
      <c r="H2284" s="8" t="s">
        <v>4913</v>
      </c>
      <c r="I2284" s="10" t="s">
        <v>4914</v>
      </c>
      <c r="J2284" s="11" t="s">
        <v>33</v>
      </c>
      <c r="K2284" s="18">
        <v>15000</v>
      </c>
      <c r="L2284" s="12">
        <f>IF(J2284="P",ROUNDUP(K2284/(1-Q2284),-2),K2284*(1+P2284)/(1-Q2284))</f>
        <v>25000</v>
      </c>
      <c r="M2284" s="8">
        <v>1</v>
      </c>
      <c r="N2284" s="8" t="s">
        <v>27</v>
      </c>
      <c r="O2284" s="13"/>
      <c r="P2284" s="14">
        <v>0</v>
      </c>
      <c r="Q2284" s="15">
        <v>0.4</v>
      </c>
      <c r="R2284" s="16" t="str">
        <f t="shared" si="196"/>
        <v>KOMODO</v>
      </c>
      <c r="S2284" s="17"/>
      <c r="T2284" s="10"/>
    </row>
    <row r="2285" spans="1:20" ht="27" customHeight="1" x14ac:dyDescent="0.25">
      <c r="A2285" s="8" t="s">
        <v>3977</v>
      </c>
      <c r="B2285" s="9"/>
      <c r="C2285" s="9"/>
      <c r="D2285" s="8"/>
      <c r="E2285" s="8"/>
      <c r="F2285" s="8"/>
      <c r="G2285" s="10"/>
      <c r="H2285" s="8" t="s">
        <v>4915</v>
      </c>
      <c r="I2285" s="10" t="s">
        <v>4916</v>
      </c>
      <c r="J2285" s="11" t="s">
        <v>26</v>
      </c>
      <c r="K2285" s="18">
        <v>5</v>
      </c>
      <c r="L2285" s="12">
        <f>IF(J2285="P",ROUNDUP(K2285/(1-Q2285),-2),K2285*(1+P2285)/(1-Q2285))</f>
        <v>10</v>
      </c>
      <c r="M2285" s="8">
        <v>1</v>
      </c>
      <c r="N2285" s="8" t="s">
        <v>27</v>
      </c>
      <c r="O2285" s="13"/>
      <c r="P2285" s="14">
        <v>0.2</v>
      </c>
      <c r="Q2285" s="15">
        <v>0.4</v>
      </c>
      <c r="R2285" s="16" t="str">
        <f t="shared" si="196"/>
        <v>KOMODO</v>
      </c>
      <c r="S2285" s="17"/>
      <c r="T2285" s="10"/>
    </row>
    <row r="2286" spans="1:20" ht="27" customHeight="1" x14ac:dyDescent="0.25">
      <c r="A2286" s="8" t="s">
        <v>3977</v>
      </c>
      <c r="B2286" s="9"/>
      <c r="C2286" s="9"/>
      <c r="D2286" s="8"/>
      <c r="E2286" s="8"/>
      <c r="F2286" s="8"/>
      <c r="G2286" s="10"/>
      <c r="H2286" s="8" t="s">
        <v>4917</v>
      </c>
      <c r="I2286" s="10" t="str">
        <f>UPPER("Levantamiento de información y elaboración de planos eléctricos, diagrama del sistema y personalización del plano grafico en el software QUATUM VUE.")</f>
        <v>LEVANTAMIENTO DE INFORMACIÓN Y ELABORACIÓN DE PLANOS ELÉCTRICOS, DIAGRAMA DEL SISTEMA Y PERSONALIZACIÓN DEL PLANO GRAFICO EN EL SOFTWARE QUATUM VUE.</v>
      </c>
      <c r="J2286" s="11" t="s">
        <v>33</v>
      </c>
      <c r="K2286" s="18">
        <v>4000000</v>
      </c>
      <c r="L2286" s="12">
        <f t="shared" ref="L2286:L2313" si="197">ROUNDUP(K2286*(1+P2286)/(1-Q2286),0)</f>
        <v>5714286</v>
      </c>
      <c r="M2286" s="8">
        <v>1</v>
      </c>
      <c r="N2286" s="8" t="s">
        <v>27</v>
      </c>
      <c r="O2286" s="13"/>
      <c r="P2286" s="14">
        <v>0</v>
      </c>
      <c r="Q2286" s="15">
        <v>0.3</v>
      </c>
      <c r="R2286" s="16" t="str">
        <f t="shared" si="196"/>
        <v>KOMODO</v>
      </c>
      <c r="S2286" s="17"/>
      <c r="T2286" s="10"/>
    </row>
    <row r="2287" spans="1:20" ht="27" customHeight="1" x14ac:dyDescent="0.25">
      <c r="A2287" s="8" t="s">
        <v>3977</v>
      </c>
      <c r="B2287" s="9"/>
      <c r="C2287" s="9"/>
      <c r="D2287" s="8"/>
      <c r="E2287" s="8"/>
      <c r="F2287" s="8"/>
      <c r="G2287" s="10"/>
      <c r="H2287" s="8" t="s">
        <v>4918</v>
      </c>
      <c r="I2287" s="10" t="str">
        <f>UPPER("Mantenimiento técnico preventivo a todos los componentes de hardware y software del sistema de iluminación indicado por el fabricante para el cumplimiento de la garantía")</f>
        <v>MANTENIMIENTO TÉCNICO PREVENTIVO A TODOS LOS COMPONENTES DE HARDWARE Y SOFTWARE DEL SISTEMA DE ILUMINACIÓN INDICADO POR EL FABRICANTE PARA EL CUMPLIMIENTO DE LA GARANTÍA</v>
      </c>
      <c r="J2287" s="11" t="s">
        <v>33</v>
      </c>
      <c r="K2287" s="18">
        <v>4000000</v>
      </c>
      <c r="L2287" s="12">
        <f t="shared" si="197"/>
        <v>5714286</v>
      </c>
      <c r="M2287" s="8">
        <v>1</v>
      </c>
      <c r="N2287" s="8" t="s">
        <v>27</v>
      </c>
      <c r="O2287" s="13"/>
      <c r="P2287" s="14">
        <v>0</v>
      </c>
      <c r="Q2287" s="15">
        <v>0.3</v>
      </c>
      <c r="R2287" s="16" t="str">
        <f t="shared" si="196"/>
        <v>KOMODO</v>
      </c>
      <c r="S2287" s="17"/>
      <c r="T2287" s="10"/>
    </row>
    <row r="2288" spans="1:20" ht="27" customHeight="1" x14ac:dyDescent="0.25">
      <c r="A2288" s="8" t="s">
        <v>3977</v>
      </c>
      <c r="B2288" s="9"/>
      <c r="C2288" s="9"/>
      <c r="D2288" s="8"/>
      <c r="E2288" s="8"/>
      <c r="F2288" s="8"/>
      <c r="G2288" s="10"/>
      <c r="H2288" s="8" t="s">
        <v>4919</v>
      </c>
      <c r="I2288" s="10" t="s">
        <v>4920</v>
      </c>
      <c r="J2288" s="11" t="s">
        <v>33</v>
      </c>
      <c r="K2288" s="18">
        <v>1200000</v>
      </c>
      <c r="L2288" s="12">
        <f t="shared" si="197"/>
        <v>1714286</v>
      </c>
      <c r="M2288" s="8">
        <v>1</v>
      </c>
      <c r="N2288" s="8" t="s">
        <v>27</v>
      </c>
      <c r="O2288" s="13"/>
      <c r="P2288" s="14">
        <v>0</v>
      </c>
      <c r="Q2288" s="15">
        <v>0.3</v>
      </c>
      <c r="R2288" s="16" t="str">
        <f t="shared" si="196"/>
        <v>KOMODO</v>
      </c>
      <c r="S2288" s="17"/>
      <c r="T2288" s="10"/>
    </row>
    <row r="2289" spans="1:20" ht="27" customHeight="1" x14ac:dyDescent="0.25">
      <c r="A2289" s="8" t="s">
        <v>3977</v>
      </c>
      <c r="B2289" s="9"/>
      <c r="C2289" s="9"/>
      <c r="D2289" s="8"/>
      <c r="E2289" s="8"/>
      <c r="F2289" s="8"/>
      <c r="G2289" s="10"/>
      <c r="H2289" s="8" t="s">
        <v>4630</v>
      </c>
      <c r="I2289" s="10" t="s">
        <v>4921</v>
      </c>
      <c r="J2289" s="11" t="s">
        <v>33</v>
      </c>
      <c r="K2289" s="18">
        <v>1800000</v>
      </c>
      <c r="L2289" s="12">
        <f t="shared" si="197"/>
        <v>3000000</v>
      </c>
      <c r="M2289" s="8">
        <v>1</v>
      </c>
      <c r="N2289" s="8" t="s">
        <v>27</v>
      </c>
      <c r="O2289" s="13"/>
      <c r="P2289" s="14">
        <v>0</v>
      </c>
      <c r="Q2289" s="15">
        <v>0.4</v>
      </c>
      <c r="R2289" s="16" t="str">
        <f t="shared" si="196"/>
        <v>KOMODO</v>
      </c>
      <c r="S2289" s="17"/>
      <c r="T2289" s="10"/>
    </row>
    <row r="2290" spans="1:20" ht="27" customHeight="1" x14ac:dyDescent="0.25">
      <c r="A2290" s="8" t="s">
        <v>3977</v>
      </c>
      <c r="B2290" s="9"/>
      <c r="C2290" s="9"/>
      <c r="D2290" s="8"/>
      <c r="E2290" s="8"/>
      <c r="F2290" s="8"/>
      <c r="G2290" s="10"/>
      <c r="H2290" s="8" t="s">
        <v>4922</v>
      </c>
      <c r="I2290" s="10" t="str">
        <f>UPPER("Acometida electrica en cable 3x6+6+8T Cu THHN o THW (los metros lineales depende del punto de conexión CODENSA), metros lineales estimados")</f>
        <v>ACOMETIDA ELECTRICA EN CABLE 3X6+6+8T CU THHN O THW (LOS METROS LINEALES DEPENDE DEL PUNTO DE CONEXIÓN CODENSA), METROS LINEALES ESTIMADOS</v>
      </c>
      <c r="J2290" s="11" t="s">
        <v>33</v>
      </c>
      <c r="K2290" s="18">
        <f>52300*0.7</f>
        <v>36610</v>
      </c>
      <c r="L2290" s="12">
        <f t="shared" si="197"/>
        <v>52300</v>
      </c>
      <c r="M2290" s="8">
        <v>1</v>
      </c>
      <c r="N2290" s="8" t="s">
        <v>27</v>
      </c>
      <c r="O2290" s="13"/>
      <c r="P2290" s="14">
        <v>0</v>
      </c>
      <c r="Q2290" s="15">
        <v>0.3</v>
      </c>
      <c r="R2290" s="16" t="str">
        <f t="shared" si="196"/>
        <v>KOMODO</v>
      </c>
      <c r="S2290" s="17"/>
      <c r="T2290" s="10"/>
    </row>
    <row r="2291" spans="1:20" ht="27" customHeight="1" x14ac:dyDescent="0.25">
      <c r="A2291" s="8" t="s">
        <v>3977</v>
      </c>
      <c r="B2291" s="9"/>
      <c r="C2291" s="9"/>
      <c r="D2291" s="8"/>
      <c r="E2291" s="8"/>
      <c r="F2291" s="8"/>
      <c r="G2291" s="10"/>
      <c r="H2291" s="8" t="s">
        <v>4923</v>
      </c>
      <c r="I2291" s="10" t="str">
        <f>UPPER("Parciales eléctricas para tableros segundarios en cable 3x8+8+8T")</f>
        <v>PARCIALES ELÉCTRICAS PARA TABLEROS SEGUNDARIOS EN CABLE 3X8+8+8T</v>
      </c>
      <c r="J2291" s="11" t="s">
        <v>33</v>
      </c>
      <c r="K2291" s="18">
        <v>37600</v>
      </c>
      <c r="L2291" s="12">
        <f t="shared" si="197"/>
        <v>53715</v>
      </c>
      <c r="M2291" s="8">
        <v>1</v>
      </c>
      <c r="N2291" s="8" t="s">
        <v>27</v>
      </c>
      <c r="O2291" s="13"/>
      <c r="P2291" s="14">
        <v>0</v>
      </c>
      <c r="Q2291" s="15">
        <v>0.3</v>
      </c>
      <c r="R2291" s="16" t="str">
        <f t="shared" si="196"/>
        <v>KOMODO</v>
      </c>
      <c r="S2291" s="17"/>
      <c r="T2291" s="10"/>
    </row>
    <row r="2292" spans="1:20" ht="27" customHeight="1" x14ac:dyDescent="0.25">
      <c r="A2292" s="8" t="s">
        <v>3977</v>
      </c>
      <c r="B2292" s="9"/>
      <c r="C2292" s="9"/>
      <c r="D2292" s="8"/>
      <c r="E2292" s="8"/>
      <c r="F2292" s="8"/>
      <c r="G2292" s="10"/>
      <c r="H2292" s="8" t="s">
        <v>4924</v>
      </c>
      <c r="I2292" s="10" t="str">
        <f>UPPER("Tubería 11/4 para acometida PVC  los metros lineales depende del punto de conexión CODENSA), metros lineales estimados")</f>
        <v>TUBERÍA 11/4 PARA ACOMETIDA PVC  LOS METROS LINEALES DEPENDE DEL PUNTO DE CONEXIÓN CODENSA), METROS LINEALES ESTIMADOS</v>
      </c>
      <c r="J2292" s="11" t="s">
        <v>33</v>
      </c>
      <c r="K2292" s="18">
        <v>22700</v>
      </c>
      <c r="L2292" s="12">
        <f t="shared" si="197"/>
        <v>32429</v>
      </c>
      <c r="M2292" s="8">
        <v>1</v>
      </c>
      <c r="N2292" s="8" t="s">
        <v>27</v>
      </c>
      <c r="O2292" s="13"/>
      <c r="P2292" s="14">
        <v>0</v>
      </c>
      <c r="Q2292" s="15">
        <v>0.3</v>
      </c>
      <c r="R2292" s="16" t="str">
        <f t="shared" si="196"/>
        <v>KOMODO</v>
      </c>
      <c r="S2292" s="17"/>
      <c r="T2292" s="10"/>
    </row>
    <row r="2293" spans="1:20" ht="27" customHeight="1" x14ac:dyDescent="0.25">
      <c r="A2293" s="8" t="s">
        <v>3977</v>
      </c>
      <c r="B2293" s="9"/>
      <c r="C2293" s="9"/>
      <c r="D2293" s="8"/>
      <c r="E2293" s="8"/>
      <c r="F2293" s="8"/>
      <c r="G2293" s="10"/>
      <c r="H2293" s="8" t="s">
        <v>4925</v>
      </c>
      <c r="I2293" s="10" t="str">
        <f>UPPER("Tubería 1""paraparcialesPVCSCH40")</f>
        <v>TUBERÍA 1"PARAPARCIALESPVCSCH40</v>
      </c>
      <c r="J2293" s="11" t="s">
        <v>33</v>
      </c>
      <c r="K2293" s="18">
        <v>19600</v>
      </c>
      <c r="L2293" s="12">
        <f t="shared" si="197"/>
        <v>28000</v>
      </c>
      <c r="M2293" s="8">
        <v>1</v>
      </c>
      <c r="N2293" s="8" t="s">
        <v>27</v>
      </c>
      <c r="O2293" s="13"/>
      <c r="P2293" s="14">
        <v>0</v>
      </c>
      <c r="Q2293" s="15">
        <v>0.3</v>
      </c>
      <c r="R2293" s="16" t="str">
        <f t="shared" si="196"/>
        <v>KOMODO</v>
      </c>
      <c r="S2293" s="17"/>
      <c r="T2293" s="10"/>
    </row>
    <row r="2294" spans="1:20" ht="27" customHeight="1" x14ac:dyDescent="0.25">
      <c r="A2294" s="8" t="s">
        <v>3977</v>
      </c>
      <c r="B2294" s="9"/>
      <c r="C2294" s="9"/>
      <c r="D2294" s="8"/>
      <c r="E2294" s="8"/>
      <c r="F2294" s="8"/>
      <c r="G2294" s="10"/>
      <c r="H2294" s="8" t="s">
        <v>4926</v>
      </c>
      <c r="I2294" s="10" t="str">
        <f>UPPER("Caja para medidor norma AE 305")</f>
        <v>CAJA PARA MEDIDOR NORMA AE 305</v>
      </c>
      <c r="J2294" s="11" t="s">
        <v>33</v>
      </c>
      <c r="K2294" s="18">
        <v>421000</v>
      </c>
      <c r="L2294" s="12">
        <f t="shared" si="197"/>
        <v>601429</v>
      </c>
      <c r="M2294" s="8">
        <v>1</v>
      </c>
      <c r="N2294" s="8" t="s">
        <v>27</v>
      </c>
      <c r="O2294" s="13"/>
      <c r="P2294" s="14">
        <v>0</v>
      </c>
      <c r="Q2294" s="15">
        <v>0.3</v>
      </c>
      <c r="R2294" s="16" t="str">
        <f t="shared" si="196"/>
        <v>KOMODO</v>
      </c>
      <c r="S2294" s="17"/>
      <c r="T2294" s="10"/>
    </row>
    <row r="2295" spans="1:20" ht="27" customHeight="1" x14ac:dyDescent="0.25">
      <c r="A2295" s="8" t="s">
        <v>3977</v>
      </c>
      <c r="B2295" s="9"/>
      <c r="C2295" s="9"/>
      <c r="D2295" s="8"/>
      <c r="E2295" s="8"/>
      <c r="F2295" s="8"/>
      <c r="G2295" s="10"/>
      <c r="H2295" s="8" t="s">
        <v>4927</v>
      </c>
      <c r="I2295" s="10" t="str">
        <f>UPPER("Caja de inspeccion  norma codensa CS274 (las unidades depende del punto de conexión CODENSA), metros lineales estimados")</f>
        <v>CAJA DE INSPECCION  NORMA CODENSA CS274 (LAS UNIDADES DEPENDE DEL PUNTO DE CONEXIÓN CODENSA), METROS LINEALES ESTIMADOS</v>
      </c>
      <c r="J2295" s="11" t="s">
        <v>33</v>
      </c>
      <c r="K2295" s="18">
        <v>328100</v>
      </c>
      <c r="L2295" s="12">
        <f t="shared" si="197"/>
        <v>468715</v>
      </c>
      <c r="M2295" s="8">
        <v>1</v>
      </c>
      <c r="N2295" s="8" t="s">
        <v>27</v>
      </c>
      <c r="O2295" s="13"/>
      <c r="P2295" s="14">
        <v>0</v>
      </c>
      <c r="Q2295" s="15">
        <v>0.3</v>
      </c>
      <c r="R2295" s="16" t="str">
        <f t="shared" si="196"/>
        <v>KOMODO</v>
      </c>
      <c r="S2295" s="17"/>
      <c r="T2295" s="10"/>
    </row>
    <row r="2296" spans="1:20" ht="27" customHeight="1" x14ac:dyDescent="0.25">
      <c r="A2296" s="8" t="s">
        <v>3977</v>
      </c>
      <c r="B2296" s="9"/>
      <c r="C2296" s="9"/>
      <c r="D2296" s="8"/>
      <c r="E2296" s="8"/>
      <c r="F2296" s="8"/>
      <c r="G2296" s="10"/>
      <c r="H2296" s="8" t="s">
        <v>4928</v>
      </c>
      <c r="I2296" s="10" t="str">
        <f>UPPER("Mocheta para medidor directo")</f>
        <v>MOCHETA PARA MEDIDOR DIRECTO</v>
      </c>
      <c r="J2296" s="11" t="s">
        <v>33</v>
      </c>
      <c r="K2296" s="18">
        <v>1600000</v>
      </c>
      <c r="L2296" s="12">
        <f t="shared" si="197"/>
        <v>2285715</v>
      </c>
      <c r="M2296" s="8">
        <v>1</v>
      </c>
      <c r="N2296" s="8" t="s">
        <v>27</v>
      </c>
      <c r="O2296" s="13"/>
      <c r="P2296" s="14">
        <v>0</v>
      </c>
      <c r="Q2296" s="15">
        <v>0.3</v>
      </c>
      <c r="R2296" s="16" t="str">
        <f t="shared" si="196"/>
        <v>KOMODO</v>
      </c>
      <c r="S2296" s="17"/>
      <c r="T2296" s="10"/>
    </row>
    <row r="2297" spans="1:20" ht="27" customHeight="1" x14ac:dyDescent="0.25">
      <c r="A2297" s="8" t="s">
        <v>3977</v>
      </c>
      <c r="B2297" s="9"/>
      <c r="C2297" s="9"/>
      <c r="D2297" s="8"/>
      <c r="E2297" s="8"/>
      <c r="F2297" s="8"/>
      <c r="G2297" s="10"/>
      <c r="H2297" s="8" t="s">
        <v>4929</v>
      </c>
      <c r="I2297" s="10" t="str">
        <f>UPPER("Puesta a tierra (4 varillas Cu 2,4 metros conectadas con cable #2 y reticula de 2,5 m)")</f>
        <v>PUESTA A TIERRA (4 VARILLAS CU 2,4 METROS CONECTADAS CON CABLE #2 Y RETICULA DE 2,5 M)</v>
      </c>
      <c r="J2297" s="11" t="s">
        <v>33</v>
      </c>
      <c r="K2297" s="18">
        <v>2600000</v>
      </c>
      <c r="L2297" s="12">
        <f t="shared" si="197"/>
        <v>3714286</v>
      </c>
      <c r="M2297" s="8">
        <v>1</v>
      </c>
      <c r="N2297" s="8" t="s">
        <v>27</v>
      </c>
      <c r="O2297" s="13"/>
      <c r="P2297" s="14">
        <v>0</v>
      </c>
      <c r="Q2297" s="15">
        <v>0.3</v>
      </c>
      <c r="R2297" s="16" t="str">
        <f t="shared" si="196"/>
        <v>KOMODO</v>
      </c>
      <c r="S2297" s="17"/>
      <c r="T2297" s="10"/>
    </row>
    <row r="2298" spans="1:20" ht="27" customHeight="1" x14ac:dyDescent="0.25">
      <c r="A2298" s="8" t="s">
        <v>3977</v>
      </c>
      <c r="B2298" s="9"/>
      <c r="C2298" s="9"/>
      <c r="D2298" s="8"/>
      <c r="E2298" s="8"/>
      <c r="F2298" s="8"/>
      <c r="G2298" s="10"/>
      <c r="H2298" s="8" t="s">
        <v>4930</v>
      </c>
      <c r="I2298" s="10" t="s">
        <v>4931</v>
      </c>
      <c r="J2298" s="11" t="s">
        <v>33</v>
      </c>
      <c r="K2298" s="18">
        <v>55000</v>
      </c>
      <c r="L2298" s="12">
        <f t="shared" si="197"/>
        <v>78572</v>
      </c>
      <c r="M2298" s="8">
        <v>1</v>
      </c>
      <c r="N2298" s="8" t="s">
        <v>27</v>
      </c>
      <c r="O2298" s="13"/>
      <c r="P2298" s="14">
        <v>0</v>
      </c>
      <c r="Q2298" s="15">
        <v>0.3</v>
      </c>
      <c r="R2298" s="16" t="str">
        <f t="shared" si="196"/>
        <v>KOMODO</v>
      </c>
      <c r="S2298" s="17"/>
      <c r="T2298" s="10"/>
    </row>
    <row r="2299" spans="1:20" ht="27" customHeight="1" x14ac:dyDescent="0.25">
      <c r="A2299" s="8" t="s">
        <v>3977</v>
      </c>
      <c r="B2299" s="9"/>
      <c r="C2299" s="9"/>
      <c r="D2299" s="8"/>
      <c r="E2299" s="8"/>
      <c r="F2299" s="8"/>
      <c r="G2299" s="10"/>
      <c r="H2299" s="8" t="s">
        <v>4932</v>
      </c>
      <c r="I2299" s="10" t="s">
        <v>4933</v>
      </c>
      <c r="J2299" s="11" t="s">
        <v>33</v>
      </c>
      <c r="K2299" s="18">
        <v>130000</v>
      </c>
      <c r="L2299" s="12">
        <f t="shared" si="197"/>
        <v>185715</v>
      </c>
      <c r="M2299" s="8">
        <v>1</v>
      </c>
      <c r="N2299" s="8" t="s">
        <v>27</v>
      </c>
      <c r="O2299" s="13"/>
      <c r="P2299" s="14">
        <v>0</v>
      </c>
      <c r="Q2299" s="15">
        <v>0.3</v>
      </c>
      <c r="R2299" s="16" t="str">
        <f t="shared" si="196"/>
        <v>KOMODO</v>
      </c>
      <c r="S2299" s="17"/>
      <c r="T2299" s="10"/>
    </row>
    <row r="2300" spans="1:20" ht="27" customHeight="1" x14ac:dyDescent="0.25">
      <c r="A2300" s="8" t="s">
        <v>3977</v>
      </c>
      <c r="B2300" s="9"/>
      <c r="C2300" s="9"/>
      <c r="D2300" s="8"/>
      <c r="E2300" s="8"/>
      <c r="F2300" s="8"/>
      <c r="G2300" s="10"/>
      <c r="H2300" s="8" t="s">
        <v>4934</v>
      </c>
      <c r="I2300" s="10" t="s">
        <v>4935</v>
      </c>
      <c r="J2300" s="11" t="s">
        <v>33</v>
      </c>
      <c r="K2300" s="18">
        <v>250000</v>
      </c>
      <c r="L2300" s="12">
        <f t="shared" si="197"/>
        <v>357143</v>
      </c>
      <c r="M2300" s="8">
        <v>1</v>
      </c>
      <c r="N2300" s="8" t="s">
        <v>27</v>
      </c>
      <c r="O2300" s="13"/>
      <c r="P2300" s="14">
        <v>0</v>
      </c>
      <c r="Q2300" s="15">
        <v>0.3</v>
      </c>
      <c r="R2300" s="16" t="str">
        <f t="shared" si="196"/>
        <v>KOMODO</v>
      </c>
      <c r="S2300" s="17"/>
      <c r="T2300" s="10"/>
    </row>
    <row r="2301" spans="1:20" ht="27" customHeight="1" x14ac:dyDescent="0.25">
      <c r="A2301" s="8" t="s">
        <v>3977</v>
      </c>
      <c r="B2301" s="9"/>
      <c r="C2301" s="9"/>
      <c r="D2301" s="8"/>
      <c r="E2301" s="8"/>
      <c r="F2301" s="8"/>
      <c r="G2301" s="10"/>
      <c r="H2301" s="8" t="s">
        <v>4936</v>
      </c>
      <c r="I2301" s="10" t="s">
        <v>4937</v>
      </c>
      <c r="J2301" s="11" t="s">
        <v>33</v>
      </c>
      <c r="K2301" s="18">
        <v>125000</v>
      </c>
      <c r="L2301" s="12">
        <f t="shared" si="197"/>
        <v>178572</v>
      </c>
      <c r="M2301" s="8">
        <v>1</v>
      </c>
      <c r="N2301" s="8" t="s">
        <v>27</v>
      </c>
      <c r="O2301" s="13"/>
      <c r="P2301" s="14">
        <v>0</v>
      </c>
      <c r="Q2301" s="15">
        <v>0.3</v>
      </c>
      <c r="R2301" s="16" t="str">
        <f t="shared" si="196"/>
        <v>KOMODO</v>
      </c>
      <c r="S2301" s="17"/>
      <c r="T2301" s="10"/>
    </row>
    <row r="2302" spans="1:20" ht="27" customHeight="1" x14ac:dyDescent="0.25">
      <c r="A2302" s="8" t="s">
        <v>3977</v>
      </c>
      <c r="B2302" s="9"/>
      <c r="C2302" s="9"/>
      <c r="D2302" s="8"/>
      <c r="E2302" s="8"/>
      <c r="F2302" s="8"/>
      <c r="G2302" s="10"/>
      <c r="H2302" s="8" t="s">
        <v>4938</v>
      </c>
      <c r="I2302" s="10" t="s">
        <v>4939</v>
      </c>
      <c r="J2302" s="11" t="s">
        <v>33</v>
      </c>
      <c r="K2302" s="18">
        <v>75000</v>
      </c>
      <c r="L2302" s="12">
        <f t="shared" si="197"/>
        <v>107143</v>
      </c>
      <c r="M2302" s="8">
        <v>1</v>
      </c>
      <c r="N2302" s="8" t="s">
        <v>27</v>
      </c>
      <c r="O2302" s="13"/>
      <c r="P2302" s="14">
        <v>0</v>
      </c>
      <c r="Q2302" s="15">
        <v>0.3</v>
      </c>
      <c r="R2302" s="16" t="str">
        <f t="shared" si="196"/>
        <v>KOMODO</v>
      </c>
      <c r="S2302" s="17"/>
      <c r="T2302" s="10"/>
    </row>
    <row r="2303" spans="1:20" ht="27" customHeight="1" x14ac:dyDescent="0.25">
      <c r="A2303" s="8" t="s">
        <v>3977</v>
      </c>
      <c r="B2303" s="9"/>
      <c r="C2303" s="9"/>
      <c r="D2303" s="8"/>
      <c r="E2303" s="8"/>
      <c r="F2303" s="8"/>
      <c r="G2303" s="10"/>
      <c r="H2303" s="8" t="s">
        <v>4940</v>
      </c>
      <c r="I2303" s="10" t="s">
        <v>4941</v>
      </c>
      <c r="J2303" s="11" t="s">
        <v>33</v>
      </c>
      <c r="K2303" s="18">
        <v>35000</v>
      </c>
      <c r="L2303" s="12">
        <f t="shared" si="197"/>
        <v>50000</v>
      </c>
      <c r="M2303" s="8">
        <v>1</v>
      </c>
      <c r="N2303" s="8" t="s">
        <v>27</v>
      </c>
      <c r="O2303" s="13"/>
      <c r="P2303" s="14">
        <v>0</v>
      </c>
      <c r="Q2303" s="15">
        <v>0.3</v>
      </c>
      <c r="R2303" s="16" t="str">
        <f t="shared" si="196"/>
        <v>KOMODO</v>
      </c>
      <c r="S2303" s="17"/>
      <c r="T2303" s="10"/>
    </row>
    <row r="2304" spans="1:20" ht="27" customHeight="1" x14ac:dyDescent="0.25">
      <c r="A2304" s="8" t="s">
        <v>3977</v>
      </c>
      <c r="B2304" s="9"/>
      <c r="C2304" s="9"/>
      <c r="D2304" s="8"/>
      <c r="E2304" s="8"/>
      <c r="F2304" s="8"/>
      <c r="G2304" s="10"/>
      <c r="H2304" s="8" t="s">
        <v>4942</v>
      </c>
      <c r="I2304" s="10" t="s">
        <v>4943</v>
      </c>
      <c r="J2304" s="11" t="s">
        <v>33</v>
      </c>
      <c r="K2304" s="18">
        <v>150000</v>
      </c>
      <c r="L2304" s="12">
        <f t="shared" si="197"/>
        <v>261674</v>
      </c>
      <c r="M2304" s="8">
        <v>1</v>
      </c>
      <c r="N2304" s="8" t="s">
        <v>27</v>
      </c>
      <c r="O2304" s="13"/>
      <c r="P2304" s="14">
        <v>0.2</v>
      </c>
      <c r="Q2304" s="15">
        <v>0.3121199999999999</v>
      </c>
      <c r="R2304" s="16" t="str">
        <f t="shared" si="196"/>
        <v>KOMODO</v>
      </c>
      <c r="S2304" s="17"/>
      <c r="T2304" s="10"/>
    </row>
    <row r="2305" spans="1:20" ht="27" customHeight="1" x14ac:dyDescent="0.25">
      <c r="A2305" s="8" t="s">
        <v>3977</v>
      </c>
      <c r="B2305" s="9"/>
      <c r="C2305" s="9"/>
      <c r="D2305" s="8"/>
      <c r="E2305" s="8"/>
      <c r="F2305" s="8"/>
      <c r="G2305" s="10"/>
      <c r="H2305" s="8" t="s">
        <v>4944</v>
      </c>
      <c r="I2305" s="10" t="s">
        <v>4945</v>
      </c>
      <c r="J2305" s="11" t="s">
        <v>33</v>
      </c>
      <c r="K2305" s="18">
        <v>55000</v>
      </c>
      <c r="L2305" s="12">
        <f t="shared" si="197"/>
        <v>78572</v>
      </c>
      <c r="M2305" s="8">
        <v>1</v>
      </c>
      <c r="N2305" s="8" t="s">
        <v>27</v>
      </c>
      <c r="O2305" s="13"/>
      <c r="P2305" s="14">
        <v>0</v>
      </c>
      <c r="Q2305" s="15">
        <v>0.3</v>
      </c>
      <c r="R2305" s="16" t="str">
        <f t="shared" ref="R2305:R2368" si="198">A2305</f>
        <v>KOMODO</v>
      </c>
      <c r="S2305" s="17"/>
      <c r="T2305" s="10"/>
    </row>
    <row r="2306" spans="1:20" ht="27" customHeight="1" x14ac:dyDescent="0.25">
      <c r="A2306" s="8" t="s">
        <v>3977</v>
      </c>
      <c r="B2306" s="9"/>
      <c r="C2306" s="9"/>
      <c r="D2306" s="8"/>
      <c r="E2306" s="8"/>
      <c r="F2306" s="8"/>
      <c r="G2306" s="10"/>
      <c r="H2306" s="8" t="s">
        <v>4946</v>
      </c>
      <c r="I2306" s="10" t="s">
        <v>4947</v>
      </c>
      <c r="J2306" s="11" t="s">
        <v>33</v>
      </c>
      <c r="K2306" s="18">
        <v>200000</v>
      </c>
      <c r="L2306" s="12">
        <f t="shared" si="197"/>
        <v>285715</v>
      </c>
      <c r="M2306" s="8">
        <v>1</v>
      </c>
      <c r="N2306" s="8" t="s">
        <v>27</v>
      </c>
      <c r="O2306" s="13"/>
      <c r="P2306" s="14">
        <v>0</v>
      </c>
      <c r="Q2306" s="15">
        <v>0.3</v>
      </c>
      <c r="R2306" s="16" t="str">
        <f t="shared" si="198"/>
        <v>KOMODO</v>
      </c>
      <c r="S2306" s="17"/>
      <c r="T2306" s="10"/>
    </row>
    <row r="2307" spans="1:20" ht="27" customHeight="1" x14ac:dyDescent="0.25">
      <c r="A2307" s="8" t="s">
        <v>3977</v>
      </c>
      <c r="B2307" s="9"/>
      <c r="C2307" s="9"/>
      <c r="D2307" s="8"/>
      <c r="E2307" s="8"/>
      <c r="F2307" s="8"/>
      <c r="G2307" s="10"/>
      <c r="H2307" s="8" t="s">
        <v>4948</v>
      </c>
      <c r="I2307" s="10" t="s">
        <v>4949</v>
      </c>
      <c r="J2307" s="11" t="s">
        <v>33</v>
      </c>
      <c r="K2307" s="18">
        <v>35000</v>
      </c>
      <c r="L2307" s="12">
        <f t="shared" si="197"/>
        <v>58334</v>
      </c>
      <c r="M2307" s="8">
        <v>1</v>
      </c>
      <c r="N2307" s="8" t="s">
        <v>27</v>
      </c>
      <c r="O2307" s="13"/>
      <c r="P2307" s="14">
        <v>0</v>
      </c>
      <c r="Q2307" s="15">
        <v>0.4</v>
      </c>
      <c r="R2307" s="16" t="str">
        <f t="shared" si="198"/>
        <v>KOMODO</v>
      </c>
      <c r="S2307" s="17"/>
      <c r="T2307" s="10"/>
    </row>
    <row r="2308" spans="1:20" ht="27" customHeight="1" x14ac:dyDescent="0.25">
      <c r="A2308" s="8" t="s">
        <v>3977</v>
      </c>
      <c r="B2308" s="9"/>
      <c r="C2308" s="9"/>
      <c r="D2308" s="8"/>
      <c r="E2308" s="8"/>
      <c r="F2308" s="8"/>
      <c r="G2308" s="10"/>
      <c r="H2308" s="8" t="s">
        <v>4950</v>
      </c>
      <c r="I2308" s="10" t="s">
        <v>4951</v>
      </c>
      <c r="J2308" s="11" t="s">
        <v>33</v>
      </c>
      <c r="K2308" s="18">
        <v>200000</v>
      </c>
      <c r="L2308" s="12">
        <f t="shared" si="197"/>
        <v>400000</v>
      </c>
      <c r="M2308" s="8">
        <v>1</v>
      </c>
      <c r="N2308" s="8" t="s">
        <v>27</v>
      </c>
      <c r="O2308" s="13"/>
      <c r="P2308" s="14">
        <v>0</v>
      </c>
      <c r="Q2308" s="15">
        <v>0.5</v>
      </c>
      <c r="R2308" s="16" t="str">
        <f t="shared" si="198"/>
        <v>KOMODO</v>
      </c>
      <c r="S2308" s="17"/>
      <c r="T2308" s="10"/>
    </row>
    <row r="2309" spans="1:20" ht="27" customHeight="1" x14ac:dyDescent="0.25">
      <c r="A2309" s="8" t="s">
        <v>3977</v>
      </c>
      <c r="B2309" s="9"/>
      <c r="C2309" s="9"/>
      <c r="D2309" s="8"/>
      <c r="E2309" s="8"/>
      <c r="F2309" s="8"/>
      <c r="G2309" s="10"/>
      <c r="H2309" s="8" t="s">
        <v>4952</v>
      </c>
      <c r="I2309" s="10" t="s">
        <v>4953</v>
      </c>
      <c r="J2309" s="11" t="s">
        <v>33</v>
      </c>
      <c r="K2309" s="18">
        <v>25000</v>
      </c>
      <c r="L2309" s="12">
        <f t="shared" si="197"/>
        <v>41667</v>
      </c>
      <c r="M2309" s="8">
        <v>1</v>
      </c>
      <c r="N2309" s="8" t="s">
        <v>27</v>
      </c>
      <c r="O2309" s="13"/>
      <c r="P2309" s="14">
        <v>0</v>
      </c>
      <c r="Q2309" s="15">
        <v>0.4</v>
      </c>
      <c r="R2309" s="16" t="str">
        <f t="shared" si="198"/>
        <v>KOMODO</v>
      </c>
      <c r="S2309" s="17"/>
      <c r="T2309" s="10"/>
    </row>
    <row r="2310" spans="1:20" ht="27" customHeight="1" x14ac:dyDescent="0.25">
      <c r="A2310" s="8" t="s">
        <v>3977</v>
      </c>
      <c r="B2310" s="9"/>
      <c r="C2310" s="9"/>
      <c r="D2310" s="8"/>
      <c r="E2310" s="8"/>
      <c r="F2310" s="8"/>
      <c r="G2310" s="10"/>
      <c r="H2310" s="8" t="s">
        <v>4954</v>
      </c>
      <c r="I2310" s="10" t="s">
        <v>4955</v>
      </c>
      <c r="J2310" s="11" t="s">
        <v>33</v>
      </c>
      <c r="K2310" s="18">
        <v>25000</v>
      </c>
      <c r="L2310" s="12">
        <f t="shared" si="197"/>
        <v>41667</v>
      </c>
      <c r="M2310" s="8">
        <v>1</v>
      </c>
      <c r="N2310" s="8" t="s">
        <v>27</v>
      </c>
      <c r="O2310" s="13"/>
      <c r="P2310" s="14">
        <v>0</v>
      </c>
      <c r="Q2310" s="15">
        <v>0.4</v>
      </c>
      <c r="R2310" s="16" t="str">
        <f t="shared" si="198"/>
        <v>KOMODO</v>
      </c>
      <c r="S2310" s="17"/>
      <c r="T2310" s="10"/>
    </row>
    <row r="2311" spans="1:20" ht="27" customHeight="1" x14ac:dyDescent="0.25">
      <c r="A2311" s="8" t="s">
        <v>3977</v>
      </c>
      <c r="B2311" s="9"/>
      <c r="C2311" s="9"/>
      <c r="D2311" s="8"/>
      <c r="E2311" s="8"/>
      <c r="F2311" s="8"/>
      <c r="G2311" s="10"/>
      <c r="H2311" s="8" t="s">
        <v>4956</v>
      </c>
      <c r="I2311" s="10" t="s">
        <v>4957</v>
      </c>
      <c r="J2311" s="11" t="s">
        <v>33</v>
      </c>
      <c r="K2311" s="18">
        <v>20000</v>
      </c>
      <c r="L2311" s="12">
        <f t="shared" si="197"/>
        <v>28572</v>
      </c>
      <c r="M2311" s="8">
        <v>1</v>
      </c>
      <c r="N2311" s="8" t="s">
        <v>27</v>
      </c>
      <c r="O2311" s="13"/>
      <c r="P2311" s="14">
        <v>0</v>
      </c>
      <c r="Q2311" s="15">
        <v>0.3</v>
      </c>
      <c r="R2311" s="16" t="str">
        <f t="shared" si="198"/>
        <v>KOMODO</v>
      </c>
      <c r="S2311" s="17"/>
      <c r="T2311" s="10"/>
    </row>
    <row r="2312" spans="1:20" ht="27" customHeight="1" x14ac:dyDescent="0.25">
      <c r="A2312" s="8" t="s">
        <v>3977</v>
      </c>
      <c r="B2312" s="9"/>
      <c r="C2312" s="9"/>
      <c r="D2312" s="8"/>
      <c r="E2312" s="8"/>
      <c r="F2312" s="8"/>
      <c r="G2312" s="10"/>
      <c r="H2312" s="8" t="s">
        <v>4958</v>
      </c>
      <c r="I2312" s="10" t="s">
        <v>4959</v>
      </c>
      <c r="J2312" s="11" t="s">
        <v>33</v>
      </c>
      <c r="K2312" s="18">
        <v>180000</v>
      </c>
      <c r="L2312" s="12">
        <f t="shared" si="197"/>
        <v>300000</v>
      </c>
      <c r="M2312" s="8">
        <v>1</v>
      </c>
      <c r="N2312" s="8" t="s">
        <v>27</v>
      </c>
      <c r="O2312" s="13"/>
      <c r="P2312" s="14">
        <v>0</v>
      </c>
      <c r="Q2312" s="15">
        <v>0.4</v>
      </c>
      <c r="R2312" s="16" t="str">
        <f t="shared" si="198"/>
        <v>KOMODO</v>
      </c>
      <c r="S2312" s="17"/>
      <c r="T2312" s="10"/>
    </row>
    <row r="2313" spans="1:20" ht="27" customHeight="1" x14ac:dyDescent="0.25">
      <c r="A2313" s="8" t="s">
        <v>3977</v>
      </c>
      <c r="B2313" s="9"/>
      <c r="C2313" s="9"/>
      <c r="D2313" s="8"/>
      <c r="E2313" s="8"/>
      <c r="F2313" s="8"/>
      <c r="G2313" s="10"/>
      <c r="H2313" s="8" t="s">
        <v>4960</v>
      </c>
      <c r="I2313" s="10" t="s">
        <v>4961</v>
      </c>
      <c r="J2313" s="11" t="s">
        <v>33</v>
      </c>
      <c r="K2313" s="18">
        <v>8000</v>
      </c>
      <c r="L2313" s="12">
        <f t="shared" si="197"/>
        <v>11429</v>
      </c>
      <c r="M2313" s="8">
        <v>1</v>
      </c>
      <c r="N2313" s="8" t="s">
        <v>27</v>
      </c>
      <c r="O2313" s="13"/>
      <c r="P2313" s="14">
        <v>0</v>
      </c>
      <c r="Q2313" s="15">
        <v>0.3</v>
      </c>
      <c r="R2313" s="16" t="str">
        <f t="shared" si="198"/>
        <v>KOMODO</v>
      </c>
      <c r="S2313" s="17"/>
      <c r="T2313" s="10"/>
    </row>
    <row r="2314" spans="1:20" ht="27" customHeight="1" x14ac:dyDescent="0.25">
      <c r="A2314" s="8" t="s">
        <v>3977</v>
      </c>
      <c r="B2314" s="9"/>
      <c r="C2314" s="9"/>
      <c r="D2314" s="8"/>
      <c r="E2314" s="8"/>
      <c r="F2314" s="8"/>
      <c r="G2314" s="10"/>
      <c r="H2314" s="8" t="s">
        <v>4962</v>
      </c>
      <c r="I2314" s="10" t="s">
        <v>4963</v>
      </c>
      <c r="J2314" s="11" t="s">
        <v>33</v>
      </c>
      <c r="K2314" s="18">
        <v>700000</v>
      </c>
      <c r="L2314" s="12">
        <f>K2314*(1+P2314)/(1-Q2314)</f>
        <v>1166666.6666666667</v>
      </c>
      <c r="M2314" s="8">
        <v>1</v>
      </c>
      <c r="N2314" s="8" t="s">
        <v>27</v>
      </c>
      <c r="O2314" s="13"/>
      <c r="P2314" s="14">
        <v>0</v>
      </c>
      <c r="Q2314" s="15">
        <v>0.4</v>
      </c>
      <c r="R2314" s="16" t="str">
        <f t="shared" si="198"/>
        <v>KOMODO</v>
      </c>
      <c r="S2314" s="17"/>
      <c r="T2314" s="10"/>
    </row>
    <row r="2315" spans="1:20" ht="27" customHeight="1" x14ac:dyDescent="0.25">
      <c r="A2315" s="8" t="s">
        <v>3977</v>
      </c>
      <c r="B2315" s="9"/>
      <c r="C2315" s="9"/>
      <c r="D2315" s="8"/>
      <c r="E2315" s="8"/>
      <c r="F2315" s="8"/>
      <c r="G2315" s="10"/>
      <c r="H2315" s="8" t="s">
        <v>4964</v>
      </c>
      <c r="I2315" s="10" t="s">
        <v>4965</v>
      </c>
      <c r="J2315" s="11" t="s">
        <v>33</v>
      </c>
      <c r="K2315" s="18">
        <v>80000</v>
      </c>
      <c r="L2315" s="12">
        <f>K2315*(1+P2315)/(1-Q2315)</f>
        <v>148147.71391456082</v>
      </c>
      <c r="M2315" s="8">
        <v>1</v>
      </c>
      <c r="N2315" s="8" t="s">
        <v>27</v>
      </c>
      <c r="O2315" s="13"/>
      <c r="P2315" s="14">
        <v>0.2</v>
      </c>
      <c r="Q2315" s="15">
        <v>0.35199810065672182</v>
      </c>
      <c r="R2315" s="16" t="str">
        <f t="shared" si="198"/>
        <v>KOMODO</v>
      </c>
      <c r="S2315" s="17"/>
      <c r="T2315" s="10"/>
    </row>
    <row r="2316" spans="1:20" ht="27" customHeight="1" x14ac:dyDescent="0.25">
      <c r="A2316" s="8" t="s">
        <v>3977</v>
      </c>
      <c r="B2316" s="9"/>
      <c r="C2316" s="9"/>
      <c r="D2316" s="8"/>
      <c r="E2316" s="8"/>
      <c r="F2316" s="8"/>
      <c r="G2316" s="10"/>
      <c r="H2316" s="8" t="s">
        <v>4966</v>
      </c>
      <c r="I2316" s="10" t="s">
        <v>4967</v>
      </c>
      <c r="J2316" s="11" t="s">
        <v>33</v>
      </c>
      <c r="K2316" s="18">
        <v>80000</v>
      </c>
      <c r="L2316" s="12">
        <f>K2316*(1+P2316)/(1-Q2316)</f>
        <v>148147.71391456082</v>
      </c>
      <c r="M2316" s="8">
        <v>1</v>
      </c>
      <c r="N2316" s="8" t="s">
        <v>27</v>
      </c>
      <c r="O2316" s="13"/>
      <c r="P2316" s="14">
        <v>0.2</v>
      </c>
      <c r="Q2316" s="15">
        <v>0.35199810065672182</v>
      </c>
      <c r="R2316" s="16" t="str">
        <f t="shared" si="198"/>
        <v>KOMODO</v>
      </c>
      <c r="S2316" s="17"/>
      <c r="T2316" s="10"/>
    </row>
    <row r="2317" spans="1:20" ht="27" customHeight="1" x14ac:dyDescent="0.25">
      <c r="A2317" s="8" t="s">
        <v>3977</v>
      </c>
      <c r="B2317" s="9"/>
      <c r="C2317" s="9"/>
      <c r="D2317" s="8"/>
      <c r="E2317" s="8"/>
      <c r="F2317" s="8"/>
      <c r="G2317" s="10"/>
      <c r="H2317" s="8" t="s">
        <v>4180</v>
      </c>
      <c r="I2317" s="10" t="s">
        <v>4968</v>
      </c>
      <c r="J2317" s="11" t="s">
        <v>33</v>
      </c>
      <c r="K2317" s="18">
        <v>70000</v>
      </c>
      <c r="L2317" s="12">
        <f>K2317*(1+P2317)/(1-Q2317)</f>
        <v>93333.333333333328</v>
      </c>
      <c r="M2317" s="8">
        <v>1</v>
      </c>
      <c r="N2317" s="8" t="s">
        <v>27</v>
      </c>
      <c r="O2317" s="13"/>
      <c r="P2317" s="14">
        <v>0</v>
      </c>
      <c r="Q2317" s="15">
        <v>0.25</v>
      </c>
      <c r="R2317" s="16" t="str">
        <f t="shared" si="198"/>
        <v>KOMODO</v>
      </c>
      <c r="S2317" s="17"/>
      <c r="T2317" s="10"/>
    </row>
    <row r="2318" spans="1:20" ht="27" customHeight="1" x14ac:dyDescent="0.25">
      <c r="A2318" s="8" t="s">
        <v>3977</v>
      </c>
      <c r="B2318" s="9"/>
      <c r="C2318" s="9"/>
      <c r="D2318" s="8"/>
      <c r="E2318" s="8"/>
      <c r="F2318" s="8"/>
      <c r="G2318" s="10"/>
      <c r="H2318" s="8" t="s">
        <v>4969</v>
      </c>
      <c r="I2318" s="10" t="s">
        <v>4970</v>
      </c>
      <c r="J2318" s="11" t="s">
        <v>33</v>
      </c>
      <c r="K2318" s="18">
        <v>70000</v>
      </c>
      <c r="L2318" s="12">
        <f>K2318*(1+P2318)/(1-Q2318)</f>
        <v>93333.333333333328</v>
      </c>
      <c r="M2318" s="8">
        <v>1</v>
      </c>
      <c r="N2318" s="8" t="s">
        <v>27</v>
      </c>
      <c r="O2318" s="13"/>
      <c r="P2318" s="14">
        <v>0</v>
      </c>
      <c r="Q2318" s="15">
        <v>0.25</v>
      </c>
      <c r="R2318" s="16" t="str">
        <f t="shared" si="198"/>
        <v>KOMODO</v>
      </c>
      <c r="S2318" s="17"/>
      <c r="T2318" s="10"/>
    </row>
    <row r="2319" spans="1:20" ht="27" customHeight="1" x14ac:dyDescent="0.25">
      <c r="A2319" s="8" t="s">
        <v>3977</v>
      </c>
      <c r="B2319" s="9"/>
      <c r="C2319" s="9"/>
      <c r="D2319" s="8"/>
      <c r="E2319" s="8"/>
      <c r="F2319" s="8"/>
      <c r="G2319" s="10"/>
      <c r="H2319" s="8" t="s">
        <v>4971</v>
      </c>
      <c r="I2319" s="10" t="s">
        <v>4972</v>
      </c>
      <c r="J2319" s="11" t="s">
        <v>33</v>
      </c>
      <c r="K2319" s="18">
        <v>20000</v>
      </c>
      <c r="L2319" s="12">
        <f t="shared" ref="L2319:L2324" si="199">ROUNDUP(K2319*(1+P2319)/(1-Q2319),0)</f>
        <v>37143</v>
      </c>
      <c r="M2319" s="8">
        <v>1</v>
      </c>
      <c r="N2319" s="8" t="s">
        <v>27</v>
      </c>
      <c r="O2319" s="13"/>
      <c r="P2319" s="14">
        <v>0.3</v>
      </c>
      <c r="Q2319" s="15">
        <v>0.3</v>
      </c>
      <c r="R2319" s="16" t="str">
        <f t="shared" si="198"/>
        <v>KOMODO</v>
      </c>
      <c r="S2319" s="17"/>
      <c r="T2319" s="10"/>
    </row>
    <row r="2320" spans="1:20" ht="27" customHeight="1" x14ac:dyDescent="0.25">
      <c r="A2320" s="8" t="s">
        <v>3977</v>
      </c>
      <c r="B2320" s="9"/>
      <c r="C2320" s="9"/>
      <c r="D2320" s="8"/>
      <c r="E2320" s="8"/>
      <c r="F2320" s="8"/>
      <c r="G2320" s="10"/>
      <c r="H2320" s="8" t="s">
        <v>4973</v>
      </c>
      <c r="I2320" s="10" t="s">
        <v>4974</v>
      </c>
      <c r="J2320" s="11" t="s">
        <v>33</v>
      </c>
      <c r="K2320" s="18">
        <v>85000</v>
      </c>
      <c r="L2320" s="12">
        <f t="shared" si="199"/>
        <v>141667</v>
      </c>
      <c r="M2320" s="8">
        <v>1</v>
      </c>
      <c r="N2320" s="8" t="s">
        <v>27</v>
      </c>
      <c r="O2320" s="13"/>
      <c r="P2320" s="14">
        <v>0</v>
      </c>
      <c r="Q2320" s="15">
        <v>0.4</v>
      </c>
      <c r="R2320" s="16" t="str">
        <f t="shared" si="198"/>
        <v>KOMODO</v>
      </c>
      <c r="S2320" s="17"/>
      <c r="T2320" s="10"/>
    </row>
    <row r="2321" spans="1:20" ht="27" customHeight="1" x14ac:dyDescent="0.25">
      <c r="A2321" s="8" t="s">
        <v>3977</v>
      </c>
      <c r="B2321" s="9"/>
      <c r="C2321" s="9"/>
      <c r="D2321" s="8"/>
      <c r="E2321" s="8"/>
      <c r="F2321" s="8"/>
      <c r="G2321" s="10"/>
      <c r="H2321" s="8" t="s">
        <v>4975</v>
      </c>
      <c r="I2321" s="10" t="s">
        <v>4976</v>
      </c>
      <c r="J2321" s="11" t="s">
        <v>33</v>
      </c>
      <c r="K2321" s="18">
        <v>350000</v>
      </c>
      <c r="L2321" s="12">
        <f t="shared" si="199"/>
        <v>492958</v>
      </c>
      <c r="M2321" s="8">
        <v>1</v>
      </c>
      <c r="N2321" s="8" t="s">
        <v>27</v>
      </c>
      <c r="O2321" s="13"/>
      <c r="P2321" s="14">
        <v>0</v>
      </c>
      <c r="Q2321" s="15">
        <v>0.28999999999999998</v>
      </c>
      <c r="R2321" s="16" t="str">
        <f t="shared" si="198"/>
        <v>KOMODO</v>
      </c>
      <c r="S2321" s="17"/>
      <c r="T2321" s="10"/>
    </row>
    <row r="2322" spans="1:20" ht="27" customHeight="1" x14ac:dyDescent="0.25">
      <c r="A2322" s="8" t="s">
        <v>3977</v>
      </c>
      <c r="B2322" s="9"/>
      <c r="C2322" s="9"/>
      <c r="D2322" s="8"/>
      <c r="E2322" s="8"/>
      <c r="F2322" s="8"/>
      <c r="G2322" s="10"/>
      <c r="H2322" s="8" t="s">
        <v>4977</v>
      </c>
      <c r="I2322" s="10" t="s">
        <v>4978</v>
      </c>
      <c r="J2322" s="11" t="s">
        <v>33</v>
      </c>
      <c r="K2322" s="18">
        <v>800000</v>
      </c>
      <c r="L2322" s="12">
        <f t="shared" si="199"/>
        <v>1333334</v>
      </c>
      <c r="M2322" s="8">
        <v>1</v>
      </c>
      <c r="N2322" s="8" t="s">
        <v>27</v>
      </c>
      <c r="O2322" s="13"/>
      <c r="P2322" s="14">
        <v>0</v>
      </c>
      <c r="Q2322" s="15">
        <v>0.4</v>
      </c>
      <c r="R2322" s="16" t="str">
        <f t="shared" si="198"/>
        <v>KOMODO</v>
      </c>
      <c r="S2322" s="17"/>
      <c r="T2322" s="10"/>
    </row>
    <row r="2323" spans="1:20" ht="27" customHeight="1" x14ac:dyDescent="0.25">
      <c r="A2323" s="8" t="s">
        <v>3977</v>
      </c>
      <c r="B2323" s="9"/>
      <c r="C2323" s="9"/>
      <c r="D2323" s="8"/>
      <c r="E2323" s="8"/>
      <c r="F2323" s="8"/>
      <c r="G2323" s="10"/>
      <c r="H2323" s="8" t="s">
        <v>4979</v>
      </c>
      <c r="I2323" s="10" t="s">
        <v>4980</v>
      </c>
      <c r="J2323" s="11" t="s">
        <v>33</v>
      </c>
      <c r="K2323" s="18">
        <v>80000</v>
      </c>
      <c r="L2323" s="12">
        <f t="shared" si="199"/>
        <v>133334</v>
      </c>
      <c r="M2323" s="8">
        <v>1</v>
      </c>
      <c r="N2323" s="8" t="s">
        <v>27</v>
      </c>
      <c r="O2323" s="13"/>
      <c r="P2323" s="14">
        <v>0</v>
      </c>
      <c r="Q2323" s="15">
        <v>0.4</v>
      </c>
      <c r="R2323" s="16" t="str">
        <f t="shared" si="198"/>
        <v>KOMODO</v>
      </c>
      <c r="S2323" s="17"/>
      <c r="T2323" s="10"/>
    </row>
    <row r="2324" spans="1:20" ht="27" customHeight="1" x14ac:dyDescent="0.25">
      <c r="A2324" s="8" t="s">
        <v>3977</v>
      </c>
      <c r="B2324" s="9"/>
      <c r="C2324" s="9"/>
      <c r="D2324" s="8"/>
      <c r="E2324" s="8"/>
      <c r="F2324" s="8"/>
      <c r="G2324" s="10"/>
      <c r="H2324" s="8" t="s">
        <v>4981</v>
      </c>
      <c r="I2324" s="10" t="s">
        <v>4982</v>
      </c>
      <c r="J2324" s="11" t="s">
        <v>33</v>
      </c>
      <c r="K2324" s="18">
        <v>85000</v>
      </c>
      <c r="L2324" s="12">
        <f t="shared" si="199"/>
        <v>141667</v>
      </c>
      <c r="M2324" s="8">
        <v>1</v>
      </c>
      <c r="N2324" s="8" t="s">
        <v>27</v>
      </c>
      <c r="O2324" s="13"/>
      <c r="P2324" s="14">
        <v>0</v>
      </c>
      <c r="Q2324" s="15">
        <v>0.4</v>
      </c>
      <c r="R2324" s="16" t="str">
        <f t="shared" si="198"/>
        <v>KOMODO</v>
      </c>
      <c r="S2324" s="17"/>
      <c r="T2324" s="10"/>
    </row>
    <row r="2325" spans="1:20" ht="27" customHeight="1" x14ac:dyDescent="0.25">
      <c r="A2325" s="8" t="s">
        <v>3977</v>
      </c>
      <c r="B2325" s="9"/>
      <c r="C2325" s="9"/>
      <c r="D2325" s="8"/>
      <c r="E2325" s="8"/>
      <c r="F2325" s="8"/>
      <c r="G2325" s="10"/>
      <c r="H2325" s="8" t="s">
        <v>4983</v>
      </c>
      <c r="I2325" s="10" t="s">
        <v>4984</v>
      </c>
      <c r="J2325" s="11" t="s">
        <v>33</v>
      </c>
      <c r="K2325" s="18">
        <v>350000</v>
      </c>
      <c r="L2325" s="12">
        <f>IF(J2325="P",ROUNDUP(K2325/(1-Q2325),-2),K2325*(1+P2325)/(1-Q2325))</f>
        <v>583400</v>
      </c>
      <c r="M2325" s="8">
        <v>1</v>
      </c>
      <c r="N2325" s="8" t="s">
        <v>27</v>
      </c>
      <c r="O2325" s="13"/>
      <c r="P2325" s="14">
        <v>0</v>
      </c>
      <c r="Q2325" s="15">
        <v>0.4</v>
      </c>
      <c r="R2325" s="16" t="str">
        <f t="shared" si="198"/>
        <v>KOMODO</v>
      </c>
      <c r="S2325" s="17"/>
      <c r="T2325" s="10"/>
    </row>
    <row r="2326" spans="1:20" ht="27" customHeight="1" x14ac:dyDescent="0.25">
      <c r="A2326" s="8" t="s">
        <v>4985</v>
      </c>
      <c r="B2326" s="9"/>
      <c r="C2326" s="9"/>
      <c r="D2326" s="8"/>
      <c r="E2326" s="8"/>
      <c r="F2326" s="8"/>
      <c r="G2326" s="10"/>
      <c r="H2326" s="8" t="s">
        <v>4986</v>
      </c>
      <c r="I2326" s="10" t="s">
        <v>4987</v>
      </c>
      <c r="J2326" s="11" t="s">
        <v>33</v>
      </c>
      <c r="K2326" s="18">
        <v>58000</v>
      </c>
      <c r="L2326" s="12">
        <f>IF(J2326="P",ROUNDUP(K2326/(1-Q2326),-2),K2326*(1+P2326)/(1-Q2326))</f>
        <v>82900</v>
      </c>
      <c r="M2326" s="8">
        <v>1</v>
      </c>
      <c r="N2326" s="8" t="s">
        <v>27</v>
      </c>
      <c r="O2326" s="13"/>
      <c r="P2326" s="14">
        <v>0</v>
      </c>
      <c r="Q2326" s="15">
        <v>0.3</v>
      </c>
      <c r="R2326" s="16" t="str">
        <f t="shared" si="198"/>
        <v>KOW</v>
      </c>
      <c r="S2326" s="17"/>
      <c r="T2326" s="10"/>
    </row>
    <row r="2327" spans="1:20" ht="27" customHeight="1" x14ac:dyDescent="0.25">
      <c r="A2327" s="8" t="s">
        <v>4988</v>
      </c>
      <c r="B2327" s="9"/>
      <c r="C2327" s="9"/>
      <c r="D2327" s="8"/>
      <c r="E2327" s="8"/>
      <c r="F2327" s="8"/>
      <c r="G2327" s="10"/>
      <c r="H2327" s="8" t="s">
        <v>4989</v>
      </c>
      <c r="I2327" s="10" t="s">
        <v>4990</v>
      </c>
      <c r="J2327" s="11" t="s">
        <v>26</v>
      </c>
      <c r="K2327" s="18">
        <v>222</v>
      </c>
      <c r="L2327" s="12">
        <f>K2327*(1+P2327)/(1-Q2327)</f>
        <v>331.34328358208961</v>
      </c>
      <c r="M2327" s="8">
        <v>1</v>
      </c>
      <c r="N2327" s="8" t="s">
        <v>27</v>
      </c>
      <c r="O2327" s="13"/>
      <c r="P2327" s="14">
        <v>0</v>
      </c>
      <c r="Q2327" s="15">
        <v>0.33</v>
      </c>
      <c r="R2327" s="16" t="str">
        <f t="shared" si="198"/>
        <v>KRAMER</v>
      </c>
      <c r="S2327" s="17"/>
      <c r="T2327" s="10"/>
    </row>
    <row r="2328" spans="1:20" ht="27" customHeight="1" x14ac:dyDescent="0.25">
      <c r="A2328" s="8" t="s">
        <v>4991</v>
      </c>
      <c r="B2328" s="9"/>
      <c r="C2328" s="9"/>
      <c r="D2328" s="8"/>
      <c r="E2328" s="8"/>
      <c r="F2328" s="8"/>
      <c r="G2328" s="10"/>
      <c r="H2328" s="8" t="s">
        <v>4992</v>
      </c>
      <c r="I2328" s="10" t="s">
        <v>4993</v>
      </c>
      <c r="J2328" s="11" t="s">
        <v>26</v>
      </c>
      <c r="K2328" s="18">
        <v>675</v>
      </c>
      <c r="L2328" s="12">
        <f>ROUNDUP(K2328*(1+P2328)/(1-Q2328),0)</f>
        <v>965</v>
      </c>
      <c r="M2328" s="8">
        <v>1</v>
      </c>
      <c r="N2328" s="8" t="s">
        <v>27</v>
      </c>
      <c r="O2328" s="13"/>
      <c r="P2328" s="14">
        <v>0</v>
      </c>
      <c r="Q2328" s="15">
        <v>0.3</v>
      </c>
      <c r="R2328" s="16" t="str">
        <f t="shared" si="198"/>
        <v>LAIA</v>
      </c>
      <c r="S2328" s="17"/>
      <c r="T2328" s="10"/>
    </row>
    <row r="2329" spans="1:20" ht="27" customHeight="1" x14ac:dyDescent="0.25">
      <c r="A2329" s="8" t="s">
        <v>4994</v>
      </c>
      <c r="B2329" s="9"/>
      <c r="C2329" s="9"/>
      <c r="D2329" s="8"/>
      <c r="E2329" s="8"/>
      <c r="F2329" s="8" t="s">
        <v>22</v>
      </c>
      <c r="G2329" s="10" t="s">
        <v>4995</v>
      </c>
      <c r="H2329" s="8" t="s">
        <v>4996</v>
      </c>
      <c r="I2329" s="10" t="s">
        <v>4997</v>
      </c>
      <c r="J2329" s="11" t="s">
        <v>33</v>
      </c>
      <c r="K2329" s="18">
        <v>407000</v>
      </c>
      <c r="L2329" s="12">
        <f>IF(J2329="P",ROUNDUP(K2329/(1-Q2329),-2),K2329*(1+P2329)/(1-Q2329))</f>
        <v>452300</v>
      </c>
      <c r="M2329" s="8">
        <v>2</v>
      </c>
      <c r="N2329" s="8" t="s">
        <v>27</v>
      </c>
      <c r="O2329" s="13"/>
      <c r="P2329" s="14">
        <v>0.2</v>
      </c>
      <c r="Q2329" s="15">
        <v>0.1</v>
      </c>
      <c r="R2329" s="16" t="str">
        <f t="shared" si="198"/>
        <v>LAMP</v>
      </c>
      <c r="S2329" s="17"/>
      <c r="T2329" s="10" t="str">
        <f>G2329</f>
        <v>IMAG BASE 2300LM WW MFL BL.</v>
      </c>
    </row>
    <row r="2330" spans="1:20" ht="27" customHeight="1" x14ac:dyDescent="0.25">
      <c r="A2330" s="8" t="s">
        <v>4994</v>
      </c>
      <c r="B2330" s="9"/>
      <c r="C2330" s="9"/>
      <c r="D2330" s="8"/>
      <c r="E2330" s="8"/>
      <c r="F2330" s="8" t="s">
        <v>22</v>
      </c>
      <c r="G2330" s="10" t="s">
        <v>4998</v>
      </c>
      <c r="H2330" s="8" t="s">
        <v>4999</v>
      </c>
      <c r="I2330" s="10" t="s">
        <v>5000</v>
      </c>
      <c r="J2330" s="11" t="s">
        <v>33</v>
      </c>
      <c r="K2330" s="18">
        <v>407000</v>
      </c>
      <c r="L2330" s="12">
        <f>IF(J2330="P",ROUNDUP(K2330/(1-Q2330),-2),K2330*(1+P2330)/(1-O2330))</f>
        <v>452300</v>
      </c>
      <c r="M2330" s="8">
        <v>2</v>
      </c>
      <c r="N2330" s="8" t="s">
        <v>27</v>
      </c>
      <c r="O2330" s="13"/>
      <c r="P2330" s="14">
        <v>0.2</v>
      </c>
      <c r="Q2330" s="15">
        <v>0.1</v>
      </c>
      <c r="R2330" s="16" t="str">
        <f t="shared" si="198"/>
        <v>LAMP</v>
      </c>
      <c r="S2330" s="17"/>
      <c r="T2330" s="10" t="str">
        <f>G2330</f>
        <v>IMAG BASE 2300LM WW SPOT BL.</v>
      </c>
    </row>
    <row r="2331" spans="1:20" ht="27" customHeight="1" x14ac:dyDescent="0.25">
      <c r="A2331" s="8" t="s">
        <v>5001</v>
      </c>
      <c r="B2331" s="9"/>
      <c r="C2331" s="9"/>
      <c r="D2331" s="8"/>
      <c r="E2331" s="8"/>
      <c r="F2331" s="8" t="s">
        <v>22</v>
      </c>
      <c r="G2331" s="10" t="s">
        <v>159</v>
      </c>
      <c r="H2331" s="8" t="s">
        <v>5002</v>
      </c>
      <c r="I2331" s="10" t="s">
        <v>159</v>
      </c>
      <c r="J2331" s="11" t="s">
        <v>33</v>
      </c>
      <c r="K2331" s="18">
        <v>15700</v>
      </c>
      <c r="L2331" s="12">
        <f t="shared" ref="L2331:L2347" si="200">IF(J2331="P",ROUNDUP(K2331/(1-Q2331),-2),K2331*(1+P2331)/(1-Q2331))</f>
        <v>22500</v>
      </c>
      <c r="M2331" s="8">
        <v>1</v>
      </c>
      <c r="N2331" s="8" t="s">
        <v>27</v>
      </c>
      <c r="O2331" s="13"/>
      <c r="P2331" s="14">
        <v>0.2</v>
      </c>
      <c r="Q2331" s="15">
        <v>0.3</v>
      </c>
      <c r="R2331" s="16" t="str">
        <f t="shared" si="198"/>
        <v>LANPRO</v>
      </c>
      <c r="S2331" s="17"/>
      <c r="T2331" s="10" t="str">
        <f>G2331</f>
        <v>JACK CATEGORÍA 6A</v>
      </c>
    </row>
    <row r="2332" spans="1:20" ht="27" customHeight="1" x14ac:dyDescent="0.25">
      <c r="A2332" s="8" t="s">
        <v>5001</v>
      </c>
      <c r="B2332" s="9"/>
      <c r="C2332" s="9"/>
      <c r="D2332" s="8"/>
      <c r="E2332" s="8"/>
      <c r="F2332" s="8"/>
      <c r="G2332" s="10"/>
      <c r="H2332" s="8" t="s">
        <v>5003</v>
      </c>
      <c r="I2332" s="10" t="s">
        <v>5004</v>
      </c>
      <c r="J2332" s="11" t="s">
        <v>33</v>
      </c>
      <c r="K2332" s="18">
        <v>146000</v>
      </c>
      <c r="L2332" s="12">
        <f t="shared" si="200"/>
        <v>224700</v>
      </c>
      <c r="M2332" s="8">
        <v>1</v>
      </c>
      <c r="N2332" s="8" t="s">
        <v>27</v>
      </c>
      <c r="O2332" s="13">
        <f>F2332</f>
        <v>0</v>
      </c>
      <c r="P2332" s="14">
        <v>0</v>
      </c>
      <c r="Q2332" s="15">
        <v>0.35</v>
      </c>
      <c r="R2332" s="16" t="str">
        <f t="shared" si="198"/>
        <v>LANPRO</v>
      </c>
      <c r="S2332" s="17"/>
      <c r="T2332" s="10"/>
    </row>
    <row r="2333" spans="1:20" ht="27" customHeight="1" x14ac:dyDescent="0.25">
      <c r="A2333" s="8" t="s">
        <v>5001</v>
      </c>
      <c r="B2333" s="9"/>
      <c r="C2333" s="9"/>
      <c r="D2333" s="8"/>
      <c r="E2333" s="8"/>
      <c r="F2333" s="8"/>
      <c r="G2333" s="10"/>
      <c r="H2333" s="8" t="s">
        <v>5005</v>
      </c>
      <c r="I2333" s="10" t="s">
        <v>5006</v>
      </c>
      <c r="J2333" s="11" t="s">
        <v>33</v>
      </c>
      <c r="K2333" s="18">
        <v>687000</v>
      </c>
      <c r="L2333" s="12">
        <f t="shared" si="200"/>
        <v>858800</v>
      </c>
      <c r="M2333" s="8">
        <v>1</v>
      </c>
      <c r="N2333" s="8" t="s">
        <v>27</v>
      </c>
      <c r="O2333" s="13">
        <f>F2333</f>
        <v>0</v>
      </c>
      <c r="P2333" s="14">
        <v>0</v>
      </c>
      <c r="Q2333" s="15">
        <v>0.2</v>
      </c>
      <c r="R2333" s="16" t="str">
        <f t="shared" si="198"/>
        <v>LANPRO</v>
      </c>
      <c r="S2333" s="17"/>
      <c r="T2333" s="10"/>
    </row>
    <row r="2334" spans="1:20" ht="27" customHeight="1" x14ac:dyDescent="0.25">
      <c r="A2334" s="8" t="s">
        <v>5001</v>
      </c>
      <c r="B2334" s="9"/>
      <c r="C2334" s="9"/>
      <c r="D2334" s="8"/>
      <c r="E2334" s="8"/>
      <c r="F2334" s="8"/>
      <c r="G2334" s="10"/>
      <c r="H2334" s="8" t="s">
        <v>5007</v>
      </c>
      <c r="I2334" s="10" t="s">
        <v>5008</v>
      </c>
      <c r="J2334" s="11" t="s">
        <v>33</v>
      </c>
      <c r="K2334" s="18">
        <v>396000</v>
      </c>
      <c r="L2334" s="12">
        <f t="shared" si="200"/>
        <v>528000</v>
      </c>
      <c r="M2334" s="8">
        <v>1</v>
      </c>
      <c r="N2334" s="8" t="s">
        <v>27</v>
      </c>
      <c r="O2334" s="13">
        <f>F2334</f>
        <v>0</v>
      </c>
      <c r="P2334" s="14">
        <v>0</v>
      </c>
      <c r="Q2334" s="15">
        <v>0.25</v>
      </c>
      <c r="R2334" s="16" t="str">
        <f t="shared" si="198"/>
        <v>LANPRO</v>
      </c>
      <c r="S2334" s="17"/>
      <c r="T2334" s="10"/>
    </row>
    <row r="2335" spans="1:20" ht="27" customHeight="1" x14ac:dyDescent="0.25">
      <c r="A2335" s="8" t="s">
        <v>5009</v>
      </c>
      <c r="B2335" s="9"/>
      <c r="C2335" s="9"/>
      <c r="D2335" s="8"/>
      <c r="E2335" s="8"/>
      <c r="F2335" s="8" t="s">
        <v>22</v>
      </c>
      <c r="G2335" s="10" t="s">
        <v>5010</v>
      </c>
      <c r="H2335" s="8" t="s">
        <v>5011</v>
      </c>
      <c r="I2335" s="10" t="s">
        <v>5010</v>
      </c>
      <c r="J2335" s="11" t="s">
        <v>33</v>
      </c>
      <c r="K2335" s="18">
        <v>7000</v>
      </c>
      <c r="L2335" s="12">
        <f t="shared" si="200"/>
        <v>11700</v>
      </c>
      <c r="M2335" s="8">
        <v>1</v>
      </c>
      <c r="N2335" s="8" t="s">
        <v>27</v>
      </c>
      <c r="O2335" s="13"/>
      <c r="P2335" s="14">
        <v>0.2</v>
      </c>
      <c r="Q2335" s="15">
        <v>0.4</v>
      </c>
      <c r="R2335" s="16" t="str">
        <f t="shared" si="198"/>
        <v>LANRO</v>
      </c>
      <c r="S2335" s="17"/>
      <c r="T2335" s="10" t="str">
        <f t="shared" ref="T2335:T2346" si="201">G2335</f>
        <v>JACK CATEGORÍA 6 COLOR ROJO</v>
      </c>
    </row>
    <row r="2336" spans="1:20" ht="27" customHeight="1" x14ac:dyDescent="0.25">
      <c r="A2336" s="8" t="s">
        <v>5009</v>
      </c>
      <c r="B2336" s="9"/>
      <c r="C2336" s="9"/>
      <c r="D2336" s="8"/>
      <c r="E2336" s="8"/>
      <c r="F2336" s="8" t="s">
        <v>22</v>
      </c>
      <c r="G2336" s="10" t="s">
        <v>5012</v>
      </c>
      <c r="H2336" s="8" t="s">
        <v>5013</v>
      </c>
      <c r="I2336" s="10" t="s">
        <v>5012</v>
      </c>
      <c r="J2336" s="11" t="s">
        <v>33</v>
      </c>
      <c r="K2336" s="18">
        <v>7000</v>
      </c>
      <c r="L2336" s="12">
        <f t="shared" si="200"/>
        <v>11700</v>
      </c>
      <c r="M2336" s="8">
        <v>1</v>
      </c>
      <c r="N2336" s="8" t="s">
        <v>27</v>
      </c>
      <c r="O2336" s="13"/>
      <c r="P2336" s="14">
        <v>0.2</v>
      </c>
      <c r="Q2336" s="15">
        <v>0.4</v>
      </c>
      <c r="R2336" s="16" t="str">
        <f t="shared" si="198"/>
        <v>LANRO</v>
      </c>
      <c r="S2336" s="17"/>
      <c r="T2336" s="10" t="str">
        <f t="shared" si="201"/>
        <v>JACK CATEGORÍA 6 COLOR AZUL</v>
      </c>
    </row>
    <row r="2337" spans="1:20" ht="27" customHeight="1" x14ac:dyDescent="0.25">
      <c r="A2337" s="8" t="s">
        <v>5009</v>
      </c>
      <c r="B2337" s="9"/>
      <c r="C2337" s="9"/>
      <c r="D2337" s="8"/>
      <c r="E2337" s="8"/>
      <c r="F2337" s="8" t="s">
        <v>22</v>
      </c>
      <c r="G2337" s="10" t="s">
        <v>5014</v>
      </c>
      <c r="H2337" s="8" t="s">
        <v>5015</v>
      </c>
      <c r="I2337" s="10" t="s">
        <v>5014</v>
      </c>
      <c r="J2337" s="11" t="s">
        <v>33</v>
      </c>
      <c r="K2337" s="18">
        <v>4000</v>
      </c>
      <c r="L2337" s="12">
        <f t="shared" si="200"/>
        <v>6700</v>
      </c>
      <c r="M2337" s="8">
        <v>1</v>
      </c>
      <c r="N2337" s="8" t="s">
        <v>27</v>
      </c>
      <c r="O2337" s="13"/>
      <c r="P2337" s="14">
        <v>0.2</v>
      </c>
      <c r="Q2337" s="15">
        <v>0.4</v>
      </c>
      <c r="R2337" s="16" t="str">
        <f t="shared" si="198"/>
        <v>LANRO</v>
      </c>
      <c r="S2337" s="17"/>
      <c r="T2337" s="10" t="str">
        <f t="shared" si="201"/>
        <v>FACEPLATE DOBLE PARA JACK.</v>
      </c>
    </row>
    <row r="2338" spans="1:20" ht="27" customHeight="1" x14ac:dyDescent="0.25">
      <c r="A2338" s="8" t="s">
        <v>5009</v>
      </c>
      <c r="B2338" s="9"/>
      <c r="C2338" s="9"/>
      <c r="D2338" s="8"/>
      <c r="E2338" s="8"/>
      <c r="F2338" s="8" t="s">
        <v>22</v>
      </c>
      <c r="G2338" s="10" t="s">
        <v>5016</v>
      </c>
      <c r="H2338" s="8" t="s">
        <v>5017</v>
      </c>
      <c r="I2338" s="10" t="s">
        <v>5016</v>
      </c>
      <c r="J2338" s="11" t="s">
        <v>33</v>
      </c>
      <c r="K2338" s="18">
        <v>175000</v>
      </c>
      <c r="L2338" s="12">
        <f t="shared" si="200"/>
        <v>291700</v>
      </c>
      <c r="M2338" s="8">
        <v>1</v>
      </c>
      <c r="N2338" s="8" t="s">
        <v>27</v>
      </c>
      <c r="O2338" s="13"/>
      <c r="P2338" s="14">
        <v>0.2</v>
      </c>
      <c r="Q2338" s="15">
        <v>0.4</v>
      </c>
      <c r="R2338" s="16" t="str">
        <f t="shared" si="198"/>
        <v>LANRO</v>
      </c>
      <c r="S2338" s="17"/>
      <c r="T2338" s="10" t="str">
        <f t="shared" si="201"/>
        <v>PATCH PANEL DE 24 PUERTOS CATEGORÍA 6</v>
      </c>
    </row>
    <row r="2339" spans="1:20" ht="27" customHeight="1" x14ac:dyDescent="0.25">
      <c r="A2339" s="8" t="s">
        <v>5018</v>
      </c>
      <c r="B2339" s="9" t="s">
        <v>2515</v>
      </c>
      <c r="C2339" s="9"/>
      <c r="D2339" s="8"/>
      <c r="E2339" s="8"/>
      <c r="F2339" s="8" t="s">
        <v>22</v>
      </c>
      <c r="G2339" s="10" t="s">
        <v>5019</v>
      </c>
      <c r="H2339" s="8" t="s">
        <v>5020</v>
      </c>
      <c r="I2339" s="10" t="s">
        <v>5021</v>
      </c>
      <c r="J2339" s="11" t="s">
        <v>26</v>
      </c>
      <c r="K2339" s="18">
        <v>170</v>
      </c>
      <c r="L2339" s="12">
        <f t="shared" si="200"/>
        <v>255</v>
      </c>
      <c r="M2339" s="8">
        <v>1</v>
      </c>
      <c r="N2339" s="8" t="s">
        <v>27</v>
      </c>
      <c r="O2339" s="13" t="s">
        <v>588</v>
      </c>
      <c r="P2339" s="14">
        <v>0.2</v>
      </c>
      <c r="Q2339" s="15">
        <v>0.2</v>
      </c>
      <c r="R2339" s="16" t="str">
        <f t="shared" si="198"/>
        <v>LARMTEK</v>
      </c>
      <c r="S2339" s="17" t="s">
        <v>5022</v>
      </c>
      <c r="T2339" s="10" t="str">
        <f t="shared" si="201"/>
        <v>KIT DE ALARMA MONITOREADA CON APP, INTERCONEXIÓN ETHERNET Y WIFI.</v>
      </c>
    </row>
    <row r="2340" spans="1:20" ht="27" customHeight="1" x14ac:dyDescent="0.25">
      <c r="A2340" s="8" t="s">
        <v>5018</v>
      </c>
      <c r="B2340" s="9" t="s">
        <v>2515</v>
      </c>
      <c r="C2340" s="9"/>
      <c r="D2340" s="8"/>
      <c r="E2340" s="8"/>
      <c r="F2340" s="8" t="s">
        <v>22</v>
      </c>
      <c r="G2340" s="10" t="s">
        <v>5023</v>
      </c>
      <c r="H2340" s="8" t="s">
        <v>5024</v>
      </c>
      <c r="I2340" s="10" t="s">
        <v>5023</v>
      </c>
      <c r="J2340" s="11" t="s">
        <v>26</v>
      </c>
      <c r="K2340" s="18">
        <v>13</v>
      </c>
      <c r="L2340" s="12">
        <f t="shared" si="200"/>
        <v>19.5</v>
      </c>
      <c r="M2340" s="8">
        <v>1</v>
      </c>
      <c r="N2340" s="8" t="s">
        <v>27</v>
      </c>
      <c r="O2340" s="13" t="s">
        <v>587</v>
      </c>
      <c r="P2340" s="14">
        <v>0.2</v>
      </c>
      <c r="Q2340" s="15">
        <v>0.2</v>
      </c>
      <c r="R2340" s="16" t="str">
        <f t="shared" si="198"/>
        <v>LARMTEK</v>
      </c>
      <c r="S2340" s="17"/>
      <c r="T2340" s="10" t="str">
        <f t="shared" si="201"/>
        <v>SENSOR MAGNÉTICO INALÁMBRICO PARA DETECCIÓN DE APERTURA.</v>
      </c>
    </row>
    <row r="2341" spans="1:20" ht="27" customHeight="1" x14ac:dyDescent="0.25">
      <c r="A2341" s="8" t="s">
        <v>5018</v>
      </c>
      <c r="B2341" s="9" t="s">
        <v>2515</v>
      </c>
      <c r="C2341" s="9"/>
      <c r="D2341" s="8"/>
      <c r="E2341" s="8"/>
      <c r="F2341" s="8" t="s">
        <v>22</v>
      </c>
      <c r="G2341" s="10" t="s">
        <v>5025</v>
      </c>
      <c r="H2341" s="8" t="s">
        <v>5026</v>
      </c>
      <c r="I2341" s="10" t="s">
        <v>5025</v>
      </c>
      <c r="J2341" s="11" t="s">
        <v>26</v>
      </c>
      <c r="K2341" s="18">
        <v>25</v>
      </c>
      <c r="L2341" s="12">
        <f t="shared" si="200"/>
        <v>37.5</v>
      </c>
      <c r="M2341" s="8">
        <v>1</v>
      </c>
      <c r="N2341" s="8" t="s">
        <v>27</v>
      </c>
      <c r="O2341" s="13" t="s">
        <v>588</v>
      </c>
      <c r="P2341" s="14">
        <v>0.2</v>
      </c>
      <c r="Q2341" s="15">
        <v>0.2</v>
      </c>
      <c r="R2341" s="16" t="str">
        <f t="shared" si="198"/>
        <v>LARMTEK</v>
      </c>
      <c r="S2341" s="17"/>
      <c r="T2341" s="10" t="str">
        <f t="shared" si="201"/>
        <v>SENSOR DE MOVIMIENTO INALÁMBRICO, CON SOPORTE DE PARED.</v>
      </c>
    </row>
    <row r="2342" spans="1:20" ht="27" customHeight="1" x14ac:dyDescent="0.25">
      <c r="A2342" s="53" t="s">
        <v>5027</v>
      </c>
      <c r="B2342" s="9"/>
      <c r="C2342" s="9"/>
      <c r="D2342" s="8"/>
      <c r="E2342" s="8"/>
      <c r="F2342" s="8" t="s">
        <v>22</v>
      </c>
      <c r="G2342" s="10" t="s">
        <v>5028</v>
      </c>
      <c r="H2342" s="8" t="s">
        <v>5029</v>
      </c>
      <c r="I2342" s="10" t="s">
        <v>5028</v>
      </c>
      <c r="J2342" s="11" t="s">
        <v>33</v>
      </c>
      <c r="K2342" s="18">
        <v>49000</v>
      </c>
      <c r="L2342" s="12">
        <f t="shared" si="200"/>
        <v>70000</v>
      </c>
      <c r="M2342" s="8">
        <v>1</v>
      </c>
      <c r="N2342" s="8" t="s">
        <v>27</v>
      </c>
      <c r="O2342" s="13"/>
      <c r="P2342" s="14">
        <v>0.2</v>
      </c>
      <c r="Q2342" s="15">
        <v>0.3</v>
      </c>
      <c r="R2342" s="16" t="str">
        <f t="shared" si="198"/>
        <v>LEDS_C4</v>
      </c>
      <c r="S2342" s="17"/>
      <c r="T2342" s="10" t="str">
        <f t="shared" si="201"/>
        <v>LUMINARIA ARQUITECTÓNICA DE SOBREPONER PARA BOMBILLA GU10</v>
      </c>
    </row>
    <row r="2343" spans="1:20" ht="27" customHeight="1" x14ac:dyDescent="0.25">
      <c r="A2343" s="53" t="s">
        <v>5027</v>
      </c>
      <c r="B2343" s="9"/>
      <c r="C2343" s="9"/>
      <c r="D2343" s="8"/>
      <c r="E2343" s="8"/>
      <c r="F2343" s="8" t="s">
        <v>22</v>
      </c>
      <c r="G2343" s="10" t="s">
        <v>5030</v>
      </c>
      <c r="H2343" s="8" t="s">
        <v>5031</v>
      </c>
      <c r="I2343" s="10" t="s">
        <v>5030</v>
      </c>
      <c r="J2343" s="11" t="s">
        <v>33</v>
      </c>
      <c r="K2343" s="18">
        <v>9500</v>
      </c>
      <c r="L2343" s="12">
        <f t="shared" si="200"/>
        <v>13600</v>
      </c>
      <c r="M2343" s="8">
        <v>1</v>
      </c>
      <c r="N2343" s="8" t="s">
        <v>27</v>
      </c>
      <c r="O2343" s="13"/>
      <c r="P2343" s="14">
        <v>0.2</v>
      </c>
      <c r="Q2343" s="15">
        <v>0.3</v>
      </c>
      <c r="R2343" s="16" t="str">
        <f t="shared" si="198"/>
        <v>LEDS_C4</v>
      </c>
      <c r="S2343" s="17"/>
      <c r="T2343" s="10" t="str">
        <f t="shared" si="201"/>
        <v>ACCESORIO PARA FIJACIÓN DE BOMBILLA GU10</v>
      </c>
    </row>
    <row r="2344" spans="1:20" ht="27" customHeight="1" x14ac:dyDescent="0.25">
      <c r="A2344" s="53" t="s">
        <v>5027</v>
      </c>
      <c r="B2344" s="9"/>
      <c r="C2344" s="9"/>
      <c r="D2344" s="8" t="s">
        <v>45</v>
      </c>
      <c r="E2344" s="8"/>
      <c r="F2344" s="8" t="s">
        <v>22</v>
      </c>
      <c r="G2344" s="10" t="s">
        <v>5032</v>
      </c>
      <c r="H2344" s="8" t="s">
        <v>5033</v>
      </c>
      <c r="I2344" s="10" t="s">
        <v>5032</v>
      </c>
      <c r="J2344" s="11" t="s">
        <v>33</v>
      </c>
      <c r="K2344" s="18">
        <v>151600</v>
      </c>
      <c r="L2344" s="12">
        <f t="shared" si="200"/>
        <v>189500</v>
      </c>
      <c r="M2344" s="8">
        <v>1</v>
      </c>
      <c r="N2344" s="8" t="s">
        <v>27</v>
      </c>
      <c r="O2344" s="13"/>
      <c r="P2344" s="14">
        <v>0</v>
      </c>
      <c r="Q2344" s="15">
        <v>0.2</v>
      </c>
      <c r="R2344" s="16" t="str">
        <f t="shared" si="198"/>
        <v>LEDS_C4</v>
      </c>
      <c r="S2344" s="17"/>
      <c r="T2344" s="10" t="str">
        <f t="shared" si="201"/>
        <v>GEA GU10 - Empotrable de
suelo IP 65 IK10, Potencia
máxima 50 W 100 - 240 VAC.</v>
      </c>
    </row>
    <row r="2345" spans="1:20" ht="27" customHeight="1" x14ac:dyDescent="0.25">
      <c r="A2345" s="53" t="s">
        <v>5027</v>
      </c>
      <c r="B2345" s="9"/>
      <c r="C2345" s="9"/>
      <c r="D2345" s="8" t="s">
        <v>45</v>
      </c>
      <c r="E2345" s="8"/>
      <c r="F2345" s="8" t="s">
        <v>22</v>
      </c>
      <c r="G2345" s="10" t="s">
        <v>5034</v>
      </c>
      <c r="H2345" s="8" t="s">
        <v>5033</v>
      </c>
      <c r="I2345" s="10" t="s">
        <v>5035</v>
      </c>
      <c r="J2345" s="11" t="s">
        <v>33</v>
      </c>
      <c r="K2345" s="18">
        <v>459600</v>
      </c>
      <c r="L2345" s="12">
        <f t="shared" si="200"/>
        <v>574500</v>
      </c>
      <c r="M2345" s="8">
        <v>1</v>
      </c>
      <c r="N2345" s="8" t="s">
        <v>27</v>
      </c>
      <c r="O2345" s="13"/>
      <c r="P2345" s="14">
        <v>0</v>
      </c>
      <c r="Q2345" s="15">
        <v>0.2</v>
      </c>
      <c r="R2345" s="16" t="str">
        <f t="shared" si="198"/>
        <v>LEDS_C4</v>
      </c>
      <c r="S2345" s="17"/>
      <c r="T2345" s="10" t="str">
        <f t="shared" si="201"/>
        <v>GEA POWER LED.</v>
      </c>
    </row>
    <row r="2346" spans="1:20" ht="27" customHeight="1" x14ac:dyDescent="0.25">
      <c r="A2346" s="53" t="s">
        <v>5027</v>
      </c>
      <c r="B2346" s="9"/>
      <c r="C2346" s="9"/>
      <c r="D2346" s="8" t="s">
        <v>45</v>
      </c>
      <c r="E2346" s="8"/>
      <c r="F2346" s="8" t="s">
        <v>22</v>
      </c>
      <c r="G2346" s="10" t="s">
        <v>5036</v>
      </c>
      <c r="H2346" s="8" t="s">
        <v>5037</v>
      </c>
      <c r="I2346" s="10" t="s">
        <v>5036</v>
      </c>
      <c r="J2346" s="11" t="s">
        <v>33</v>
      </c>
      <c r="K2346" s="18">
        <v>140000</v>
      </c>
      <c r="L2346" s="12">
        <f t="shared" si="200"/>
        <v>200000</v>
      </c>
      <c r="M2346" s="8">
        <v>1</v>
      </c>
      <c r="N2346" s="8" t="s">
        <v>27</v>
      </c>
      <c r="O2346" s="13"/>
      <c r="P2346" s="14">
        <v>0</v>
      </c>
      <c r="Q2346" s="15">
        <v>0.3</v>
      </c>
      <c r="R2346" s="16" t="str">
        <f t="shared" si="198"/>
        <v>LEDS_C4</v>
      </c>
      <c r="S2346" s="17"/>
      <c r="T2346" s="10" t="str">
        <f t="shared" si="201"/>
        <v>ILUMINACION GUÍA DE 25W EN FORMATO CUADRADO DE 9x9</v>
      </c>
    </row>
    <row r="2347" spans="1:20" ht="27" customHeight="1" x14ac:dyDescent="0.25">
      <c r="A2347" s="53" t="s">
        <v>5027</v>
      </c>
      <c r="B2347" s="9"/>
      <c r="C2347" s="9"/>
      <c r="D2347" s="8"/>
      <c r="E2347" s="8"/>
      <c r="F2347" s="8"/>
      <c r="G2347" s="10"/>
      <c r="H2347" s="8" t="s">
        <v>5038</v>
      </c>
      <c r="I2347" s="10" t="s">
        <v>5039</v>
      </c>
      <c r="J2347" s="11" t="s">
        <v>33</v>
      </c>
      <c r="K2347" s="18">
        <f>77*3000*0.7</f>
        <v>161700</v>
      </c>
      <c r="L2347" s="12">
        <f t="shared" si="200"/>
        <v>231000</v>
      </c>
      <c r="M2347" s="8">
        <v>1</v>
      </c>
      <c r="N2347" s="8" t="s">
        <v>27</v>
      </c>
      <c r="O2347" s="13"/>
      <c r="P2347" s="14">
        <v>0</v>
      </c>
      <c r="Q2347" s="15">
        <v>0.3</v>
      </c>
      <c r="R2347" s="16" t="str">
        <f t="shared" si="198"/>
        <v>LEDS_C4</v>
      </c>
      <c r="S2347" s="17"/>
      <c r="T2347" s="10"/>
    </row>
    <row r="2348" spans="1:20" ht="27" customHeight="1" x14ac:dyDescent="0.25">
      <c r="A2348" s="53" t="s">
        <v>5027</v>
      </c>
      <c r="B2348" s="9"/>
      <c r="C2348" s="9"/>
      <c r="D2348" s="8"/>
      <c r="E2348" s="8"/>
      <c r="F2348" s="8"/>
      <c r="G2348" s="10"/>
      <c r="H2348" s="8" t="s">
        <v>5040</v>
      </c>
      <c r="I2348" s="10" t="s">
        <v>5041</v>
      </c>
      <c r="J2348" s="11" t="s">
        <v>33</v>
      </c>
      <c r="K2348" s="18">
        <v>332000</v>
      </c>
      <c r="L2348" s="12">
        <f>ROUNDUP(K2348*(1+P2348)/(1-Q2348),0)</f>
        <v>474286</v>
      </c>
      <c r="M2348" s="8">
        <v>1</v>
      </c>
      <c r="N2348" s="8" t="s">
        <v>27</v>
      </c>
      <c r="O2348" s="13"/>
      <c r="P2348" s="14">
        <v>0</v>
      </c>
      <c r="Q2348" s="15">
        <v>0.3</v>
      </c>
      <c r="R2348" s="16" t="str">
        <f t="shared" si="198"/>
        <v>LEDS_C4</v>
      </c>
      <c r="S2348" s="17"/>
      <c r="T2348" s="10"/>
    </row>
    <row r="2349" spans="1:20" ht="27" customHeight="1" x14ac:dyDescent="0.25">
      <c r="A2349" s="53" t="s">
        <v>5027</v>
      </c>
      <c r="B2349" s="9"/>
      <c r="C2349" s="9"/>
      <c r="D2349" s="8"/>
      <c r="E2349" s="8"/>
      <c r="F2349" s="8"/>
      <c r="G2349" s="10"/>
      <c r="H2349" s="8" t="s">
        <v>5042</v>
      </c>
      <c r="I2349" s="10" t="s">
        <v>5043</v>
      </c>
      <c r="J2349" s="11" t="s">
        <v>33</v>
      </c>
      <c r="K2349" s="18">
        <v>539000</v>
      </c>
      <c r="L2349" s="12">
        <f>ROUNDUP(K2349*(1+P2349)/(1-Q2349),0)</f>
        <v>770000</v>
      </c>
      <c r="M2349" s="8">
        <v>1</v>
      </c>
      <c r="N2349" s="8" t="s">
        <v>27</v>
      </c>
      <c r="O2349" s="13"/>
      <c r="P2349" s="14">
        <v>0</v>
      </c>
      <c r="Q2349" s="15">
        <v>0.3</v>
      </c>
      <c r="R2349" s="16" t="str">
        <f t="shared" si="198"/>
        <v>LEDS_C4</v>
      </c>
      <c r="S2349" s="17"/>
      <c r="T2349" s="10"/>
    </row>
    <row r="2350" spans="1:20" ht="27" customHeight="1" x14ac:dyDescent="0.25">
      <c r="A2350" s="53" t="s">
        <v>5027</v>
      </c>
      <c r="B2350" s="9"/>
      <c r="C2350" s="9"/>
      <c r="D2350" s="8"/>
      <c r="E2350" s="8"/>
      <c r="F2350" s="8"/>
      <c r="G2350" s="10"/>
      <c r="H2350" s="8" t="s">
        <v>5044</v>
      </c>
      <c r="I2350" s="10" t="s">
        <v>5045</v>
      </c>
      <c r="J2350" s="11" t="s">
        <v>33</v>
      </c>
      <c r="K2350" s="18">
        <v>1005000</v>
      </c>
      <c r="L2350" s="12">
        <f>ROUNDUP(K2350*(1+P2350)/(1-Q2350),0)</f>
        <v>1435715</v>
      </c>
      <c r="M2350" s="8">
        <v>1</v>
      </c>
      <c r="N2350" s="8" t="s">
        <v>27</v>
      </c>
      <c r="O2350" s="13"/>
      <c r="P2350" s="14">
        <v>0</v>
      </c>
      <c r="Q2350" s="15">
        <v>0.3</v>
      </c>
      <c r="R2350" s="16" t="str">
        <f t="shared" si="198"/>
        <v>LEDS_C4</v>
      </c>
      <c r="S2350" s="17"/>
      <c r="T2350" s="10"/>
    </row>
    <row r="2351" spans="1:20" ht="27" customHeight="1" x14ac:dyDescent="0.25">
      <c r="A2351" s="53" t="s">
        <v>5027</v>
      </c>
      <c r="B2351" s="9"/>
      <c r="C2351" s="9"/>
      <c r="D2351" s="8"/>
      <c r="E2351" s="8"/>
      <c r="F2351" s="8"/>
      <c r="G2351" s="10"/>
      <c r="H2351" s="8" t="s">
        <v>5046</v>
      </c>
      <c r="I2351" s="10" t="s">
        <v>5047</v>
      </c>
      <c r="J2351" s="11" t="s">
        <v>33</v>
      </c>
      <c r="K2351" s="18">
        <v>1300200</v>
      </c>
      <c r="L2351" s="12">
        <f t="shared" ref="L2351:L2360" si="202">K2351*(1+P2351)/(1-Q2351)</f>
        <v>1625250</v>
      </c>
      <c r="M2351" s="8">
        <v>1</v>
      </c>
      <c r="N2351" s="8" t="s">
        <v>27</v>
      </c>
      <c r="O2351" s="13"/>
      <c r="P2351" s="14">
        <v>0</v>
      </c>
      <c r="Q2351" s="15">
        <v>0.2</v>
      </c>
      <c r="R2351" s="16" t="str">
        <f t="shared" si="198"/>
        <v>LEDS_C4</v>
      </c>
      <c r="S2351" s="17"/>
      <c r="T2351" s="10"/>
    </row>
    <row r="2352" spans="1:20" ht="27" customHeight="1" x14ac:dyDescent="0.25">
      <c r="A2352" s="53" t="s">
        <v>5027</v>
      </c>
      <c r="B2352" s="9"/>
      <c r="C2352" s="9"/>
      <c r="D2352" s="8"/>
      <c r="E2352" s="8"/>
      <c r="F2352" s="8"/>
      <c r="G2352" s="10"/>
      <c r="H2352" s="8" t="s">
        <v>5048</v>
      </c>
      <c r="I2352" s="10" t="s">
        <v>5049</v>
      </c>
      <c r="J2352" s="11" t="s">
        <v>33</v>
      </c>
      <c r="K2352" s="18">
        <v>438000</v>
      </c>
      <c r="L2352" s="12">
        <f t="shared" si="202"/>
        <v>547500</v>
      </c>
      <c r="M2352" s="8">
        <v>1</v>
      </c>
      <c r="N2352" s="8" t="s">
        <v>27</v>
      </c>
      <c r="O2352" s="13"/>
      <c r="P2352" s="14">
        <v>0</v>
      </c>
      <c r="Q2352" s="15">
        <v>0.2</v>
      </c>
      <c r="R2352" s="16" t="str">
        <f t="shared" si="198"/>
        <v>LEDS_C4</v>
      </c>
      <c r="S2352" s="17"/>
      <c r="T2352" s="10"/>
    </row>
    <row r="2353" spans="1:20" ht="27" customHeight="1" x14ac:dyDescent="0.25">
      <c r="A2353" s="53" t="s">
        <v>5027</v>
      </c>
      <c r="B2353" s="9"/>
      <c r="C2353" s="9"/>
      <c r="D2353" s="8"/>
      <c r="E2353" s="8"/>
      <c r="F2353" s="8"/>
      <c r="G2353" s="10"/>
      <c r="H2353" s="8" t="s">
        <v>5050</v>
      </c>
      <c r="I2353" s="10" t="s">
        <v>5051</v>
      </c>
      <c r="J2353" s="11" t="s">
        <v>33</v>
      </c>
      <c r="K2353" s="18">
        <v>466000</v>
      </c>
      <c r="L2353" s="12">
        <f t="shared" si="202"/>
        <v>582500</v>
      </c>
      <c r="M2353" s="8">
        <v>1</v>
      </c>
      <c r="N2353" s="8" t="s">
        <v>27</v>
      </c>
      <c r="O2353" s="13"/>
      <c r="P2353" s="14">
        <v>0</v>
      </c>
      <c r="Q2353" s="15">
        <v>0.2</v>
      </c>
      <c r="R2353" s="16" t="str">
        <f t="shared" si="198"/>
        <v>LEDS_C4</v>
      </c>
      <c r="S2353" s="17"/>
      <c r="T2353" s="10"/>
    </row>
    <row r="2354" spans="1:20" ht="27" customHeight="1" x14ac:dyDescent="0.25">
      <c r="A2354" s="53" t="s">
        <v>5027</v>
      </c>
      <c r="B2354" s="9"/>
      <c r="C2354" s="9"/>
      <c r="D2354" s="8"/>
      <c r="E2354" s="8"/>
      <c r="F2354" s="8"/>
      <c r="G2354" s="10"/>
      <c r="H2354" s="8" t="s">
        <v>5052</v>
      </c>
      <c r="I2354" s="10" t="s">
        <v>5053</v>
      </c>
      <c r="J2354" s="11" t="s">
        <v>33</v>
      </c>
      <c r="K2354" s="18">
        <v>101200</v>
      </c>
      <c r="L2354" s="12">
        <f t="shared" si="202"/>
        <v>126500</v>
      </c>
      <c r="M2354" s="8">
        <v>1</v>
      </c>
      <c r="N2354" s="8" t="s">
        <v>27</v>
      </c>
      <c r="O2354" s="13"/>
      <c r="P2354" s="14">
        <v>0</v>
      </c>
      <c r="Q2354" s="15">
        <v>0.2</v>
      </c>
      <c r="R2354" s="16" t="str">
        <f t="shared" si="198"/>
        <v>LEDS_C4</v>
      </c>
      <c r="S2354" s="17"/>
      <c r="T2354" s="10"/>
    </row>
    <row r="2355" spans="1:20" ht="27" customHeight="1" x14ac:dyDescent="0.25">
      <c r="A2355" s="53" t="s">
        <v>5027</v>
      </c>
      <c r="B2355" s="9"/>
      <c r="C2355" s="9"/>
      <c r="D2355" s="8"/>
      <c r="E2355" s="8"/>
      <c r="F2355" s="8"/>
      <c r="G2355" s="10"/>
      <c r="H2355" s="8" t="s">
        <v>5054</v>
      </c>
      <c r="I2355" s="10" t="s">
        <v>5055</v>
      </c>
      <c r="J2355" s="11" t="s">
        <v>33</v>
      </c>
      <c r="K2355" s="18">
        <v>92000</v>
      </c>
      <c r="L2355" s="12">
        <f t="shared" si="202"/>
        <v>131428.57142857145</v>
      </c>
      <c r="M2355" s="8">
        <v>1</v>
      </c>
      <c r="N2355" s="8" t="s">
        <v>27</v>
      </c>
      <c r="O2355" s="13"/>
      <c r="P2355" s="14">
        <v>0</v>
      </c>
      <c r="Q2355" s="15">
        <v>0.3</v>
      </c>
      <c r="R2355" s="16" t="str">
        <f t="shared" si="198"/>
        <v>LEDS_C4</v>
      </c>
      <c r="S2355" s="17"/>
      <c r="T2355" s="10"/>
    </row>
    <row r="2356" spans="1:20" ht="27" customHeight="1" x14ac:dyDescent="0.25">
      <c r="A2356" s="53" t="s">
        <v>5027</v>
      </c>
      <c r="B2356" s="9"/>
      <c r="C2356" s="9"/>
      <c r="D2356" s="8"/>
      <c r="E2356" s="8"/>
      <c r="F2356" s="8"/>
      <c r="G2356" s="10"/>
      <c r="H2356" s="8" t="s">
        <v>5056</v>
      </c>
      <c r="I2356" s="10" t="s">
        <v>5057</v>
      </c>
      <c r="J2356" s="11" t="s">
        <v>33</v>
      </c>
      <c r="K2356" s="18">
        <v>208000</v>
      </c>
      <c r="L2356" s="12">
        <f t="shared" si="202"/>
        <v>297142.85714285716</v>
      </c>
      <c r="M2356" s="8">
        <v>1</v>
      </c>
      <c r="N2356" s="8" t="s">
        <v>27</v>
      </c>
      <c r="O2356" s="13"/>
      <c r="P2356" s="14">
        <v>0</v>
      </c>
      <c r="Q2356" s="15">
        <v>0.3</v>
      </c>
      <c r="R2356" s="16" t="str">
        <f t="shared" si="198"/>
        <v>LEDS_C4</v>
      </c>
      <c r="S2356" s="17"/>
      <c r="T2356" s="10"/>
    </row>
    <row r="2357" spans="1:20" ht="27" customHeight="1" x14ac:dyDescent="0.25">
      <c r="A2357" s="53" t="s">
        <v>5027</v>
      </c>
      <c r="B2357" s="9"/>
      <c r="C2357" s="9"/>
      <c r="D2357" s="8"/>
      <c r="E2357" s="8"/>
      <c r="F2357" s="8"/>
      <c r="G2357" s="10"/>
      <c r="H2357" s="8" t="s">
        <v>5058</v>
      </c>
      <c r="I2357" s="10" t="s">
        <v>5059</v>
      </c>
      <c r="J2357" s="11" t="s">
        <v>33</v>
      </c>
      <c r="K2357" s="18">
        <v>653000</v>
      </c>
      <c r="L2357" s="12">
        <f t="shared" si="202"/>
        <v>816250</v>
      </c>
      <c r="M2357" s="8">
        <v>1</v>
      </c>
      <c r="N2357" s="8" t="s">
        <v>27</v>
      </c>
      <c r="O2357" s="13"/>
      <c r="P2357" s="14">
        <v>0</v>
      </c>
      <c r="Q2357" s="15">
        <v>0.2</v>
      </c>
      <c r="R2357" s="16" t="str">
        <f t="shared" si="198"/>
        <v>LEDS_C4</v>
      </c>
      <c r="S2357" s="17"/>
      <c r="T2357" s="10"/>
    </row>
    <row r="2358" spans="1:20" ht="27" customHeight="1" x14ac:dyDescent="0.25">
      <c r="A2358" s="53" t="s">
        <v>5027</v>
      </c>
      <c r="B2358" s="9"/>
      <c r="C2358" s="9"/>
      <c r="D2358" s="8"/>
      <c r="E2358" s="8"/>
      <c r="F2358" s="8"/>
      <c r="G2358" s="10"/>
      <c r="H2358" s="8" t="s">
        <v>5060</v>
      </c>
      <c r="I2358" s="10" t="s">
        <v>5061</v>
      </c>
      <c r="J2358" s="11" t="s">
        <v>33</v>
      </c>
      <c r="K2358" s="18">
        <f>909000*0.9</f>
        <v>818100</v>
      </c>
      <c r="L2358" s="12">
        <f t="shared" si="202"/>
        <v>1022625</v>
      </c>
      <c r="M2358" s="8">
        <v>1</v>
      </c>
      <c r="N2358" s="8" t="s">
        <v>27</v>
      </c>
      <c r="O2358" s="13"/>
      <c r="P2358" s="14">
        <v>0</v>
      </c>
      <c r="Q2358" s="15">
        <v>0.2</v>
      </c>
      <c r="R2358" s="16" t="str">
        <f t="shared" si="198"/>
        <v>LEDS_C4</v>
      </c>
      <c r="S2358" s="17"/>
      <c r="T2358" s="10"/>
    </row>
    <row r="2359" spans="1:20" ht="27" customHeight="1" x14ac:dyDescent="0.25">
      <c r="A2359" s="53" t="s">
        <v>5027</v>
      </c>
      <c r="B2359" s="9"/>
      <c r="C2359" s="9"/>
      <c r="D2359" s="8"/>
      <c r="E2359" s="8"/>
      <c r="F2359" s="8"/>
      <c r="G2359" s="10"/>
      <c r="H2359" s="8" t="s">
        <v>5062</v>
      </c>
      <c r="I2359" s="10" t="s">
        <v>5063</v>
      </c>
      <c r="J2359" s="11" t="s">
        <v>33</v>
      </c>
      <c r="K2359" s="18">
        <f>97300*0.9</f>
        <v>87570</v>
      </c>
      <c r="L2359" s="12">
        <f t="shared" si="202"/>
        <v>145950</v>
      </c>
      <c r="M2359" s="8">
        <v>1</v>
      </c>
      <c r="N2359" s="8" t="s">
        <v>27</v>
      </c>
      <c r="O2359" s="13"/>
      <c r="P2359" s="14">
        <v>0</v>
      </c>
      <c r="Q2359" s="15">
        <v>0.4</v>
      </c>
      <c r="R2359" s="16" t="str">
        <f t="shared" si="198"/>
        <v>LEDS_C4</v>
      </c>
      <c r="S2359" s="17"/>
      <c r="T2359" s="10"/>
    </row>
    <row r="2360" spans="1:20" ht="27" customHeight="1" x14ac:dyDescent="0.25">
      <c r="A2360" s="53" t="s">
        <v>5027</v>
      </c>
      <c r="B2360" s="9"/>
      <c r="C2360" s="9"/>
      <c r="D2360" s="8"/>
      <c r="E2360" s="8"/>
      <c r="F2360" s="8"/>
      <c r="G2360" s="10"/>
      <c r="H2360" s="8" t="s">
        <v>5064</v>
      </c>
      <c r="I2360" s="10" t="s">
        <v>5065</v>
      </c>
      <c r="J2360" s="11" t="s">
        <v>33</v>
      </c>
      <c r="K2360" s="18">
        <f>335500*0.9</f>
        <v>301950</v>
      </c>
      <c r="L2360" s="12">
        <f t="shared" si="202"/>
        <v>431357.1428571429</v>
      </c>
      <c r="M2360" s="8">
        <v>1</v>
      </c>
      <c r="N2360" s="8" t="s">
        <v>27</v>
      </c>
      <c r="O2360" s="13"/>
      <c r="P2360" s="14">
        <v>0</v>
      </c>
      <c r="Q2360" s="15">
        <v>0.3</v>
      </c>
      <c r="R2360" s="16" t="str">
        <f t="shared" si="198"/>
        <v>LEDS_C4</v>
      </c>
      <c r="S2360" s="17"/>
      <c r="T2360" s="10"/>
    </row>
    <row r="2361" spans="1:20" ht="27" customHeight="1" x14ac:dyDescent="0.25">
      <c r="A2361" s="8" t="s">
        <v>5066</v>
      </c>
      <c r="B2361" s="9" t="s">
        <v>5067</v>
      </c>
      <c r="C2361" s="9"/>
      <c r="D2361" s="8" t="s">
        <v>5068</v>
      </c>
      <c r="E2361" s="8"/>
      <c r="F2361" s="8" t="s">
        <v>22</v>
      </c>
      <c r="G2361" s="10" t="s">
        <v>5069</v>
      </c>
      <c r="H2361" s="8" t="s">
        <v>5070</v>
      </c>
      <c r="I2361" s="10" t="s">
        <v>5069</v>
      </c>
      <c r="J2361" s="11" t="s">
        <v>33</v>
      </c>
      <c r="K2361" s="18">
        <v>6500</v>
      </c>
      <c r="L2361" s="12">
        <f>IF(J2361="P",ROUNDUP(K2361/(1-Q2361),-2),K2361*(1+P2361)/(1-Q2361))</f>
        <v>9300</v>
      </c>
      <c r="M2361" s="8">
        <v>1</v>
      </c>
      <c r="N2361" s="8" t="s">
        <v>27</v>
      </c>
      <c r="O2361" s="13"/>
      <c r="P2361" s="14">
        <v>0.2</v>
      </c>
      <c r="Q2361" s="15">
        <v>0.3</v>
      </c>
      <c r="R2361" s="16" t="str">
        <f t="shared" si="198"/>
        <v>LEGRAND</v>
      </c>
      <c r="S2361" s="17"/>
      <c r="T2361" s="10" t="str">
        <f t="shared" ref="T2361:T2393" si="203">G2361</f>
        <v>TOMA CORRIENTE LÍNEA AMBIA PARA CLAVIJA TRIPLE.</v>
      </c>
    </row>
    <row r="2362" spans="1:20" ht="27" customHeight="1" x14ac:dyDescent="0.25">
      <c r="A2362" s="8" t="s">
        <v>5066</v>
      </c>
      <c r="B2362" s="9"/>
      <c r="C2362" s="9"/>
      <c r="D2362" s="8"/>
      <c r="E2362" s="8"/>
      <c r="F2362" s="8" t="s">
        <v>22</v>
      </c>
      <c r="G2362" s="10" t="s">
        <v>5071</v>
      </c>
      <c r="H2362" s="8" t="s">
        <v>5072</v>
      </c>
      <c r="I2362" s="10" t="s">
        <v>5071</v>
      </c>
      <c r="J2362" s="11" t="s">
        <v>33</v>
      </c>
      <c r="K2362" s="18">
        <v>3200</v>
      </c>
      <c r="L2362" s="12">
        <v>7500</v>
      </c>
      <c r="M2362" s="8">
        <v>1</v>
      </c>
      <c r="N2362" s="8" t="s">
        <v>27</v>
      </c>
      <c r="O2362" s="13"/>
      <c r="P2362" s="14">
        <v>0.2</v>
      </c>
      <c r="Q2362" s="15">
        <v>0.3</v>
      </c>
      <c r="R2362" s="16" t="str">
        <f t="shared" si="198"/>
        <v>LEGRAND</v>
      </c>
      <c r="S2362" s="17"/>
      <c r="T2362" s="10" t="str">
        <f t="shared" si="203"/>
        <v>ROSETA CERÁMICA PARA BOMBILLA E27.</v>
      </c>
    </row>
    <row r="2363" spans="1:20" ht="27" customHeight="1" x14ac:dyDescent="0.25">
      <c r="A2363" s="8" t="s">
        <v>5066</v>
      </c>
      <c r="B2363" s="9"/>
      <c r="C2363" s="9"/>
      <c r="D2363" s="8"/>
      <c r="E2363" s="8"/>
      <c r="F2363" s="8" t="s">
        <v>22</v>
      </c>
      <c r="G2363" s="10" t="s">
        <v>5073</v>
      </c>
      <c r="H2363" s="8" t="s">
        <v>5074</v>
      </c>
      <c r="I2363" s="10" t="s">
        <v>5073</v>
      </c>
      <c r="J2363" s="11" t="s">
        <v>33</v>
      </c>
      <c r="K2363" s="18">
        <v>25000</v>
      </c>
      <c r="L2363" s="12">
        <f t="shared" ref="L2363:L2388" si="204">IF(J2363="P",ROUNDUP(K2363/(1-Q2363),-2),K2363*(1+P2363)/(1-Q2363))</f>
        <v>35800</v>
      </c>
      <c r="M2363" s="8">
        <v>1</v>
      </c>
      <c r="N2363" s="8" t="s">
        <v>27</v>
      </c>
      <c r="O2363" s="13"/>
      <c r="P2363" s="14">
        <v>0.2</v>
      </c>
      <c r="Q2363" s="15">
        <v>0.3</v>
      </c>
      <c r="R2363" s="16" t="str">
        <f t="shared" si="198"/>
        <v>LEGRAND</v>
      </c>
      <c r="S2363" s="17"/>
      <c r="T2363" s="10" t="str">
        <f t="shared" si="203"/>
        <v>TOMA DE TV BLANCA</v>
      </c>
    </row>
    <row r="2364" spans="1:20" ht="27" customHeight="1" x14ac:dyDescent="0.25">
      <c r="A2364" s="8" t="s">
        <v>5066</v>
      </c>
      <c r="B2364" s="9"/>
      <c r="C2364" s="9"/>
      <c r="D2364" s="8"/>
      <c r="E2364" s="8"/>
      <c r="F2364" s="8" t="s">
        <v>22</v>
      </c>
      <c r="G2364" s="10" t="s">
        <v>5075</v>
      </c>
      <c r="H2364" s="8" t="s">
        <v>5076</v>
      </c>
      <c r="I2364" s="10" t="s">
        <v>5075</v>
      </c>
      <c r="J2364" s="11" t="s">
        <v>33</v>
      </c>
      <c r="K2364" s="18">
        <v>25000</v>
      </c>
      <c r="L2364" s="12">
        <f t="shared" si="204"/>
        <v>35800</v>
      </c>
      <c r="M2364" s="8">
        <v>1</v>
      </c>
      <c r="N2364" s="8" t="s">
        <v>27</v>
      </c>
      <c r="O2364" s="13"/>
      <c r="P2364" s="14">
        <v>0.2</v>
      </c>
      <c r="Q2364" s="15">
        <v>0.3</v>
      </c>
      <c r="R2364" s="16" t="str">
        <f t="shared" si="198"/>
        <v>LEGRAND</v>
      </c>
      <c r="S2364" s="17"/>
      <c r="T2364" s="10" t="str">
        <f t="shared" si="203"/>
        <v>TOMA CORRIENTE 15A BLANCO</v>
      </c>
    </row>
    <row r="2365" spans="1:20" ht="27" customHeight="1" x14ac:dyDescent="0.25">
      <c r="A2365" s="8" t="s">
        <v>5066</v>
      </c>
      <c r="B2365" s="9"/>
      <c r="C2365" s="9"/>
      <c r="D2365" s="8"/>
      <c r="E2365" s="8"/>
      <c r="F2365" s="8" t="s">
        <v>22</v>
      </c>
      <c r="G2365" s="10" t="s">
        <v>706</v>
      </c>
      <c r="H2365" s="8" t="s">
        <v>5077</v>
      </c>
      <c r="I2365" s="10" t="s">
        <v>706</v>
      </c>
      <c r="J2365" s="11" t="s">
        <v>33</v>
      </c>
      <c r="K2365" s="18">
        <v>15000</v>
      </c>
      <c r="L2365" s="12">
        <f t="shared" si="204"/>
        <v>21500</v>
      </c>
      <c r="M2365" s="8">
        <v>1</v>
      </c>
      <c r="N2365" s="8" t="s">
        <v>27</v>
      </c>
      <c r="O2365" s="13"/>
      <c r="P2365" s="14">
        <v>0.2</v>
      </c>
      <c r="Q2365" s="15">
        <v>0.3</v>
      </c>
      <c r="R2365" s="16" t="str">
        <f t="shared" si="198"/>
        <v>LEGRAND</v>
      </c>
      <c r="S2365" s="17"/>
      <c r="T2365" s="10" t="str">
        <f t="shared" si="203"/>
        <v>TAPA CIEGA BLANCA</v>
      </c>
    </row>
    <row r="2366" spans="1:20" ht="27" customHeight="1" x14ac:dyDescent="0.25">
      <c r="A2366" s="8" t="s">
        <v>5066</v>
      </c>
      <c r="B2366" s="9"/>
      <c r="C2366" s="9"/>
      <c r="D2366" s="8"/>
      <c r="E2366" s="8"/>
      <c r="F2366" s="8" t="s">
        <v>22</v>
      </c>
      <c r="G2366" s="10" t="s">
        <v>5078</v>
      </c>
      <c r="H2366" s="8" t="s">
        <v>5079</v>
      </c>
      <c r="I2366" s="10" t="s">
        <v>5078</v>
      </c>
      <c r="J2366" s="11" t="s">
        <v>33</v>
      </c>
      <c r="K2366" s="18">
        <v>20000</v>
      </c>
      <c r="L2366" s="12">
        <f t="shared" si="204"/>
        <v>28600</v>
      </c>
      <c r="M2366" s="8">
        <v>1</v>
      </c>
      <c r="N2366" s="8" t="s">
        <v>27</v>
      </c>
      <c r="O2366" s="13"/>
      <c r="P2366" s="14">
        <v>0.2</v>
      </c>
      <c r="Q2366" s="15">
        <v>0.3</v>
      </c>
      <c r="R2366" s="16" t="str">
        <f t="shared" si="198"/>
        <v>LEGRAND</v>
      </c>
      <c r="S2366" s="17"/>
      <c r="T2366" s="10" t="str">
        <f t="shared" si="203"/>
        <v>TOMA DE TV BLANCA LÍNEA GÁLICA</v>
      </c>
    </row>
    <row r="2367" spans="1:20" ht="27" customHeight="1" x14ac:dyDescent="0.25">
      <c r="A2367" s="8" t="s">
        <v>5066</v>
      </c>
      <c r="B2367" s="9"/>
      <c r="C2367" s="9"/>
      <c r="D2367" s="8"/>
      <c r="E2367" s="8"/>
      <c r="F2367" s="8" t="s">
        <v>22</v>
      </c>
      <c r="G2367" s="10" t="s">
        <v>5080</v>
      </c>
      <c r="H2367" s="8" t="s">
        <v>5081</v>
      </c>
      <c r="I2367" s="10" t="s">
        <v>5080</v>
      </c>
      <c r="J2367" s="11" t="s">
        <v>33</v>
      </c>
      <c r="K2367" s="18">
        <v>112138</v>
      </c>
      <c r="L2367" s="12">
        <f t="shared" si="204"/>
        <v>160200</v>
      </c>
      <c r="M2367" s="8">
        <v>1</v>
      </c>
      <c r="N2367" s="8" t="s">
        <v>27</v>
      </c>
      <c r="O2367" s="13"/>
      <c r="P2367" s="14">
        <v>0</v>
      </c>
      <c r="Q2367" s="15">
        <v>0.3</v>
      </c>
      <c r="R2367" s="16" t="str">
        <f t="shared" si="198"/>
        <v>LEGRAND</v>
      </c>
      <c r="S2367" s="17"/>
      <c r="T2367" s="10" t="str">
        <f t="shared" si="203"/>
        <v>INTERRUPTOR TOTALIZADOR TRIPOLAR DE 100A</v>
      </c>
    </row>
    <row r="2368" spans="1:20" ht="27" customHeight="1" x14ac:dyDescent="0.25">
      <c r="A2368" s="8" t="s">
        <v>5066</v>
      </c>
      <c r="B2368" s="9"/>
      <c r="C2368" s="9"/>
      <c r="D2368" s="8"/>
      <c r="E2368" s="8"/>
      <c r="F2368" s="8" t="s">
        <v>22</v>
      </c>
      <c r="G2368" s="10" t="s">
        <v>5082</v>
      </c>
      <c r="H2368" s="8" t="s">
        <v>5083</v>
      </c>
      <c r="I2368" s="10" t="s">
        <v>5082</v>
      </c>
      <c r="J2368" s="11" t="s">
        <v>33</v>
      </c>
      <c r="K2368" s="18">
        <v>11000</v>
      </c>
      <c r="L2368" s="12">
        <f t="shared" si="204"/>
        <v>18400</v>
      </c>
      <c r="M2368" s="8">
        <v>1</v>
      </c>
      <c r="N2368" s="8" t="s">
        <v>27</v>
      </c>
      <c r="O2368" s="13"/>
      <c r="P2368" s="14">
        <v>0.2</v>
      </c>
      <c r="Q2368" s="15">
        <v>0.4</v>
      </c>
      <c r="R2368" s="16" t="str">
        <f t="shared" si="198"/>
        <v>LEGRAND</v>
      </c>
      <c r="S2368" s="17"/>
      <c r="T2368" s="10" t="str">
        <f t="shared" si="203"/>
        <v>TOMA CORRIENTE CON INTERRUPTOR</v>
      </c>
    </row>
    <row r="2369" spans="1:20" ht="27" customHeight="1" x14ac:dyDescent="0.25">
      <c r="A2369" s="8" t="s">
        <v>5066</v>
      </c>
      <c r="B2369" s="9"/>
      <c r="C2369" s="9"/>
      <c r="D2369" s="8"/>
      <c r="E2369" s="8"/>
      <c r="F2369" s="8" t="s">
        <v>22</v>
      </c>
      <c r="G2369" s="10" t="s">
        <v>5084</v>
      </c>
      <c r="H2369" s="8" t="s">
        <v>5085</v>
      </c>
      <c r="I2369" s="10" t="s">
        <v>5084</v>
      </c>
      <c r="J2369" s="11" t="s">
        <v>33</v>
      </c>
      <c r="K2369" s="18">
        <v>100000</v>
      </c>
      <c r="L2369" s="12">
        <f t="shared" si="204"/>
        <v>142900</v>
      </c>
      <c r="M2369" s="8">
        <v>1</v>
      </c>
      <c r="N2369" s="8" t="s">
        <v>27</v>
      </c>
      <c r="O2369" s="13"/>
      <c r="P2369" s="14">
        <v>0.2</v>
      </c>
      <c r="Q2369" s="15">
        <v>0.3</v>
      </c>
      <c r="R2369" s="16" t="str">
        <f t="shared" ref="R2369:R2432" si="205">A2369</f>
        <v>LEGRAND</v>
      </c>
      <c r="S2369" s="17"/>
      <c r="T2369" s="10" t="str">
        <f t="shared" si="203"/>
        <v>CITÓFONO ESTÁNDAR LEGRAND</v>
      </c>
    </row>
    <row r="2370" spans="1:20" ht="27" customHeight="1" x14ac:dyDescent="0.25">
      <c r="A2370" s="8" t="s">
        <v>5066</v>
      </c>
      <c r="B2370" s="9" t="s">
        <v>5067</v>
      </c>
      <c r="C2370" s="9"/>
      <c r="D2370" s="8" t="s">
        <v>5086</v>
      </c>
      <c r="E2370" s="8">
        <v>1</v>
      </c>
      <c r="F2370" s="8" t="s">
        <v>22</v>
      </c>
      <c r="G2370" s="10" t="s">
        <v>5087</v>
      </c>
      <c r="H2370" s="8" t="s">
        <v>5088</v>
      </c>
      <c r="I2370" s="10" t="s">
        <v>605</v>
      </c>
      <c r="J2370" s="11" t="s">
        <v>33</v>
      </c>
      <c r="K2370" s="18">
        <v>13300</v>
      </c>
      <c r="L2370" s="12">
        <f t="shared" si="204"/>
        <v>19000</v>
      </c>
      <c r="M2370" s="8">
        <v>1</v>
      </c>
      <c r="N2370" s="8" t="s">
        <v>27</v>
      </c>
      <c r="O2370" s="13"/>
      <c r="P2370" s="14">
        <v>0</v>
      </c>
      <c r="Q2370" s="15">
        <v>0.3</v>
      </c>
      <c r="R2370" s="16" t="str">
        <f t="shared" si="205"/>
        <v>LEGRAND</v>
      </c>
      <c r="S2370" s="17"/>
      <c r="T2370" s="10" t="str">
        <f t="shared" si="203"/>
        <v>MULTITOMA DE 6 SALIDAS CON INDICADOR DE CORRIENTE.</v>
      </c>
    </row>
    <row r="2371" spans="1:20" ht="27" customHeight="1" x14ac:dyDescent="0.25">
      <c r="A2371" s="8" t="s">
        <v>5066</v>
      </c>
      <c r="B2371" s="9" t="s">
        <v>5067</v>
      </c>
      <c r="C2371" s="9"/>
      <c r="D2371" s="8" t="s">
        <v>5086</v>
      </c>
      <c r="E2371" s="8">
        <v>2</v>
      </c>
      <c r="F2371" s="8" t="s">
        <v>22</v>
      </c>
      <c r="G2371" s="10" t="s">
        <v>5089</v>
      </c>
      <c r="H2371" s="8" t="s">
        <v>5090</v>
      </c>
      <c r="I2371" s="10" t="s">
        <v>5089</v>
      </c>
      <c r="J2371" s="11" t="s">
        <v>33</v>
      </c>
      <c r="K2371" s="18">
        <v>23800</v>
      </c>
      <c r="L2371" s="12">
        <f t="shared" si="204"/>
        <v>34000</v>
      </c>
      <c r="M2371" s="8">
        <v>1</v>
      </c>
      <c r="N2371" s="8" t="s">
        <v>27</v>
      </c>
      <c r="O2371" s="13"/>
      <c r="P2371" s="14">
        <v>0</v>
      </c>
      <c r="Q2371" s="15">
        <v>0.3</v>
      </c>
      <c r="R2371" s="16" t="str">
        <f t="shared" si="205"/>
        <v>LEGRAND</v>
      </c>
      <c r="S2371" s="17"/>
      <c r="T2371" s="10" t="str">
        <f t="shared" si="203"/>
        <v>MULTITOMA DOBLE DE 3 MÓDULOS.</v>
      </c>
    </row>
    <row r="2372" spans="1:20" ht="27" customHeight="1" x14ac:dyDescent="0.25">
      <c r="A2372" s="8" t="s">
        <v>5066</v>
      </c>
      <c r="B2372" s="9" t="s">
        <v>5067</v>
      </c>
      <c r="C2372" s="9"/>
      <c r="D2372" s="8" t="s">
        <v>5086</v>
      </c>
      <c r="E2372" s="8">
        <v>3</v>
      </c>
      <c r="F2372" s="8" t="s">
        <v>22</v>
      </c>
      <c r="G2372" s="10" t="s">
        <v>5091</v>
      </c>
      <c r="H2372" s="8" t="s">
        <v>979</v>
      </c>
      <c r="I2372" s="10" t="s">
        <v>5091</v>
      </c>
      <c r="J2372" s="11" t="s">
        <v>33</v>
      </c>
      <c r="K2372" s="18">
        <v>3417</v>
      </c>
      <c r="L2372" s="12">
        <f t="shared" si="204"/>
        <v>4900</v>
      </c>
      <c r="M2372" s="8">
        <v>1</v>
      </c>
      <c r="N2372" s="8" t="s">
        <v>27</v>
      </c>
      <c r="O2372" s="13"/>
      <c r="P2372" s="14">
        <v>0</v>
      </c>
      <c r="Q2372" s="15">
        <v>0.3</v>
      </c>
      <c r="R2372" s="16" t="str">
        <f t="shared" si="205"/>
        <v>LEGRAND</v>
      </c>
      <c r="S2372" s="17"/>
      <c r="T2372" s="10" t="str">
        <f t="shared" si="203"/>
        <v>SOPORTE PARA TRES MÓDULOS</v>
      </c>
    </row>
    <row r="2373" spans="1:20" ht="27" customHeight="1" x14ac:dyDescent="0.25">
      <c r="A2373" s="8" t="s">
        <v>5066</v>
      </c>
      <c r="B2373" s="9" t="s">
        <v>5067</v>
      </c>
      <c r="C2373" s="9"/>
      <c r="D2373" s="8" t="s">
        <v>5086</v>
      </c>
      <c r="E2373" s="8">
        <v>4</v>
      </c>
      <c r="F2373" s="8" t="s">
        <v>22</v>
      </c>
      <c r="G2373" s="10" t="s">
        <v>5092</v>
      </c>
      <c r="H2373" s="8" t="s">
        <v>967</v>
      </c>
      <c r="I2373" s="10" t="s">
        <v>5092</v>
      </c>
      <c r="J2373" s="11" t="s">
        <v>33</v>
      </c>
      <c r="K2373" s="18">
        <v>11500</v>
      </c>
      <c r="L2373" s="12">
        <f t="shared" si="204"/>
        <v>15400</v>
      </c>
      <c r="M2373" s="8">
        <v>1</v>
      </c>
      <c r="N2373" s="8" t="s">
        <v>27</v>
      </c>
      <c r="O2373" s="13"/>
      <c r="P2373" s="14">
        <v>0.2</v>
      </c>
      <c r="Q2373" s="15">
        <v>0.25</v>
      </c>
      <c r="R2373" s="16" t="str">
        <f t="shared" si="205"/>
        <v>LEGRAND</v>
      </c>
      <c r="S2373" s="17"/>
      <c r="T2373" s="10" t="str">
        <f t="shared" si="203"/>
        <v>PLACA DECORATIVA BLANCA</v>
      </c>
    </row>
    <row r="2374" spans="1:20" ht="27" customHeight="1" x14ac:dyDescent="0.25">
      <c r="A2374" s="8" t="s">
        <v>5066</v>
      </c>
      <c r="B2374" s="9" t="s">
        <v>5067</v>
      </c>
      <c r="C2374" s="9"/>
      <c r="D2374" s="8" t="s">
        <v>5086</v>
      </c>
      <c r="E2374" s="8">
        <v>5</v>
      </c>
      <c r="F2374" s="8" t="s">
        <v>22</v>
      </c>
      <c r="G2374" s="10" t="s">
        <v>5093</v>
      </c>
      <c r="H2374" s="8" t="s">
        <v>5094</v>
      </c>
      <c r="I2374" s="10" t="s">
        <v>5093</v>
      </c>
      <c r="J2374" s="11" t="s">
        <v>33</v>
      </c>
      <c r="K2374" s="18">
        <v>23800</v>
      </c>
      <c r="L2374" s="12">
        <f t="shared" si="204"/>
        <v>31800</v>
      </c>
      <c r="M2374" s="8">
        <v>1</v>
      </c>
      <c r="N2374" s="8" t="s">
        <v>27</v>
      </c>
      <c r="O2374" s="13"/>
      <c r="P2374" s="14">
        <v>0.2</v>
      </c>
      <c r="Q2374" s="15">
        <v>0.25</v>
      </c>
      <c r="R2374" s="16" t="str">
        <f t="shared" si="205"/>
        <v>LEGRAND</v>
      </c>
      <c r="S2374" s="17"/>
      <c r="T2374" s="10" t="str">
        <f t="shared" si="203"/>
        <v>MULTITOMA DOBLE DE 3 MÓDULOS NARANJA.</v>
      </c>
    </row>
    <row r="2375" spans="1:20" ht="27" customHeight="1" x14ac:dyDescent="0.25">
      <c r="A2375" s="8" t="s">
        <v>5066</v>
      </c>
      <c r="B2375" s="9" t="s">
        <v>5067</v>
      </c>
      <c r="C2375" s="9"/>
      <c r="D2375" s="8" t="s">
        <v>5086</v>
      </c>
      <c r="E2375" s="8">
        <v>6</v>
      </c>
      <c r="F2375" s="8" t="s">
        <v>22</v>
      </c>
      <c r="G2375" s="10" t="s">
        <v>5095</v>
      </c>
      <c r="H2375" s="8" t="s">
        <v>5096</v>
      </c>
      <c r="I2375" s="10" t="s">
        <v>5095</v>
      </c>
      <c r="J2375" s="11" t="s">
        <v>33</v>
      </c>
      <c r="K2375" s="18">
        <v>95100</v>
      </c>
      <c r="L2375" s="12">
        <f t="shared" si="204"/>
        <v>126800</v>
      </c>
      <c r="M2375" s="8">
        <v>1</v>
      </c>
      <c r="N2375" s="8" t="s">
        <v>27</v>
      </c>
      <c r="O2375" s="13"/>
      <c r="P2375" s="14">
        <v>0.2</v>
      </c>
      <c r="Q2375" s="15">
        <v>0.25</v>
      </c>
      <c r="R2375" s="16" t="str">
        <f t="shared" si="205"/>
        <v>LEGRAND</v>
      </c>
      <c r="S2375" s="17"/>
      <c r="T2375" s="10" t="str">
        <f t="shared" si="203"/>
        <v>MULTITOMA GFCI DOBLE DE 3 MÓDULOS.</v>
      </c>
    </row>
    <row r="2376" spans="1:20" ht="27" customHeight="1" x14ac:dyDescent="0.25">
      <c r="A2376" s="8" t="s">
        <v>5066</v>
      </c>
      <c r="B2376" s="9" t="s">
        <v>5067</v>
      </c>
      <c r="C2376" s="9"/>
      <c r="D2376" s="8" t="s">
        <v>5086</v>
      </c>
      <c r="E2376" s="8">
        <v>7</v>
      </c>
      <c r="F2376" s="8" t="s">
        <v>22</v>
      </c>
      <c r="G2376" s="10" t="s">
        <v>5097</v>
      </c>
      <c r="H2376" s="8" t="s">
        <v>5098</v>
      </c>
      <c r="I2376" s="10" t="s">
        <v>5097</v>
      </c>
      <c r="J2376" s="11" t="s">
        <v>33</v>
      </c>
      <c r="K2376" s="18">
        <v>31800</v>
      </c>
      <c r="L2376" s="12">
        <f t="shared" si="204"/>
        <v>42400</v>
      </c>
      <c r="M2376" s="8">
        <v>1</v>
      </c>
      <c r="N2376" s="8" t="s">
        <v>27</v>
      </c>
      <c r="O2376" s="13"/>
      <c r="P2376" s="14">
        <v>0.2</v>
      </c>
      <c r="Q2376" s="15">
        <v>0.25</v>
      </c>
      <c r="R2376" s="16" t="str">
        <f t="shared" si="205"/>
        <v>LEGRAND</v>
      </c>
      <c r="S2376" s="17"/>
      <c r="T2376" s="10" t="str">
        <f t="shared" si="203"/>
        <v>TOMA DE TV DE UN MÓDULO</v>
      </c>
    </row>
    <row r="2377" spans="1:20" ht="27" customHeight="1" x14ac:dyDescent="0.25">
      <c r="A2377" s="8" t="s">
        <v>5066</v>
      </c>
      <c r="B2377" s="9" t="s">
        <v>5067</v>
      </c>
      <c r="C2377" s="9"/>
      <c r="D2377" s="8" t="s">
        <v>5086</v>
      </c>
      <c r="E2377" s="8">
        <v>8</v>
      </c>
      <c r="F2377" s="8" t="s">
        <v>22</v>
      </c>
      <c r="G2377" s="10" t="s">
        <v>5099</v>
      </c>
      <c r="H2377" s="8" t="s">
        <v>5100</v>
      </c>
      <c r="I2377" s="10" t="s">
        <v>5099</v>
      </c>
      <c r="J2377" s="11" t="s">
        <v>33</v>
      </c>
      <c r="K2377" s="18">
        <v>26300</v>
      </c>
      <c r="L2377" s="12">
        <f t="shared" si="204"/>
        <v>35100</v>
      </c>
      <c r="M2377" s="8">
        <v>1</v>
      </c>
      <c r="N2377" s="8" t="s">
        <v>27</v>
      </c>
      <c r="O2377" s="13"/>
      <c r="P2377" s="14">
        <v>0.2</v>
      </c>
      <c r="Q2377" s="15">
        <v>0.25</v>
      </c>
      <c r="R2377" s="16" t="str">
        <f t="shared" si="205"/>
        <v>LEGRAND</v>
      </c>
      <c r="S2377" s="17"/>
      <c r="T2377" s="10" t="str">
        <f t="shared" si="203"/>
        <v>CONECTOR RCA DE UN MÓDULO</v>
      </c>
    </row>
    <row r="2378" spans="1:20" ht="27" customHeight="1" x14ac:dyDescent="0.25">
      <c r="A2378" s="8" t="s">
        <v>5066</v>
      </c>
      <c r="B2378" s="9" t="s">
        <v>5067</v>
      </c>
      <c r="C2378" s="9"/>
      <c r="D2378" s="8" t="s">
        <v>5086</v>
      </c>
      <c r="E2378" s="8">
        <v>9</v>
      </c>
      <c r="F2378" s="8" t="s">
        <v>22</v>
      </c>
      <c r="G2378" s="10" t="s">
        <v>5101</v>
      </c>
      <c r="H2378" s="8" t="s">
        <v>5102</v>
      </c>
      <c r="I2378" s="10" t="s">
        <v>5101</v>
      </c>
      <c r="J2378" s="11" t="s">
        <v>33</v>
      </c>
      <c r="K2378" s="18">
        <v>36100</v>
      </c>
      <c r="L2378" s="12">
        <f t="shared" si="204"/>
        <v>48200</v>
      </c>
      <c r="M2378" s="8">
        <v>1</v>
      </c>
      <c r="N2378" s="8" t="s">
        <v>27</v>
      </c>
      <c r="O2378" s="13"/>
      <c r="P2378" s="14">
        <v>0.2</v>
      </c>
      <c r="Q2378" s="15">
        <v>0.25</v>
      </c>
      <c r="R2378" s="16" t="str">
        <f t="shared" si="205"/>
        <v>LEGRAND</v>
      </c>
      <c r="S2378" s="17"/>
      <c r="T2378" s="10" t="str">
        <f t="shared" si="203"/>
        <v>CONECTOR CAT6 DE UN MÓDULO</v>
      </c>
    </row>
    <row r="2379" spans="1:20" ht="27" customHeight="1" x14ac:dyDescent="0.25">
      <c r="A2379" s="8" t="s">
        <v>5066</v>
      </c>
      <c r="B2379" s="9" t="s">
        <v>5067</v>
      </c>
      <c r="C2379" s="9"/>
      <c r="D2379" s="8" t="s">
        <v>5086</v>
      </c>
      <c r="E2379" s="8">
        <v>9</v>
      </c>
      <c r="F2379" s="8" t="s">
        <v>22</v>
      </c>
      <c r="G2379" s="10" t="s">
        <v>1090</v>
      </c>
      <c r="H2379" s="8" t="s">
        <v>5103</v>
      </c>
      <c r="I2379" s="10" t="s">
        <v>1090</v>
      </c>
      <c r="J2379" s="11" t="s">
        <v>33</v>
      </c>
      <c r="K2379" s="18">
        <v>27000</v>
      </c>
      <c r="L2379" s="12">
        <f t="shared" si="204"/>
        <v>38600</v>
      </c>
      <c r="M2379" s="8">
        <v>1</v>
      </c>
      <c r="N2379" s="8" t="s">
        <v>110</v>
      </c>
      <c r="O2379" s="13"/>
      <c r="P2379" s="14">
        <v>0.2</v>
      </c>
      <c r="Q2379" s="15">
        <v>0.3</v>
      </c>
      <c r="R2379" s="16" t="str">
        <f t="shared" si="205"/>
        <v>LEGRAND</v>
      </c>
      <c r="S2379" s="17"/>
      <c r="T2379" s="10" t="str">
        <f t="shared" si="203"/>
        <v>METRO DE CANASTILLA CABLOFIL CON ACCESORIOS, 20cm DE ANCHO Y 5.4cm DE ALTO.</v>
      </c>
    </row>
    <row r="2380" spans="1:20" ht="27" customHeight="1" x14ac:dyDescent="0.25">
      <c r="A2380" s="8" t="s">
        <v>5066</v>
      </c>
      <c r="B2380" s="9" t="s">
        <v>5067</v>
      </c>
      <c r="C2380" s="9"/>
      <c r="D2380" s="8" t="s">
        <v>5086</v>
      </c>
      <c r="E2380" s="8">
        <v>9</v>
      </c>
      <c r="F2380" s="8" t="s">
        <v>22</v>
      </c>
      <c r="G2380" s="10" t="s">
        <v>5104</v>
      </c>
      <c r="H2380" s="8" t="s">
        <v>5105</v>
      </c>
      <c r="I2380" s="10" t="s">
        <v>5104</v>
      </c>
      <c r="J2380" s="11" t="s">
        <v>33</v>
      </c>
      <c r="K2380" s="18">
        <v>12500</v>
      </c>
      <c r="L2380" s="12">
        <f t="shared" si="204"/>
        <v>17900</v>
      </c>
      <c r="M2380" s="8">
        <v>1</v>
      </c>
      <c r="N2380" s="8" t="s">
        <v>2923</v>
      </c>
      <c r="O2380" s="13"/>
      <c r="P2380" s="14">
        <v>0.2</v>
      </c>
      <c r="Q2380" s="15">
        <v>0.3</v>
      </c>
      <c r="R2380" s="16" t="str">
        <f t="shared" si="205"/>
        <v>LEGRAND</v>
      </c>
      <c r="S2380" s="17"/>
      <c r="T2380" s="10" t="str">
        <f t="shared" si="203"/>
        <v>PAQUETE DE 10 UNIDADES DE TRACK JACK CIEGO</v>
      </c>
    </row>
    <row r="2381" spans="1:20" ht="27" customHeight="1" x14ac:dyDescent="0.25">
      <c r="A2381" s="8" t="s">
        <v>5066</v>
      </c>
      <c r="B2381" s="9"/>
      <c r="C2381" s="9"/>
      <c r="D2381" s="8"/>
      <c r="E2381" s="8"/>
      <c r="F2381" s="8" t="s">
        <v>22</v>
      </c>
      <c r="G2381" s="10" t="s">
        <v>5106</v>
      </c>
      <c r="H2381" s="8" t="s">
        <v>5107</v>
      </c>
      <c r="I2381" s="10" t="s">
        <v>5108</v>
      </c>
      <c r="J2381" s="11" t="s">
        <v>33</v>
      </c>
      <c r="K2381" s="18">
        <v>329000</v>
      </c>
      <c r="L2381" s="12">
        <f t="shared" si="204"/>
        <v>470000</v>
      </c>
      <c r="M2381" s="8">
        <v>1</v>
      </c>
      <c r="N2381" s="8" t="s">
        <v>27</v>
      </c>
      <c r="O2381" s="13" t="s">
        <v>588</v>
      </c>
      <c r="P2381" s="14">
        <v>0</v>
      </c>
      <c r="Q2381" s="15">
        <v>0.3</v>
      </c>
      <c r="R2381" s="16" t="str">
        <f t="shared" si="205"/>
        <v>LEGRAND</v>
      </c>
      <c r="S2381" s="17"/>
      <c r="T2381" s="10" t="str">
        <f t="shared" si="203"/>
        <v>TABLERO DE PROTECTORES ENCHUFABLES PARA 42 CIRCUITOS.</v>
      </c>
    </row>
    <row r="2382" spans="1:20" ht="27" customHeight="1" x14ac:dyDescent="0.25">
      <c r="A2382" s="8" t="s">
        <v>5066</v>
      </c>
      <c r="B2382" s="9"/>
      <c r="C2382" s="9"/>
      <c r="D2382" s="8"/>
      <c r="E2382" s="8"/>
      <c r="F2382" s="8" t="s">
        <v>22</v>
      </c>
      <c r="G2382" s="10" t="s">
        <v>5109</v>
      </c>
      <c r="H2382" s="8" t="s">
        <v>5110</v>
      </c>
      <c r="I2382" s="10" t="s">
        <v>5111</v>
      </c>
      <c r="J2382" s="11" t="s">
        <v>33</v>
      </c>
      <c r="K2382" s="18">
        <v>299000</v>
      </c>
      <c r="L2382" s="12">
        <f t="shared" si="204"/>
        <v>427200</v>
      </c>
      <c r="M2382" s="8">
        <v>1</v>
      </c>
      <c r="N2382" s="8" t="s">
        <v>27</v>
      </c>
      <c r="O2382" s="13" t="s">
        <v>588</v>
      </c>
      <c r="P2382" s="14">
        <v>0</v>
      </c>
      <c r="Q2382" s="15">
        <v>0.3</v>
      </c>
      <c r="R2382" s="16" t="str">
        <f t="shared" si="205"/>
        <v>LEGRAND</v>
      </c>
      <c r="S2382" s="17"/>
      <c r="T2382" s="10" t="str">
        <f t="shared" si="203"/>
        <v>TABLERO DE PROTECTORES ENCHUFABLES PARA 36 CIRCUITOS.</v>
      </c>
    </row>
    <row r="2383" spans="1:20" ht="27" customHeight="1" x14ac:dyDescent="0.25">
      <c r="A2383" s="8" t="s">
        <v>5066</v>
      </c>
      <c r="B2383" s="9"/>
      <c r="C2383" s="9"/>
      <c r="D2383" s="8"/>
      <c r="E2383" s="8"/>
      <c r="F2383" s="8" t="s">
        <v>22</v>
      </c>
      <c r="G2383" s="10" t="s">
        <v>5112</v>
      </c>
      <c r="H2383" s="8" t="s">
        <v>5113</v>
      </c>
      <c r="I2383" s="10" t="s">
        <v>5114</v>
      </c>
      <c r="J2383" s="11" t="s">
        <v>33</v>
      </c>
      <c r="K2383" s="18">
        <v>239000</v>
      </c>
      <c r="L2383" s="12">
        <f t="shared" si="204"/>
        <v>341500</v>
      </c>
      <c r="M2383" s="8">
        <v>1</v>
      </c>
      <c r="N2383" s="8" t="s">
        <v>27</v>
      </c>
      <c r="O2383" s="13" t="s">
        <v>588</v>
      </c>
      <c r="P2383" s="14">
        <v>0</v>
      </c>
      <c r="Q2383" s="15">
        <v>0.3</v>
      </c>
      <c r="R2383" s="16" t="str">
        <f t="shared" si="205"/>
        <v>LEGRAND</v>
      </c>
      <c r="S2383" s="17"/>
      <c r="T2383" s="10" t="str">
        <f t="shared" si="203"/>
        <v>TABLERO DE PROTECTORES ENCHUFABLES PARA 24 CIRCUITOS.</v>
      </c>
    </row>
    <row r="2384" spans="1:20" ht="27" customHeight="1" x14ac:dyDescent="0.25">
      <c r="A2384" s="8" t="s">
        <v>5066</v>
      </c>
      <c r="B2384" s="9"/>
      <c r="C2384" s="9"/>
      <c r="D2384" s="8"/>
      <c r="E2384" s="8"/>
      <c r="F2384" s="8" t="s">
        <v>22</v>
      </c>
      <c r="G2384" s="10" t="s">
        <v>5115</v>
      </c>
      <c r="H2384" s="8" t="s">
        <v>5116</v>
      </c>
      <c r="I2384" s="10" t="s">
        <v>5117</v>
      </c>
      <c r="J2384" s="11" t="s">
        <v>33</v>
      </c>
      <c r="K2384" s="18">
        <v>222000</v>
      </c>
      <c r="L2384" s="12">
        <f t="shared" si="204"/>
        <v>317200</v>
      </c>
      <c r="M2384" s="8">
        <v>1</v>
      </c>
      <c r="N2384" s="8" t="s">
        <v>27</v>
      </c>
      <c r="O2384" s="13" t="s">
        <v>588</v>
      </c>
      <c r="P2384" s="14">
        <v>0</v>
      </c>
      <c r="Q2384" s="15">
        <v>0.3</v>
      </c>
      <c r="R2384" s="16" t="str">
        <f t="shared" si="205"/>
        <v>LEGRAND</v>
      </c>
      <c r="S2384" s="17"/>
      <c r="T2384" s="10" t="str">
        <f t="shared" si="203"/>
        <v>TABLERO DE PROTECTORES ENCHUFABLES PARA 18 CIRCUITOS.</v>
      </c>
    </row>
    <row r="2385" spans="1:20" ht="27" customHeight="1" x14ac:dyDescent="0.25">
      <c r="A2385" s="8" t="s">
        <v>5066</v>
      </c>
      <c r="B2385" s="9"/>
      <c r="C2385" s="9"/>
      <c r="D2385" s="8"/>
      <c r="E2385" s="8"/>
      <c r="F2385" s="8" t="s">
        <v>22</v>
      </c>
      <c r="G2385" s="10" t="s">
        <v>5118</v>
      </c>
      <c r="H2385" s="8" t="s">
        <v>5119</v>
      </c>
      <c r="I2385" s="10" t="s">
        <v>5120</v>
      </c>
      <c r="J2385" s="11" t="s">
        <v>33</v>
      </c>
      <c r="K2385" s="18">
        <v>174000</v>
      </c>
      <c r="L2385" s="12">
        <f t="shared" si="204"/>
        <v>248600</v>
      </c>
      <c r="M2385" s="8">
        <v>1</v>
      </c>
      <c r="N2385" s="8" t="s">
        <v>27</v>
      </c>
      <c r="O2385" s="13" t="s">
        <v>588</v>
      </c>
      <c r="P2385" s="14">
        <v>0</v>
      </c>
      <c r="Q2385" s="15">
        <v>0.3</v>
      </c>
      <c r="R2385" s="16" t="str">
        <f t="shared" si="205"/>
        <v>LEGRAND</v>
      </c>
      <c r="S2385" s="17"/>
      <c r="T2385" s="10" t="str">
        <f t="shared" si="203"/>
        <v>TABLERO DE PROTECTORES ENCHUFABLES PARA 12 CIRCUITOS.</v>
      </c>
    </row>
    <row r="2386" spans="1:20" ht="27" customHeight="1" x14ac:dyDescent="0.25">
      <c r="A2386" s="8" t="s">
        <v>5066</v>
      </c>
      <c r="B2386" s="9"/>
      <c r="C2386" s="9"/>
      <c r="D2386" s="8"/>
      <c r="E2386" s="8"/>
      <c r="F2386" s="8" t="s">
        <v>22</v>
      </c>
      <c r="G2386" s="10" t="s">
        <v>5121</v>
      </c>
      <c r="H2386" s="8" t="s">
        <v>5122</v>
      </c>
      <c r="I2386" s="10" t="s">
        <v>5121</v>
      </c>
      <c r="J2386" s="11" t="s">
        <v>33</v>
      </c>
      <c r="K2386" s="18">
        <v>249500</v>
      </c>
      <c r="L2386" s="12">
        <f t="shared" si="204"/>
        <v>356500</v>
      </c>
      <c r="M2386" s="8">
        <v>1</v>
      </c>
      <c r="N2386" s="8" t="s">
        <v>27</v>
      </c>
      <c r="O2386" s="13"/>
      <c r="P2386" s="14">
        <v>0</v>
      </c>
      <c r="Q2386" s="15">
        <v>0.3</v>
      </c>
      <c r="R2386" s="16" t="str">
        <f t="shared" si="205"/>
        <v>LEGRAND</v>
      </c>
      <c r="S2386" s="17"/>
      <c r="T2386" s="10" t="str">
        <f t="shared" si="203"/>
        <v>INTERRUPTOR TOTALIZADOR TRIPOLAR DE 125A</v>
      </c>
    </row>
    <row r="2387" spans="1:20" ht="27" customHeight="1" x14ac:dyDescent="0.25">
      <c r="A2387" s="8" t="s">
        <v>5066</v>
      </c>
      <c r="B2387" s="9"/>
      <c r="C2387" s="9"/>
      <c r="D2387" s="8"/>
      <c r="E2387" s="8"/>
      <c r="F2387" s="8" t="s">
        <v>22</v>
      </c>
      <c r="G2387" s="10" t="s">
        <v>5123</v>
      </c>
      <c r="H2387" s="8" t="s">
        <v>5124</v>
      </c>
      <c r="I2387" s="10" t="s">
        <v>5123</v>
      </c>
      <c r="J2387" s="11" t="s">
        <v>33</v>
      </c>
      <c r="K2387" s="18">
        <v>104800</v>
      </c>
      <c r="L2387" s="12">
        <f t="shared" si="204"/>
        <v>149800</v>
      </c>
      <c r="M2387" s="8">
        <v>1</v>
      </c>
      <c r="N2387" s="8" t="s">
        <v>27</v>
      </c>
      <c r="O2387" s="13"/>
      <c r="P2387" s="14">
        <v>0</v>
      </c>
      <c r="Q2387" s="15">
        <v>0.3</v>
      </c>
      <c r="R2387" s="16" t="str">
        <f t="shared" si="205"/>
        <v>LEGRAND</v>
      </c>
      <c r="S2387" s="17"/>
      <c r="T2387" s="10" t="str">
        <f t="shared" si="203"/>
        <v>INTERRUPTOR TOTALIZADOR TRIPOLAR DE 60A</v>
      </c>
    </row>
    <row r="2388" spans="1:20" ht="27" customHeight="1" x14ac:dyDescent="0.25">
      <c r="A2388" s="8" t="s">
        <v>5066</v>
      </c>
      <c r="B2388" s="9"/>
      <c r="C2388" s="9"/>
      <c r="D2388" s="8"/>
      <c r="E2388" s="8"/>
      <c r="F2388" s="8" t="s">
        <v>22</v>
      </c>
      <c r="G2388" s="10" t="s">
        <v>5123</v>
      </c>
      <c r="H2388" s="8" t="s">
        <v>5125</v>
      </c>
      <c r="I2388" s="10" t="s">
        <v>5123</v>
      </c>
      <c r="J2388" s="11" t="s">
        <v>33</v>
      </c>
      <c r="K2388" s="18">
        <v>90000</v>
      </c>
      <c r="L2388" s="12">
        <f t="shared" si="204"/>
        <v>128600</v>
      </c>
      <c r="M2388" s="8">
        <v>1</v>
      </c>
      <c r="N2388" s="8" t="s">
        <v>27</v>
      </c>
      <c r="O2388" s="13"/>
      <c r="P2388" s="14">
        <v>0</v>
      </c>
      <c r="Q2388" s="15">
        <v>0.3</v>
      </c>
      <c r="R2388" s="16" t="str">
        <f t="shared" si="205"/>
        <v>LEGRAND</v>
      </c>
      <c r="S2388" s="17"/>
      <c r="T2388" s="10" t="str">
        <f t="shared" si="203"/>
        <v>INTERRUPTOR TOTALIZADOR TRIPOLAR DE 60A</v>
      </c>
    </row>
    <row r="2389" spans="1:20" ht="27" customHeight="1" x14ac:dyDescent="0.25">
      <c r="A2389" s="8" t="s">
        <v>5066</v>
      </c>
      <c r="B2389" s="9"/>
      <c r="C2389" s="9"/>
      <c r="D2389" s="8" t="s">
        <v>45</v>
      </c>
      <c r="E2389" s="8"/>
      <c r="F2389" s="8" t="s">
        <v>22</v>
      </c>
      <c r="G2389" s="10" t="s">
        <v>5126</v>
      </c>
      <c r="H2389" s="8" t="s">
        <v>5127</v>
      </c>
      <c r="I2389" s="10" t="s">
        <v>5126</v>
      </c>
      <c r="J2389" s="11" t="s">
        <v>33</v>
      </c>
      <c r="K2389" s="18">
        <v>35000</v>
      </c>
      <c r="L2389" s="12">
        <f>ROUNDUP(K2389*(1+P2389)/(1-Q2389),0)</f>
        <v>50000</v>
      </c>
      <c r="M2389" s="8">
        <v>1</v>
      </c>
      <c r="N2389" s="8" t="s">
        <v>27</v>
      </c>
      <c r="O2389" s="13"/>
      <c r="P2389" s="14">
        <v>0</v>
      </c>
      <c r="Q2389" s="15">
        <v>0.3</v>
      </c>
      <c r="R2389" s="16" t="str">
        <f t="shared" si="205"/>
        <v>LEGRAND</v>
      </c>
      <c r="S2389" s="17"/>
      <c r="T2389" s="10" t="str">
        <f t="shared" si="203"/>
        <v>INTERRUPTOR ARTEOR DE 4 VÍAS CON TAPA BLANCA</v>
      </c>
    </row>
    <row r="2390" spans="1:20" ht="27" customHeight="1" x14ac:dyDescent="0.25">
      <c r="A2390" s="8" t="s">
        <v>5066</v>
      </c>
      <c r="B2390" s="9"/>
      <c r="C2390" s="9"/>
      <c r="D2390" s="8" t="s">
        <v>45</v>
      </c>
      <c r="E2390" s="8"/>
      <c r="F2390" s="8" t="s">
        <v>22</v>
      </c>
      <c r="G2390" s="10" t="s">
        <v>5128</v>
      </c>
      <c r="H2390" s="8" t="s">
        <v>5129</v>
      </c>
      <c r="I2390" s="10" t="s">
        <v>5128</v>
      </c>
      <c r="J2390" s="11" t="s">
        <v>33</v>
      </c>
      <c r="K2390" s="18">
        <v>134700</v>
      </c>
      <c r="L2390" s="12">
        <f>IF(J2390="P",ROUNDUP(K2390/(1-Q2390),-2),K2390*(1+P2390)/(1-Q2390))</f>
        <v>224500</v>
      </c>
      <c r="M2390" s="8">
        <v>1</v>
      </c>
      <c r="N2390" s="8" t="s">
        <v>27</v>
      </c>
      <c r="O2390" s="13"/>
      <c r="P2390" s="14">
        <v>0</v>
      </c>
      <c r="Q2390" s="15">
        <v>0.4</v>
      </c>
      <c r="R2390" s="16" t="str">
        <f t="shared" si="205"/>
        <v>LEGRAND</v>
      </c>
      <c r="S2390" s="17"/>
      <c r="T2390" s="10" t="str">
        <f t="shared" si="203"/>
        <v>TABLERO ELÉCTRICO DE 24 CIRCUITOS SIN ESPACIO</v>
      </c>
    </row>
    <row r="2391" spans="1:20" ht="27" customHeight="1" x14ac:dyDescent="0.25">
      <c r="A2391" s="8" t="s">
        <v>5066</v>
      </c>
      <c r="B2391" s="9"/>
      <c r="C2391" s="9"/>
      <c r="D2391" s="8" t="s">
        <v>45</v>
      </c>
      <c r="E2391" s="8"/>
      <c r="F2391" s="8" t="s">
        <v>22</v>
      </c>
      <c r="G2391" s="10" t="s">
        <v>5130</v>
      </c>
      <c r="H2391" s="8" t="s">
        <v>5131</v>
      </c>
      <c r="I2391" s="10" t="s">
        <v>5130</v>
      </c>
      <c r="J2391" s="11" t="s">
        <v>33</v>
      </c>
      <c r="K2391" s="18">
        <v>68100</v>
      </c>
      <c r="L2391" s="12">
        <f>IF(J2391="P",ROUNDUP(K2391/(1-Q2391),-2),K2391*(1+P2391)/(1-Q2391))</f>
        <v>113500</v>
      </c>
      <c r="M2391" s="8">
        <v>1</v>
      </c>
      <c r="N2391" s="8" t="s">
        <v>27</v>
      </c>
      <c r="O2391" s="13"/>
      <c r="P2391" s="14">
        <v>0</v>
      </c>
      <c r="Q2391" s="15">
        <v>0.4</v>
      </c>
      <c r="R2391" s="16" t="str">
        <f t="shared" si="205"/>
        <v>LEGRAND</v>
      </c>
      <c r="S2391" s="17"/>
      <c r="T2391" s="10" t="str">
        <f t="shared" si="203"/>
        <v>BREAKER TRIFÁSICO DE 3X60 AMPERIOS</v>
      </c>
    </row>
    <row r="2392" spans="1:20" ht="27" customHeight="1" x14ac:dyDescent="0.25">
      <c r="A2392" s="8" t="s">
        <v>5066</v>
      </c>
      <c r="B2392" s="9"/>
      <c r="C2392" s="9"/>
      <c r="D2392" s="8" t="s">
        <v>45</v>
      </c>
      <c r="E2392" s="8"/>
      <c r="F2392" s="8" t="s">
        <v>22</v>
      </c>
      <c r="G2392" s="10" t="s">
        <v>5132</v>
      </c>
      <c r="H2392" s="8" t="s">
        <v>5133</v>
      </c>
      <c r="I2392" s="10" t="s">
        <v>5132</v>
      </c>
      <c r="J2392" s="11" t="s">
        <v>33</v>
      </c>
      <c r="K2392" s="18">
        <v>132000</v>
      </c>
      <c r="L2392" s="12">
        <f>ROUNDUP(K2392*(1+P2392)/(1-Q2392),0)</f>
        <v>226286</v>
      </c>
      <c r="M2392" s="8">
        <v>1</v>
      </c>
      <c r="N2392" s="8" t="s">
        <v>27</v>
      </c>
      <c r="O2392" s="13"/>
      <c r="P2392" s="14">
        <v>0.2</v>
      </c>
      <c r="Q2392" s="15">
        <v>0.3</v>
      </c>
      <c r="R2392" s="16" t="str">
        <f t="shared" si="205"/>
        <v>LEGRAND</v>
      </c>
      <c r="S2392" s="17"/>
      <c r="T2392" s="10" t="str">
        <f t="shared" si="203"/>
        <v>TOTALIZADOR PARA ESPACIO DE 2X60 AMPERIOS</v>
      </c>
    </row>
    <row r="2393" spans="1:20" ht="27" customHeight="1" x14ac:dyDescent="0.25">
      <c r="A2393" s="8" t="s">
        <v>5066</v>
      </c>
      <c r="B2393" s="9"/>
      <c r="C2393" s="9"/>
      <c r="D2393" s="8" t="s">
        <v>45</v>
      </c>
      <c r="E2393" s="8"/>
      <c r="F2393" s="8" t="s">
        <v>22</v>
      </c>
      <c r="G2393" s="10" t="s">
        <v>5134</v>
      </c>
      <c r="H2393" s="8" t="s">
        <v>5135</v>
      </c>
      <c r="I2393" s="10" t="s">
        <v>5134</v>
      </c>
      <c r="J2393" s="11" t="s">
        <v>33</v>
      </c>
      <c r="K2393" s="18">
        <v>128700</v>
      </c>
      <c r="L2393" s="12">
        <f>ROUNDUP(K2393*(1+P2393)/(1-Q2393),0)</f>
        <v>220629</v>
      </c>
      <c r="M2393" s="8">
        <v>1</v>
      </c>
      <c r="N2393" s="8" t="s">
        <v>27</v>
      </c>
      <c r="O2393" s="13"/>
      <c r="P2393" s="14">
        <v>0.2</v>
      </c>
      <c r="Q2393" s="15">
        <v>0.3</v>
      </c>
      <c r="R2393" s="16" t="str">
        <f t="shared" si="205"/>
        <v>LEGRAND</v>
      </c>
      <c r="S2393" s="17"/>
      <c r="T2393" s="10" t="str">
        <f t="shared" si="203"/>
        <v>TOTALIZADOR PARA ESPACIO DE 2X100 AMPERIOS</v>
      </c>
    </row>
    <row r="2394" spans="1:20" ht="27" customHeight="1" x14ac:dyDescent="0.25">
      <c r="A2394" s="8" t="s">
        <v>5066</v>
      </c>
      <c r="B2394" s="9"/>
      <c r="C2394" s="9"/>
      <c r="D2394" s="8"/>
      <c r="E2394" s="8"/>
      <c r="F2394" s="8"/>
      <c r="G2394" s="10"/>
      <c r="H2394" s="8" t="s">
        <v>5136</v>
      </c>
      <c r="I2394" s="10" t="s">
        <v>5137</v>
      </c>
      <c r="J2394" s="11" t="s">
        <v>33</v>
      </c>
      <c r="K2394" s="18">
        <v>184873.95</v>
      </c>
      <c r="L2394" s="12">
        <f>IF(J2394="P",ROUNDUP(K2394/(1-Q2394),-2),K2394*(1+P2394)/(1-Q2394))</f>
        <v>264200</v>
      </c>
      <c r="M2394" s="8">
        <v>1</v>
      </c>
      <c r="N2394" s="8" t="s">
        <v>27</v>
      </c>
      <c r="O2394" s="13"/>
      <c r="P2394" s="14">
        <v>0</v>
      </c>
      <c r="Q2394" s="15">
        <v>0.3</v>
      </c>
      <c r="R2394" s="16" t="str">
        <f t="shared" si="205"/>
        <v>LEGRAND</v>
      </c>
      <c r="S2394" s="17"/>
      <c r="T2394" s="10"/>
    </row>
    <row r="2395" spans="1:20" ht="27" customHeight="1" x14ac:dyDescent="0.25">
      <c r="A2395" s="8" t="s">
        <v>5066</v>
      </c>
      <c r="B2395" s="9"/>
      <c r="C2395" s="9"/>
      <c r="D2395" s="8"/>
      <c r="E2395" s="8"/>
      <c r="F2395" s="8" t="s">
        <v>22</v>
      </c>
      <c r="G2395" s="10" t="s">
        <v>5080</v>
      </c>
      <c r="H2395" s="8" t="s">
        <v>5138</v>
      </c>
      <c r="I2395" s="10" t="s">
        <v>5139</v>
      </c>
      <c r="J2395" s="11" t="s">
        <v>33</v>
      </c>
      <c r="K2395" s="18">
        <v>112672</v>
      </c>
      <c r="L2395" s="12">
        <f>IF(J2395="P",ROUNDUP(K2395/(1-Q2395),-2),K2395*(1+P2395)/(1-Q2395))</f>
        <v>161000</v>
      </c>
      <c r="M2395" s="8">
        <v>1</v>
      </c>
      <c r="N2395" s="8" t="s">
        <v>27</v>
      </c>
      <c r="O2395" s="13"/>
      <c r="P2395" s="14">
        <v>0</v>
      </c>
      <c r="Q2395" s="15">
        <v>0.3</v>
      </c>
      <c r="R2395" s="16" t="str">
        <f t="shared" si="205"/>
        <v>LEGRAND</v>
      </c>
      <c r="S2395" s="17"/>
      <c r="T2395" s="10" t="str">
        <f>G2395</f>
        <v>INTERRUPTOR TOTALIZADOR TRIPOLAR DE 100A</v>
      </c>
    </row>
    <row r="2396" spans="1:20" ht="27" customHeight="1" x14ac:dyDescent="0.25">
      <c r="A2396" s="8" t="s">
        <v>5066</v>
      </c>
      <c r="B2396" s="9"/>
      <c r="C2396" s="9"/>
      <c r="D2396" s="8"/>
      <c r="E2396" s="8"/>
      <c r="F2396" s="8"/>
      <c r="G2396" s="10"/>
      <c r="H2396" s="8" t="s">
        <v>5140</v>
      </c>
      <c r="I2396" s="10" t="s">
        <v>5141</v>
      </c>
      <c r="J2396" s="11" t="s">
        <v>33</v>
      </c>
      <c r="K2396" s="18">
        <v>23900</v>
      </c>
      <c r="L2396" s="12">
        <f>ROUNDUP(K2396*(1+P2396)/(1-Q2396),0)</f>
        <v>34143</v>
      </c>
      <c r="M2396" s="8">
        <v>1</v>
      </c>
      <c r="N2396" s="8" t="s">
        <v>27</v>
      </c>
      <c r="O2396" s="13"/>
      <c r="P2396" s="14">
        <v>0</v>
      </c>
      <c r="Q2396" s="15">
        <v>0.3</v>
      </c>
      <c r="R2396" s="16" t="str">
        <f t="shared" si="205"/>
        <v>LEGRAND</v>
      </c>
      <c r="S2396" s="17"/>
      <c r="T2396" s="10"/>
    </row>
    <row r="2397" spans="1:20" ht="27" customHeight="1" x14ac:dyDescent="0.25">
      <c r="A2397" s="8" t="s">
        <v>5066</v>
      </c>
      <c r="B2397" s="9"/>
      <c r="C2397" s="9"/>
      <c r="D2397" s="8"/>
      <c r="E2397" s="8"/>
      <c r="F2397" s="8"/>
      <c r="G2397" s="10"/>
      <c r="H2397" s="8" t="s">
        <v>5142</v>
      </c>
      <c r="I2397" s="10" t="s">
        <v>5143</v>
      </c>
      <c r="J2397" s="11" t="s">
        <v>33</v>
      </c>
      <c r="K2397" s="18">
        <v>60000</v>
      </c>
      <c r="L2397" s="12">
        <f t="shared" ref="L2397:L2405" si="206">IF(J2397="P",ROUNDUP(K2397/(1-Q2397),-2),K2397*(1+P2397)/(1-Q2397))</f>
        <v>85800</v>
      </c>
      <c r="M2397" s="8">
        <v>1</v>
      </c>
      <c r="N2397" s="8" t="s">
        <v>27</v>
      </c>
      <c r="O2397" s="13">
        <f>F2397</f>
        <v>0</v>
      </c>
      <c r="P2397" s="14">
        <v>0</v>
      </c>
      <c r="Q2397" s="15">
        <v>0.3</v>
      </c>
      <c r="R2397" s="16" t="str">
        <f t="shared" si="205"/>
        <v>LEGRAND</v>
      </c>
      <c r="S2397" s="17"/>
      <c r="T2397" s="10"/>
    </row>
    <row r="2398" spans="1:20" ht="27" customHeight="1" x14ac:dyDescent="0.25">
      <c r="A2398" s="8" t="s">
        <v>5066</v>
      </c>
      <c r="B2398" s="9"/>
      <c r="C2398" s="9"/>
      <c r="D2398" s="8"/>
      <c r="E2398" s="8"/>
      <c r="F2398" s="8"/>
      <c r="G2398" s="10"/>
      <c r="H2398" s="8" t="s">
        <v>5144</v>
      </c>
      <c r="I2398" s="10" t="s">
        <v>5145</v>
      </c>
      <c r="J2398" s="11" t="s">
        <v>33</v>
      </c>
      <c r="K2398" s="18">
        <v>4500</v>
      </c>
      <c r="L2398" s="12">
        <f t="shared" si="206"/>
        <v>9000</v>
      </c>
      <c r="M2398" s="8">
        <v>1</v>
      </c>
      <c r="N2398" s="8" t="s">
        <v>27</v>
      </c>
      <c r="O2398" s="13">
        <f>F2398</f>
        <v>0</v>
      </c>
      <c r="P2398" s="14">
        <v>0</v>
      </c>
      <c r="Q2398" s="15">
        <v>0.5</v>
      </c>
      <c r="R2398" s="16" t="str">
        <f t="shared" si="205"/>
        <v>LEGRAND</v>
      </c>
      <c r="S2398" s="17"/>
      <c r="T2398" s="10"/>
    </row>
    <row r="2399" spans="1:20" ht="27" customHeight="1" x14ac:dyDescent="0.25">
      <c r="A2399" s="8" t="s">
        <v>5066</v>
      </c>
      <c r="B2399" s="9"/>
      <c r="C2399" s="9"/>
      <c r="D2399" s="8"/>
      <c r="E2399" s="8"/>
      <c r="F2399" s="8"/>
      <c r="G2399" s="10"/>
      <c r="H2399" s="8" t="s">
        <v>5146</v>
      </c>
      <c r="I2399" s="10" t="s">
        <v>5147</v>
      </c>
      <c r="J2399" s="11" t="s">
        <v>33</v>
      </c>
      <c r="K2399" s="18">
        <v>7725</v>
      </c>
      <c r="L2399" s="12">
        <f t="shared" si="206"/>
        <v>11100</v>
      </c>
      <c r="M2399" s="8">
        <v>1</v>
      </c>
      <c r="N2399" s="8" t="s">
        <v>27</v>
      </c>
      <c r="O2399" s="13">
        <f>F2399</f>
        <v>0</v>
      </c>
      <c r="P2399" s="14">
        <v>0</v>
      </c>
      <c r="Q2399" s="15">
        <v>0.3</v>
      </c>
      <c r="R2399" s="16" t="str">
        <f t="shared" si="205"/>
        <v>LEGRAND</v>
      </c>
      <c r="S2399" s="17"/>
      <c r="T2399" s="10"/>
    </row>
    <row r="2400" spans="1:20" ht="27" customHeight="1" x14ac:dyDescent="0.25">
      <c r="A2400" s="8" t="s">
        <v>5066</v>
      </c>
      <c r="B2400" s="9"/>
      <c r="C2400" s="9"/>
      <c r="D2400" s="8"/>
      <c r="E2400" s="8"/>
      <c r="F2400" s="8"/>
      <c r="G2400" s="10"/>
      <c r="H2400" s="8" t="s">
        <v>5148</v>
      </c>
      <c r="I2400" s="10" t="s">
        <v>5149</v>
      </c>
      <c r="J2400" s="11" t="s">
        <v>33</v>
      </c>
      <c r="K2400" s="18">
        <v>3910</v>
      </c>
      <c r="L2400" s="12">
        <f t="shared" si="206"/>
        <v>5600</v>
      </c>
      <c r="M2400" s="8">
        <v>1</v>
      </c>
      <c r="N2400" s="8" t="s">
        <v>27</v>
      </c>
      <c r="O2400" s="13">
        <f>F2400</f>
        <v>0</v>
      </c>
      <c r="P2400" s="14">
        <v>0</v>
      </c>
      <c r="Q2400" s="15">
        <v>0.3</v>
      </c>
      <c r="R2400" s="16" t="str">
        <f t="shared" si="205"/>
        <v>LEGRAND</v>
      </c>
      <c r="S2400" s="17"/>
      <c r="T2400" s="10"/>
    </row>
    <row r="2401" spans="1:20" ht="27" customHeight="1" x14ac:dyDescent="0.25">
      <c r="A2401" s="8" t="s">
        <v>5066</v>
      </c>
      <c r="B2401" s="9"/>
      <c r="C2401" s="9"/>
      <c r="D2401" s="8"/>
      <c r="E2401" s="8"/>
      <c r="F2401" s="8"/>
      <c r="G2401" s="10"/>
      <c r="H2401" s="8" t="s">
        <v>5150</v>
      </c>
      <c r="I2401" s="10" t="s">
        <v>5151</v>
      </c>
      <c r="J2401" s="11" t="s">
        <v>33</v>
      </c>
      <c r="K2401" s="18">
        <v>2171</v>
      </c>
      <c r="L2401" s="12">
        <f t="shared" si="206"/>
        <v>3200</v>
      </c>
      <c r="M2401" s="8">
        <v>1</v>
      </c>
      <c r="N2401" s="8" t="s">
        <v>27</v>
      </c>
      <c r="O2401" s="13">
        <f>F2401</f>
        <v>0</v>
      </c>
      <c r="P2401" s="14">
        <v>0</v>
      </c>
      <c r="Q2401" s="15">
        <v>0.3</v>
      </c>
      <c r="R2401" s="16" t="str">
        <f t="shared" si="205"/>
        <v>LEGRAND</v>
      </c>
      <c r="S2401" s="17"/>
      <c r="T2401" s="10"/>
    </row>
    <row r="2402" spans="1:20" ht="27" customHeight="1" x14ac:dyDescent="0.25">
      <c r="A2402" s="8" t="s">
        <v>5066</v>
      </c>
      <c r="B2402" s="9" t="s">
        <v>5067</v>
      </c>
      <c r="C2402" s="9"/>
      <c r="D2402" s="8" t="s">
        <v>5152</v>
      </c>
      <c r="E2402" s="8"/>
      <c r="F2402" s="8" t="s">
        <v>22</v>
      </c>
      <c r="G2402" s="10" t="s">
        <v>5153</v>
      </c>
      <c r="H2402" s="8" t="s">
        <v>5154</v>
      </c>
      <c r="I2402" s="10" t="s">
        <v>5153</v>
      </c>
      <c r="J2402" s="11" t="s">
        <v>33</v>
      </c>
      <c r="K2402" s="18">
        <v>326900</v>
      </c>
      <c r="L2402" s="12">
        <f t="shared" si="206"/>
        <v>408700</v>
      </c>
      <c r="M2402" s="8">
        <v>1</v>
      </c>
      <c r="N2402" s="8" t="s">
        <v>27</v>
      </c>
      <c r="O2402" s="13"/>
      <c r="P2402" s="14">
        <v>0.2</v>
      </c>
      <c r="Q2402" s="15">
        <v>0.2</v>
      </c>
      <c r="R2402" s="16" t="str">
        <f t="shared" si="205"/>
        <v>LEGRAND</v>
      </c>
      <c r="S2402" s="17"/>
      <c r="T2402" s="10" t="str">
        <f>G2402</f>
        <v>TABLERO DE SOBREPONER HASTA 24 CIRCUITOS</v>
      </c>
    </row>
    <row r="2403" spans="1:20" ht="27" customHeight="1" x14ac:dyDescent="0.25">
      <c r="A2403" s="8" t="s">
        <v>5155</v>
      </c>
      <c r="B2403" s="9"/>
      <c r="C2403" s="9"/>
      <c r="D2403" s="8"/>
      <c r="E2403" s="8"/>
      <c r="F2403" s="8" t="s">
        <v>22</v>
      </c>
      <c r="G2403" s="10" t="s">
        <v>5156</v>
      </c>
      <c r="H2403" s="8" t="s">
        <v>5157</v>
      </c>
      <c r="I2403" s="10" t="s">
        <v>5156</v>
      </c>
      <c r="J2403" s="11" t="s">
        <v>33</v>
      </c>
      <c r="K2403" s="18">
        <v>500000</v>
      </c>
      <c r="L2403" s="12">
        <f t="shared" si="206"/>
        <v>714300</v>
      </c>
      <c r="M2403" s="8">
        <v>1</v>
      </c>
      <c r="N2403" s="8" t="s">
        <v>27</v>
      </c>
      <c r="O2403" s="13"/>
      <c r="P2403" s="14">
        <v>0.2</v>
      </c>
      <c r="Q2403" s="15">
        <v>0.3</v>
      </c>
      <c r="R2403" s="16" t="str">
        <f t="shared" si="205"/>
        <v>LENOVO</v>
      </c>
      <c r="S2403" s="17"/>
      <c r="T2403" s="10" t="str">
        <f>G2403</f>
        <v>TABLETA DE 8", SISTEMA OPERATIVO ANDROID 5.1. PROCESADOR QUAD CORE DE 1.3GHz.</v>
      </c>
    </row>
    <row r="2404" spans="1:20" ht="27" customHeight="1" x14ac:dyDescent="0.25">
      <c r="A2404" s="8" t="s">
        <v>5155</v>
      </c>
      <c r="B2404" s="9"/>
      <c r="C2404" s="9"/>
      <c r="D2404" s="8"/>
      <c r="E2404" s="8"/>
      <c r="F2404" s="8" t="s">
        <v>22</v>
      </c>
      <c r="G2404" s="10" t="s">
        <v>5158</v>
      </c>
      <c r="H2404" s="8" t="s">
        <v>5159</v>
      </c>
      <c r="I2404" s="10" t="s">
        <v>5158</v>
      </c>
      <c r="J2404" s="11" t="s">
        <v>26</v>
      </c>
      <c r="K2404" s="18">
        <v>170</v>
      </c>
      <c r="L2404" s="12">
        <f t="shared" si="206"/>
        <v>255</v>
      </c>
      <c r="M2404" s="8">
        <v>1</v>
      </c>
      <c r="N2404" s="8" t="s">
        <v>27</v>
      </c>
      <c r="O2404" s="13"/>
      <c r="P2404" s="14">
        <v>0.2</v>
      </c>
      <c r="Q2404" s="15">
        <v>0.2</v>
      </c>
      <c r="R2404" s="16" t="str">
        <f t="shared" si="205"/>
        <v>LENOVO</v>
      </c>
      <c r="S2404" s="17"/>
      <c r="T2404" s="10" t="str">
        <f>G2404</f>
        <v>TABLET LENOVO YOGA DE 8"</v>
      </c>
    </row>
    <row r="2405" spans="1:20" ht="27" customHeight="1" x14ac:dyDescent="0.25">
      <c r="A2405" s="8" t="s">
        <v>5155</v>
      </c>
      <c r="B2405" s="9"/>
      <c r="C2405" s="9"/>
      <c r="D2405" s="8"/>
      <c r="E2405" s="8"/>
      <c r="F2405" s="8" t="s">
        <v>22</v>
      </c>
      <c r="G2405" s="10" t="s">
        <v>5160</v>
      </c>
      <c r="H2405" s="8" t="s">
        <v>5161</v>
      </c>
      <c r="I2405" s="10" t="s">
        <v>5160</v>
      </c>
      <c r="J2405" s="11" t="s">
        <v>26</v>
      </c>
      <c r="K2405" s="18">
        <v>140</v>
      </c>
      <c r="L2405" s="12">
        <f t="shared" si="206"/>
        <v>240.00000000000003</v>
      </c>
      <c r="M2405" s="8">
        <v>1</v>
      </c>
      <c r="N2405" s="8" t="s">
        <v>27</v>
      </c>
      <c r="O2405" s="13"/>
      <c r="P2405" s="14">
        <v>0.2</v>
      </c>
      <c r="Q2405" s="15">
        <v>0.3</v>
      </c>
      <c r="R2405" s="16" t="str">
        <f t="shared" si="205"/>
        <v>LENOVO</v>
      </c>
      <c r="S2405" s="17"/>
      <c r="T2405" s="10" t="str">
        <f>G2405</f>
        <v>TABLET LENOVO YOGA DE 8", CON 2GB RAM.</v>
      </c>
    </row>
    <row r="2406" spans="1:20" ht="27" customHeight="1" x14ac:dyDescent="0.25">
      <c r="A2406" s="8" t="s">
        <v>5155</v>
      </c>
      <c r="B2406" s="9"/>
      <c r="C2406" s="9"/>
      <c r="D2406" s="8" t="s">
        <v>45</v>
      </c>
      <c r="E2406" s="8"/>
      <c r="F2406" s="8" t="s">
        <v>22</v>
      </c>
      <c r="G2406" s="10" t="s">
        <v>5162</v>
      </c>
      <c r="H2406" s="8" t="s">
        <v>5163</v>
      </c>
      <c r="I2406" s="10" t="s">
        <v>5164</v>
      </c>
      <c r="J2406" s="11" t="s">
        <v>33</v>
      </c>
      <c r="K2406" s="18">
        <v>5450000</v>
      </c>
      <c r="L2406" s="12">
        <f>ROUNDUP(K2406*(1+P2406)/(1-Q2406),0)</f>
        <v>7785715</v>
      </c>
      <c r="M2406" s="8">
        <v>1</v>
      </c>
      <c r="N2406" s="8" t="s">
        <v>27</v>
      </c>
      <c r="O2406" s="13"/>
      <c r="P2406" s="14">
        <v>0</v>
      </c>
      <c r="Q2406" s="15">
        <v>0.3</v>
      </c>
      <c r="R2406" s="16" t="str">
        <f t="shared" si="205"/>
        <v>LENOVO</v>
      </c>
      <c r="S2406" s="17"/>
      <c r="T2406" s="10" t="str">
        <f>G2406</f>
        <v>COMPUTADOR LENOVO MINI DE ESCRITORIO, PROCESADOR CORE I5 CON WINDOWS 10 PRO.</v>
      </c>
    </row>
    <row r="2407" spans="1:20" ht="27" customHeight="1" x14ac:dyDescent="0.25">
      <c r="A2407" s="8" t="s">
        <v>5155</v>
      </c>
      <c r="B2407" s="9"/>
      <c r="C2407" s="9"/>
      <c r="D2407" s="8"/>
      <c r="E2407" s="8"/>
      <c r="F2407" s="8"/>
      <c r="G2407" s="10"/>
      <c r="H2407" s="8" t="s">
        <v>5165</v>
      </c>
      <c r="I2407" s="10" t="s">
        <v>5166</v>
      </c>
      <c r="J2407" s="11" t="s">
        <v>26</v>
      </c>
      <c r="K2407" s="18">
        <v>241</v>
      </c>
      <c r="L2407" s="12">
        <f t="shared" ref="L2407:L2438" si="207">IF(J2407="P",ROUNDUP(K2407/(1-Q2407),-2),K2407*(1+P2407)/(1-Q2407))</f>
        <v>413.14285714285717</v>
      </c>
      <c r="M2407" s="8">
        <v>1</v>
      </c>
      <c r="N2407" s="8" t="s">
        <v>27</v>
      </c>
      <c r="O2407" s="13">
        <f>F2407</f>
        <v>0</v>
      </c>
      <c r="P2407" s="14">
        <v>0.2</v>
      </c>
      <c r="Q2407" s="15">
        <v>0.3</v>
      </c>
      <c r="R2407" s="16" t="str">
        <f t="shared" si="205"/>
        <v>LENOVO</v>
      </c>
      <c r="S2407" s="17"/>
      <c r="T2407" s="10"/>
    </row>
    <row r="2408" spans="1:20" ht="27" customHeight="1" x14ac:dyDescent="0.25">
      <c r="A2408" s="8" t="s">
        <v>5155</v>
      </c>
      <c r="B2408" s="9"/>
      <c r="C2408" s="9"/>
      <c r="D2408" s="8"/>
      <c r="E2408" s="8"/>
      <c r="F2408" s="8"/>
      <c r="G2408" s="10"/>
      <c r="H2408" s="8" t="s">
        <v>5167</v>
      </c>
      <c r="I2408" s="10" t="s">
        <v>5168</v>
      </c>
      <c r="J2408" s="11" t="s">
        <v>26</v>
      </c>
      <c r="K2408" s="18">
        <v>550</v>
      </c>
      <c r="L2408" s="12">
        <f t="shared" si="207"/>
        <v>942.85714285714289</v>
      </c>
      <c r="M2408" s="8">
        <v>1</v>
      </c>
      <c r="N2408" s="8" t="s">
        <v>27</v>
      </c>
      <c r="O2408" s="13">
        <f>F2408</f>
        <v>0</v>
      </c>
      <c r="P2408" s="14">
        <v>0.2</v>
      </c>
      <c r="Q2408" s="15">
        <v>0.3</v>
      </c>
      <c r="R2408" s="16" t="str">
        <f t="shared" si="205"/>
        <v>LENOVO</v>
      </c>
      <c r="S2408" s="17" t="s">
        <v>5169</v>
      </c>
      <c r="T2408" s="10"/>
    </row>
    <row r="2409" spans="1:20" ht="27" customHeight="1" x14ac:dyDescent="0.25">
      <c r="A2409" s="8" t="s">
        <v>5170</v>
      </c>
      <c r="B2409" s="9"/>
      <c r="C2409" s="9"/>
      <c r="D2409" s="8"/>
      <c r="E2409" s="8"/>
      <c r="F2409" s="8" t="s">
        <v>22</v>
      </c>
      <c r="G2409" s="10" t="s">
        <v>5171</v>
      </c>
      <c r="H2409" s="8" t="s">
        <v>5172</v>
      </c>
      <c r="I2409" s="10" t="s">
        <v>5171</v>
      </c>
      <c r="J2409" s="11" t="s">
        <v>33</v>
      </c>
      <c r="K2409" s="18">
        <v>35500</v>
      </c>
      <c r="L2409" s="12">
        <f t="shared" si="207"/>
        <v>59200</v>
      </c>
      <c r="M2409" s="8">
        <v>1</v>
      </c>
      <c r="N2409" s="8" t="s">
        <v>27</v>
      </c>
      <c r="O2409" s="13"/>
      <c r="P2409" s="14">
        <v>0.2</v>
      </c>
      <c r="Q2409" s="15">
        <v>0.4</v>
      </c>
      <c r="R2409" s="16" t="str">
        <f t="shared" si="205"/>
        <v>LEVITON</v>
      </c>
      <c r="S2409" s="17"/>
      <c r="T2409" s="10" t="str">
        <f t="shared" ref="T2409:T2440" si="208">G2409</f>
        <v>TIMER PROGRAMABLE DE CLAVIJA</v>
      </c>
    </row>
    <row r="2410" spans="1:20" ht="27" customHeight="1" x14ac:dyDescent="0.25">
      <c r="A2410" s="8" t="s">
        <v>5170</v>
      </c>
      <c r="B2410" s="9" t="s">
        <v>5173</v>
      </c>
      <c r="C2410" s="9"/>
      <c r="D2410" s="8"/>
      <c r="E2410" s="8">
        <v>1</v>
      </c>
      <c r="F2410" s="8" t="s">
        <v>22</v>
      </c>
      <c r="G2410" s="10" t="s">
        <v>5174</v>
      </c>
      <c r="H2410" s="8" t="s">
        <v>5175</v>
      </c>
      <c r="I2410" s="10" t="s">
        <v>5174</v>
      </c>
      <c r="J2410" s="11" t="s">
        <v>33</v>
      </c>
      <c r="K2410" s="18">
        <v>27800</v>
      </c>
      <c r="L2410" s="12">
        <f t="shared" si="207"/>
        <v>46400</v>
      </c>
      <c r="M2410" s="8">
        <v>1</v>
      </c>
      <c r="N2410" s="8" t="s">
        <v>27</v>
      </c>
      <c r="O2410" s="13"/>
      <c r="P2410" s="14">
        <v>0.2</v>
      </c>
      <c r="Q2410" s="15">
        <v>0.4</v>
      </c>
      <c r="R2410" s="16" t="str">
        <f t="shared" si="205"/>
        <v>LEVITON</v>
      </c>
      <c r="S2410" s="17"/>
      <c r="T2410" s="10" t="str">
        <f t="shared" si="208"/>
        <v>BOTÓN TIMBRE DOBLE CONTACTO DECORA BLANCO</v>
      </c>
    </row>
    <row r="2411" spans="1:20" ht="27" customHeight="1" x14ac:dyDescent="0.25">
      <c r="A2411" s="8" t="s">
        <v>5170</v>
      </c>
      <c r="B2411" s="9" t="s">
        <v>5173</v>
      </c>
      <c r="C2411" s="9"/>
      <c r="D2411" s="8"/>
      <c r="E2411" s="8">
        <v>3</v>
      </c>
      <c r="F2411" s="8" t="s">
        <v>22</v>
      </c>
      <c r="G2411" s="10" t="s">
        <v>5176</v>
      </c>
      <c r="H2411" s="8" t="s">
        <v>5177</v>
      </c>
      <c r="I2411" s="10" t="s">
        <v>5176</v>
      </c>
      <c r="J2411" s="11" t="s">
        <v>33</v>
      </c>
      <c r="K2411" s="18">
        <v>18146</v>
      </c>
      <c r="L2411" s="12">
        <f t="shared" si="207"/>
        <v>30300</v>
      </c>
      <c r="M2411" s="8">
        <v>1</v>
      </c>
      <c r="N2411" s="8" t="s">
        <v>27</v>
      </c>
      <c r="O2411" s="13"/>
      <c r="P2411" s="14">
        <v>0.2</v>
      </c>
      <c r="Q2411" s="15">
        <v>0.4</v>
      </c>
      <c r="R2411" s="16" t="str">
        <f t="shared" si="205"/>
        <v>LEVITON</v>
      </c>
      <c r="S2411" s="17"/>
      <c r="T2411" s="10" t="str">
        <f t="shared" si="208"/>
        <v xml:space="preserve">INTERRUPTOR DOBLE CONMUTABLE DECORA 15A 120/277V </v>
      </c>
    </row>
    <row r="2412" spans="1:20" ht="27" customHeight="1" x14ac:dyDescent="0.25">
      <c r="A2412" s="8" t="s">
        <v>5170</v>
      </c>
      <c r="B2412" s="9" t="s">
        <v>5173</v>
      </c>
      <c r="C2412" s="9"/>
      <c r="D2412" s="8"/>
      <c r="E2412" s="8">
        <v>4</v>
      </c>
      <c r="F2412" s="8" t="s">
        <v>22</v>
      </c>
      <c r="G2412" s="10" t="s">
        <v>5178</v>
      </c>
      <c r="H2412" s="8" t="s">
        <v>5179</v>
      </c>
      <c r="I2412" s="10" t="s">
        <v>5178</v>
      </c>
      <c r="J2412" s="11" t="s">
        <v>33</v>
      </c>
      <c r="K2412" s="18">
        <v>16600</v>
      </c>
      <c r="L2412" s="12">
        <f t="shared" si="207"/>
        <v>27700</v>
      </c>
      <c r="M2412" s="8">
        <v>1</v>
      </c>
      <c r="N2412" s="8" t="s">
        <v>27</v>
      </c>
      <c r="O2412" s="13"/>
      <c r="P2412" s="14">
        <v>0.2</v>
      </c>
      <c r="Q2412" s="15">
        <v>0.4</v>
      </c>
      <c r="R2412" s="16" t="str">
        <f t="shared" si="205"/>
        <v>LEVITON</v>
      </c>
      <c r="S2412" s="17"/>
      <c r="T2412" s="10" t="str">
        <f t="shared" si="208"/>
        <v>INTERRUPTOR DOBLE DECORA 15A 120/277V BOTÓN ANCHO BLANCO</v>
      </c>
    </row>
    <row r="2413" spans="1:20" ht="27" customHeight="1" x14ac:dyDescent="0.25">
      <c r="A2413" s="8" t="s">
        <v>5170</v>
      </c>
      <c r="B2413" s="9" t="s">
        <v>5173</v>
      </c>
      <c r="C2413" s="9"/>
      <c r="D2413" s="8"/>
      <c r="E2413" s="8">
        <v>5</v>
      </c>
      <c r="F2413" s="8" t="s">
        <v>22</v>
      </c>
      <c r="G2413" s="10" t="s">
        <v>5180</v>
      </c>
      <c r="H2413" s="8" t="s">
        <v>5181</v>
      </c>
      <c r="I2413" s="10" t="s">
        <v>5180</v>
      </c>
      <c r="J2413" s="11" t="s">
        <v>33</v>
      </c>
      <c r="K2413" s="18">
        <v>6424</v>
      </c>
      <c r="L2413" s="12">
        <f t="shared" si="207"/>
        <v>10800</v>
      </c>
      <c r="M2413" s="8">
        <v>1</v>
      </c>
      <c r="N2413" s="8" t="s">
        <v>27</v>
      </c>
      <c r="O2413" s="13"/>
      <c r="P2413" s="14">
        <v>0.2</v>
      </c>
      <c r="Q2413" s="15">
        <v>0.4</v>
      </c>
      <c r="R2413" s="16" t="str">
        <f t="shared" si="205"/>
        <v>LEVITON</v>
      </c>
      <c r="S2413" s="17"/>
      <c r="T2413" s="10" t="str">
        <f t="shared" si="208"/>
        <v>INTERRUPTOR SENCILLO DECORA 15A 120/277 BLANCA</v>
      </c>
    </row>
    <row r="2414" spans="1:20" ht="27" customHeight="1" x14ac:dyDescent="0.25">
      <c r="A2414" s="8" t="s">
        <v>5170</v>
      </c>
      <c r="B2414" s="9" t="s">
        <v>5173</v>
      </c>
      <c r="C2414" s="9"/>
      <c r="D2414" s="8"/>
      <c r="E2414" s="8">
        <v>6</v>
      </c>
      <c r="F2414" s="8" t="s">
        <v>22</v>
      </c>
      <c r="G2414" s="10" t="s">
        <v>5182</v>
      </c>
      <c r="H2414" s="8" t="s">
        <v>5183</v>
      </c>
      <c r="I2414" s="10" t="s">
        <v>5182</v>
      </c>
      <c r="J2414" s="11" t="s">
        <v>33</v>
      </c>
      <c r="K2414" s="18">
        <v>5800</v>
      </c>
      <c r="L2414" s="12">
        <f t="shared" si="207"/>
        <v>9700</v>
      </c>
      <c r="M2414" s="8">
        <v>1</v>
      </c>
      <c r="N2414" s="8" t="s">
        <v>27</v>
      </c>
      <c r="O2414" s="13"/>
      <c r="P2414" s="14">
        <v>0.2</v>
      </c>
      <c r="Q2414" s="15">
        <v>0.4</v>
      </c>
      <c r="R2414" s="16" t="str">
        <f t="shared" si="205"/>
        <v>LEVITON</v>
      </c>
      <c r="S2414" s="17"/>
      <c r="T2414" s="10" t="str">
        <f t="shared" si="208"/>
        <v>INTERRUPTOR SENCILLO CONMUTABLE 3 VÍAS DECORA 15A 120/277 BLANCA</v>
      </c>
    </row>
    <row r="2415" spans="1:20" ht="27" customHeight="1" x14ac:dyDescent="0.25">
      <c r="A2415" s="8" t="s">
        <v>5170</v>
      </c>
      <c r="B2415" s="9" t="s">
        <v>5173</v>
      </c>
      <c r="C2415" s="9"/>
      <c r="D2415" s="8"/>
      <c r="E2415" s="8">
        <v>7</v>
      </c>
      <c r="F2415" s="8" t="s">
        <v>22</v>
      </c>
      <c r="G2415" s="10" t="s">
        <v>5184</v>
      </c>
      <c r="H2415" s="8" t="s">
        <v>5181</v>
      </c>
      <c r="I2415" s="10" t="s">
        <v>5184</v>
      </c>
      <c r="J2415" s="11" t="s">
        <v>33</v>
      </c>
      <c r="K2415" s="18">
        <v>5200</v>
      </c>
      <c r="L2415" s="12">
        <f t="shared" si="207"/>
        <v>8700</v>
      </c>
      <c r="M2415" s="8">
        <v>1</v>
      </c>
      <c r="N2415" s="8" t="s">
        <v>27</v>
      </c>
      <c r="O2415" s="13"/>
      <c r="P2415" s="14">
        <v>0.2</v>
      </c>
      <c r="Q2415" s="15">
        <v>0.4</v>
      </c>
      <c r="R2415" s="16" t="str">
        <f t="shared" si="205"/>
        <v>LEVITON</v>
      </c>
      <c r="S2415" s="17"/>
      <c r="T2415" s="10" t="str">
        <f t="shared" si="208"/>
        <v>INTERRUPTOR SENCILLO DECORA 15A 120/277V BLANCA</v>
      </c>
    </row>
    <row r="2416" spans="1:20" ht="27" customHeight="1" x14ac:dyDescent="0.25">
      <c r="A2416" s="8" t="s">
        <v>5170</v>
      </c>
      <c r="B2416" s="9" t="s">
        <v>5173</v>
      </c>
      <c r="C2416" s="9"/>
      <c r="D2416" s="8"/>
      <c r="E2416" s="8">
        <v>8</v>
      </c>
      <c r="F2416" s="8" t="s">
        <v>22</v>
      </c>
      <c r="G2416" s="10" t="s">
        <v>5185</v>
      </c>
      <c r="H2416" s="8" t="s">
        <v>5186</v>
      </c>
      <c r="I2416" s="10" t="s">
        <v>5185</v>
      </c>
      <c r="J2416" s="11" t="s">
        <v>33</v>
      </c>
      <c r="K2416" s="18">
        <v>5000</v>
      </c>
      <c r="L2416" s="12">
        <f t="shared" si="207"/>
        <v>8400</v>
      </c>
      <c r="M2416" s="8">
        <v>1</v>
      </c>
      <c r="N2416" s="8" t="s">
        <v>27</v>
      </c>
      <c r="O2416" s="13"/>
      <c r="P2416" s="14">
        <v>0.2</v>
      </c>
      <c r="Q2416" s="15">
        <v>0.4</v>
      </c>
      <c r="R2416" s="16" t="str">
        <f t="shared" si="205"/>
        <v>LEVITON</v>
      </c>
      <c r="S2416" s="17"/>
      <c r="T2416" s="10" t="str">
        <f t="shared" si="208"/>
        <v>TAPA PRESIÓN DE UNA VENTANA DECORA BLANCA</v>
      </c>
    </row>
    <row r="2417" spans="1:20" ht="27" customHeight="1" x14ac:dyDescent="0.25">
      <c r="A2417" s="8" t="s">
        <v>5170</v>
      </c>
      <c r="B2417" s="9" t="s">
        <v>5173</v>
      </c>
      <c r="C2417" s="9"/>
      <c r="D2417" s="8"/>
      <c r="E2417" s="8">
        <v>9</v>
      </c>
      <c r="F2417" s="8" t="s">
        <v>22</v>
      </c>
      <c r="G2417" s="10" t="s">
        <v>5187</v>
      </c>
      <c r="H2417" s="8" t="s">
        <v>5188</v>
      </c>
      <c r="I2417" s="10" t="s">
        <v>5187</v>
      </c>
      <c r="J2417" s="11" t="s">
        <v>33</v>
      </c>
      <c r="K2417" s="18">
        <v>72100</v>
      </c>
      <c r="L2417" s="12">
        <f t="shared" si="207"/>
        <v>120200</v>
      </c>
      <c r="M2417" s="8">
        <v>1</v>
      </c>
      <c r="N2417" s="8" t="s">
        <v>27</v>
      </c>
      <c r="O2417" s="13"/>
      <c r="P2417" s="14">
        <v>0.2</v>
      </c>
      <c r="Q2417" s="15">
        <v>0.4</v>
      </c>
      <c r="R2417" s="16" t="str">
        <f t="shared" si="205"/>
        <v>LEVITON</v>
      </c>
      <c r="S2417" s="17"/>
      <c r="T2417" s="10" t="str">
        <f t="shared" si="208"/>
        <v>SENSOR TECHO IR 360, 4 METROS DE RADIO.</v>
      </c>
    </row>
    <row r="2418" spans="1:20" ht="27" customHeight="1" x14ac:dyDescent="0.25">
      <c r="A2418" s="8" t="s">
        <v>5170</v>
      </c>
      <c r="B2418" s="9" t="s">
        <v>5173</v>
      </c>
      <c r="C2418" s="9"/>
      <c r="D2418" s="8"/>
      <c r="E2418" s="8">
        <v>10</v>
      </c>
      <c r="F2418" s="8" t="s">
        <v>22</v>
      </c>
      <c r="G2418" s="10" t="s">
        <v>5189</v>
      </c>
      <c r="H2418" s="8" t="s">
        <v>5190</v>
      </c>
      <c r="I2418" s="10" t="s">
        <v>5189</v>
      </c>
      <c r="J2418" s="11" t="s">
        <v>33</v>
      </c>
      <c r="K2418" s="18">
        <v>9660</v>
      </c>
      <c r="L2418" s="12">
        <f t="shared" si="207"/>
        <v>16100</v>
      </c>
      <c r="M2418" s="8">
        <v>1</v>
      </c>
      <c r="N2418" s="8" t="s">
        <v>27</v>
      </c>
      <c r="O2418" s="13"/>
      <c r="P2418" s="14">
        <v>0.2</v>
      </c>
      <c r="Q2418" s="15">
        <v>0.4</v>
      </c>
      <c r="R2418" s="16" t="str">
        <f t="shared" si="205"/>
        <v>LEVITON</v>
      </c>
      <c r="S2418" s="17"/>
      <c r="T2418" s="10" t="str">
        <f t="shared" si="208"/>
        <v>TAPA CIEGA DE PRESIÓN DECORA BLANCA</v>
      </c>
    </row>
    <row r="2419" spans="1:20" ht="27" customHeight="1" x14ac:dyDescent="0.25">
      <c r="A2419" s="8" t="s">
        <v>5170</v>
      </c>
      <c r="B2419" s="9" t="s">
        <v>5173</v>
      </c>
      <c r="C2419" s="9"/>
      <c r="D2419" s="8"/>
      <c r="E2419" s="8">
        <v>11</v>
      </c>
      <c r="F2419" s="8" t="s">
        <v>22</v>
      </c>
      <c r="G2419" s="10" t="s">
        <v>5191</v>
      </c>
      <c r="H2419" s="8" t="s">
        <v>5192</v>
      </c>
      <c r="I2419" s="10" t="s">
        <v>5191</v>
      </c>
      <c r="J2419" s="11" t="s">
        <v>33</v>
      </c>
      <c r="K2419" s="18">
        <f>55600/1.19</f>
        <v>46722.689075630253</v>
      </c>
      <c r="L2419" s="12">
        <f t="shared" si="207"/>
        <v>77900</v>
      </c>
      <c r="M2419" s="8">
        <v>1</v>
      </c>
      <c r="N2419" s="8" t="s">
        <v>27</v>
      </c>
      <c r="O2419" s="13"/>
      <c r="P2419" s="14">
        <v>0.2</v>
      </c>
      <c r="Q2419" s="15">
        <v>0.4</v>
      </c>
      <c r="R2419" s="16" t="str">
        <f t="shared" si="205"/>
        <v>LEVITON</v>
      </c>
      <c r="S2419" s="17"/>
      <c r="T2419" s="10" t="str">
        <f t="shared" si="208"/>
        <v>TOMA DOBLE CON POLO GFCI 15A</v>
      </c>
    </row>
    <row r="2420" spans="1:20" ht="27" customHeight="1" x14ac:dyDescent="0.25">
      <c r="A2420" s="8" t="s">
        <v>5170</v>
      </c>
      <c r="B2420" s="9" t="s">
        <v>5173</v>
      </c>
      <c r="C2420" s="9"/>
      <c r="D2420" s="8"/>
      <c r="E2420" s="8">
        <v>12</v>
      </c>
      <c r="F2420" s="8" t="s">
        <v>22</v>
      </c>
      <c r="G2420" s="10" t="s">
        <v>5193</v>
      </c>
      <c r="H2420" s="8" t="s">
        <v>5194</v>
      </c>
      <c r="I2420" s="10" t="s">
        <v>5193</v>
      </c>
      <c r="J2420" s="11" t="s">
        <v>33</v>
      </c>
      <c r="K2420" s="18">
        <v>7100</v>
      </c>
      <c r="L2420" s="12">
        <f t="shared" si="207"/>
        <v>11900</v>
      </c>
      <c r="M2420" s="8">
        <v>1</v>
      </c>
      <c r="N2420" s="8" t="s">
        <v>27</v>
      </c>
      <c r="O2420" s="13"/>
      <c r="P2420" s="14">
        <v>0.2</v>
      </c>
      <c r="Q2420" s="15">
        <v>0.4</v>
      </c>
      <c r="R2420" s="16" t="str">
        <f t="shared" si="205"/>
        <v>LEVITON</v>
      </c>
      <c r="S2420" s="17"/>
      <c r="T2420" s="10" t="str">
        <f t="shared" si="208"/>
        <v>TOMA DOBLE DECORA GR 15A</v>
      </c>
    </row>
    <row r="2421" spans="1:20" ht="27" customHeight="1" x14ac:dyDescent="0.25">
      <c r="A2421" s="8" t="s">
        <v>5170</v>
      </c>
      <c r="B2421" s="9" t="s">
        <v>5173</v>
      </c>
      <c r="C2421" s="9"/>
      <c r="D2421" s="8"/>
      <c r="E2421" s="8">
        <v>13</v>
      </c>
      <c r="F2421" s="8" t="s">
        <v>22</v>
      </c>
      <c r="G2421" s="10" t="s">
        <v>5195</v>
      </c>
      <c r="H2421" s="8" t="s">
        <v>5196</v>
      </c>
      <c r="I2421" s="10" t="s">
        <v>5195</v>
      </c>
      <c r="J2421" s="11" t="s">
        <v>33</v>
      </c>
      <c r="K2421" s="18">
        <v>11900</v>
      </c>
      <c r="L2421" s="12">
        <f t="shared" si="207"/>
        <v>19900</v>
      </c>
      <c r="M2421" s="8">
        <v>1</v>
      </c>
      <c r="N2421" s="8" t="s">
        <v>27</v>
      </c>
      <c r="O2421" s="13"/>
      <c r="P2421" s="14">
        <v>0.2</v>
      </c>
      <c r="Q2421" s="15">
        <v>0.4</v>
      </c>
      <c r="R2421" s="16" t="str">
        <f t="shared" si="205"/>
        <v>LEVITON</v>
      </c>
      <c r="S2421" s="17"/>
      <c r="T2421" s="10" t="str">
        <f t="shared" si="208"/>
        <v>TOMA TELÉFONO SENCILLA DECORA BLANCA</v>
      </c>
    </row>
    <row r="2422" spans="1:20" ht="27" customHeight="1" x14ac:dyDescent="0.25">
      <c r="A2422" s="8" t="s">
        <v>5170</v>
      </c>
      <c r="B2422" s="9" t="s">
        <v>5173</v>
      </c>
      <c r="C2422" s="9"/>
      <c r="D2422" s="8"/>
      <c r="E2422" s="8">
        <v>14</v>
      </c>
      <c r="F2422" s="8" t="s">
        <v>22</v>
      </c>
      <c r="G2422" s="10" t="s">
        <v>5197</v>
      </c>
      <c r="H2422" s="8" t="s">
        <v>5198</v>
      </c>
      <c r="I2422" s="10" t="s">
        <v>5197</v>
      </c>
      <c r="J2422" s="11" t="s">
        <v>33</v>
      </c>
      <c r="K2422" s="18">
        <v>8400</v>
      </c>
      <c r="L2422" s="12">
        <f t="shared" si="207"/>
        <v>14000</v>
      </c>
      <c r="M2422" s="8">
        <v>1</v>
      </c>
      <c r="N2422" s="8" t="s">
        <v>27</v>
      </c>
      <c r="O2422" s="13"/>
      <c r="P2422" s="14">
        <v>0.2</v>
      </c>
      <c r="Q2422" s="15">
        <v>0.4</v>
      </c>
      <c r="R2422" s="16" t="str">
        <f t="shared" si="205"/>
        <v>LEVITON</v>
      </c>
      <c r="S2422" s="17"/>
      <c r="T2422" s="10" t="str">
        <f t="shared" si="208"/>
        <v>TOMA TV DECORA COMPLETA BLANCA</v>
      </c>
    </row>
    <row r="2423" spans="1:20" ht="27" customHeight="1" x14ac:dyDescent="0.25">
      <c r="A2423" s="8" t="s">
        <v>5170</v>
      </c>
      <c r="B2423" s="9" t="s">
        <v>5173</v>
      </c>
      <c r="C2423" s="9"/>
      <c r="D2423" s="8"/>
      <c r="E2423" s="8">
        <v>17</v>
      </c>
      <c r="F2423" s="8" t="s">
        <v>22</v>
      </c>
      <c r="G2423" s="10" t="s">
        <v>5199</v>
      </c>
      <c r="H2423" s="8" t="s">
        <v>5200</v>
      </c>
      <c r="I2423" s="10" t="s">
        <v>5199</v>
      </c>
      <c r="J2423" s="11" t="s">
        <v>26</v>
      </c>
      <c r="K2423" s="18">
        <v>12.5</v>
      </c>
      <c r="L2423" s="12">
        <f t="shared" si="207"/>
        <v>25</v>
      </c>
      <c r="M2423" s="8">
        <v>1</v>
      </c>
      <c r="N2423" s="8" t="s">
        <v>27</v>
      </c>
      <c r="O2423" s="13"/>
      <c r="P2423" s="14">
        <v>0.2</v>
      </c>
      <c r="Q2423" s="15">
        <v>0.4</v>
      </c>
      <c r="R2423" s="16" t="str">
        <f t="shared" si="205"/>
        <v>LEVITON</v>
      </c>
      <c r="S2423" s="17"/>
      <c r="T2423" s="10" t="str">
        <f t="shared" si="208"/>
        <v>TAPA TERMO PLÁSTICA TIPO INTEMPERIE, RESISTENTE A LA LLUVIA</v>
      </c>
    </row>
    <row r="2424" spans="1:20" ht="27" customHeight="1" x14ac:dyDescent="0.25">
      <c r="A2424" s="8" t="s">
        <v>5170</v>
      </c>
      <c r="B2424" s="9" t="s">
        <v>5173</v>
      </c>
      <c r="C2424" s="9"/>
      <c r="D2424" s="8"/>
      <c r="E2424" s="8">
        <v>18</v>
      </c>
      <c r="F2424" s="8" t="s">
        <v>22</v>
      </c>
      <c r="G2424" s="10" t="s">
        <v>5201</v>
      </c>
      <c r="H2424" s="8" t="s">
        <v>5202</v>
      </c>
      <c r="I2424" s="10" t="s">
        <v>5203</v>
      </c>
      <c r="J2424" s="11" t="s">
        <v>33</v>
      </c>
      <c r="K2424" s="18">
        <v>63000</v>
      </c>
      <c r="L2424" s="12">
        <f t="shared" si="207"/>
        <v>105000</v>
      </c>
      <c r="M2424" s="8">
        <v>1</v>
      </c>
      <c r="N2424" s="8" t="s">
        <v>27</v>
      </c>
      <c r="O2424" s="13"/>
      <c r="P2424" s="14">
        <v>0.2</v>
      </c>
      <c r="Q2424" s="15">
        <v>0.4</v>
      </c>
      <c r="R2424" s="16" t="str">
        <f t="shared" si="205"/>
        <v>LEVITON</v>
      </c>
      <c r="S2424" s="17"/>
      <c r="T2424" s="10" t="str">
        <f t="shared" si="208"/>
        <v>DIMMER UNIVERSAL PARA CARGAS LED HASTA 150 VATIOS O 600 VATIOS.</v>
      </c>
    </row>
    <row r="2425" spans="1:20" ht="27" customHeight="1" x14ac:dyDescent="0.25">
      <c r="A2425" s="8" t="s">
        <v>5170</v>
      </c>
      <c r="B2425" s="9" t="s">
        <v>5173</v>
      </c>
      <c r="C2425" s="9"/>
      <c r="D2425" s="8"/>
      <c r="E2425" s="8">
        <v>19</v>
      </c>
      <c r="F2425" s="8" t="s">
        <v>22</v>
      </c>
      <c r="G2425" s="10" t="s">
        <v>5204</v>
      </c>
      <c r="H2425" s="8" t="s">
        <v>5205</v>
      </c>
      <c r="I2425" s="10" t="s">
        <v>5204</v>
      </c>
      <c r="J2425" s="11" t="s">
        <v>26</v>
      </c>
      <c r="K2425" s="18">
        <v>272</v>
      </c>
      <c r="L2425" s="12">
        <f t="shared" si="207"/>
        <v>544</v>
      </c>
      <c r="M2425" s="8">
        <v>1</v>
      </c>
      <c r="N2425" s="8" t="s">
        <v>27</v>
      </c>
      <c r="O2425" s="13"/>
      <c r="P2425" s="14">
        <v>0.2</v>
      </c>
      <c r="Q2425" s="15">
        <v>0.4</v>
      </c>
      <c r="R2425" s="16" t="str">
        <f t="shared" si="205"/>
        <v>LEVITON</v>
      </c>
      <c r="S2425" s="17"/>
      <c r="T2425" s="10" t="str">
        <f t="shared" si="208"/>
        <v>LECTOR DE TARJETA PARA CONTROL DE ACCESO RFID.</v>
      </c>
    </row>
    <row r="2426" spans="1:20" ht="27" customHeight="1" x14ac:dyDescent="0.25">
      <c r="A2426" s="8" t="s">
        <v>5170</v>
      </c>
      <c r="B2426" s="9" t="s">
        <v>5173</v>
      </c>
      <c r="C2426" s="9"/>
      <c r="D2426" s="8"/>
      <c r="E2426" s="8">
        <v>20</v>
      </c>
      <c r="F2426" s="8" t="s">
        <v>22</v>
      </c>
      <c r="G2426" s="10" t="s">
        <v>5206</v>
      </c>
      <c r="H2426" s="8" t="s">
        <v>5207</v>
      </c>
      <c r="I2426" s="10" t="s">
        <v>5206</v>
      </c>
      <c r="J2426" s="11" t="s">
        <v>26</v>
      </c>
      <c r="K2426" s="18">
        <v>5.6</v>
      </c>
      <c r="L2426" s="12">
        <f t="shared" si="207"/>
        <v>9.6</v>
      </c>
      <c r="M2426" s="8">
        <v>1</v>
      </c>
      <c r="N2426" s="8" t="s">
        <v>27</v>
      </c>
      <c r="O2426" s="13"/>
      <c r="P2426" s="14">
        <v>0.2</v>
      </c>
      <c r="Q2426" s="15">
        <v>0.3</v>
      </c>
      <c r="R2426" s="16" t="str">
        <f t="shared" si="205"/>
        <v>LEVITON</v>
      </c>
      <c r="S2426" s="17"/>
      <c r="T2426" s="10" t="str">
        <f t="shared" si="208"/>
        <v>TARJETA RFID PROGRAMADA</v>
      </c>
    </row>
    <row r="2427" spans="1:20" ht="27" customHeight="1" x14ac:dyDescent="0.25">
      <c r="A2427" s="8" t="s">
        <v>5170</v>
      </c>
      <c r="B2427" s="9" t="s">
        <v>5173</v>
      </c>
      <c r="C2427" s="9"/>
      <c r="D2427" s="8"/>
      <c r="E2427" s="8">
        <v>21</v>
      </c>
      <c r="F2427" s="8" t="s">
        <v>22</v>
      </c>
      <c r="G2427" s="10" t="s">
        <v>5208</v>
      </c>
      <c r="H2427" s="8" t="s">
        <v>5209</v>
      </c>
      <c r="I2427" s="10" t="s">
        <v>5208</v>
      </c>
      <c r="J2427" s="11" t="s">
        <v>26</v>
      </c>
      <c r="K2427" s="18">
        <v>71</v>
      </c>
      <c r="L2427" s="12">
        <f t="shared" si="207"/>
        <v>118.33333333333334</v>
      </c>
      <c r="M2427" s="8">
        <v>1</v>
      </c>
      <c r="N2427" s="8" t="s">
        <v>27</v>
      </c>
      <c r="O2427" s="13"/>
      <c r="P2427" s="14">
        <v>0.2</v>
      </c>
      <c r="Q2427" s="15">
        <v>0.28000000000000003</v>
      </c>
      <c r="R2427" s="16" t="str">
        <f t="shared" si="205"/>
        <v>LEVITON</v>
      </c>
      <c r="S2427" s="17"/>
      <c r="T2427" s="10" t="str">
        <f t="shared" si="208"/>
        <v>CANTONERA PARA SUJECIÓN DE PUERTA ELÉCTRICA</v>
      </c>
    </row>
    <row r="2428" spans="1:20" ht="27" customHeight="1" x14ac:dyDescent="0.25">
      <c r="A2428" s="8" t="s">
        <v>5170</v>
      </c>
      <c r="B2428" s="9" t="s">
        <v>5173</v>
      </c>
      <c r="C2428" s="9"/>
      <c r="D2428" s="8"/>
      <c r="E2428" s="8">
        <v>22</v>
      </c>
      <c r="F2428" s="8" t="s">
        <v>22</v>
      </c>
      <c r="G2428" s="10" t="s">
        <v>5210</v>
      </c>
      <c r="H2428" s="8" t="s">
        <v>5211</v>
      </c>
      <c r="I2428" s="10" t="s">
        <v>5210</v>
      </c>
      <c r="J2428" s="11" t="s">
        <v>26</v>
      </c>
      <c r="K2428" s="18">
        <v>399</v>
      </c>
      <c r="L2428" s="12">
        <f t="shared" si="207"/>
        <v>665</v>
      </c>
      <c r="M2428" s="8">
        <v>1</v>
      </c>
      <c r="N2428" s="8" t="s">
        <v>27</v>
      </c>
      <c r="O2428" s="13"/>
      <c r="P2428" s="14">
        <v>0.2</v>
      </c>
      <c r="Q2428" s="15">
        <v>0.28000000000000003</v>
      </c>
      <c r="R2428" s="16" t="str">
        <f t="shared" si="205"/>
        <v>LEVITON</v>
      </c>
      <c r="S2428" s="17"/>
      <c r="T2428" s="10" t="str">
        <f t="shared" si="208"/>
        <v>TECLADO NUMÉRICO PARA CONTROL DE ALARMA DE LA SERIE OMNI II.</v>
      </c>
    </row>
    <row r="2429" spans="1:20" ht="27" customHeight="1" x14ac:dyDescent="0.25">
      <c r="A2429" s="8" t="s">
        <v>5170</v>
      </c>
      <c r="B2429" s="9" t="s">
        <v>5173</v>
      </c>
      <c r="C2429" s="9"/>
      <c r="D2429" s="8"/>
      <c r="E2429" s="8">
        <v>23</v>
      </c>
      <c r="F2429" s="8" t="s">
        <v>22</v>
      </c>
      <c r="G2429" s="10" t="s">
        <v>5212</v>
      </c>
      <c r="H2429" s="8" t="s">
        <v>5213</v>
      </c>
      <c r="I2429" s="10" t="s">
        <v>5214</v>
      </c>
      <c r="J2429" s="11" t="s">
        <v>26</v>
      </c>
      <c r="K2429" s="18">
        <v>1458</v>
      </c>
      <c r="L2429" s="12">
        <f t="shared" si="207"/>
        <v>2430</v>
      </c>
      <c r="M2429" s="8">
        <v>1</v>
      </c>
      <c r="N2429" s="8" t="s">
        <v>27</v>
      </c>
      <c r="O2429" s="13"/>
      <c r="P2429" s="14">
        <v>0.2</v>
      </c>
      <c r="Q2429" s="15">
        <v>0.28000000000000003</v>
      </c>
      <c r="R2429" s="16" t="str">
        <f t="shared" si="205"/>
        <v>LEVITON</v>
      </c>
      <c r="S2429" s="17"/>
      <c r="T2429" s="10" t="str">
        <f t="shared" si="208"/>
        <v>TARJETA SERIE OMNI II, CON PUERTO SERIE.</v>
      </c>
    </row>
    <row r="2430" spans="1:20" ht="27" customHeight="1" x14ac:dyDescent="0.25">
      <c r="A2430" s="8" t="s">
        <v>5170</v>
      </c>
      <c r="B2430" s="9" t="s">
        <v>5173</v>
      </c>
      <c r="C2430" s="9"/>
      <c r="D2430" s="8"/>
      <c r="E2430" s="8">
        <v>24</v>
      </c>
      <c r="F2430" s="8" t="s">
        <v>22</v>
      </c>
      <c r="G2430" s="10" t="s">
        <v>5215</v>
      </c>
      <c r="H2430" s="8" t="s">
        <v>5216</v>
      </c>
      <c r="I2430" s="10" t="s">
        <v>5217</v>
      </c>
      <c r="J2430" s="11" t="s">
        <v>26</v>
      </c>
      <c r="K2430" s="18">
        <v>165</v>
      </c>
      <c r="L2430" s="12">
        <f t="shared" si="207"/>
        <v>275</v>
      </c>
      <c r="M2430" s="8">
        <v>1</v>
      </c>
      <c r="N2430" s="8" t="s">
        <v>27</v>
      </c>
      <c r="O2430" s="13"/>
      <c r="P2430" s="14">
        <v>0.2</v>
      </c>
      <c r="Q2430" s="15">
        <v>0.28000000000000003</v>
      </c>
      <c r="R2430" s="16" t="str">
        <f t="shared" si="205"/>
        <v>LEVITON</v>
      </c>
      <c r="S2430" s="17"/>
      <c r="T2430" s="10" t="str">
        <f t="shared" si="208"/>
        <v>TECLADO ALFA NUMÉRICO PARA CONTROL DE ALARMA.</v>
      </c>
    </row>
    <row r="2431" spans="1:20" ht="27" customHeight="1" x14ac:dyDescent="0.25">
      <c r="A2431" s="8" t="s">
        <v>5170</v>
      </c>
      <c r="B2431" s="9" t="s">
        <v>5173</v>
      </c>
      <c r="C2431" s="9"/>
      <c r="D2431" s="8"/>
      <c r="E2431" s="8">
        <v>24</v>
      </c>
      <c r="F2431" s="8" t="s">
        <v>22</v>
      </c>
      <c r="G2431" s="10" t="s">
        <v>5218</v>
      </c>
      <c r="H2431" s="8" t="s">
        <v>5219</v>
      </c>
      <c r="I2431" s="10" t="s">
        <v>5218</v>
      </c>
      <c r="J2431" s="11" t="s">
        <v>26</v>
      </c>
      <c r="K2431" s="18">
        <v>158</v>
      </c>
      <c r="L2431" s="12">
        <f t="shared" si="207"/>
        <v>263.33333333333331</v>
      </c>
      <c r="M2431" s="8">
        <v>1</v>
      </c>
      <c r="N2431" s="8" t="s">
        <v>27</v>
      </c>
      <c r="O2431" s="13"/>
      <c r="P2431" s="14">
        <v>0.2</v>
      </c>
      <c r="Q2431" s="15">
        <v>0.28000000000000003</v>
      </c>
      <c r="R2431" s="16" t="str">
        <f t="shared" si="205"/>
        <v>LEVITON</v>
      </c>
      <c r="S2431" s="17"/>
      <c r="T2431" s="10" t="str">
        <f t="shared" si="208"/>
        <v>RECEPTOR INALÁMBRICO DE 64 ZONAS.</v>
      </c>
    </row>
    <row r="2432" spans="1:20" ht="27" customHeight="1" x14ac:dyDescent="0.25">
      <c r="A2432" s="8" t="s">
        <v>5170</v>
      </c>
      <c r="B2432" s="9" t="s">
        <v>5173</v>
      </c>
      <c r="C2432" s="9"/>
      <c r="D2432" s="8"/>
      <c r="E2432" s="8">
        <v>24</v>
      </c>
      <c r="F2432" s="8" t="s">
        <v>22</v>
      </c>
      <c r="G2432" s="10" t="s">
        <v>5220</v>
      </c>
      <c r="H2432" s="8" t="s">
        <v>5221</v>
      </c>
      <c r="I2432" s="10" t="s">
        <v>5220</v>
      </c>
      <c r="J2432" s="11" t="s">
        <v>26</v>
      </c>
      <c r="K2432" s="18">
        <v>106.91</v>
      </c>
      <c r="L2432" s="12">
        <f t="shared" si="207"/>
        <v>178.18333333333334</v>
      </c>
      <c r="M2432" s="8">
        <v>1</v>
      </c>
      <c r="N2432" s="8" t="s">
        <v>27</v>
      </c>
      <c r="O2432" s="13"/>
      <c r="P2432" s="14">
        <v>0.2</v>
      </c>
      <c r="Q2432" s="15">
        <v>0.28000000000000003</v>
      </c>
      <c r="R2432" s="16" t="str">
        <f t="shared" si="205"/>
        <v>LEVITON</v>
      </c>
      <c r="S2432" s="17"/>
      <c r="T2432" s="10" t="str">
        <f t="shared" si="208"/>
        <v xml:space="preserve">SENSOR DE MOVIMIENTO INFRA ROJO INALÁMBRICO INMUNE A MASCOTAS. </v>
      </c>
    </row>
    <row r="2433" spans="1:20" ht="27" customHeight="1" x14ac:dyDescent="0.25">
      <c r="A2433" s="8" t="s">
        <v>5170</v>
      </c>
      <c r="B2433" s="9" t="s">
        <v>5173</v>
      </c>
      <c r="C2433" s="9"/>
      <c r="D2433" s="8"/>
      <c r="E2433" s="8">
        <v>24</v>
      </c>
      <c r="F2433" s="8" t="s">
        <v>22</v>
      </c>
      <c r="G2433" s="10" t="s">
        <v>5222</v>
      </c>
      <c r="H2433" s="8" t="s">
        <v>5223</v>
      </c>
      <c r="I2433" s="10" t="s">
        <v>5224</v>
      </c>
      <c r="J2433" s="11" t="s">
        <v>26</v>
      </c>
      <c r="K2433" s="18">
        <v>578</v>
      </c>
      <c r="L2433" s="12">
        <f t="shared" si="207"/>
        <v>963.33333333333337</v>
      </c>
      <c r="M2433" s="8">
        <v>1</v>
      </c>
      <c r="N2433" s="8" t="s">
        <v>27</v>
      </c>
      <c r="O2433" s="13"/>
      <c r="P2433" s="14">
        <v>0.2</v>
      </c>
      <c r="Q2433" s="15">
        <v>0.28000000000000003</v>
      </c>
      <c r="R2433" s="16" t="str">
        <f t="shared" ref="R2433:R2496" si="209">A2433</f>
        <v>LEVITON</v>
      </c>
      <c r="S2433" s="17"/>
      <c r="T2433" s="10" t="str">
        <f t="shared" si="208"/>
        <v>PROCESADOR DE ALARMA DE LA SERIE OMNI LTE PARA 16 ZONAS.</v>
      </c>
    </row>
    <row r="2434" spans="1:20" ht="27" customHeight="1" x14ac:dyDescent="0.25">
      <c r="A2434" s="8" t="s">
        <v>5170</v>
      </c>
      <c r="B2434" s="9" t="s">
        <v>5173</v>
      </c>
      <c r="C2434" s="9"/>
      <c r="D2434" s="8"/>
      <c r="E2434" s="8"/>
      <c r="F2434" s="8" t="s">
        <v>22</v>
      </c>
      <c r="G2434" s="10" t="s">
        <v>5225</v>
      </c>
      <c r="H2434" s="8" t="s">
        <v>5226</v>
      </c>
      <c r="I2434" s="10" t="s">
        <v>5225</v>
      </c>
      <c r="J2434" s="11" t="s">
        <v>33</v>
      </c>
      <c r="K2434" s="18">
        <v>646.66999999999996</v>
      </c>
      <c r="L2434" s="12">
        <f t="shared" si="207"/>
        <v>1100</v>
      </c>
      <c r="M2434" s="8">
        <v>1</v>
      </c>
      <c r="N2434" s="8" t="s">
        <v>27</v>
      </c>
      <c r="O2434" s="13"/>
      <c r="P2434" s="14">
        <v>0.2</v>
      </c>
      <c r="Q2434" s="15">
        <v>0.37</v>
      </c>
      <c r="R2434" s="16" t="str">
        <f t="shared" si="209"/>
        <v>LEVITON</v>
      </c>
      <c r="S2434" s="17"/>
      <c r="T2434" s="10" t="str">
        <f t="shared" si="208"/>
        <v>TAPA DOBLE NEGRA</v>
      </c>
    </row>
    <row r="2435" spans="1:20" ht="27" customHeight="1" x14ac:dyDescent="0.25">
      <c r="A2435" s="8" t="s">
        <v>5170</v>
      </c>
      <c r="B2435" s="9" t="s">
        <v>5173</v>
      </c>
      <c r="C2435" s="9"/>
      <c r="D2435" s="8"/>
      <c r="E2435" s="8"/>
      <c r="F2435" s="8" t="s">
        <v>22</v>
      </c>
      <c r="G2435" s="10" t="s">
        <v>5227</v>
      </c>
      <c r="H2435" s="8" t="s">
        <v>5228</v>
      </c>
      <c r="I2435" s="10" t="s">
        <v>5227</v>
      </c>
      <c r="J2435" s="11" t="s">
        <v>33</v>
      </c>
      <c r="K2435" s="18">
        <v>8500</v>
      </c>
      <c r="L2435" s="12">
        <f t="shared" si="207"/>
        <v>14200</v>
      </c>
      <c r="M2435" s="8">
        <v>1</v>
      </c>
      <c r="N2435" s="8" t="s">
        <v>27</v>
      </c>
      <c r="O2435" s="13"/>
      <c r="P2435" s="14">
        <v>0.2</v>
      </c>
      <c r="Q2435" s="15">
        <v>0.4</v>
      </c>
      <c r="R2435" s="16" t="str">
        <f t="shared" si="209"/>
        <v>LEVITON</v>
      </c>
      <c r="S2435" s="17"/>
      <c r="T2435" s="10" t="str">
        <f t="shared" si="208"/>
        <v>TOMA DOBLE BLANCA.</v>
      </c>
    </row>
    <row r="2436" spans="1:20" ht="27" customHeight="1" x14ac:dyDescent="0.25">
      <c r="A2436" s="8" t="s">
        <v>5170</v>
      </c>
      <c r="B2436" s="9" t="s">
        <v>5173</v>
      </c>
      <c r="C2436" s="9"/>
      <c r="D2436" s="8"/>
      <c r="E2436" s="8"/>
      <c r="F2436" s="8" t="s">
        <v>22</v>
      </c>
      <c r="G2436" s="10" t="s">
        <v>5229</v>
      </c>
      <c r="H2436" s="8" t="s">
        <v>5230</v>
      </c>
      <c r="I2436" s="10" t="s">
        <v>5229</v>
      </c>
      <c r="J2436" s="11" t="s">
        <v>33</v>
      </c>
      <c r="K2436" s="18">
        <v>9500</v>
      </c>
      <c r="L2436" s="12">
        <f t="shared" si="207"/>
        <v>15900</v>
      </c>
      <c r="M2436" s="8">
        <v>1</v>
      </c>
      <c r="N2436" s="8" t="s">
        <v>27</v>
      </c>
      <c r="O2436" s="13"/>
      <c r="P2436" s="14">
        <v>0.2</v>
      </c>
      <c r="Q2436" s="15">
        <v>0.4</v>
      </c>
      <c r="R2436" s="16" t="str">
        <f t="shared" si="209"/>
        <v>LEVITON</v>
      </c>
      <c r="S2436" s="17"/>
      <c r="T2436" s="10" t="str">
        <f t="shared" si="208"/>
        <v>TOMACORRIENTE CON TIERRA AISLADA NARANJA</v>
      </c>
    </row>
    <row r="2437" spans="1:20" ht="27" customHeight="1" x14ac:dyDescent="0.25">
      <c r="A2437" s="8" t="s">
        <v>5170</v>
      </c>
      <c r="B2437" s="9" t="s">
        <v>5173</v>
      </c>
      <c r="C2437" s="9"/>
      <c r="D2437" s="8"/>
      <c r="E2437" s="8"/>
      <c r="F2437" s="8" t="s">
        <v>22</v>
      </c>
      <c r="G2437" s="10" t="s">
        <v>5231</v>
      </c>
      <c r="H2437" s="8" t="s">
        <v>5232</v>
      </c>
      <c r="I2437" s="10" t="s">
        <v>5233</v>
      </c>
      <c r="J2437" s="11" t="s">
        <v>33</v>
      </c>
      <c r="K2437" s="18">
        <v>1500</v>
      </c>
      <c r="L2437" s="12">
        <f t="shared" si="207"/>
        <v>2500</v>
      </c>
      <c r="M2437" s="8">
        <v>1</v>
      </c>
      <c r="N2437" s="8" t="s">
        <v>27</v>
      </c>
      <c r="O2437" s="13"/>
      <c r="P2437" s="14">
        <v>0.2</v>
      </c>
      <c r="Q2437" s="15">
        <v>0.4</v>
      </c>
      <c r="R2437" s="16" t="str">
        <f t="shared" si="209"/>
        <v>LEVITON</v>
      </c>
      <c r="S2437" s="17"/>
      <c r="T2437" s="10" t="str">
        <f t="shared" si="208"/>
        <v>RCR1</v>
      </c>
    </row>
    <row r="2438" spans="1:20" ht="27" customHeight="1" x14ac:dyDescent="0.25">
      <c r="A2438" s="8" t="s">
        <v>5170</v>
      </c>
      <c r="B2438" s="9" t="s">
        <v>5173</v>
      </c>
      <c r="C2438" s="9"/>
      <c r="D2438" s="8"/>
      <c r="E2438" s="8"/>
      <c r="F2438" s="8" t="s">
        <v>22</v>
      </c>
      <c r="G2438" s="10" t="s">
        <v>5234</v>
      </c>
      <c r="H2438" s="8" t="s">
        <v>5235</v>
      </c>
      <c r="I2438" s="10" t="s">
        <v>5234</v>
      </c>
      <c r="J2438" s="11" t="s">
        <v>33</v>
      </c>
      <c r="K2438" s="18">
        <v>3000</v>
      </c>
      <c r="L2438" s="12">
        <f t="shared" si="207"/>
        <v>5000</v>
      </c>
      <c r="M2438" s="8">
        <v>1</v>
      </c>
      <c r="N2438" s="8" t="s">
        <v>27</v>
      </c>
      <c r="O2438" s="13"/>
      <c r="P2438" s="14">
        <v>0.2</v>
      </c>
      <c r="Q2438" s="15">
        <v>0.4</v>
      </c>
      <c r="R2438" s="16" t="str">
        <f t="shared" si="209"/>
        <v>LEVITON</v>
      </c>
      <c r="S2438" s="17"/>
      <c r="T2438" s="10" t="str">
        <f t="shared" si="208"/>
        <v>TOMA CORRIENTE CON POLO A TIERRA BLANCO</v>
      </c>
    </row>
    <row r="2439" spans="1:20" ht="27" customHeight="1" x14ac:dyDescent="0.25">
      <c r="A2439" s="8" t="s">
        <v>5170</v>
      </c>
      <c r="B2439" s="9" t="s">
        <v>5173</v>
      </c>
      <c r="C2439" s="9"/>
      <c r="D2439" s="8"/>
      <c r="E2439" s="8"/>
      <c r="F2439" s="8" t="s">
        <v>22</v>
      </c>
      <c r="G2439" s="10" t="s">
        <v>5236</v>
      </c>
      <c r="H2439" s="8" t="s">
        <v>5237</v>
      </c>
      <c r="I2439" s="10" t="s">
        <v>5236</v>
      </c>
      <c r="J2439" s="11" t="s">
        <v>33</v>
      </c>
      <c r="K2439" s="18">
        <v>1500</v>
      </c>
      <c r="L2439" s="12">
        <f t="shared" ref="L2439:L2467" si="210">IF(J2439="P",ROUNDUP(K2439/(1-Q2439),-2),K2439*(1+P2439)/(1-Q2439))</f>
        <v>2500</v>
      </c>
      <c r="M2439" s="8">
        <v>1</v>
      </c>
      <c r="N2439" s="8" t="s">
        <v>27</v>
      </c>
      <c r="O2439" s="13"/>
      <c r="P2439" s="14">
        <v>0.2</v>
      </c>
      <c r="Q2439" s="15">
        <v>0.4</v>
      </c>
      <c r="R2439" s="16" t="str">
        <f t="shared" si="209"/>
        <v>LEVITON</v>
      </c>
      <c r="S2439" s="17"/>
      <c r="T2439" s="10" t="str">
        <f t="shared" si="208"/>
        <v>TAPA DECORATIVA DE TORNILLO BLANCA</v>
      </c>
    </row>
    <row r="2440" spans="1:20" ht="27" customHeight="1" x14ac:dyDescent="0.25">
      <c r="A2440" s="8" t="s">
        <v>5170</v>
      </c>
      <c r="B2440" s="9" t="s">
        <v>5173</v>
      </c>
      <c r="C2440" s="9"/>
      <c r="D2440" s="8"/>
      <c r="E2440" s="8"/>
      <c r="F2440" s="8" t="s">
        <v>22</v>
      </c>
      <c r="G2440" s="10" t="s">
        <v>5238</v>
      </c>
      <c r="H2440" s="8" t="s">
        <v>5239</v>
      </c>
      <c r="I2440" s="10" t="s">
        <v>5238</v>
      </c>
      <c r="J2440" s="11" t="s">
        <v>33</v>
      </c>
      <c r="K2440" s="18">
        <v>22904</v>
      </c>
      <c r="L2440" s="12">
        <f t="shared" si="210"/>
        <v>38200</v>
      </c>
      <c r="M2440" s="8">
        <v>1</v>
      </c>
      <c r="N2440" s="8" t="s">
        <v>27</v>
      </c>
      <c r="O2440" s="13"/>
      <c r="P2440" s="14">
        <v>0.2</v>
      </c>
      <c r="Q2440" s="15">
        <v>0.4</v>
      </c>
      <c r="R2440" s="16" t="str">
        <f t="shared" si="209"/>
        <v>LEVITON</v>
      </c>
      <c r="S2440" s="17"/>
      <c r="T2440" s="10" t="str">
        <f t="shared" si="208"/>
        <v>TOMA 30A 250V NEMA L630R</v>
      </c>
    </row>
    <row r="2441" spans="1:20" ht="27" customHeight="1" x14ac:dyDescent="0.25">
      <c r="A2441" s="8" t="s">
        <v>5170</v>
      </c>
      <c r="B2441" s="9" t="s">
        <v>5173</v>
      </c>
      <c r="C2441" s="9"/>
      <c r="D2441" s="8"/>
      <c r="E2441" s="8"/>
      <c r="F2441" s="8" t="s">
        <v>22</v>
      </c>
      <c r="G2441" s="10" t="s">
        <v>5240</v>
      </c>
      <c r="H2441" s="8" t="s">
        <v>5241</v>
      </c>
      <c r="I2441" s="10" t="s">
        <v>5240</v>
      </c>
      <c r="J2441" s="11" t="s">
        <v>33</v>
      </c>
      <c r="K2441" s="18">
        <v>19858</v>
      </c>
      <c r="L2441" s="12">
        <f t="shared" si="210"/>
        <v>33100</v>
      </c>
      <c r="M2441" s="8">
        <v>1</v>
      </c>
      <c r="N2441" s="8" t="s">
        <v>27</v>
      </c>
      <c r="O2441" s="13"/>
      <c r="P2441" s="14">
        <v>0.2</v>
      </c>
      <c r="Q2441" s="15">
        <v>0.4</v>
      </c>
      <c r="R2441" s="16" t="str">
        <f t="shared" si="209"/>
        <v>LEVITON</v>
      </c>
      <c r="S2441" s="17"/>
      <c r="T2441" s="10" t="str">
        <f t="shared" ref="T2441:T2475" si="211">G2441</f>
        <v>TOMA 30A 250V NEMA L1430R</v>
      </c>
    </row>
    <row r="2442" spans="1:20" ht="27" customHeight="1" x14ac:dyDescent="0.25">
      <c r="A2442" s="8" t="s">
        <v>5170</v>
      </c>
      <c r="B2442" s="9" t="s">
        <v>5173</v>
      </c>
      <c r="C2442" s="9"/>
      <c r="D2442" s="8"/>
      <c r="E2442" s="8"/>
      <c r="F2442" s="8" t="s">
        <v>22</v>
      </c>
      <c r="G2442" s="10" t="s">
        <v>5242</v>
      </c>
      <c r="H2442" s="8" t="s">
        <v>5243</v>
      </c>
      <c r="I2442" s="10" t="s">
        <v>5242</v>
      </c>
      <c r="J2442" s="11" t="s">
        <v>33</v>
      </c>
      <c r="K2442" s="18">
        <v>21949</v>
      </c>
      <c r="L2442" s="12">
        <f t="shared" si="210"/>
        <v>36600</v>
      </c>
      <c r="M2442" s="8">
        <v>1</v>
      </c>
      <c r="N2442" s="8" t="s">
        <v>27</v>
      </c>
      <c r="O2442" s="13"/>
      <c r="P2442" s="14">
        <v>0.2</v>
      </c>
      <c r="Q2442" s="15">
        <v>0.4</v>
      </c>
      <c r="R2442" s="16" t="str">
        <f t="shared" si="209"/>
        <v>LEVITON</v>
      </c>
      <c r="S2442" s="17"/>
      <c r="T2442" s="10" t="str">
        <f t="shared" si="211"/>
        <v>CLAVIJA 30A 250V NEMA L1430R</v>
      </c>
    </row>
    <row r="2443" spans="1:20" ht="27" customHeight="1" x14ac:dyDescent="0.25">
      <c r="A2443" s="8" t="s">
        <v>5170</v>
      </c>
      <c r="B2443" s="9" t="s">
        <v>5173</v>
      </c>
      <c r="C2443" s="9"/>
      <c r="D2443" s="8"/>
      <c r="E2443" s="8"/>
      <c r="F2443" s="8" t="s">
        <v>22</v>
      </c>
      <c r="G2443" s="10" t="s">
        <v>5244</v>
      </c>
      <c r="H2443" s="8" t="s">
        <v>5245</v>
      </c>
      <c r="I2443" s="10" t="s">
        <v>5244</v>
      </c>
      <c r="J2443" s="11" t="s">
        <v>33</v>
      </c>
      <c r="K2443" s="18">
        <v>23312</v>
      </c>
      <c r="L2443" s="12">
        <f t="shared" si="210"/>
        <v>38900</v>
      </c>
      <c r="M2443" s="8">
        <v>1</v>
      </c>
      <c r="N2443" s="8" t="s">
        <v>27</v>
      </c>
      <c r="O2443" s="13"/>
      <c r="P2443" s="14">
        <v>0.2</v>
      </c>
      <c r="Q2443" s="15">
        <v>0.4</v>
      </c>
      <c r="R2443" s="16" t="str">
        <f t="shared" si="209"/>
        <v>LEVITON</v>
      </c>
      <c r="S2443" s="17"/>
      <c r="T2443" s="10" t="str">
        <f t="shared" si="211"/>
        <v>CLAVIJA 30A 250V NEMA L630R</v>
      </c>
    </row>
    <row r="2444" spans="1:20" ht="27" customHeight="1" x14ac:dyDescent="0.25">
      <c r="A2444" s="8" t="s">
        <v>5170</v>
      </c>
      <c r="B2444" s="9" t="s">
        <v>5173</v>
      </c>
      <c r="C2444" s="9"/>
      <c r="D2444" s="8"/>
      <c r="E2444" s="8"/>
      <c r="F2444" s="8" t="s">
        <v>22</v>
      </c>
      <c r="G2444" s="10" t="s">
        <v>5246</v>
      </c>
      <c r="H2444" s="8" t="s">
        <v>5247</v>
      </c>
      <c r="I2444" s="10" t="s">
        <v>5246</v>
      </c>
      <c r="J2444" s="11" t="s">
        <v>26</v>
      </c>
      <c r="K2444" s="18">
        <v>65</v>
      </c>
      <c r="L2444" s="12">
        <f t="shared" si="210"/>
        <v>108.33333333333334</v>
      </c>
      <c r="M2444" s="8">
        <v>1</v>
      </c>
      <c r="N2444" s="8" t="s">
        <v>27</v>
      </c>
      <c r="O2444" s="13"/>
      <c r="P2444" s="14">
        <v>0.2</v>
      </c>
      <c r="Q2444" s="15">
        <v>0.28000000000000003</v>
      </c>
      <c r="R2444" s="16" t="str">
        <f t="shared" si="209"/>
        <v>LEVITON</v>
      </c>
      <c r="S2444" s="17"/>
      <c r="T2444" s="10" t="str">
        <f t="shared" si="211"/>
        <v>PANEL PARA INSTALACIÓN DE TARJETA DE LA SERIE OMNI II</v>
      </c>
    </row>
    <row r="2445" spans="1:20" ht="27" customHeight="1" x14ac:dyDescent="0.25">
      <c r="A2445" s="8" t="s">
        <v>5170</v>
      </c>
      <c r="B2445" s="9"/>
      <c r="C2445" s="9"/>
      <c r="D2445" s="8"/>
      <c r="E2445" s="8"/>
      <c r="F2445" s="8" t="s">
        <v>22</v>
      </c>
      <c r="G2445" s="10" t="s">
        <v>5248</v>
      </c>
      <c r="H2445" s="8" t="s">
        <v>5249</v>
      </c>
      <c r="I2445" s="10" t="s">
        <v>5248</v>
      </c>
      <c r="J2445" s="11" t="s">
        <v>33</v>
      </c>
      <c r="K2445" s="18">
        <v>4000</v>
      </c>
      <c r="L2445" s="12">
        <f t="shared" si="210"/>
        <v>8000</v>
      </c>
      <c r="M2445" s="8">
        <v>1</v>
      </c>
      <c r="N2445" s="8" t="s">
        <v>27</v>
      </c>
      <c r="O2445" s="13"/>
      <c r="P2445" s="14">
        <v>0.2</v>
      </c>
      <c r="Q2445" s="15">
        <v>0.5</v>
      </c>
      <c r="R2445" s="16" t="str">
        <f t="shared" si="209"/>
        <v>LEVITON</v>
      </c>
      <c r="S2445" s="17"/>
      <c r="T2445" s="10" t="str">
        <f t="shared" si="211"/>
        <v>TOMA CORRIENTE SENCILLO DOBLE OJO</v>
      </c>
    </row>
    <row r="2446" spans="1:20" ht="27" customHeight="1" x14ac:dyDescent="0.25">
      <c r="A2446" s="8" t="s">
        <v>5170</v>
      </c>
      <c r="B2446" s="9" t="s">
        <v>5173</v>
      </c>
      <c r="C2446" s="9"/>
      <c r="D2446" s="8"/>
      <c r="E2446" s="8">
        <v>12</v>
      </c>
      <c r="F2446" s="8" t="s">
        <v>22</v>
      </c>
      <c r="G2446" s="10" t="s">
        <v>5193</v>
      </c>
      <c r="H2446" s="8" t="s">
        <v>5250</v>
      </c>
      <c r="I2446" s="10" t="s">
        <v>5193</v>
      </c>
      <c r="J2446" s="11" t="s">
        <v>33</v>
      </c>
      <c r="K2446" s="18">
        <v>5500</v>
      </c>
      <c r="L2446" s="12">
        <f t="shared" si="210"/>
        <v>9200</v>
      </c>
      <c r="M2446" s="8">
        <v>1</v>
      </c>
      <c r="N2446" s="8" t="s">
        <v>27</v>
      </c>
      <c r="O2446" s="13"/>
      <c r="P2446" s="14">
        <v>0.2</v>
      </c>
      <c r="Q2446" s="15">
        <v>0.4</v>
      </c>
      <c r="R2446" s="16" t="str">
        <f t="shared" si="209"/>
        <v>LEVITON</v>
      </c>
      <c r="S2446" s="17"/>
      <c r="T2446" s="10" t="str">
        <f t="shared" si="211"/>
        <v>TOMA DOBLE DECORA GR 15A</v>
      </c>
    </row>
    <row r="2447" spans="1:20" ht="27" customHeight="1" x14ac:dyDescent="0.25">
      <c r="A2447" s="8" t="s">
        <v>5170</v>
      </c>
      <c r="B2447" s="9" t="s">
        <v>5173</v>
      </c>
      <c r="C2447" s="9"/>
      <c r="D2447" s="8"/>
      <c r="E2447" s="8">
        <v>8</v>
      </c>
      <c r="F2447" s="8" t="s">
        <v>22</v>
      </c>
      <c r="G2447" s="10" t="s">
        <v>5251</v>
      </c>
      <c r="H2447" s="8" t="s">
        <v>5252</v>
      </c>
      <c r="I2447" s="10" t="s">
        <v>5251</v>
      </c>
      <c r="J2447" s="11" t="s">
        <v>33</v>
      </c>
      <c r="K2447" s="18">
        <v>3300</v>
      </c>
      <c r="L2447" s="12">
        <f t="shared" si="210"/>
        <v>5500</v>
      </c>
      <c r="M2447" s="8">
        <v>1</v>
      </c>
      <c r="N2447" s="8" t="s">
        <v>27</v>
      </c>
      <c r="O2447" s="13"/>
      <c r="P2447" s="14">
        <v>0.2</v>
      </c>
      <c r="Q2447" s="15">
        <v>0.4</v>
      </c>
      <c r="R2447" s="16" t="str">
        <f t="shared" si="209"/>
        <v>LEVITON</v>
      </c>
      <c r="S2447" s="17"/>
      <c r="T2447" s="10" t="str">
        <f t="shared" si="211"/>
        <v>TAPA PRESIÓN DE UNA VENTANA DECORA NEGRA</v>
      </c>
    </row>
    <row r="2448" spans="1:20" ht="27" customHeight="1" x14ac:dyDescent="0.25">
      <c r="A2448" s="8" t="s">
        <v>5170</v>
      </c>
      <c r="B2448" s="9" t="s">
        <v>5173</v>
      </c>
      <c r="C2448" s="9"/>
      <c r="D2448" s="8"/>
      <c r="E2448" s="8"/>
      <c r="F2448" s="8" t="s">
        <v>22</v>
      </c>
      <c r="G2448" s="10" t="s">
        <v>5253</v>
      </c>
      <c r="H2448" s="8" t="s">
        <v>5254</v>
      </c>
      <c r="I2448" s="10" t="s">
        <v>5253</v>
      </c>
      <c r="J2448" s="11" t="s">
        <v>33</v>
      </c>
      <c r="K2448" s="18">
        <v>7400</v>
      </c>
      <c r="L2448" s="12">
        <f t="shared" si="210"/>
        <v>12400</v>
      </c>
      <c r="M2448" s="8">
        <v>1</v>
      </c>
      <c r="N2448" s="8" t="s">
        <v>27</v>
      </c>
      <c r="O2448" s="13"/>
      <c r="P2448" s="14">
        <v>0.2</v>
      </c>
      <c r="Q2448" s="15">
        <v>0.4</v>
      </c>
      <c r="R2448" s="16" t="str">
        <f t="shared" si="209"/>
        <v>LEVITON</v>
      </c>
      <c r="S2448" s="17"/>
      <c r="T2448" s="10" t="str">
        <f t="shared" si="211"/>
        <v>TAPA DOBLE A PRESIÓN BLANCA</v>
      </c>
    </row>
    <row r="2449" spans="1:20" ht="27" customHeight="1" x14ac:dyDescent="0.25">
      <c r="A2449" s="8" t="s">
        <v>5170</v>
      </c>
      <c r="B2449" s="9" t="s">
        <v>5173</v>
      </c>
      <c r="C2449" s="9"/>
      <c r="D2449" s="8"/>
      <c r="E2449" s="8"/>
      <c r="F2449" s="8" t="s">
        <v>22</v>
      </c>
      <c r="G2449" s="10" t="s">
        <v>5255</v>
      </c>
      <c r="H2449" s="8" t="s">
        <v>5256</v>
      </c>
      <c r="I2449" s="10" t="s">
        <v>5255</v>
      </c>
      <c r="J2449" s="11" t="s">
        <v>33</v>
      </c>
      <c r="K2449" s="18">
        <v>1500</v>
      </c>
      <c r="L2449" s="12">
        <f t="shared" si="210"/>
        <v>2500</v>
      </c>
      <c r="M2449" s="8">
        <v>1</v>
      </c>
      <c r="N2449" s="8" t="s">
        <v>27</v>
      </c>
      <c r="O2449" s="13"/>
      <c r="P2449" s="14">
        <v>0.2</v>
      </c>
      <c r="Q2449" s="15">
        <v>0.4</v>
      </c>
      <c r="R2449" s="16" t="str">
        <f t="shared" si="209"/>
        <v>LEVITON</v>
      </c>
      <c r="S2449" s="17"/>
      <c r="T2449" s="10" t="str">
        <f t="shared" si="211"/>
        <v>TAPA PARA TOMA CORRIENTE BLANCA</v>
      </c>
    </row>
    <row r="2450" spans="1:20" ht="27" customHeight="1" x14ac:dyDescent="0.25">
      <c r="A2450" s="8" t="s">
        <v>5170</v>
      </c>
      <c r="B2450" s="9" t="s">
        <v>5173</v>
      </c>
      <c r="C2450" s="9"/>
      <c r="D2450" s="8"/>
      <c r="E2450" s="8"/>
      <c r="F2450" s="8" t="s">
        <v>22</v>
      </c>
      <c r="G2450" s="10" t="s">
        <v>5257</v>
      </c>
      <c r="H2450" s="8" t="s">
        <v>5258</v>
      </c>
      <c r="I2450" s="10" t="s">
        <v>5257</v>
      </c>
      <c r="J2450" s="11" t="s">
        <v>33</v>
      </c>
      <c r="K2450" s="18">
        <v>3500</v>
      </c>
      <c r="L2450" s="12">
        <f t="shared" si="210"/>
        <v>5900</v>
      </c>
      <c r="M2450" s="8">
        <v>1</v>
      </c>
      <c r="N2450" s="8" t="s">
        <v>27</v>
      </c>
      <c r="O2450" s="13"/>
      <c r="P2450" s="14">
        <v>0.2</v>
      </c>
      <c r="Q2450" s="15">
        <v>0.4</v>
      </c>
      <c r="R2450" s="16" t="str">
        <f t="shared" si="209"/>
        <v>LEVITON</v>
      </c>
      <c r="S2450" s="17"/>
      <c r="T2450" s="10" t="str">
        <f t="shared" si="211"/>
        <v>TAPA CIEGA</v>
      </c>
    </row>
    <row r="2451" spans="1:20" ht="27" customHeight="1" x14ac:dyDescent="0.25">
      <c r="A2451" s="8" t="s">
        <v>5170</v>
      </c>
      <c r="B2451" s="9"/>
      <c r="C2451" s="9"/>
      <c r="D2451" s="8"/>
      <c r="E2451" s="8"/>
      <c r="F2451" s="8" t="s">
        <v>22</v>
      </c>
      <c r="G2451" s="10" t="s">
        <v>5259</v>
      </c>
      <c r="H2451" s="8" t="s">
        <v>5260</v>
      </c>
      <c r="I2451" s="10" t="s">
        <v>5259</v>
      </c>
      <c r="J2451" s="11" t="s">
        <v>33</v>
      </c>
      <c r="K2451" s="18">
        <v>25600</v>
      </c>
      <c r="L2451" s="12">
        <f t="shared" si="210"/>
        <v>42700</v>
      </c>
      <c r="M2451" s="8">
        <v>1</v>
      </c>
      <c r="N2451" s="8" t="s">
        <v>27</v>
      </c>
      <c r="O2451" s="13"/>
      <c r="P2451" s="14">
        <v>0.2</v>
      </c>
      <c r="Q2451" s="15">
        <v>0.4</v>
      </c>
      <c r="R2451" s="16" t="str">
        <f t="shared" si="209"/>
        <v>LEVITON</v>
      </c>
      <c r="S2451" s="17"/>
      <c r="T2451" s="10" t="str">
        <f t="shared" si="211"/>
        <v>INTERRUPTOR TRIPLE EN COLOR BLANCO</v>
      </c>
    </row>
    <row r="2452" spans="1:20" ht="27" customHeight="1" x14ac:dyDescent="0.25">
      <c r="A2452" s="8" t="s">
        <v>5170</v>
      </c>
      <c r="B2452" s="9" t="s">
        <v>5173</v>
      </c>
      <c r="C2452" s="9"/>
      <c r="D2452" s="8"/>
      <c r="E2452" s="8"/>
      <c r="F2452" s="8" t="s">
        <v>22</v>
      </c>
      <c r="G2452" s="10" t="s">
        <v>5261</v>
      </c>
      <c r="H2452" s="8" t="s">
        <v>5262</v>
      </c>
      <c r="I2452" s="10" t="s">
        <v>5261</v>
      </c>
      <c r="J2452" s="11" t="s">
        <v>33</v>
      </c>
      <c r="K2452" s="18">
        <v>1500</v>
      </c>
      <c r="L2452" s="12">
        <f t="shared" si="210"/>
        <v>2500</v>
      </c>
      <c r="M2452" s="8">
        <v>1</v>
      </c>
      <c r="N2452" s="8" t="s">
        <v>27</v>
      </c>
      <c r="O2452" s="13"/>
      <c r="P2452" s="14">
        <v>0.2</v>
      </c>
      <c r="Q2452" s="15">
        <v>0.4</v>
      </c>
      <c r="R2452" s="16" t="str">
        <f t="shared" si="209"/>
        <v>LEVITON</v>
      </c>
      <c r="S2452" s="17"/>
      <c r="T2452" s="10" t="str">
        <f t="shared" si="211"/>
        <v>TAPA PARA TOMA CORRIENTE NEGRA</v>
      </c>
    </row>
    <row r="2453" spans="1:20" ht="27" customHeight="1" x14ac:dyDescent="0.25">
      <c r="A2453" s="8" t="s">
        <v>5170</v>
      </c>
      <c r="B2453" s="9" t="s">
        <v>5173</v>
      </c>
      <c r="C2453" s="9"/>
      <c r="D2453" s="8"/>
      <c r="E2453" s="8">
        <v>10</v>
      </c>
      <c r="F2453" s="8" t="s">
        <v>22</v>
      </c>
      <c r="G2453" s="10" t="s">
        <v>5189</v>
      </c>
      <c r="H2453" s="8" t="s">
        <v>5263</v>
      </c>
      <c r="I2453" s="10" t="s">
        <v>5189</v>
      </c>
      <c r="J2453" s="11" t="s">
        <v>33</v>
      </c>
      <c r="K2453" s="18">
        <v>4800</v>
      </c>
      <c r="L2453" s="12">
        <f t="shared" si="210"/>
        <v>8000</v>
      </c>
      <c r="M2453" s="8">
        <v>1</v>
      </c>
      <c r="N2453" s="8" t="s">
        <v>27</v>
      </c>
      <c r="O2453" s="13"/>
      <c r="P2453" s="14">
        <v>0.2</v>
      </c>
      <c r="Q2453" s="15">
        <v>0.4</v>
      </c>
      <c r="R2453" s="16" t="str">
        <f t="shared" si="209"/>
        <v>LEVITON</v>
      </c>
      <c r="S2453" s="17"/>
      <c r="T2453" s="10" t="str">
        <f t="shared" si="211"/>
        <v>TAPA CIEGA DE PRESIÓN DECORA BLANCA</v>
      </c>
    </row>
    <row r="2454" spans="1:20" ht="27" customHeight="1" x14ac:dyDescent="0.25">
      <c r="A2454" s="8" t="s">
        <v>5170</v>
      </c>
      <c r="B2454" s="9"/>
      <c r="C2454" s="9"/>
      <c r="D2454" s="8"/>
      <c r="E2454" s="8"/>
      <c r="F2454" s="8" t="s">
        <v>22</v>
      </c>
      <c r="G2454" s="10" t="s">
        <v>5264</v>
      </c>
      <c r="H2454" s="8" t="s">
        <v>5265</v>
      </c>
      <c r="I2454" s="10" t="s">
        <v>5264</v>
      </c>
      <c r="J2454" s="11" t="s">
        <v>697</v>
      </c>
      <c r="K2454" s="18">
        <v>71000</v>
      </c>
      <c r="L2454" s="12">
        <f t="shared" si="210"/>
        <v>118400</v>
      </c>
      <c r="M2454" s="8">
        <v>1</v>
      </c>
      <c r="N2454" s="8" t="s">
        <v>27</v>
      </c>
      <c r="O2454" s="13"/>
      <c r="P2454" s="14">
        <v>0.2</v>
      </c>
      <c r="Q2454" s="15">
        <v>0.4</v>
      </c>
      <c r="R2454" s="16" t="str">
        <f t="shared" si="209"/>
        <v>LEVITON</v>
      </c>
      <c r="S2454" s="17"/>
      <c r="T2454" s="10" t="str">
        <f t="shared" si="211"/>
        <v>SENSOR DE PRESENCIA INFRA ROJO CON FOTOCELDA, 360</v>
      </c>
    </row>
    <row r="2455" spans="1:20" ht="27" customHeight="1" x14ac:dyDescent="0.25">
      <c r="A2455" s="8" t="s">
        <v>5170</v>
      </c>
      <c r="B2455" s="9"/>
      <c r="C2455" s="9"/>
      <c r="D2455" s="8"/>
      <c r="E2455" s="8"/>
      <c r="F2455" s="8" t="s">
        <v>22</v>
      </c>
      <c r="G2455" s="10" t="s">
        <v>5266</v>
      </c>
      <c r="H2455" s="8" t="s">
        <v>5267</v>
      </c>
      <c r="I2455" s="10" t="s">
        <v>5266</v>
      </c>
      <c r="J2455" s="11" t="s">
        <v>33</v>
      </c>
      <c r="K2455" s="18">
        <v>95000</v>
      </c>
      <c r="L2455" s="12">
        <f t="shared" si="210"/>
        <v>158400</v>
      </c>
      <c r="M2455" s="8">
        <v>1</v>
      </c>
      <c r="N2455" s="8" t="s">
        <v>27</v>
      </c>
      <c r="O2455" s="13"/>
      <c r="P2455" s="14">
        <v>0.2</v>
      </c>
      <c r="Q2455" s="15">
        <v>0.4</v>
      </c>
      <c r="R2455" s="16" t="str">
        <f t="shared" si="209"/>
        <v>LEVITON</v>
      </c>
      <c r="S2455" s="17"/>
      <c r="T2455" s="10" t="str">
        <f t="shared" si="211"/>
        <v>DIMMER CON INTERRUPTOR PARA CARGAS ATENUABLES 0-10v</v>
      </c>
    </row>
    <row r="2456" spans="1:20" ht="27" customHeight="1" x14ac:dyDescent="0.25">
      <c r="A2456" s="8" t="s">
        <v>5170</v>
      </c>
      <c r="B2456" s="9"/>
      <c r="C2456" s="9"/>
      <c r="D2456" s="8"/>
      <c r="E2456" s="8"/>
      <c r="F2456" s="8" t="s">
        <v>22</v>
      </c>
      <c r="G2456" s="10" t="s">
        <v>5268</v>
      </c>
      <c r="H2456" s="8" t="s">
        <v>5269</v>
      </c>
      <c r="I2456" s="10" t="s">
        <v>5268</v>
      </c>
      <c r="J2456" s="11" t="s">
        <v>33</v>
      </c>
      <c r="K2456" s="18">
        <v>5394000</v>
      </c>
      <c r="L2456" s="12">
        <f t="shared" si="210"/>
        <v>7705800</v>
      </c>
      <c r="M2456" s="8">
        <v>1</v>
      </c>
      <c r="N2456" s="8" t="s">
        <v>27</v>
      </c>
      <c r="O2456" s="13"/>
      <c r="P2456" s="14">
        <v>0</v>
      </c>
      <c r="Q2456" s="15">
        <v>0.3</v>
      </c>
      <c r="R2456" s="16" t="str">
        <f t="shared" si="209"/>
        <v>LEVITON</v>
      </c>
      <c r="S2456" s="17"/>
      <c r="T2456" s="10" t="str">
        <f t="shared" si="211"/>
        <v>PANEL PARA ALBERGAR HASTA 24 RELÉS</v>
      </c>
    </row>
    <row r="2457" spans="1:20" ht="27" customHeight="1" x14ac:dyDescent="0.25">
      <c r="A2457" s="8" t="s">
        <v>5170</v>
      </c>
      <c r="B2457" s="9"/>
      <c r="C2457" s="9"/>
      <c r="D2457" s="8"/>
      <c r="E2457" s="8"/>
      <c r="F2457" s="8" t="s">
        <v>22</v>
      </c>
      <c r="G2457" s="10" t="s">
        <v>5270</v>
      </c>
      <c r="H2457" s="8" t="s">
        <v>5271</v>
      </c>
      <c r="I2457" s="10" t="s">
        <v>5270</v>
      </c>
      <c r="J2457" s="11" t="s">
        <v>33</v>
      </c>
      <c r="K2457" s="18">
        <v>3112000</v>
      </c>
      <c r="L2457" s="12">
        <f t="shared" si="210"/>
        <v>4445800</v>
      </c>
      <c r="M2457" s="8">
        <v>1</v>
      </c>
      <c r="N2457" s="8" t="s">
        <v>27</v>
      </c>
      <c r="O2457" s="13"/>
      <c r="P2457" s="14">
        <v>0</v>
      </c>
      <c r="Q2457" s="15">
        <v>0.3</v>
      </c>
      <c r="R2457" s="16" t="str">
        <f t="shared" si="209"/>
        <v>LEVITON</v>
      </c>
      <c r="S2457" s="17"/>
      <c r="T2457" s="10" t="str">
        <f t="shared" si="211"/>
        <v>PANEL PARA ALBERGAR HASTA 8 RELÉS</v>
      </c>
    </row>
    <row r="2458" spans="1:20" ht="27" customHeight="1" x14ac:dyDescent="0.25">
      <c r="A2458" s="8" t="s">
        <v>5170</v>
      </c>
      <c r="B2458" s="9"/>
      <c r="C2458" s="9"/>
      <c r="D2458" s="8"/>
      <c r="E2458" s="8"/>
      <c r="F2458" s="8" t="s">
        <v>22</v>
      </c>
      <c r="G2458" s="10" t="s">
        <v>5272</v>
      </c>
      <c r="H2458" s="8" t="s">
        <v>5273</v>
      </c>
      <c r="I2458" s="10" t="s">
        <v>5272</v>
      </c>
      <c r="J2458" s="11" t="s">
        <v>33</v>
      </c>
      <c r="K2458" s="18">
        <v>191743</v>
      </c>
      <c r="L2458" s="12">
        <f t="shared" si="210"/>
        <v>274000</v>
      </c>
      <c r="M2458" s="8">
        <v>1</v>
      </c>
      <c r="N2458" s="8" t="s">
        <v>27</v>
      </c>
      <c r="O2458" s="13"/>
      <c r="P2458" s="14">
        <v>0</v>
      </c>
      <c r="Q2458" s="15">
        <v>0.3</v>
      </c>
      <c r="R2458" s="16" t="str">
        <f t="shared" si="209"/>
        <v>LEVITON</v>
      </c>
      <c r="S2458" s="17"/>
      <c r="T2458" s="10" t="str">
        <f t="shared" si="211"/>
        <v>RELÉ MODULAR DE 30 AMPERIOS</v>
      </c>
    </row>
    <row r="2459" spans="1:20" ht="27" customHeight="1" x14ac:dyDescent="0.25">
      <c r="A2459" s="8" t="s">
        <v>5170</v>
      </c>
      <c r="B2459" s="9"/>
      <c r="C2459" s="9"/>
      <c r="D2459" s="8"/>
      <c r="E2459" s="8"/>
      <c r="F2459" s="8" t="s">
        <v>22</v>
      </c>
      <c r="G2459" s="10" t="s">
        <v>5274</v>
      </c>
      <c r="H2459" s="8" t="s">
        <v>5275</v>
      </c>
      <c r="I2459" s="10" t="s">
        <v>5274</v>
      </c>
      <c r="J2459" s="11" t="s">
        <v>33</v>
      </c>
      <c r="K2459" s="18">
        <v>3540000</v>
      </c>
      <c r="L2459" s="12">
        <f t="shared" si="210"/>
        <v>5057200</v>
      </c>
      <c r="M2459" s="8">
        <v>1</v>
      </c>
      <c r="N2459" s="8" t="s">
        <v>27</v>
      </c>
      <c r="O2459" s="13"/>
      <c r="P2459" s="14">
        <v>0</v>
      </c>
      <c r="Q2459" s="15">
        <v>0.3</v>
      </c>
      <c r="R2459" s="16" t="str">
        <f t="shared" si="209"/>
        <v>LEVITON</v>
      </c>
      <c r="S2459" s="17"/>
      <c r="T2459" s="10" t="str">
        <f t="shared" si="211"/>
        <v>PROGRAMACIÓN DE TABLEROS EZ</v>
      </c>
    </row>
    <row r="2460" spans="1:20" ht="27" customHeight="1" x14ac:dyDescent="0.25">
      <c r="A2460" s="8" t="s">
        <v>5170</v>
      </c>
      <c r="B2460" s="9"/>
      <c r="C2460" s="9"/>
      <c r="D2460" s="8"/>
      <c r="E2460" s="8"/>
      <c r="F2460" s="8" t="s">
        <v>22</v>
      </c>
      <c r="G2460" s="10" t="s">
        <v>5276</v>
      </c>
      <c r="H2460" s="8" t="s">
        <v>5277</v>
      </c>
      <c r="I2460" s="10" t="s">
        <v>5276</v>
      </c>
      <c r="J2460" s="11" t="s">
        <v>33</v>
      </c>
      <c r="K2460" s="18">
        <v>121200</v>
      </c>
      <c r="L2460" s="12">
        <f t="shared" si="210"/>
        <v>173200</v>
      </c>
      <c r="M2460" s="8">
        <v>1</v>
      </c>
      <c r="N2460" s="8" t="s">
        <v>27</v>
      </c>
      <c r="O2460" s="13"/>
      <c r="P2460" s="14">
        <v>0</v>
      </c>
      <c r="Q2460" s="15">
        <v>0.3</v>
      </c>
      <c r="R2460" s="16" t="str">
        <f t="shared" si="209"/>
        <v>LEVITON</v>
      </c>
      <c r="S2460" s="17"/>
      <c r="T2460" s="10" t="str">
        <f t="shared" si="211"/>
        <v>UNIDAD DE CONTROL PARA SENSORES, CONTACTOS SECOS, OTROS.</v>
      </c>
    </row>
    <row r="2461" spans="1:20" ht="27" customHeight="1" x14ac:dyDescent="0.25">
      <c r="A2461" s="8" t="s">
        <v>5170</v>
      </c>
      <c r="B2461" s="9"/>
      <c r="C2461" s="9"/>
      <c r="D2461" s="8"/>
      <c r="E2461" s="8"/>
      <c r="F2461" s="8" t="s">
        <v>22</v>
      </c>
      <c r="G2461" s="10" t="s">
        <v>5278</v>
      </c>
      <c r="H2461" s="8" t="s">
        <v>5279</v>
      </c>
      <c r="I2461" s="10" t="s">
        <v>5278</v>
      </c>
      <c r="J2461" s="11" t="s">
        <v>33</v>
      </c>
      <c r="K2461" s="18">
        <v>6480</v>
      </c>
      <c r="L2461" s="12">
        <f t="shared" si="210"/>
        <v>9300</v>
      </c>
      <c r="M2461" s="8">
        <v>1</v>
      </c>
      <c r="N2461" s="8" t="s">
        <v>27</v>
      </c>
      <c r="O2461" s="13"/>
      <c r="P2461" s="14">
        <v>0</v>
      </c>
      <c r="Q2461" s="15">
        <v>0.3</v>
      </c>
      <c r="R2461" s="16" t="str">
        <f t="shared" si="209"/>
        <v>LEVITON</v>
      </c>
      <c r="S2461" s="17"/>
      <c r="T2461" s="10" t="str">
        <f t="shared" si="211"/>
        <v>CABLE DE CONTROL CERTIFICADO PARA SENSORES</v>
      </c>
    </row>
    <row r="2462" spans="1:20" ht="27" customHeight="1" x14ac:dyDescent="0.25">
      <c r="A2462" s="8" t="s">
        <v>5170</v>
      </c>
      <c r="B2462" s="9"/>
      <c r="C2462" s="9"/>
      <c r="D2462" s="8"/>
      <c r="E2462" s="8"/>
      <c r="F2462" s="8" t="s">
        <v>22</v>
      </c>
      <c r="G2462" s="10" t="s">
        <v>5280</v>
      </c>
      <c r="H2462" s="8" t="s">
        <v>5281</v>
      </c>
      <c r="I2462" s="10" t="s">
        <v>5280</v>
      </c>
      <c r="J2462" s="11" t="s">
        <v>33</v>
      </c>
      <c r="K2462" s="18">
        <v>121200</v>
      </c>
      <c r="L2462" s="12">
        <f t="shared" si="210"/>
        <v>173200</v>
      </c>
      <c r="M2462" s="8">
        <v>1</v>
      </c>
      <c r="N2462" s="8" t="s">
        <v>27</v>
      </c>
      <c r="O2462" s="13"/>
      <c r="P2462" s="14">
        <v>0</v>
      </c>
      <c r="Q2462" s="15">
        <v>0.3</v>
      </c>
      <c r="R2462" s="16" t="str">
        <f t="shared" si="209"/>
        <v>LEVITON</v>
      </c>
      <c r="S2462" s="17"/>
      <c r="T2462" s="10" t="str">
        <f t="shared" si="211"/>
        <v>SENSOR 360 GRADOS INTEGRABLE A PANEL Z MAX</v>
      </c>
    </row>
    <row r="2463" spans="1:20" ht="27" customHeight="1" x14ac:dyDescent="0.25">
      <c r="A2463" s="8" t="s">
        <v>5170</v>
      </c>
      <c r="B2463" s="9"/>
      <c r="C2463" s="9"/>
      <c r="D2463" s="8"/>
      <c r="E2463" s="8"/>
      <c r="F2463" s="8" t="s">
        <v>22</v>
      </c>
      <c r="G2463" s="10" t="s">
        <v>5282</v>
      </c>
      <c r="H2463" s="8" t="s">
        <v>5283</v>
      </c>
      <c r="I2463" s="10" t="s">
        <v>5282</v>
      </c>
      <c r="J2463" s="11" t="s">
        <v>33</v>
      </c>
      <c r="K2463" s="18">
        <v>300000</v>
      </c>
      <c r="L2463" s="12">
        <f t="shared" si="210"/>
        <v>428600</v>
      </c>
      <c r="M2463" s="8">
        <v>1</v>
      </c>
      <c r="N2463" s="8" t="s">
        <v>27</v>
      </c>
      <c r="O2463" s="13"/>
      <c r="P2463" s="14">
        <v>0</v>
      </c>
      <c r="Q2463" s="15">
        <v>0.3</v>
      </c>
      <c r="R2463" s="16" t="str">
        <f t="shared" si="209"/>
        <v>LEVITON</v>
      </c>
      <c r="S2463" s="17"/>
      <c r="T2463" s="10" t="str">
        <f t="shared" si="211"/>
        <v>INTERRUPTOR LÓGICO PROGRAMABLE PROTEGIDO. PARA TABLERO GREEN MAX.</v>
      </c>
    </row>
    <row r="2464" spans="1:20" ht="27" customHeight="1" x14ac:dyDescent="0.25">
      <c r="A2464" s="8" t="s">
        <v>5170</v>
      </c>
      <c r="B2464" s="9"/>
      <c r="C2464" s="9"/>
      <c r="D2464" s="8"/>
      <c r="E2464" s="8"/>
      <c r="F2464" s="8" t="s">
        <v>22</v>
      </c>
      <c r="G2464" s="10" t="s">
        <v>5284</v>
      </c>
      <c r="H2464" s="8" t="s">
        <v>5285</v>
      </c>
      <c r="I2464" s="10" t="s">
        <v>5286</v>
      </c>
      <c r="J2464" s="11" t="s">
        <v>26</v>
      </c>
      <c r="K2464" s="18">
        <f>1309*0.8</f>
        <v>1047.2</v>
      </c>
      <c r="L2464" s="12">
        <f t="shared" si="210"/>
        <v>1309</v>
      </c>
      <c r="M2464" s="8">
        <v>1</v>
      </c>
      <c r="N2464" s="8" t="s">
        <v>27</v>
      </c>
      <c r="O2464" s="13"/>
      <c r="P2464" s="14">
        <v>0</v>
      </c>
      <c r="Q2464" s="15">
        <v>0.2</v>
      </c>
      <c r="R2464" s="16" t="str">
        <f t="shared" si="209"/>
        <v>LEVITON</v>
      </c>
      <c r="S2464" s="17"/>
      <c r="T2464" s="10" t="str">
        <f t="shared" si="211"/>
        <v>PROCESADOR CON 4 PUERTOS IR, 2 PUERTOS SERIALES.</v>
      </c>
    </row>
    <row r="2465" spans="1:20" ht="27" customHeight="1" x14ac:dyDescent="0.25">
      <c r="A2465" s="8" t="s">
        <v>5170</v>
      </c>
      <c r="B2465" s="9"/>
      <c r="C2465" s="9"/>
      <c r="D2465" s="8"/>
      <c r="E2465" s="8"/>
      <c r="F2465" s="8" t="s">
        <v>22</v>
      </c>
      <c r="G2465" s="10" t="s">
        <v>5287</v>
      </c>
      <c r="H2465" s="8" t="s">
        <v>5288</v>
      </c>
      <c r="I2465" s="10" t="s">
        <v>5287</v>
      </c>
      <c r="J2465" s="11" t="s">
        <v>26</v>
      </c>
      <c r="K2465" s="18">
        <f>102*0.8</f>
        <v>81.600000000000009</v>
      </c>
      <c r="L2465" s="12">
        <f t="shared" si="210"/>
        <v>102</v>
      </c>
      <c r="M2465" s="8">
        <v>1</v>
      </c>
      <c r="N2465" s="8" t="s">
        <v>27</v>
      </c>
      <c r="O2465" s="13"/>
      <c r="P2465" s="14">
        <v>0</v>
      </c>
      <c r="Q2465" s="15">
        <v>0.2</v>
      </c>
      <c r="R2465" s="16" t="str">
        <f t="shared" si="209"/>
        <v>LEVITON</v>
      </c>
      <c r="S2465" s="17"/>
      <c r="T2465" s="10" t="str">
        <f t="shared" si="211"/>
        <v>ANCLAJE DE SUJECIÓN DE PROCESADOR A RACK</v>
      </c>
    </row>
    <row r="2466" spans="1:20" ht="27" customHeight="1" x14ac:dyDescent="0.25">
      <c r="A2466" s="8" t="s">
        <v>5170</v>
      </c>
      <c r="B2466" s="9"/>
      <c r="C2466" s="9"/>
      <c r="D2466" s="8"/>
      <c r="E2466" s="8"/>
      <c r="F2466" s="8" t="s">
        <v>22</v>
      </c>
      <c r="G2466" s="10" t="s">
        <v>5289</v>
      </c>
      <c r="H2466" s="8" t="s">
        <v>5290</v>
      </c>
      <c r="I2466" s="10" t="s">
        <v>5289</v>
      </c>
      <c r="J2466" s="11" t="s">
        <v>33</v>
      </c>
      <c r="K2466" s="18">
        <v>4300</v>
      </c>
      <c r="L2466" s="12">
        <f t="shared" si="210"/>
        <v>7200</v>
      </c>
      <c r="M2466" s="8">
        <v>1</v>
      </c>
      <c r="N2466" s="8" t="s">
        <v>27</v>
      </c>
      <c r="O2466" s="13" t="s">
        <v>588</v>
      </c>
      <c r="P2466" s="14">
        <v>0</v>
      </c>
      <c r="Q2466" s="15">
        <v>0.4</v>
      </c>
      <c r="R2466" s="16" t="str">
        <f t="shared" si="209"/>
        <v>LEVITON</v>
      </c>
      <c r="S2466" s="17"/>
      <c r="T2466" s="10" t="str">
        <f t="shared" si="211"/>
        <v>TAPA CON SALIDA TIPO CORDÓN EN COLOR BLANCO.</v>
      </c>
    </row>
    <row r="2467" spans="1:20" ht="27" customHeight="1" x14ac:dyDescent="0.25">
      <c r="A2467" s="8" t="s">
        <v>5170</v>
      </c>
      <c r="B2467" s="9"/>
      <c r="C2467" s="9"/>
      <c r="D2467" s="8"/>
      <c r="E2467" s="8"/>
      <c r="F2467" s="8" t="s">
        <v>22</v>
      </c>
      <c r="G2467" s="10" t="s">
        <v>5291</v>
      </c>
      <c r="H2467" s="8" t="s">
        <v>5292</v>
      </c>
      <c r="I2467" s="10" t="s">
        <v>5291</v>
      </c>
      <c r="J2467" s="11" t="s">
        <v>33</v>
      </c>
      <c r="K2467" s="18">
        <v>3000</v>
      </c>
      <c r="L2467" s="12">
        <f t="shared" si="210"/>
        <v>6000</v>
      </c>
      <c r="M2467" s="8">
        <v>1</v>
      </c>
      <c r="N2467" s="8" t="s">
        <v>27</v>
      </c>
      <c r="O2467" s="13" t="s">
        <v>588</v>
      </c>
      <c r="P2467" s="14">
        <v>0</v>
      </c>
      <c r="Q2467" s="15">
        <v>0.5</v>
      </c>
      <c r="R2467" s="16" t="str">
        <f t="shared" si="209"/>
        <v>LEVITON</v>
      </c>
      <c r="S2467" s="17"/>
      <c r="T2467" s="10" t="str">
        <f t="shared" si="211"/>
        <v>SALIDA TIPO CORDÓN EN COLOR BLANCO.</v>
      </c>
    </row>
    <row r="2468" spans="1:20" ht="27" customHeight="1" x14ac:dyDescent="0.25">
      <c r="A2468" s="8" t="s">
        <v>5170</v>
      </c>
      <c r="B2468" s="9"/>
      <c r="C2468" s="9"/>
      <c r="D2468" s="8" t="s">
        <v>45</v>
      </c>
      <c r="E2468" s="8"/>
      <c r="F2468" s="8" t="s">
        <v>22</v>
      </c>
      <c r="G2468" s="10" t="s">
        <v>5293</v>
      </c>
      <c r="H2468" s="8" t="s">
        <v>5294</v>
      </c>
      <c r="I2468" s="10" t="s">
        <v>5293</v>
      </c>
      <c r="J2468" s="11" t="s">
        <v>33</v>
      </c>
      <c r="K2468" s="18">
        <v>269</v>
      </c>
      <c r="L2468" s="12">
        <f>ROUNDUP(K2468*(1+P2468)/(1-Q2468),0)</f>
        <v>462</v>
      </c>
      <c r="M2468" s="8">
        <v>1</v>
      </c>
      <c r="N2468" s="8" t="s">
        <v>27</v>
      </c>
      <c r="O2468" s="13"/>
      <c r="P2468" s="14">
        <v>0.2</v>
      </c>
      <c r="Q2468" s="15">
        <v>0.3</v>
      </c>
      <c r="R2468" s="16" t="str">
        <f t="shared" si="209"/>
        <v>LEVITON</v>
      </c>
      <c r="S2468" s="17"/>
      <c r="T2468" s="10" t="str">
        <f t="shared" si="211"/>
        <v>REGULADOR DE 3 FASES PARA 120V.</v>
      </c>
    </row>
    <row r="2469" spans="1:20" ht="27" customHeight="1" x14ac:dyDescent="0.25">
      <c r="A2469" s="8" t="s">
        <v>5170</v>
      </c>
      <c r="B2469" s="9"/>
      <c r="C2469" s="9"/>
      <c r="D2469" s="8" t="s">
        <v>45</v>
      </c>
      <c r="E2469" s="8"/>
      <c r="F2469" s="8" t="s">
        <v>22</v>
      </c>
      <c r="G2469" s="10" t="s">
        <v>5295</v>
      </c>
      <c r="H2469" s="8" t="s">
        <v>5296</v>
      </c>
      <c r="I2469" s="10" t="s">
        <v>5295</v>
      </c>
      <c r="J2469" s="11" t="s">
        <v>33</v>
      </c>
      <c r="K2469" s="18">
        <v>90000</v>
      </c>
      <c r="L2469" s="12">
        <f>IF(J2469="P",ROUNDUP(K2469/(1-Q2469),-2),K2469*(1+P2469)/(1-Q2469))</f>
        <v>150000</v>
      </c>
      <c r="M2469" s="8">
        <v>1</v>
      </c>
      <c r="N2469" s="8" t="s">
        <v>27</v>
      </c>
      <c r="O2469" s="13"/>
      <c r="P2469" s="14">
        <v>0</v>
      </c>
      <c r="Q2469" s="15">
        <v>0.4</v>
      </c>
      <c r="R2469" s="16" t="str">
        <f t="shared" si="209"/>
        <v>LEVITON</v>
      </c>
      <c r="S2469" s="17"/>
      <c r="T2469" s="10" t="str">
        <f t="shared" si="211"/>
        <v>POWER PACK DE 24V</v>
      </c>
    </row>
    <row r="2470" spans="1:20" ht="27" customHeight="1" x14ac:dyDescent="0.25">
      <c r="A2470" s="8" t="s">
        <v>5170</v>
      </c>
      <c r="B2470" s="9"/>
      <c r="C2470" s="9"/>
      <c r="D2470" s="8" t="s">
        <v>45</v>
      </c>
      <c r="E2470" s="8"/>
      <c r="F2470" s="8" t="s">
        <v>22</v>
      </c>
      <c r="G2470" s="10" t="s">
        <v>5297</v>
      </c>
      <c r="H2470" s="8" t="s">
        <v>5183</v>
      </c>
      <c r="I2470" s="10" t="s">
        <v>5297</v>
      </c>
      <c r="J2470" s="11" t="s">
        <v>33</v>
      </c>
      <c r="K2470" s="18">
        <v>6500</v>
      </c>
      <c r="L2470" s="12">
        <f>IF(J2470="P",ROUNDUP(K2470/(1-Q2470),-2),K2470*(1+P2470)/(1-Q2470))</f>
        <v>10900</v>
      </c>
      <c r="M2470" s="8">
        <v>1</v>
      </c>
      <c r="N2470" s="8" t="s">
        <v>27</v>
      </c>
      <c r="O2470" s="13"/>
      <c r="P2470" s="14">
        <v>0</v>
      </c>
      <c r="Q2470" s="15">
        <v>0.4</v>
      </c>
      <c r="R2470" s="16" t="str">
        <f t="shared" si="209"/>
        <v>LEVITON</v>
      </c>
      <c r="S2470" s="17"/>
      <c r="T2470" s="10" t="str">
        <f t="shared" si="211"/>
        <v>INTERRUPTOR SENCILLO DE 3 VÍAS 15 AMPERIOS.</v>
      </c>
    </row>
    <row r="2471" spans="1:20" ht="27" customHeight="1" x14ac:dyDescent="0.25">
      <c r="A2471" s="8" t="s">
        <v>5170</v>
      </c>
      <c r="B2471" s="9"/>
      <c r="C2471" s="9"/>
      <c r="D2471" s="8" t="s">
        <v>45</v>
      </c>
      <c r="E2471" s="8"/>
      <c r="F2471" s="8" t="s">
        <v>22</v>
      </c>
      <c r="G2471" s="10" t="s">
        <v>5298</v>
      </c>
      <c r="H2471" s="8" t="s">
        <v>5299</v>
      </c>
      <c r="I2471" s="10" t="s">
        <v>5298</v>
      </c>
      <c r="J2471" s="11" t="s">
        <v>33</v>
      </c>
      <c r="K2471" s="18">
        <v>21700</v>
      </c>
      <c r="L2471" s="12">
        <f>IF(J2471="P",ROUNDUP(K2471/(1-Q2471),-2),K2471*(1+P2471)/(1-Q2471))</f>
        <v>36200</v>
      </c>
      <c r="M2471" s="8">
        <v>1</v>
      </c>
      <c r="N2471" s="8" t="s">
        <v>27</v>
      </c>
      <c r="O2471" s="13"/>
      <c r="P2471" s="14">
        <v>0</v>
      </c>
      <c r="Q2471" s="15">
        <v>0.4</v>
      </c>
      <c r="R2471" s="16" t="str">
        <f t="shared" si="209"/>
        <v>LEVITON</v>
      </c>
      <c r="S2471" s="17"/>
      <c r="T2471" s="10" t="str">
        <f t="shared" si="211"/>
        <v>INTERRUPTOR SENCILLO DE 4 VÍAS 15 AMPERIOS.</v>
      </c>
    </row>
    <row r="2472" spans="1:20" ht="27" customHeight="1" x14ac:dyDescent="0.25">
      <c r="A2472" s="8" t="s">
        <v>5170</v>
      </c>
      <c r="B2472" s="9"/>
      <c r="C2472" s="9"/>
      <c r="D2472" s="8" t="s">
        <v>45</v>
      </c>
      <c r="E2472" s="8"/>
      <c r="F2472" s="8" t="s">
        <v>22</v>
      </c>
      <c r="G2472" s="10" t="s">
        <v>5300</v>
      </c>
      <c r="H2472" s="8" t="s">
        <v>5301</v>
      </c>
      <c r="I2472" s="10" t="s">
        <v>5300</v>
      </c>
      <c r="J2472" s="11" t="s">
        <v>33</v>
      </c>
      <c r="K2472" s="18">
        <v>190000</v>
      </c>
      <c r="L2472" s="12">
        <f>ROUNDUP(K2472*(1+P2472)/(1-Q2472),0)</f>
        <v>271429</v>
      </c>
      <c r="M2472" s="8">
        <v>1</v>
      </c>
      <c r="N2472" s="8" t="s">
        <v>27</v>
      </c>
      <c r="O2472" s="13"/>
      <c r="P2472" s="14">
        <v>0</v>
      </c>
      <c r="Q2472" s="15">
        <v>0.3</v>
      </c>
      <c r="R2472" s="16" t="str">
        <f t="shared" si="209"/>
        <v>LEVITON</v>
      </c>
      <c r="S2472" s="17"/>
      <c r="T2472" s="10" t="str">
        <f t="shared" si="211"/>
        <v>TOMA CORRIENTE DE PISO LEVITON COLOR ALUMINIO SATINADO</v>
      </c>
    </row>
    <row r="2473" spans="1:20" ht="27" customHeight="1" x14ac:dyDescent="0.25">
      <c r="A2473" s="8" t="s">
        <v>5170</v>
      </c>
      <c r="B2473" s="9"/>
      <c r="C2473" s="9"/>
      <c r="D2473" s="8" t="s">
        <v>45</v>
      </c>
      <c r="E2473" s="8"/>
      <c r="F2473" s="8" t="s">
        <v>22</v>
      </c>
      <c r="G2473" s="10" t="s">
        <v>5300</v>
      </c>
      <c r="H2473" s="8" t="s">
        <v>5302</v>
      </c>
      <c r="I2473" s="10" t="s">
        <v>5303</v>
      </c>
      <c r="J2473" s="11" t="s">
        <v>33</v>
      </c>
      <c r="K2473" s="18">
        <v>190000</v>
      </c>
      <c r="L2473" s="12">
        <f>ROUNDUP(K2473*(1+P2473)/(1-Q2473),0)</f>
        <v>271429</v>
      </c>
      <c r="M2473" s="8">
        <v>1</v>
      </c>
      <c r="N2473" s="8" t="s">
        <v>27</v>
      </c>
      <c r="O2473" s="13"/>
      <c r="P2473" s="14">
        <v>0</v>
      </c>
      <c r="Q2473" s="15">
        <v>0.3</v>
      </c>
      <c r="R2473" s="16" t="str">
        <f t="shared" si="209"/>
        <v>LEVITON</v>
      </c>
      <c r="S2473" s="17"/>
      <c r="T2473" s="10" t="str">
        <f t="shared" si="211"/>
        <v>TOMA CORRIENTE DE PISO LEVITON COLOR ALUMINIO SATINADO</v>
      </c>
    </row>
    <row r="2474" spans="1:20" ht="27" customHeight="1" x14ac:dyDescent="0.25">
      <c r="A2474" s="8" t="s">
        <v>5170</v>
      </c>
      <c r="B2474" s="9"/>
      <c r="C2474" s="9"/>
      <c r="D2474" s="8" t="s">
        <v>45</v>
      </c>
      <c r="E2474" s="8"/>
      <c r="F2474" s="8" t="s">
        <v>22</v>
      </c>
      <c r="G2474" s="10" t="s">
        <v>5304</v>
      </c>
      <c r="H2474" s="8" t="s">
        <v>5305</v>
      </c>
      <c r="I2474" s="10" t="s">
        <v>5304</v>
      </c>
      <c r="J2474" s="11" t="s">
        <v>33</v>
      </c>
      <c r="K2474" s="18">
        <v>220700</v>
      </c>
      <c r="L2474" s="12">
        <f>ROUNDUP(K2474*(1+P2474)/(1-Q2474),0)</f>
        <v>315286</v>
      </c>
      <c r="M2474" s="8">
        <v>1</v>
      </c>
      <c r="N2474" s="8" t="s">
        <v>27</v>
      </c>
      <c r="O2474" s="13"/>
      <c r="P2474" s="14">
        <v>0</v>
      </c>
      <c r="Q2474" s="15">
        <v>0.3</v>
      </c>
      <c r="R2474" s="16" t="str">
        <f t="shared" si="209"/>
        <v>LEVITON</v>
      </c>
      <c r="S2474" s="17"/>
      <c r="T2474" s="10" t="str">
        <f t="shared" si="211"/>
        <v>TOMA DE PISO 15A CON TAPA TIPO MONEDA, ALUMINIO ANODIZADO COLOR DORADO.</v>
      </c>
    </row>
    <row r="2475" spans="1:20" ht="27" customHeight="1" x14ac:dyDescent="0.25">
      <c r="A2475" s="8" t="s">
        <v>5170</v>
      </c>
      <c r="B2475" s="9"/>
      <c r="C2475" s="9"/>
      <c r="D2475" s="8" t="s">
        <v>45</v>
      </c>
      <c r="E2475" s="8"/>
      <c r="F2475" s="8" t="s">
        <v>22</v>
      </c>
      <c r="G2475" s="10" t="s">
        <v>5306</v>
      </c>
      <c r="H2475" s="8" t="s">
        <v>5307</v>
      </c>
      <c r="I2475" s="10" t="s">
        <v>5306</v>
      </c>
      <c r="J2475" s="11" t="s">
        <v>33</v>
      </c>
      <c r="K2475" s="18">
        <v>13200</v>
      </c>
      <c r="L2475" s="12">
        <f>ROUNDUP(K2475*(1+P2475)/(1-Q2475),0)</f>
        <v>26400</v>
      </c>
      <c r="M2475" s="8">
        <v>1</v>
      </c>
      <c r="N2475" s="8" t="s">
        <v>27</v>
      </c>
      <c r="O2475" s="13"/>
      <c r="P2475" s="14">
        <v>0</v>
      </c>
      <c r="Q2475" s="15">
        <v>0.5</v>
      </c>
      <c r="R2475" s="16" t="str">
        <f t="shared" si="209"/>
        <v>LEVITON</v>
      </c>
      <c r="S2475" s="17"/>
      <c r="T2475" s="10" t="str">
        <f t="shared" si="211"/>
        <v xml:space="preserve">TOMA CORRIENTE A 220VAC </v>
      </c>
    </row>
    <row r="2476" spans="1:20" ht="27" customHeight="1" x14ac:dyDescent="0.25">
      <c r="A2476" s="8" t="s">
        <v>5170</v>
      </c>
      <c r="B2476" s="9"/>
      <c r="C2476" s="9"/>
      <c r="D2476" s="8"/>
      <c r="E2476" s="8"/>
      <c r="F2476" s="8"/>
      <c r="G2476" s="10"/>
      <c r="H2476" s="8" t="s">
        <v>5308</v>
      </c>
      <c r="I2476" s="10" t="s">
        <v>5309</v>
      </c>
      <c r="J2476" s="11" t="s">
        <v>26</v>
      </c>
      <c r="K2476" s="18">
        <v>4.26</v>
      </c>
      <c r="L2476" s="12">
        <f>IF(J2476="P",ROUNDUP(K2476/(1-Q2476),-2),K2476*(1+P2476)/(1-Q2476))</f>
        <v>7.3028571428571425</v>
      </c>
      <c r="M2476" s="8">
        <v>1</v>
      </c>
      <c r="N2476" s="8" t="s">
        <v>27</v>
      </c>
      <c r="O2476" s="13"/>
      <c r="P2476" s="14">
        <v>0.2</v>
      </c>
      <c r="Q2476" s="15">
        <v>0.3</v>
      </c>
      <c r="R2476" s="16" t="str">
        <f t="shared" si="209"/>
        <v>LEVITON</v>
      </c>
      <c r="S2476" s="17"/>
      <c r="T2476" s="10"/>
    </row>
    <row r="2477" spans="1:20" ht="27" customHeight="1" x14ac:dyDescent="0.25">
      <c r="A2477" s="8" t="s">
        <v>5170</v>
      </c>
      <c r="B2477" s="9"/>
      <c r="C2477" s="9"/>
      <c r="D2477" s="8"/>
      <c r="E2477" s="8"/>
      <c r="F2477" s="8"/>
      <c r="G2477" s="10"/>
      <c r="H2477" s="8" t="s">
        <v>5310</v>
      </c>
      <c r="I2477" s="10" t="s">
        <v>5311</v>
      </c>
      <c r="J2477" s="11" t="s">
        <v>33</v>
      </c>
      <c r="K2477" s="18">
        <v>5200</v>
      </c>
      <c r="L2477" s="12">
        <f>ROUNDUP(K2477*(1+P2477)/(1-Q2477),0)</f>
        <v>8667</v>
      </c>
      <c r="M2477" s="8">
        <v>1</v>
      </c>
      <c r="N2477" s="8" t="s">
        <v>27</v>
      </c>
      <c r="O2477" s="13"/>
      <c r="P2477" s="14">
        <v>0</v>
      </c>
      <c r="Q2477" s="15">
        <v>0.4</v>
      </c>
      <c r="R2477" s="16" t="str">
        <f t="shared" si="209"/>
        <v>LEVITON</v>
      </c>
      <c r="S2477" s="17"/>
      <c r="T2477" s="10"/>
    </row>
    <row r="2478" spans="1:20" ht="27" customHeight="1" x14ac:dyDescent="0.25">
      <c r="A2478" s="8" t="s">
        <v>5170</v>
      </c>
      <c r="B2478" s="9"/>
      <c r="C2478" s="9"/>
      <c r="D2478" s="8"/>
      <c r="E2478" s="8"/>
      <c r="F2478" s="8"/>
      <c r="G2478" s="10"/>
      <c r="H2478" s="8" t="s">
        <v>5312</v>
      </c>
      <c r="I2478" s="10" t="s">
        <v>5313</v>
      </c>
      <c r="J2478" s="11" t="s">
        <v>26</v>
      </c>
      <c r="K2478" s="18">
        <v>16000</v>
      </c>
      <c r="L2478" s="12">
        <f>IF(J2478="P",ROUNDUP(K2478/(1-Q2478),-2),K2478*(1+P2478)/(1-Q2478))</f>
        <v>32000</v>
      </c>
      <c r="M2478" s="8">
        <v>1</v>
      </c>
      <c r="N2478" s="8" t="s">
        <v>27</v>
      </c>
      <c r="O2478" s="13">
        <f>F2478</f>
        <v>0</v>
      </c>
      <c r="P2478" s="14">
        <v>0.2</v>
      </c>
      <c r="Q2478" s="15">
        <v>0.4</v>
      </c>
      <c r="R2478" s="16" t="str">
        <f t="shared" si="209"/>
        <v>LEVITON</v>
      </c>
      <c r="S2478" s="17"/>
      <c r="T2478" s="10"/>
    </row>
    <row r="2479" spans="1:20" ht="27" customHeight="1" x14ac:dyDescent="0.25">
      <c r="A2479" s="8" t="s">
        <v>5170</v>
      </c>
      <c r="B2479" s="9"/>
      <c r="C2479" s="9"/>
      <c r="D2479" s="8"/>
      <c r="E2479" s="8"/>
      <c r="F2479" s="8"/>
      <c r="G2479" s="10"/>
      <c r="H2479" s="8" t="s">
        <v>5314</v>
      </c>
      <c r="I2479" s="10" t="s">
        <v>5315</v>
      </c>
      <c r="J2479" s="11" t="s">
        <v>33</v>
      </c>
      <c r="K2479" s="18">
        <v>12300</v>
      </c>
      <c r="L2479" s="12">
        <f t="shared" ref="L2479:L2485" si="212">ROUNDUP(K2479*(1+P2479)/(1-Q2479),0)</f>
        <v>20500</v>
      </c>
      <c r="M2479" s="8">
        <v>1</v>
      </c>
      <c r="N2479" s="8" t="s">
        <v>27</v>
      </c>
      <c r="O2479" s="13"/>
      <c r="P2479" s="14">
        <v>0</v>
      </c>
      <c r="Q2479" s="15">
        <v>0.4</v>
      </c>
      <c r="R2479" s="16" t="str">
        <f t="shared" si="209"/>
        <v>LEVITON</v>
      </c>
      <c r="S2479" s="17"/>
      <c r="T2479" s="10"/>
    </row>
    <row r="2480" spans="1:20" ht="27" customHeight="1" x14ac:dyDescent="0.25">
      <c r="A2480" s="8" t="s">
        <v>5170</v>
      </c>
      <c r="B2480" s="9"/>
      <c r="C2480" s="9"/>
      <c r="D2480" s="8"/>
      <c r="E2480" s="8"/>
      <c r="F2480" s="8"/>
      <c r="G2480" s="10"/>
      <c r="H2480" s="8" t="s">
        <v>5316</v>
      </c>
      <c r="I2480" s="10" t="s">
        <v>5317</v>
      </c>
      <c r="J2480" s="11" t="s">
        <v>33</v>
      </c>
      <c r="K2480" s="18">
        <v>334000</v>
      </c>
      <c r="L2480" s="12">
        <f t="shared" si="212"/>
        <v>556667</v>
      </c>
      <c r="M2480" s="8">
        <v>1</v>
      </c>
      <c r="N2480" s="8" t="s">
        <v>27</v>
      </c>
      <c r="O2480" s="13"/>
      <c r="P2480" s="14">
        <v>0</v>
      </c>
      <c r="Q2480" s="15">
        <v>0.4</v>
      </c>
      <c r="R2480" s="16" t="str">
        <f t="shared" si="209"/>
        <v>LEVITON</v>
      </c>
      <c r="S2480" s="17"/>
      <c r="T2480" s="10"/>
    </row>
    <row r="2481" spans="1:20" ht="27" customHeight="1" x14ac:dyDescent="0.25">
      <c r="A2481" s="8" t="s">
        <v>5170</v>
      </c>
      <c r="B2481" s="9"/>
      <c r="C2481" s="9"/>
      <c r="D2481" s="8"/>
      <c r="E2481" s="8"/>
      <c r="F2481" s="8"/>
      <c r="G2481" s="10"/>
      <c r="H2481" s="8" t="s">
        <v>5318</v>
      </c>
      <c r="I2481" s="10" t="s">
        <v>5319</v>
      </c>
      <c r="J2481" s="11" t="s">
        <v>33</v>
      </c>
      <c r="K2481" s="18">
        <v>320000</v>
      </c>
      <c r="L2481" s="12">
        <f t="shared" si="212"/>
        <v>533334</v>
      </c>
      <c r="M2481" s="8">
        <v>1</v>
      </c>
      <c r="N2481" s="8" t="s">
        <v>27</v>
      </c>
      <c r="O2481" s="13"/>
      <c r="P2481" s="14">
        <v>0</v>
      </c>
      <c r="Q2481" s="15">
        <v>0.4</v>
      </c>
      <c r="R2481" s="16" t="str">
        <f t="shared" si="209"/>
        <v>LEVITON</v>
      </c>
      <c r="S2481" s="17"/>
      <c r="T2481" s="10"/>
    </row>
    <row r="2482" spans="1:20" ht="27" customHeight="1" x14ac:dyDescent="0.25">
      <c r="A2482" s="8" t="s">
        <v>5170</v>
      </c>
      <c r="B2482" s="9"/>
      <c r="C2482" s="9"/>
      <c r="D2482" s="8"/>
      <c r="E2482" s="8"/>
      <c r="F2482" s="8"/>
      <c r="G2482" s="10"/>
      <c r="H2482" s="8" t="s">
        <v>5320</v>
      </c>
      <c r="I2482" s="10" t="s">
        <v>5321</v>
      </c>
      <c r="J2482" s="11" t="s">
        <v>33</v>
      </c>
      <c r="K2482" s="18">
        <v>202000</v>
      </c>
      <c r="L2482" s="12">
        <f t="shared" si="212"/>
        <v>336667</v>
      </c>
      <c r="M2482" s="8">
        <v>1</v>
      </c>
      <c r="N2482" s="8" t="s">
        <v>27</v>
      </c>
      <c r="O2482" s="13"/>
      <c r="P2482" s="14">
        <v>0</v>
      </c>
      <c r="Q2482" s="15">
        <v>0.4</v>
      </c>
      <c r="R2482" s="16" t="str">
        <f t="shared" si="209"/>
        <v>LEVITON</v>
      </c>
      <c r="S2482" s="17"/>
      <c r="T2482" s="10"/>
    </row>
    <row r="2483" spans="1:20" ht="27" customHeight="1" x14ac:dyDescent="0.25">
      <c r="A2483" s="8" t="s">
        <v>5170</v>
      </c>
      <c r="B2483" s="9"/>
      <c r="C2483" s="9"/>
      <c r="D2483" s="8"/>
      <c r="E2483" s="8"/>
      <c r="F2483" s="8"/>
      <c r="G2483" s="10"/>
      <c r="H2483" s="8" t="s">
        <v>5322</v>
      </c>
      <c r="I2483" s="10" t="s">
        <v>5323</v>
      </c>
      <c r="J2483" s="11" t="s">
        <v>33</v>
      </c>
      <c r="K2483" s="18">
        <v>271800</v>
      </c>
      <c r="L2483" s="12">
        <f t="shared" si="212"/>
        <v>453000</v>
      </c>
      <c r="M2483" s="8">
        <v>1</v>
      </c>
      <c r="N2483" s="8" t="s">
        <v>27</v>
      </c>
      <c r="O2483" s="13"/>
      <c r="P2483" s="14">
        <v>0</v>
      </c>
      <c r="Q2483" s="15">
        <v>0.4</v>
      </c>
      <c r="R2483" s="16" t="str">
        <f t="shared" si="209"/>
        <v>LEVITON</v>
      </c>
      <c r="S2483" s="17"/>
      <c r="T2483" s="10"/>
    </row>
    <row r="2484" spans="1:20" ht="27" customHeight="1" x14ac:dyDescent="0.25">
      <c r="A2484" s="8" t="s">
        <v>5170</v>
      </c>
      <c r="B2484" s="9"/>
      <c r="C2484" s="9"/>
      <c r="D2484" s="8"/>
      <c r="E2484" s="8"/>
      <c r="F2484" s="8"/>
      <c r="G2484" s="10"/>
      <c r="H2484" s="8" t="s">
        <v>5324</v>
      </c>
      <c r="I2484" s="10" t="s">
        <v>5325</v>
      </c>
      <c r="J2484" s="11" t="s">
        <v>33</v>
      </c>
      <c r="K2484" s="18">
        <v>120300</v>
      </c>
      <c r="L2484" s="12">
        <f t="shared" si="212"/>
        <v>200500</v>
      </c>
      <c r="M2484" s="8">
        <v>1</v>
      </c>
      <c r="N2484" s="8" t="s">
        <v>27</v>
      </c>
      <c r="O2484" s="13"/>
      <c r="P2484" s="14">
        <v>0</v>
      </c>
      <c r="Q2484" s="15">
        <v>0.4</v>
      </c>
      <c r="R2484" s="16" t="str">
        <f t="shared" si="209"/>
        <v>LEVITON</v>
      </c>
      <c r="S2484" s="17"/>
      <c r="T2484" s="10"/>
    </row>
    <row r="2485" spans="1:20" ht="27" customHeight="1" x14ac:dyDescent="0.25">
      <c r="A2485" s="8" t="s">
        <v>5170</v>
      </c>
      <c r="B2485" s="9"/>
      <c r="C2485" s="9"/>
      <c r="D2485" s="8"/>
      <c r="E2485" s="8"/>
      <c r="F2485" s="8"/>
      <c r="G2485" s="10"/>
      <c r="H2485" s="8" t="s">
        <v>5326</v>
      </c>
      <c r="I2485" s="10" t="s">
        <v>5325</v>
      </c>
      <c r="J2485" s="11" t="s">
        <v>33</v>
      </c>
      <c r="K2485" s="18">
        <v>336000</v>
      </c>
      <c r="L2485" s="12">
        <f t="shared" si="212"/>
        <v>560000</v>
      </c>
      <c r="M2485" s="8">
        <v>1</v>
      </c>
      <c r="N2485" s="8" t="s">
        <v>27</v>
      </c>
      <c r="O2485" s="13"/>
      <c r="P2485" s="14">
        <v>0</v>
      </c>
      <c r="Q2485" s="15">
        <v>0.4</v>
      </c>
      <c r="R2485" s="16" t="str">
        <f t="shared" si="209"/>
        <v>LEVITON</v>
      </c>
      <c r="S2485" s="17"/>
      <c r="T2485" s="10"/>
    </row>
    <row r="2486" spans="1:20" ht="27" customHeight="1" x14ac:dyDescent="0.25">
      <c r="A2486" s="8" t="s">
        <v>5327</v>
      </c>
      <c r="B2486" s="9" t="s">
        <v>5327</v>
      </c>
      <c r="C2486" s="9"/>
      <c r="D2486" s="8" t="s">
        <v>5328</v>
      </c>
      <c r="E2486" s="8"/>
      <c r="F2486" s="8" t="s">
        <v>22</v>
      </c>
      <c r="G2486" s="10" t="s">
        <v>5329</v>
      </c>
      <c r="H2486" s="8" t="s">
        <v>5330</v>
      </c>
      <c r="I2486" s="10" t="s">
        <v>5329</v>
      </c>
      <c r="J2486" s="11" t="s">
        <v>33</v>
      </c>
      <c r="K2486" s="18">
        <v>162000</v>
      </c>
      <c r="L2486" s="12">
        <f t="shared" ref="L2486:L2503" si="213">IF(J2486="P",ROUNDUP(K2486/(1-Q2486),-2),K2486*(1+P2486)/(1-Q2486))</f>
        <v>231500</v>
      </c>
      <c r="M2486" s="8">
        <v>1</v>
      </c>
      <c r="N2486" s="8" t="s">
        <v>27</v>
      </c>
      <c r="O2486" s="13"/>
      <c r="P2486" s="14">
        <v>0.2</v>
      </c>
      <c r="Q2486" s="15">
        <v>0.3</v>
      </c>
      <c r="R2486" s="16" t="str">
        <f t="shared" si="209"/>
        <v>LG</v>
      </c>
      <c r="S2486" s="17"/>
      <c r="T2486" s="10" t="str">
        <f t="shared" ref="T2486:T2491" si="214">G2486</f>
        <v>DVD CON SALIDA ANÁLOGA Y LECTOR DE USB.</v>
      </c>
    </row>
    <row r="2487" spans="1:20" ht="27" customHeight="1" x14ac:dyDescent="0.25">
      <c r="A2487" s="8" t="s">
        <v>5327</v>
      </c>
      <c r="B2487" s="9" t="s">
        <v>5327</v>
      </c>
      <c r="C2487" s="9"/>
      <c r="D2487" s="8" t="s">
        <v>5331</v>
      </c>
      <c r="E2487" s="8"/>
      <c r="F2487" s="8" t="s">
        <v>22</v>
      </c>
      <c r="G2487" s="10" t="s">
        <v>5332</v>
      </c>
      <c r="H2487" s="8" t="s">
        <v>5333</v>
      </c>
      <c r="I2487" s="10" t="s">
        <v>5334</v>
      </c>
      <c r="J2487" s="11" t="s">
        <v>26</v>
      </c>
      <c r="K2487" s="18">
        <v>367</v>
      </c>
      <c r="L2487" s="12">
        <f t="shared" si="213"/>
        <v>550.49999999999989</v>
      </c>
      <c r="M2487" s="8">
        <v>1</v>
      </c>
      <c r="N2487" s="8" t="s">
        <v>27</v>
      </c>
      <c r="O2487" s="13"/>
      <c r="P2487" s="14">
        <v>0.2</v>
      </c>
      <c r="Q2487" s="15">
        <v>0.2</v>
      </c>
      <c r="R2487" s="16" t="str">
        <f t="shared" si="209"/>
        <v>LG</v>
      </c>
      <c r="S2487" s="17"/>
      <c r="T2487" s="10" t="str">
        <f t="shared" si="214"/>
        <v>BLU-RAY CON SALIDA ESTÉREO 2CN, SALIDA COAXIAL Y ÓPTICA, SALIDA HDMI.</v>
      </c>
    </row>
    <row r="2488" spans="1:20" ht="27" customHeight="1" x14ac:dyDescent="0.25">
      <c r="A2488" s="8" t="s">
        <v>5327</v>
      </c>
      <c r="B2488" s="9"/>
      <c r="C2488" s="9"/>
      <c r="D2488" s="8"/>
      <c r="E2488" s="8"/>
      <c r="F2488" s="8" t="s">
        <v>22</v>
      </c>
      <c r="G2488" s="10" t="s">
        <v>5335</v>
      </c>
      <c r="H2488" s="8" t="s">
        <v>5336</v>
      </c>
      <c r="I2488" s="10" t="s">
        <v>5335</v>
      </c>
      <c r="J2488" s="11" t="s">
        <v>33</v>
      </c>
      <c r="K2488" s="18">
        <v>150000</v>
      </c>
      <c r="L2488" s="12">
        <f t="shared" si="213"/>
        <v>214300</v>
      </c>
      <c r="M2488" s="8">
        <v>1</v>
      </c>
      <c r="N2488" s="8" t="s">
        <v>27</v>
      </c>
      <c r="O2488" s="13"/>
      <c r="P2488" s="14">
        <v>0.2</v>
      </c>
      <c r="Q2488" s="15">
        <v>0.3</v>
      </c>
      <c r="R2488" s="16" t="str">
        <f t="shared" si="209"/>
        <v>LG</v>
      </c>
      <c r="S2488" s="17"/>
      <c r="T2488" s="10" t="str">
        <f t="shared" si="214"/>
        <v>DVD CON SALIDA DE AUDIO ANÁLOGA Y ENTRADA USB</v>
      </c>
    </row>
    <row r="2489" spans="1:20" ht="27" customHeight="1" x14ac:dyDescent="0.25">
      <c r="A2489" s="8" t="s">
        <v>5327</v>
      </c>
      <c r="B2489" s="9"/>
      <c r="C2489" s="9"/>
      <c r="D2489" s="8"/>
      <c r="E2489" s="8"/>
      <c r="F2489" s="8" t="s">
        <v>22</v>
      </c>
      <c r="G2489" s="10" t="s">
        <v>5337</v>
      </c>
      <c r="H2489" s="8" t="s">
        <v>5338</v>
      </c>
      <c r="I2489" s="10" t="s">
        <v>5337</v>
      </c>
      <c r="J2489" s="11" t="s">
        <v>33</v>
      </c>
      <c r="K2489" s="18">
        <v>247400</v>
      </c>
      <c r="L2489" s="12">
        <f t="shared" si="213"/>
        <v>353500</v>
      </c>
      <c r="M2489" s="8">
        <v>1</v>
      </c>
      <c r="N2489" s="8" t="s">
        <v>27</v>
      </c>
      <c r="O2489" s="13"/>
      <c r="P2489" s="14">
        <v>0.2</v>
      </c>
      <c r="Q2489" s="15">
        <v>0.3</v>
      </c>
      <c r="R2489" s="16" t="str">
        <f t="shared" si="209"/>
        <v>LG</v>
      </c>
      <c r="S2489" s="17"/>
      <c r="T2489" s="10" t="str">
        <f t="shared" si="214"/>
        <v>BLU-RAY 3D LG</v>
      </c>
    </row>
    <row r="2490" spans="1:20" ht="27" customHeight="1" x14ac:dyDescent="0.25">
      <c r="A2490" s="8" t="s">
        <v>5327</v>
      </c>
      <c r="B2490" s="9"/>
      <c r="C2490" s="9"/>
      <c r="D2490" s="8"/>
      <c r="E2490" s="8"/>
      <c r="F2490" s="8" t="s">
        <v>22</v>
      </c>
      <c r="G2490" s="10" t="s">
        <v>5339</v>
      </c>
      <c r="H2490" s="8" t="s">
        <v>5340</v>
      </c>
      <c r="I2490" s="10" t="s">
        <v>5339</v>
      </c>
      <c r="J2490" s="11" t="s">
        <v>33</v>
      </c>
      <c r="K2490" s="18">
        <v>511000</v>
      </c>
      <c r="L2490" s="12">
        <f t="shared" si="213"/>
        <v>681400</v>
      </c>
      <c r="M2490" s="8">
        <v>1</v>
      </c>
      <c r="N2490" s="8" t="s">
        <v>27</v>
      </c>
      <c r="O2490" s="13"/>
      <c r="P2490" s="14">
        <v>0.2</v>
      </c>
      <c r="Q2490" s="15">
        <v>0.25</v>
      </c>
      <c r="R2490" s="16" t="str">
        <f t="shared" si="209"/>
        <v>LG</v>
      </c>
      <c r="S2490" s="17"/>
      <c r="T2490" s="10" t="str">
        <f t="shared" si="214"/>
        <v>MONITOR DE 24 PULGADAS SON ENTRADAS HDMI Y VGA</v>
      </c>
    </row>
    <row r="2491" spans="1:20" ht="27" customHeight="1" x14ac:dyDescent="0.25">
      <c r="A2491" s="8" t="s">
        <v>5327</v>
      </c>
      <c r="B2491" s="9"/>
      <c r="C2491" s="9"/>
      <c r="D2491" s="8" t="s">
        <v>45</v>
      </c>
      <c r="E2491" s="8"/>
      <c r="F2491" s="8" t="s">
        <v>22</v>
      </c>
      <c r="G2491" s="10" t="s">
        <v>5341</v>
      </c>
      <c r="H2491" s="8" t="s">
        <v>5342</v>
      </c>
      <c r="I2491" s="10" t="s">
        <v>5341</v>
      </c>
      <c r="J2491" s="11" t="s">
        <v>33</v>
      </c>
      <c r="K2491" s="18">
        <v>399900</v>
      </c>
      <c r="L2491" s="12">
        <f t="shared" si="213"/>
        <v>499900</v>
      </c>
      <c r="M2491" s="8">
        <v>1</v>
      </c>
      <c r="N2491" s="8" t="s">
        <v>27</v>
      </c>
      <c r="O2491" s="13"/>
      <c r="P2491" s="14">
        <v>0</v>
      </c>
      <c r="Q2491" s="15">
        <v>0.2</v>
      </c>
      <c r="R2491" s="16" t="str">
        <f t="shared" si="209"/>
        <v>LG</v>
      </c>
      <c r="S2491" s="17"/>
      <c r="T2491" s="10" t="str">
        <f t="shared" si="214"/>
        <v>MONITOR DE 19", CON ENTRADAS HDMI Y VGA.</v>
      </c>
    </row>
    <row r="2492" spans="1:20" ht="27" customHeight="1" x14ac:dyDescent="0.25">
      <c r="A2492" s="8" t="s">
        <v>5327</v>
      </c>
      <c r="B2492" s="9"/>
      <c r="C2492" s="9"/>
      <c r="D2492" s="8"/>
      <c r="E2492" s="8"/>
      <c r="F2492" s="8"/>
      <c r="G2492" s="10"/>
      <c r="H2492" s="8" t="s">
        <v>5343</v>
      </c>
      <c r="I2492" s="10" t="s">
        <v>5344</v>
      </c>
      <c r="J2492" s="11" t="s">
        <v>33</v>
      </c>
      <c r="K2492" s="18">
        <v>3000000</v>
      </c>
      <c r="L2492" s="12">
        <f t="shared" si="213"/>
        <v>3333400</v>
      </c>
      <c r="M2492" s="8">
        <v>1</v>
      </c>
      <c r="N2492" s="8" t="s">
        <v>27</v>
      </c>
      <c r="O2492" s="13"/>
      <c r="P2492" s="14">
        <v>0</v>
      </c>
      <c r="Q2492" s="15">
        <v>0.1</v>
      </c>
      <c r="R2492" s="16" t="str">
        <f t="shared" si="209"/>
        <v>LG</v>
      </c>
      <c r="S2492" s="17"/>
      <c r="T2492" s="10"/>
    </row>
    <row r="2493" spans="1:20" ht="27" customHeight="1" x14ac:dyDescent="0.25">
      <c r="A2493" s="8" t="s">
        <v>5327</v>
      </c>
      <c r="B2493" s="9"/>
      <c r="C2493" s="9"/>
      <c r="D2493" s="8"/>
      <c r="E2493" s="8"/>
      <c r="F2493" s="8"/>
      <c r="G2493" s="10"/>
      <c r="H2493" s="8" t="s">
        <v>5345</v>
      </c>
      <c r="I2493" s="10" t="s">
        <v>5346</v>
      </c>
      <c r="J2493" s="11" t="s">
        <v>33</v>
      </c>
      <c r="K2493" s="18">
        <v>900000</v>
      </c>
      <c r="L2493" s="12">
        <f t="shared" si="213"/>
        <v>1000000</v>
      </c>
      <c r="M2493" s="8">
        <v>1</v>
      </c>
      <c r="N2493" s="8" t="s">
        <v>27</v>
      </c>
      <c r="O2493" s="13"/>
      <c r="P2493" s="14">
        <v>0</v>
      </c>
      <c r="Q2493" s="15">
        <v>0.1</v>
      </c>
      <c r="R2493" s="16" t="str">
        <f t="shared" si="209"/>
        <v>LG</v>
      </c>
      <c r="S2493" s="17"/>
      <c r="T2493" s="10"/>
    </row>
    <row r="2494" spans="1:20" ht="27" customHeight="1" x14ac:dyDescent="0.25">
      <c r="A2494" s="8" t="s">
        <v>5327</v>
      </c>
      <c r="B2494" s="9"/>
      <c r="C2494" s="9"/>
      <c r="D2494" s="8"/>
      <c r="E2494" s="8"/>
      <c r="F2494" s="8"/>
      <c r="G2494" s="10"/>
      <c r="H2494" s="8" t="s">
        <v>5347</v>
      </c>
      <c r="I2494" s="10" t="s">
        <v>5348</v>
      </c>
      <c r="J2494" s="11" t="s">
        <v>33</v>
      </c>
      <c r="K2494" s="18">
        <v>5500000</v>
      </c>
      <c r="L2494" s="12">
        <f t="shared" si="213"/>
        <v>7857200</v>
      </c>
      <c r="M2494" s="8">
        <v>1</v>
      </c>
      <c r="N2494" s="8" t="s">
        <v>110</v>
      </c>
      <c r="O2494" s="13"/>
      <c r="P2494" s="14">
        <v>0</v>
      </c>
      <c r="Q2494" s="15">
        <v>0.3</v>
      </c>
      <c r="R2494" s="16" t="str">
        <f t="shared" si="209"/>
        <v>LG</v>
      </c>
      <c r="S2494" s="17"/>
      <c r="T2494" s="10"/>
    </row>
    <row r="2495" spans="1:20" ht="27" customHeight="1" x14ac:dyDescent="0.25">
      <c r="A2495" s="8" t="s">
        <v>5349</v>
      </c>
      <c r="B2495" s="9" t="s">
        <v>5350</v>
      </c>
      <c r="C2495" s="9"/>
      <c r="D2495" s="8" t="s">
        <v>28</v>
      </c>
      <c r="E2495" s="8">
        <v>1</v>
      </c>
      <c r="F2495" s="8" t="s">
        <v>22</v>
      </c>
      <c r="G2495" s="10" t="s">
        <v>5351</v>
      </c>
      <c r="H2495" s="8" t="s">
        <v>5352</v>
      </c>
      <c r="I2495" s="10" t="s">
        <v>5353</v>
      </c>
      <c r="J2495" s="11" t="s">
        <v>26</v>
      </c>
      <c r="K2495" s="18">
        <v>199</v>
      </c>
      <c r="L2495" s="12">
        <f t="shared" si="213"/>
        <v>298.49999999999994</v>
      </c>
      <c r="M2495" s="8">
        <v>1</v>
      </c>
      <c r="N2495" s="8" t="s">
        <v>27</v>
      </c>
      <c r="O2495" s="13"/>
      <c r="P2495" s="14">
        <v>0.2</v>
      </c>
      <c r="Q2495" s="15">
        <v>0.2</v>
      </c>
      <c r="R2495" s="16" t="str">
        <f t="shared" si="209"/>
        <v>LIBERTY</v>
      </c>
      <c r="S2495" s="17"/>
      <c r="T2495" s="10" t="str">
        <f>G2495</f>
        <v>ROLLO DE CABLE CERTIFICADO PARA ALTAVOCES, LIBRE DE OXIGENO, DE MÁXIMA PUREZA.</v>
      </c>
    </row>
    <row r="2496" spans="1:20" ht="27" customHeight="1" x14ac:dyDescent="0.25">
      <c r="A2496" s="8" t="s">
        <v>5349</v>
      </c>
      <c r="B2496" s="9" t="s">
        <v>5350</v>
      </c>
      <c r="C2496" s="9"/>
      <c r="D2496" s="8" t="s">
        <v>28</v>
      </c>
      <c r="E2496" s="8">
        <v>2</v>
      </c>
      <c r="F2496" s="8" t="s">
        <v>22</v>
      </c>
      <c r="G2496" s="10" t="s">
        <v>526</v>
      </c>
      <c r="H2496" s="8" t="s">
        <v>5354</v>
      </c>
      <c r="I2496" s="10" t="s">
        <v>526</v>
      </c>
      <c r="J2496" s="11" t="s">
        <v>26</v>
      </c>
      <c r="K2496" s="18">
        <f>K2495/305</f>
        <v>0.65245901639344261</v>
      </c>
      <c r="L2496" s="12">
        <f t="shared" si="213"/>
        <v>0.97868852459016387</v>
      </c>
      <c r="M2496" s="8">
        <v>1</v>
      </c>
      <c r="N2496" s="8" t="s">
        <v>110</v>
      </c>
      <c r="O2496" s="13"/>
      <c r="P2496" s="14">
        <v>0.2</v>
      </c>
      <c r="Q2496" s="15">
        <v>0.2</v>
      </c>
      <c r="R2496" s="16" t="str">
        <f t="shared" si="209"/>
        <v>LIBERTY</v>
      </c>
      <c r="S2496" s="17"/>
      <c r="T2496" s="10" t="str">
        <f>G2496</f>
        <v>METRO DE CABLE CERTIFICADO PARA ALTAVOCES, LIBRE DE OXIGENO, DE MÁXIMA PUREZA.</v>
      </c>
    </row>
    <row r="2497" spans="1:20" ht="27" customHeight="1" x14ac:dyDescent="0.25">
      <c r="A2497" s="8" t="s">
        <v>5349</v>
      </c>
      <c r="B2497" s="9" t="s">
        <v>5350</v>
      </c>
      <c r="C2497" s="9"/>
      <c r="D2497" s="8" t="s">
        <v>28</v>
      </c>
      <c r="E2497" s="8">
        <v>3</v>
      </c>
      <c r="F2497" s="8" t="s">
        <v>22</v>
      </c>
      <c r="G2497" s="10" t="s">
        <v>5355</v>
      </c>
      <c r="H2497" s="8" t="s">
        <v>5356</v>
      </c>
      <c r="I2497" s="10" t="s">
        <v>5355</v>
      </c>
      <c r="J2497" s="11" t="s">
        <v>26</v>
      </c>
      <c r="K2497" s="18">
        <v>190</v>
      </c>
      <c r="L2497" s="12">
        <f t="shared" si="213"/>
        <v>325.71428571428572</v>
      </c>
      <c r="M2497" s="8">
        <v>1</v>
      </c>
      <c r="N2497" s="8" t="s">
        <v>110</v>
      </c>
      <c r="O2497" s="13"/>
      <c r="P2497" s="14">
        <v>0.2</v>
      </c>
      <c r="Q2497" s="15">
        <v>0.3</v>
      </c>
      <c r="R2497" s="16" t="str">
        <f t="shared" ref="R2497:R2560" si="215">A2497</f>
        <v>LIBERTY</v>
      </c>
      <c r="S2497" s="17"/>
      <c r="T2497" s="10" t="str">
        <f>G2497</f>
        <v>METRO DE CABLE CERTIFICADO PARA BUS DE DATOS LUTRON.</v>
      </c>
    </row>
    <row r="2498" spans="1:20" ht="27" customHeight="1" x14ac:dyDescent="0.25">
      <c r="A2498" s="8" t="s">
        <v>5349</v>
      </c>
      <c r="B2498" s="9" t="s">
        <v>5350</v>
      </c>
      <c r="C2498" s="9"/>
      <c r="D2498" s="8" t="s">
        <v>28</v>
      </c>
      <c r="E2498" s="8">
        <v>4</v>
      </c>
      <c r="F2498" s="8" t="s">
        <v>22</v>
      </c>
      <c r="G2498" s="10" t="s">
        <v>5355</v>
      </c>
      <c r="H2498" s="8" t="s">
        <v>5356</v>
      </c>
      <c r="I2498" s="10" t="s">
        <v>5355</v>
      </c>
      <c r="J2498" s="11" t="s">
        <v>26</v>
      </c>
      <c r="K2498" s="18">
        <f>190/300</f>
        <v>0.6333333333333333</v>
      </c>
      <c r="L2498" s="12">
        <f t="shared" si="213"/>
        <v>1.1692307692307691</v>
      </c>
      <c r="M2498" s="8">
        <v>1</v>
      </c>
      <c r="N2498" s="8" t="s">
        <v>110</v>
      </c>
      <c r="O2498" s="13"/>
      <c r="P2498" s="14">
        <v>0.2</v>
      </c>
      <c r="Q2498" s="15">
        <v>0.35</v>
      </c>
      <c r="R2498" s="16" t="str">
        <f t="shared" si="215"/>
        <v>LIBERTY</v>
      </c>
      <c r="S2498" s="17"/>
      <c r="T2498" s="10" t="str">
        <f>G2498</f>
        <v>METRO DE CABLE CERTIFICADO PARA BUS DE DATOS LUTRON.</v>
      </c>
    </row>
    <row r="2499" spans="1:20" ht="27" customHeight="1" x14ac:dyDescent="0.25">
      <c r="A2499" s="8" t="s">
        <v>5349</v>
      </c>
      <c r="B2499" s="9"/>
      <c r="C2499" s="9"/>
      <c r="D2499" s="8"/>
      <c r="E2499" s="8"/>
      <c r="F2499" s="8"/>
      <c r="G2499" s="10"/>
      <c r="H2499" s="8" t="s">
        <v>5357</v>
      </c>
      <c r="I2499" s="10" t="s">
        <v>5358</v>
      </c>
      <c r="J2499" s="11" t="s">
        <v>26</v>
      </c>
      <c r="K2499" s="18">
        <v>432</v>
      </c>
      <c r="L2499" s="12">
        <f t="shared" si="213"/>
        <v>797.53846153846143</v>
      </c>
      <c r="M2499" s="8">
        <v>1</v>
      </c>
      <c r="N2499" s="8" t="s">
        <v>27</v>
      </c>
      <c r="O2499" s="13"/>
      <c r="P2499" s="14">
        <v>0.2</v>
      </c>
      <c r="Q2499" s="15">
        <v>0.35</v>
      </c>
      <c r="R2499" s="16" t="str">
        <f t="shared" si="215"/>
        <v>LIBERTY</v>
      </c>
      <c r="S2499" s="17"/>
      <c r="T2499" s="10"/>
    </row>
    <row r="2500" spans="1:20" ht="27" customHeight="1" x14ac:dyDescent="0.25">
      <c r="A2500" s="8" t="s">
        <v>5349</v>
      </c>
      <c r="B2500" s="9"/>
      <c r="C2500" s="9"/>
      <c r="D2500" s="8"/>
      <c r="E2500" s="8"/>
      <c r="F2500" s="8"/>
      <c r="G2500" s="10"/>
      <c r="H2500" s="8" t="s">
        <v>5359</v>
      </c>
      <c r="I2500" s="10" t="s">
        <v>5360</v>
      </c>
      <c r="J2500" s="11" t="s">
        <v>26</v>
      </c>
      <c r="K2500" s="18">
        <v>414</v>
      </c>
      <c r="L2500" s="12">
        <f t="shared" si="213"/>
        <v>764.30769230769226</v>
      </c>
      <c r="M2500" s="8">
        <v>1</v>
      </c>
      <c r="N2500" s="8" t="s">
        <v>27</v>
      </c>
      <c r="O2500" s="13"/>
      <c r="P2500" s="14">
        <v>0.2</v>
      </c>
      <c r="Q2500" s="15">
        <v>0.35</v>
      </c>
      <c r="R2500" s="16" t="str">
        <f t="shared" si="215"/>
        <v>LIBERTY</v>
      </c>
      <c r="S2500" s="17"/>
      <c r="T2500" s="10"/>
    </row>
    <row r="2501" spans="1:20" ht="27" customHeight="1" x14ac:dyDescent="0.25">
      <c r="A2501" s="8" t="s">
        <v>5349</v>
      </c>
      <c r="B2501" s="9"/>
      <c r="C2501" s="9"/>
      <c r="D2501" s="8"/>
      <c r="E2501" s="8"/>
      <c r="F2501" s="8"/>
      <c r="G2501" s="10"/>
      <c r="H2501" s="8" t="s">
        <v>5361</v>
      </c>
      <c r="I2501" s="10" t="s">
        <v>5362</v>
      </c>
      <c r="J2501" s="11" t="s">
        <v>26</v>
      </c>
      <c r="K2501" s="18">
        <v>186</v>
      </c>
      <c r="L2501" s="12">
        <f t="shared" si="213"/>
        <v>343.38461538461536</v>
      </c>
      <c r="M2501" s="8">
        <v>1</v>
      </c>
      <c r="N2501" s="8" t="s">
        <v>27</v>
      </c>
      <c r="O2501" s="13"/>
      <c r="P2501" s="14">
        <v>0.2</v>
      </c>
      <c r="Q2501" s="15">
        <v>0.35</v>
      </c>
      <c r="R2501" s="16" t="str">
        <f t="shared" si="215"/>
        <v>LIBERTY</v>
      </c>
      <c r="S2501" s="17"/>
      <c r="T2501" s="10"/>
    </row>
    <row r="2502" spans="1:20" ht="27" customHeight="1" x14ac:dyDescent="0.25">
      <c r="A2502" s="8" t="s">
        <v>5349</v>
      </c>
      <c r="B2502" s="9"/>
      <c r="C2502" s="9"/>
      <c r="D2502" s="8"/>
      <c r="E2502" s="8"/>
      <c r="F2502" s="8"/>
      <c r="G2502" s="10"/>
      <c r="H2502" s="8" t="s">
        <v>5363</v>
      </c>
      <c r="I2502" s="10" t="s">
        <v>5364</v>
      </c>
      <c r="J2502" s="11" t="s">
        <v>26</v>
      </c>
      <c r="K2502" s="18">
        <v>1380</v>
      </c>
      <c r="L2502" s="12">
        <f t="shared" si="213"/>
        <v>2547.6923076923076</v>
      </c>
      <c r="M2502" s="8">
        <v>1</v>
      </c>
      <c r="N2502" s="8" t="s">
        <v>27</v>
      </c>
      <c r="O2502" s="13"/>
      <c r="P2502" s="14">
        <v>0.2</v>
      </c>
      <c r="Q2502" s="15">
        <v>0.35</v>
      </c>
      <c r="R2502" s="16" t="str">
        <f t="shared" si="215"/>
        <v>LIBERTY</v>
      </c>
      <c r="S2502" s="17"/>
      <c r="T2502" s="10"/>
    </row>
    <row r="2503" spans="1:20" ht="27" customHeight="1" x14ac:dyDescent="0.25">
      <c r="A2503" s="8" t="s">
        <v>5349</v>
      </c>
      <c r="B2503" s="9"/>
      <c r="C2503" s="9"/>
      <c r="D2503" s="8"/>
      <c r="E2503" s="8"/>
      <c r="F2503" s="8"/>
      <c r="G2503" s="10"/>
      <c r="H2503" s="8" t="s">
        <v>5365</v>
      </c>
      <c r="I2503" s="10" t="s">
        <v>5366</v>
      </c>
      <c r="J2503" s="11" t="s">
        <v>26</v>
      </c>
      <c r="K2503" s="18">
        <v>553</v>
      </c>
      <c r="L2503" s="12">
        <f t="shared" si="213"/>
        <v>1020.9230769230769</v>
      </c>
      <c r="M2503" s="8">
        <v>1</v>
      </c>
      <c r="N2503" s="8" t="s">
        <v>27</v>
      </c>
      <c r="O2503" s="13"/>
      <c r="P2503" s="14">
        <v>0.2</v>
      </c>
      <c r="Q2503" s="15">
        <v>0.35</v>
      </c>
      <c r="R2503" s="16" t="str">
        <f t="shared" si="215"/>
        <v>LIBERTY</v>
      </c>
      <c r="S2503" s="17"/>
      <c r="T2503" s="10"/>
    </row>
    <row r="2504" spans="1:20" ht="27" customHeight="1" x14ac:dyDescent="0.25">
      <c r="A2504" s="8" t="s">
        <v>5367</v>
      </c>
      <c r="B2504" s="9"/>
      <c r="C2504" s="9"/>
      <c r="D2504" s="8" t="s">
        <v>45</v>
      </c>
      <c r="E2504" s="8"/>
      <c r="F2504" s="8" t="s">
        <v>22</v>
      </c>
      <c r="G2504" s="10" t="s">
        <v>5368</v>
      </c>
      <c r="H2504" s="8" t="s">
        <v>5369</v>
      </c>
      <c r="I2504" s="10" t="s">
        <v>5370</v>
      </c>
      <c r="J2504" s="11" t="s">
        <v>26</v>
      </c>
      <c r="K2504" s="18">
        <v>520</v>
      </c>
      <c r="L2504" s="12">
        <f>ROUNDUP(K2504*(1+P2504)/(1-Q2504),0)</f>
        <v>867</v>
      </c>
      <c r="M2504" s="8">
        <v>1</v>
      </c>
      <c r="N2504" s="8" t="s">
        <v>27</v>
      </c>
      <c r="O2504" s="13"/>
      <c r="P2504" s="14">
        <v>0</v>
      </c>
      <c r="Q2504" s="15">
        <v>0.4</v>
      </c>
      <c r="R2504" s="16" t="str">
        <f t="shared" si="215"/>
        <v>LIBERTY AV</v>
      </c>
      <c r="S2504" s="17"/>
      <c r="T2504" s="10" t="str">
        <f>G2504</f>
        <v>HDMI OVER IP ENCODER.</v>
      </c>
    </row>
    <row r="2505" spans="1:20" ht="27" customHeight="1" x14ac:dyDescent="0.25">
      <c r="A2505" s="8" t="s">
        <v>5367</v>
      </c>
      <c r="B2505" s="9"/>
      <c r="C2505" s="9"/>
      <c r="D2505" s="8" t="s">
        <v>45</v>
      </c>
      <c r="E2505" s="8"/>
      <c r="F2505" s="8" t="s">
        <v>22</v>
      </c>
      <c r="G2505" s="10" t="s">
        <v>5371</v>
      </c>
      <c r="H2505" s="8" t="s">
        <v>5372</v>
      </c>
      <c r="I2505" s="10" t="s">
        <v>5373</v>
      </c>
      <c r="J2505" s="11" t="s">
        <v>26</v>
      </c>
      <c r="K2505" s="18">
        <v>3073</v>
      </c>
      <c r="L2505" s="12">
        <f>ROUNDUP(K2505*(1+P2505)/(1-Q2505),0)</f>
        <v>5122</v>
      </c>
      <c r="M2505" s="8">
        <v>1</v>
      </c>
      <c r="N2505" s="8" t="s">
        <v>27</v>
      </c>
      <c r="O2505" s="13"/>
      <c r="P2505" s="14">
        <v>0</v>
      </c>
      <c r="Q2505" s="15">
        <v>0.4</v>
      </c>
      <c r="R2505" s="16" t="str">
        <f t="shared" si="215"/>
        <v>LIBERTY AV</v>
      </c>
      <c r="S2505" s="17"/>
      <c r="T2505" s="10" t="str">
        <f>G2505</f>
        <v>48-PORT FULL LAYER 2GIGABIT SWITCH.</v>
      </c>
    </row>
    <row r="2506" spans="1:20" ht="27" customHeight="1" x14ac:dyDescent="0.25">
      <c r="A2506" s="8" t="s">
        <v>5374</v>
      </c>
      <c r="B2506" s="9"/>
      <c r="C2506" s="9"/>
      <c r="D2506" s="8"/>
      <c r="E2506" s="8"/>
      <c r="F2506" s="8" t="s">
        <v>22</v>
      </c>
      <c r="G2506" s="10" t="s">
        <v>5375</v>
      </c>
      <c r="H2506" s="8" t="s">
        <v>5376</v>
      </c>
      <c r="I2506" s="10" t="s">
        <v>5375</v>
      </c>
      <c r="J2506" s="11" t="s">
        <v>26</v>
      </c>
      <c r="K2506" s="18">
        <v>2300</v>
      </c>
      <c r="L2506" s="12">
        <f>IF(J2506="P",ROUNDUP(K2506/(1-Q2506),-2),K2506*(1+P2506)/(1-Q2506))</f>
        <v>3450</v>
      </c>
      <c r="M2506" s="8">
        <v>1</v>
      </c>
      <c r="N2506" s="8" t="s">
        <v>27</v>
      </c>
      <c r="O2506" s="13"/>
      <c r="P2506" s="14">
        <v>0.2</v>
      </c>
      <c r="Q2506" s="15">
        <v>0.2</v>
      </c>
      <c r="R2506" s="16" t="str">
        <f t="shared" si="215"/>
        <v>LIEBERT</v>
      </c>
      <c r="S2506" s="17"/>
      <c r="T2506" s="10" t="str">
        <f>G2506</f>
        <v>UPS DE 6 KVA BIFÁSICA DE DOBLE CONVERSIÓN. AUTONOMÍA DE 4 MIN A FULL CARGA.</v>
      </c>
    </row>
    <row r="2507" spans="1:20" ht="27" customHeight="1" x14ac:dyDescent="0.25">
      <c r="A2507" s="8" t="s">
        <v>5377</v>
      </c>
      <c r="B2507" s="9"/>
      <c r="C2507" s="9"/>
      <c r="D2507" s="8"/>
      <c r="E2507" s="8"/>
      <c r="F2507" s="8"/>
      <c r="G2507" s="10"/>
      <c r="H2507" s="8" t="s">
        <v>5378</v>
      </c>
      <c r="I2507" s="10" t="s">
        <v>5379</v>
      </c>
      <c r="J2507" s="11" t="s">
        <v>33</v>
      </c>
      <c r="K2507" s="18">
        <v>951827</v>
      </c>
      <c r="L2507" s="12">
        <f>ROUNDUP(K2507*(1+P2507)/(1-Q2507),0)</f>
        <v>1554232</v>
      </c>
      <c r="M2507" s="8">
        <v>1</v>
      </c>
      <c r="N2507" s="8" t="s">
        <v>27</v>
      </c>
      <c r="O2507" s="13"/>
      <c r="P2507" s="14">
        <v>0</v>
      </c>
      <c r="Q2507" s="15">
        <v>0.38758999999999999</v>
      </c>
      <c r="R2507" s="16" t="str">
        <f t="shared" si="215"/>
        <v>LIECTROUX</v>
      </c>
      <c r="S2507" s="17">
        <f>L2507*1.19</f>
        <v>1849536.0799999998</v>
      </c>
      <c r="T2507" s="10"/>
    </row>
    <row r="2508" spans="1:20" ht="27" customHeight="1" x14ac:dyDescent="0.25">
      <c r="A2508" s="8" t="s">
        <v>5380</v>
      </c>
      <c r="B2508" s="9"/>
      <c r="C2508" s="9"/>
      <c r="D2508" s="8" t="s">
        <v>45</v>
      </c>
      <c r="E2508" s="8"/>
      <c r="F2508" s="8" t="s">
        <v>22</v>
      </c>
      <c r="G2508" s="10" t="str">
        <f>B2508&amp;"-"&amp;D2508&amp;"-"&amp;E2508&amp;F2508</f>
        <v>-PROG_-BLANCO</v>
      </c>
      <c r="H2508" s="8" t="s">
        <v>3246</v>
      </c>
      <c r="I2508" s="10" t="s">
        <v>5381</v>
      </c>
      <c r="J2508" s="11" t="s">
        <v>26</v>
      </c>
      <c r="K2508" s="18">
        <v>55</v>
      </c>
      <c r="L2508" s="12">
        <f>K2508*(1+P2508)/(1-Q2508)</f>
        <v>84.615384615384613</v>
      </c>
      <c r="M2508" s="8">
        <v>1</v>
      </c>
      <c r="N2508" s="8" t="s">
        <v>27</v>
      </c>
      <c r="O2508" s="13"/>
      <c r="P2508" s="14">
        <v>0</v>
      </c>
      <c r="Q2508" s="15">
        <v>0.35</v>
      </c>
      <c r="R2508" s="16" t="str">
        <f t="shared" si="215"/>
        <v>LINDY</v>
      </c>
      <c r="S2508" s="17"/>
      <c r="T2508" s="10" t="str">
        <f>G2508</f>
        <v>-PROG_-BLANCO</v>
      </c>
    </row>
    <row r="2509" spans="1:20" ht="27" customHeight="1" x14ac:dyDescent="0.25">
      <c r="A2509" s="8" t="s">
        <v>5380</v>
      </c>
      <c r="B2509" s="9"/>
      <c r="C2509" s="9"/>
      <c r="D2509" s="8" t="s">
        <v>45</v>
      </c>
      <c r="E2509" s="8"/>
      <c r="F2509" s="8" t="s">
        <v>22</v>
      </c>
      <c r="G2509" s="10" t="str">
        <f>B2509&amp;"-"&amp;D2509&amp;"-"&amp;E2509&amp;F2509</f>
        <v>-PROG_-BLANCO</v>
      </c>
      <c r="H2509" s="8" t="s">
        <v>5382</v>
      </c>
      <c r="I2509" s="10" t="s">
        <v>5383</v>
      </c>
      <c r="J2509" s="11" t="s">
        <v>33</v>
      </c>
      <c r="K2509" s="18">
        <v>37653</v>
      </c>
      <c r="L2509" s="12">
        <f>IF(J2509="P",ROUNDUP(K2509/(1-Q2509),-2),K2509*(1+P2509)/(1-Q2509))</f>
        <v>62800</v>
      </c>
      <c r="M2509" s="8">
        <v>1</v>
      </c>
      <c r="N2509" s="8" t="s">
        <v>27</v>
      </c>
      <c r="O2509" s="13"/>
      <c r="P2509" s="14">
        <v>0</v>
      </c>
      <c r="Q2509" s="15">
        <v>0.4</v>
      </c>
      <c r="R2509" s="16" t="str">
        <f t="shared" si="215"/>
        <v>LINDY</v>
      </c>
      <c r="S2509" s="17"/>
      <c r="T2509" s="10" t="str">
        <f>G2509</f>
        <v>-PROG_-BLANCO</v>
      </c>
    </row>
    <row r="2510" spans="1:20" ht="27" customHeight="1" x14ac:dyDescent="0.25">
      <c r="A2510" s="8" t="s">
        <v>5380</v>
      </c>
      <c r="B2510" s="9"/>
      <c r="C2510" s="9"/>
      <c r="D2510" s="8" t="s">
        <v>45</v>
      </c>
      <c r="E2510" s="8"/>
      <c r="F2510" s="8" t="s">
        <v>22</v>
      </c>
      <c r="G2510" s="10" t="str">
        <f>B2510&amp;"-"&amp;D2510&amp;"-"&amp;E2510&amp;F2510</f>
        <v>-PROG_-BLANCO</v>
      </c>
      <c r="H2510" s="8" t="s">
        <v>5384</v>
      </c>
      <c r="I2510" s="10" t="s">
        <v>5385</v>
      </c>
      <c r="J2510" s="11" t="s">
        <v>33</v>
      </c>
      <c r="K2510" s="18">
        <v>68300</v>
      </c>
      <c r="L2510" s="12">
        <f>IF(J2510="P",ROUNDUP(K2510/(1-Q2510),-2),K2510*(1+P2510)/(1-Q2510))</f>
        <v>113900</v>
      </c>
      <c r="M2510" s="8">
        <v>1</v>
      </c>
      <c r="N2510" s="8" t="s">
        <v>27</v>
      </c>
      <c r="O2510" s="13"/>
      <c r="P2510" s="14">
        <v>0</v>
      </c>
      <c r="Q2510" s="15">
        <v>0.4</v>
      </c>
      <c r="R2510" s="16" t="str">
        <f t="shared" si="215"/>
        <v>LINDY</v>
      </c>
      <c r="S2510" s="17"/>
      <c r="T2510" s="10" t="str">
        <f>G2510</f>
        <v>-PROG_-BLANCO</v>
      </c>
    </row>
    <row r="2511" spans="1:20" ht="27" customHeight="1" x14ac:dyDescent="0.25">
      <c r="A2511" s="8" t="s">
        <v>5380</v>
      </c>
      <c r="B2511" s="9"/>
      <c r="C2511" s="9"/>
      <c r="D2511" s="8"/>
      <c r="E2511" s="8"/>
      <c r="F2511" s="8"/>
      <c r="G2511" s="10"/>
      <c r="H2511" s="8" t="s">
        <v>5386</v>
      </c>
      <c r="I2511" s="10" t="s">
        <v>5387</v>
      </c>
      <c r="J2511" s="11" t="s">
        <v>33</v>
      </c>
      <c r="K2511" s="18">
        <v>356000</v>
      </c>
      <c r="L2511" s="12">
        <f>K2511*(1+P2511)/(1-Q2511)</f>
        <v>508571.42857142858</v>
      </c>
      <c r="M2511" s="8">
        <v>1</v>
      </c>
      <c r="N2511" s="8" t="s">
        <v>27</v>
      </c>
      <c r="O2511" s="13"/>
      <c r="P2511" s="14">
        <v>0</v>
      </c>
      <c r="Q2511" s="15">
        <v>0.3</v>
      </c>
      <c r="R2511" s="16" t="str">
        <f t="shared" si="215"/>
        <v>LINDY</v>
      </c>
      <c r="S2511" s="17"/>
      <c r="T2511" s="10"/>
    </row>
    <row r="2512" spans="1:20" ht="27" customHeight="1" x14ac:dyDescent="0.25">
      <c r="A2512" s="8" t="s">
        <v>5380</v>
      </c>
      <c r="B2512" s="9"/>
      <c r="C2512" s="9"/>
      <c r="D2512" s="8" t="s">
        <v>45</v>
      </c>
      <c r="E2512" s="8"/>
      <c r="F2512" s="8" t="s">
        <v>22</v>
      </c>
      <c r="G2512" s="10" t="str">
        <f>B2512&amp;"-"&amp;D2512&amp;"-"&amp;E2512&amp;F2512</f>
        <v>-PROG_-BLANCO</v>
      </c>
      <c r="H2512" s="8" t="s">
        <v>5388</v>
      </c>
      <c r="I2512" s="10" t="s">
        <v>5389</v>
      </c>
      <c r="J2512" s="11" t="s">
        <v>33</v>
      </c>
      <c r="K2512" s="18">
        <v>160950</v>
      </c>
      <c r="L2512" s="12">
        <f>IF(J2512="P",ROUNDUP(K2512/(1-Q2512),-2),K2512*(1+P2512)/(1-Q2512))</f>
        <v>214600</v>
      </c>
      <c r="M2512" s="8">
        <v>1</v>
      </c>
      <c r="N2512" s="8" t="s">
        <v>27</v>
      </c>
      <c r="O2512" s="13"/>
      <c r="P2512" s="14">
        <v>0</v>
      </c>
      <c r="Q2512" s="15">
        <v>0.25</v>
      </c>
      <c r="R2512" s="16" t="str">
        <f t="shared" si="215"/>
        <v>LINDY</v>
      </c>
      <c r="S2512" s="17"/>
      <c r="T2512" s="10" t="str">
        <f>G2512</f>
        <v>-PROG_-BLANCO</v>
      </c>
    </row>
    <row r="2513" spans="1:20" ht="27" customHeight="1" x14ac:dyDescent="0.25">
      <c r="A2513" s="8" t="s">
        <v>5380</v>
      </c>
      <c r="B2513" s="9"/>
      <c r="C2513" s="9"/>
      <c r="D2513" s="8"/>
      <c r="E2513" s="8"/>
      <c r="F2513" s="8"/>
      <c r="G2513" s="10"/>
      <c r="H2513" s="8" t="s">
        <v>5386</v>
      </c>
      <c r="I2513" s="10" t="s">
        <v>5390</v>
      </c>
      <c r="J2513" s="11" t="s">
        <v>33</v>
      </c>
      <c r="K2513" s="18">
        <v>356000</v>
      </c>
      <c r="L2513" s="12">
        <f>IF(J2513="P",ROUNDUP(K2513/(1-Q2513),-2),K2513*(1+P2513)/(1-Q2513))</f>
        <v>508600</v>
      </c>
      <c r="M2513" s="8">
        <v>1</v>
      </c>
      <c r="N2513" s="8" t="s">
        <v>110</v>
      </c>
      <c r="O2513" s="13"/>
      <c r="P2513" s="14">
        <v>0</v>
      </c>
      <c r="Q2513" s="15">
        <v>0.3</v>
      </c>
      <c r="R2513" s="16" t="str">
        <f t="shared" si="215"/>
        <v>LINDY</v>
      </c>
      <c r="S2513" s="17"/>
      <c r="T2513" s="10"/>
    </row>
    <row r="2514" spans="1:20" ht="27" customHeight="1" x14ac:dyDescent="0.25">
      <c r="A2514" s="8" t="s">
        <v>5380</v>
      </c>
      <c r="B2514" s="9"/>
      <c r="C2514" s="9"/>
      <c r="D2514" s="8"/>
      <c r="E2514" s="8"/>
      <c r="F2514" s="8"/>
      <c r="G2514" s="10"/>
      <c r="H2514" s="8" t="s">
        <v>5391</v>
      </c>
      <c r="I2514" s="10" t="s">
        <v>5392</v>
      </c>
      <c r="J2514" s="11" t="s">
        <v>33</v>
      </c>
      <c r="K2514" s="18">
        <v>390000</v>
      </c>
      <c r="L2514" s="12">
        <f>IF(J2514="P",ROUNDUP(K2514/(1-Q2514),-2),K2514*(1+P2514)/(1-Q2514))</f>
        <v>557200</v>
      </c>
      <c r="M2514" s="8">
        <v>1</v>
      </c>
      <c r="N2514" s="8" t="s">
        <v>110</v>
      </c>
      <c r="O2514" s="13"/>
      <c r="P2514" s="14">
        <v>0</v>
      </c>
      <c r="Q2514" s="15">
        <v>0.3</v>
      </c>
      <c r="R2514" s="16" t="str">
        <f t="shared" si="215"/>
        <v>LINDY</v>
      </c>
      <c r="S2514" s="17"/>
      <c r="T2514" s="10"/>
    </row>
    <row r="2515" spans="1:20" ht="27" customHeight="1" x14ac:dyDescent="0.25">
      <c r="A2515" s="8" t="s">
        <v>5380</v>
      </c>
      <c r="B2515" s="9"/>
      <c r="C2515" s="9"/>
      <c r="D2515" s="8"/>
      <c r="E2515" s="8"/>
      <c r="F2515" s="8"/>
      <c r="G2515" s="10"/>
      <c r="H2515" s="8" t="s">
        <v>5393</v>
      </c>
      <c r="I2515" s="10" t="s">
        <v>5394</v>
      </c>
      <c r="J2515" s="11" t="s">
        <v>33</v>
      </c>
      <c r="K2515" s="18">
        <v>240800</v>
      </c>
      <c r="L2515" s="12">
        <f>ROUNDUP(K2515*(1+P2515)/(1-Q2515),0)</f>
        <v>344000</v>
      </c>
      <c r="M2515" s="8">
        <v>1</v>
      </c>
      <c r="N2515" s="8" t="s">
        <v>27</v>
      </c>
      <c r="O2515" s="13"/>
      <c r="P2515" s="14">
        <v>0</v>
      </c>
      <c r="Q2515" s="15">
        <v>0.3</v>
      </c>
      <c r="R2515" s="16" t="str">
        <f t="shared" si="215"/>
        <v>LINDY</v>
      </c>
      <c r="S2515" s="17"/>
      <c r="T2515" s="10"/>
    </row>
    <row r="2516" spans="1:20" ht="27" customHeight="1" x14ac:dyDescent="0.25">
      <c r="A2516" s="8" t="s">
        <v>5380</v>
      </c>
      <c r="B2516" s="9"/>
      <c r="C2516" s="9"/>
      <c r="D2516" s="8"/>
      <c r="E2516" s="8"/>
      <c r="F2516" s="8"/>
      <c r="G2516" s="10"/>
      <c r="H2516" s="8" t="s">
        <v>5395</v>
      </c>
      <c r="I2516" s="10" t="s">
        <v>5396</v>
      </c>
      <c r="J2516" s="11" t="s">
        <v>33</v>
      </c>
      <c r="K2516" s="18">
        <v>120000</v>
      </c>
      <c r="L2516" s="12">
        <f>ROUNDUP(K2516*(1+P2516)/(1-Q2516),0)</f>
        <v>171429</v>
      </c>
      <c r="M2516" s="8">
        <v>1</v>
      </c>
      <c r="N2516" s="8" t="s">
        <v>27</v>
      </c>
      <c r="O2516" s="13"/>
      <c r="P2516" s="14">
        <v>0</v>
      </c>
      <c r="Q2516" s="15">
        <v>0.3</v>
      </c>
      <c r="R2516" s="16" t="str">
        <f t="shared" si="215"/>
        <v>LINDY</v>
      </c>
      <c r="S2516" s="17"/>
      <c r="T2516" s="10"/>
    </row>
    <row r="2517" spans="1:20" ht="27" customHeight="1" x14ac:dyDescent="0.25">
      <c r="A2517" s="8" t="s">
        <v>5397</v>
      </c>
      <c r="B2517" s="9"/>
      <c r="C2517" s="9"/>
      <c r="D2517" s="8"/>
      <c r="E2517" s="8"/>
      <c r="F2517" s="8" t="s">
        <v>22</v>
      </c>
      <c r="G2517" s="10" t="s">
        <v>5398</v>
      </c>
      <c r="H2517" s="8" t="s">
        <v>5399</v>
      </c>
      <c r="I2517" s="10" t="s">
        <v>5398</v>
      </c>
      <c r="J2517" s="11" t="s">
        <v>26</v>
      </c>
      <c r="K2517" s="18">
        <v>476</v>
      </c>
      <c r="L2517" s="12">
        <f t="shared" ref="L2517:L2522" si="216">IF(J2517="P",ROUNDUP(K2517/(1-Q2517),-2),K2517*(1+P2517)/(1-Q2517))</f>
        <v>816</v>
      </c>
      <c r="M2517" s="8">
        <v>1</v>
      </c>
      <c r="N2517" s="8" t="s">
        <v>27</v>
      </c>
      <c r="O2517" s="13"/>
      <c r="P2517" s="14">
        <v>0.2</v>
      </c>
      <c r="Q2517" s="15">
        <v>0.3</v>
      </c>
      <c r="R2517" s="16" t="str">
        <f t="shared" si="215"/>
        <v>LINK-MI</v>
      </c>
      <c r="S2517" s="17"/>
      <c r="T2517" s="10" t="str">
        <f>G2517</f>
        <v>CONTROLADOR PARA VIDEO WALL GENÉRICO CON FORMATOS: 1X2,1X3,1X4,2X1,2X2,3X1,4X1.</v>
      </c>
    </row>
    <row r="2518" spans="1:20" ht="27" customHeight="1" x14ac:dyDescent="0.25">
      <c r="A2518" s="8" t="s">
        <v>5397</v>
      </c>
      <c r="B2518" s="9"/>
      <c r="C2518" s="9"/>
      <c r="D2518" s="8"/>
      <c r="E2518" s="8"/>
      <c r="F2518" s="8" t="s">
        <v>22</v>
      </c>
      <c r="G2518" s="10" t="s">
        <v>5400</v>
      </c>
      <c r="H2518" s="8" t="s">
        <v>5401</v>
      </c>
      <c r="I2518" s="10" t="s">
        <v>5400</v>
      </c>
      <c r="J2518" s="11" t="s">
        <v>26</v>
      </c>
      <c r="K2518" s="18">
        <v>980</v>
      </c>
      <c r="L2518" s="12">
        <f t="shared" si="216"/>
        <v>1680</v>
      </c>
      <c r="M2518" s="8">
        <v>1</v>
      </c>
      <c r="N2518" s="8" t="s">
        <v>27</v>
      </c>
      <c r="O2518" s="13"/>
      <c r="P2518" s="14">
        <v>0.2</v>
      </c>
      <c r="Q2518" s="15">
        <v>0.3</v>
      </c>
      <c r="R2518" s="16" t="str">
        <f t="shared" si="215"/>
        <v>LINK-MI</v>
      </c>
      <c r="S2518" s="17"/>
      <c r="T2518" s="10" t="str">
        <f>G2518</f>
        <v>CONTROLADOR PARA VIDEO WALL GENÉRICO CON FORMATOS: 3X3, 2X3, 3X2, ENTRE OTROS.</v>
      </c>
    </row>
    <row r="2519" spans="1:20" ht="27" customHeight="1" x14ac:dyDescent="0.25">
      <c r="A2519" s="8" t="s">
        <v>5402</v>
      </c>
      <c r="B2519" s="9"/>
      <c r="C2519" s="9"/>
      <c r="D2519" s="8"/>
      <c r="E2519" s="8"/>
      <c r="F2519" s="8" t="s">
        <v>22</v>
      </c>
      <c r="G2519" s="10" t="s">
        <v>5403</v>
      </c>
      <c r="H2519" s="8" t="s">
        <v>5404</v>
      </c>
      <c r="I2519" s="10" t="s">
        <v>5403</v>
      </c>
      <c r="J2519" s="11" t="s">
        <v>33</v>
      </c>
      <c r="K2519" s="18">
        <v>259663</v>
      </c>
      <c r="L2519" s="12">
        <f t="shared" si="216"/>
        <v>432800</v>
      </c>
      <c r="M2519" s="8">
        <v>1</v>
      </c>
      <c r="N2519" s="8" t="s">
        <v>27</v>
      </c>
      <c r="O2519" s="13"/>
      <c r="P2519" s="14">
        <v>0.2</v>
      </c>
      <c r="Q2519" s="15">
        <v>0.4</v>
      </c>
      <c r="R2519" s="16" t="str">
        <f t="shared" si="215"/>
        <v>LINKSYS</v>
      </c>
      <c r="S2519" s="17"/>
      <c r="T2519" s="10" t="str">
        <f>G2519</f>
        <v>SWITCH DE 16 PUERTOS ETHERNET</v>
      </c>
    </row>
    <row r="2520" spans="1:20" ht="27" customHeight="1" x14ac:dyDescent="0.25">
      <c r="A2520" s="8" t="s">
        <v>5402</v>
      </c>
      <c r="B2520" s="9"/>
      <c r="C2520" s="9"/>
      <c r="D2520" s="8"/>
      <c r="E2520" s="8"/>
      <c r="F2520" s="8" t="s">
        <v>22</v>
      </c>
      <c r="G2520" s="10" t="s">
        <v>5405</v>
      </c>
      <c r="H2520" s="8" t="s">
        <v>5406</v>
      </c>
      <c r="I2520" s="10" t="s">
        <v>5405</v>
      </c>
      <c r="J2520" s="11" t="s">
        <v>33</v>
      </c>
      <c r="K2520" s="18">
        <v>142000</v>
      </c>
      <c r="L2520" s="12">
        <f t="shared" si="216"/>
        <v>236700</v>
      </c>
      <c r="M2520" s="8">
        <v>1</v>
      </c>
      <c r="N2520" s="8" t="s">
        <v>27</v>
      </c>
      <c r="O2520" s="13"/>
      <c r="P2520" s="14">
        <v>0</v>
      </c>
      <c r="Q2520" s="15">
        <v>0.4</v>
      </c>
      <c r="R2520" s="16" t="str">
        <f t="shared" si="215"/>
        <v>LINKSYS</v>
      </c>
      <c r="S2520" s="17"/>
      <c r="T2520" s="10" t="str">
        <f>G2520</f>
        <v>ROUTER GIGA ETHERNET DE 4 PUERTOS, DOBLE BANDA.</v>
      </c>
    </row>
    <row r="2521" spans="1:20" ht="27" customHeight="1" x14ac:dyDescent="0.25">
      <c r="A2521" s="8" t="s">
        <v>5402</v>
      </c>
      <c r="B2521" s="9"/>
      <c r="C2521" s="9"/>
      <c r="D2521" s="8"/>
      <c r="E2521" s="8"/>
      <c r="F2521" s="8"/>
      <c r="G2521" s="10"/>
      <c r="H2521" s="8" t="s">
        <v>5407</v>
      </c>
      <c r="I2521" s="10" t="s">
        <v>5408</v>
      </c>
      <c r="J2521" s="11" t="s">
        <v>33</v>
      </c>
      <c r="K2521" s="18">
        <v>79832</v>
      </c>
      <c r="L2521" s="12">
        <f t="shared" si="216"/>
        <v>114100</v>
      </c>
      <c r="M2521" s="8">
        <v>1</v>
      </c>
      <c r="N2521" s="8" t="s">
        <v>27</v>
      </c>
      <c r="O2521" s="13" t="s">
        <v>588</v>
      </c>
      <c r="P2521" s="14">
        <v>0</v>
      </c>
      <c r="Q2521" s="15">
        <v>0.3</v>
      </c>
      <c r="R2521" s="16" t="str">
        <f t="shared" si="215"/>
        <v>LINKSYS</v>
      </c>
      <c r="S2521" s="17"/>
      <c r="T2521" s="10"/>
    </row>
    <row r="2522" spans="1:20" ht="27" customHeight="1" x14ac:dyDescent="0.25">
      <c r="A2522" s="8" t="s">
        <v>5402</v>
      </c>
      <c r="B2522" s="9"/>
      <c r="C2522" s="9"/>
      <c r="D2522" s="8"/>
      <c r="E2522" s="8"/>
      <c r="F2522" s="8"/>
      <c r="G2522" s="10"/>
      <c r="H2522" s="8" t="s">
        <v>5409</v>
      </c>
      <c r="I2522" s="10" t="s">
        <v>5410</v>
      </c>
      <c r="J2522" s="11" t="s">
        <v>33</v>
      </c>
      <c r="K2522" s="18">
        <v>58000</v>
      </c>
      <c r="L2522" s="12">
        <f t="shared" si="216"/>
        <v>82900</v>
      </c>
      <c r="M2522" s="8">
        <v>1</v>
      </c>
      <c r="N2522" s="8" t="s">
        <v>27</v>
      </c>
      <c r="O2522" s="13" t="s">
        <v>588</v>
      </c>
      <c r="P2522" s="14">
        <v>0</v>
      </c>
      <c r="Q2522" s="15">
        <v>0.3</v>
      </c>
      <c r="R2522" s="16" t="str">
        <f t="shared" si="215"/>
        <v>LINKSYS</v>
      </c>
      <c r="S2522" s="17"/>
      <c r="T2522" s="10"/>
    </row>
    <row r="2523" spans="1:20" ht="27" customHeight="1" x14ac:dyDescent="0.25">
      <c r="A2523" s="8" t="s">
        <v>5402</v>
      </c>
      <c r="B2523" s="9"/>
      <c r="C2523" s="9"/>
      <c r="D2523" s="8"/>
      <c r="E2523" s="8"/>
      <c r="F2523" s="8"/>
      <c r="G2523" s="10"/>
      <c r="H2523" s="8" t="s">
        <v>5411</v>
      </c>
      <c r="I2523" s="10" t="s">
        <v>5412</v>
      </c>
      <c r="J2523" s="11" t="s">
        <v>26</v>
      </c>
      <c r="K2523" s="18">
        <v>90</v>
      </c>
      <c r="L2523" s="12">
        <f>K2523*(1+P2523)/(1-Q2523)</f>
        <v>135</v>
      </c>
      <c r="M2523" s="8">
        <v>1</v>
      </c>
      <c r="N2523" s="8" t="s">
        <v>27</v>
      </c>
      <c r="O2523" s="13"/>
      <c r="P2523" s="14">
        <v>0.2</v>
      </c>
      <c r="Q2523" s="15">
        <v>0.2</v>
      </c>
      <c r="R2523" s="16" t="str">
        <f t="shared" si="215"/>
        <v>LINKSYS</v>
      </c>
      <c r="S2523" s="17"/>
      <c r="T2523" s="10"/>
    </row>
    <row r="2524" spans="1:20" ht="27" customHeight="1" x14ac:dyDescent="0.25">
      <c r="A2524" s="8" t="s">
        <v>5413</v>
      </c>
      <c r="B2524" s="9"/>
      <c r="C2524" s="9"/>
      <c r="D2524" s="8"/>
      <c r="E2524" s="8"/>
      <c r="F2524" s="8"/>
      <c r="G2524" s="10"/>
      <c r="H2524" s="8" t="s">
        <v>5414</v>
      </c>
      <c r="I2524" s="10" t="s">
        <v>5415</v>
      </c>
      <c r="J2524" s="11" t="s">
        <v>33</v>
      </c>
      <c r="K2524" s="18">
        <v>43000</v>
      </c>
      <c r="L2524" s="12">
        <f>IF(J2524="P",ROUNDUP(K2524/(1-Q2524),-2),K2524*(1+P2524)/(1-Q2524))</f>
        <v>61500</v>
      </c>
      <c r="M2524" s="8">
        <v>1</v>
      </c>
      <c r="N2524" s="8" t="s">
        <v>27</v>
      </c>
      <c r="O2524" s="13">
        <f>F2524</f>
        <v>0</v>
      </c>
      <c r="P2524" s="14">
        <v>0</v>
      </c>
      <c r="Q2524" s="15">
        <v>0.3</v>
      </c>
      <c r="R2524" s="16" t="str">
        <f t="shared" si="215"/>
        <v>LITHIUM</v>
      </c>
      <c r="S2524" s="17"/>
      <c r="T2524" s="10"/>
    </row>
    <row r="2525" spans="1:20" ht="27" customHeight="1" x14ac:dyDescent="0.25">
      <c r="A2525" s="8" t="s">
        <v>5416</v>
      </c>
      <c r="B2525" s="9"/>
      <c r="C2525" s="9"/>
      <c r="D2525" s="8" t="s">
        <v>45</v>
      </c>
      <c r="E2525" s="8"/>
      <c r="F2525" s="8" t="s">
        <v>22</v>
      </c>
      <c r="G2525" s="10" t="s">
        <v>5417</v>
      </c>
      <c r="H2525" s="8" t="s">
        <v>5418</v>
      </c>
      <c r="I2525" s="10" t="s">
        <v>5417</v>
      </c>
      <c r="J2525" s="11" t="s">
        <v>33</v>
      </c>
      <c r="K2525" s="18">
        <v>175000</v>
      </c>
      <c r="L2525" s="12">
        <f>IF(J2525="P",ROUNDUP(K2525/(1-Q2525),-2),K2525*(1+P2525)/(1-Q2525))</f>
        <v>250000</v>
      </c>
      <c r="M2525" s="8">
        <v>1</v>
      </c>
      <c r="N2525" s="8" t="s">
        <v>27</v>
      </c>
      <c r="O2525" s="13"/>
      <c r="P2525" s="14">
        <v>0</v>
      </c>
      <c r="Q2525" s="15">
        <v>0.3</v>
      </c>
      <c r="R2525" s="16" t="str">
        <f t="shared" si="215"/>
        <v>LIVERTECH</v>
      </c>
      <c r="S2525" s="17"/>
      <c r="T2525" s="10" t="str">
        <f t="shared" ref="T2525:T2534" si="217">G2525</f>
        <v>PANEL DE FUENTES DC DE 20 AMPERIOS, 12 VOLTIOS PARA 12 SALIDAS</v>
      </c>
    </row>
    <row r="2526" spans="1:20" ht="27" customHeight="1" x14ac:dyDescent="0.25">
      <c r="A2526" s="8" t="s">
        <v>5419</v>
      </c>
      <c r="B2526" s="9" t="s">
        <v>2277</v>
      </c>
      <c r="C2526" s="9"/>
      <c r="D2526" s="8" t="s">
        <v>2087</v>
      </c>
      <c r="E2526" s="8"/>
      <c r="F2526" s="8" t="s">
        <v>22</v>
      </c>
      <c r="G2526" s="10" t="s">
        <v>5420</v>
      </c>
      <c r="H2526" s="8" t="s">
        <v>5421</v>
      </c>
      <c r="I2526" s="10" t="s">
        <v>5420</v>
      </c>
      <c r="J2526" s="11" t="s">
        <v>26</v>
      </c>
      <c r="K2526" s="18">
        <v>53</v>
      </c>
      <c r="L2526" s="12">
        <f>IF(J2526="P",ROUNDUP(K2526/(1-Q2526),-2),K2526*(1+P2526)/(1-Q2526))</f>
        <v>106</v>
      </c>
      <c r="M2526" s="8">
        <v>1</v>
      </c>
      <c r="N2526" s="8" t="s">
        <v>27</v>
      </c>
      <c r="O2526" s="13"/>
      <c r="P2526" s="14">
        <v>0.2</v>
      </c>
      <c r="Q2526" s="15">
        <v>0.4</v>
      </c>
      <c r="R2526" s="16" t="str">
        <f t="shared" si="215"/>
        <v>LOEVET</v>
      </c>
      <c r="S2526" s="17"/>
      <c r="T2526" s="10" t="str">
        <f t="shared" si="217"/>
        <v>PANEL ATENUABLE 0-10V, ALIMENTACIÓN A 110V. 48 VATIOS, 3600 LUMENS.</v>
      </c>
    </row>
    <row r="2527" spans="1:20" ht="27" customHeight="1" x14ac:dyDescent="0.25">
      <c r="A2527" s="8" t="s">
        <v>5422</v>
      </c>
      <c r="B2527" s="9"/>
      <c r="C2527" s="9"/>
      <c r="D2527" s="8"/>
      <c r="E2527" s="8"/>
      <c r="F2527" s="8" t="s">
        <v>22</v>
      </c>
      <c r="G2527" s="10" t="s">
        <v>5423</v>
      </c>
      <c r="H2527" s="8" t="s">
        <v>5424</v>
      </c>
      <c r="I2527" s="10" t="s">
        <v>5423</v>
      </c>
      <c r="J2527" s="11" t="s">
        <v>33</v>
      </c>
      <c r="K2527" s="18">
        <v>265000</v>
      </c>
      <c r="L2527" s="12">
        <f>IF(J2527="P",ROUNDUP(K2527/(1-Q2527),-2),K2527*(1+P2527)/(1-Q2527))</f>
        <v>378600</v>
      </c>
      <c r="M2527" s="8">
        <v>1</v>
      </c>
      <c r="N2527" s="8" t="s">
        <v>27</v>
      </c>
      <c r="O2527" s="13"/>
      <c r="P2527" s="14">
        <v>0.2</v>
      </c>
      <c r="Q2527" s="15">
        <v>0.3</v>
      </c>
      <c r="R2527" s="16" t="str">
        <f t="shared" si="215"/>
        <v>LOGITECH</v>
      </c>
      <c r="S2527" s="17"/>
      <c r="T2527" s="10" t="str">
        <f t="shared" si="217"/>
        <v>CÁMARA DE VIDEO FULL HD, PARA INSTALACIÓN TV, CONEXIÓN USB A COMPUTADOR.</v>
      </c>
    </row>
    <row r="2528" spans="1:20" ht="27" customHeight="1" x14ac:dyDescent="0.25">
      <c r="A2528" s="8" t="s">
        <v>5422</v>
      </c>
      <c r="B2528" s="9"/>
      <c r="C2528" s="9"/>
      <c r="D2528" s="8"/>
      <c r="E2528" s="8"/>
      <c r="F2528" s="8" t="s">
        <v>22</v>
      </c>
      <c r="G2528" s="10" t="s">
        <v>5425</v>
      </c>
      <c r="H2528" s="8" t="s">
        <v>5426</v>
      </c>
      <c r="I2528" s="10" t="s">
        <v>5425</v>
      </c>
      <c r="J2528" s="11" t="s">
        <v>33</v>
      </c>
      <c r="K2528" s="18">
        <v>145000</v>
      </c>
      <c r="L2528" s="12">
        <f>IF(J2528="P",ROUNDUP(K2528/(1-Q2528),-2),K2528*(1+P2528)/(1-Q2528))</f>
        <v>193400</v>
      </c>
      <c r="M2528" s="8">
        <v>1</v>
      </c>
      <c r="N2528" s="8" t="s">
        <v>27</v>
      </c>
      <c r="O2528" s="13"/>
      <c r="P2528" s="14">
        <v>0.2</v>
      </c>
      <c r="Q2528" s="15">
        <v>0.25</v>
      </c>
      <c r="R2528" s="16" t="str">
        <f t="shared" si="215"/>
        <v>LOGITECH</v>
      </c>
      <c r="S2528" s="17"/>
      <c r="T2528" s="10" t="str">
        <f t="shared" si="217"/>
        <v>CÁMARA WEB PARA COMPUTADOR</v>
      </c>
    </row>
    <row r="2529" spans="1:20" ht="27" customHeight="1" x14ac:dyDescent="0.25">
      <c r="A2529" s="8" t="s">
        <v>5422</v>
      </c>
      <c r="B2529" s="9"/>
      <c r="C2529" s="9"/>
      <c r="D2529" s="8" t="s">
        <v>45</v>
      </c>
      <c r="E2529" s="8"/>
      <c r="F2529" s="8" t="s">
        <v>22</v>
      </c>
      <c r="G2529" s="10" t="s">
        <v>5427</v>
      </c>
      <c r="H2529" s="8" t="s">
        <v>5428</v>
      </c>
      <c r="I2529" s="10" t="s">
        <v>5429</v>
      </c>
      <c r="J2529" s="11" t="s">
        <v>26</v>
      </c>
      <c r="K2529" s="18">
        <v>1999</v>
      </c>
      <c r="L2529" s="12">
        <f>ROUNDUP(K2529*(1+P2529)/(1-Q2529),0)</f>
        <v>3427</v>
      </c>
      <c r="M2529" s="8">
        <v>1</v>
      </c>
      <c r="N2529" s="8" t="s">
        <v>27</v>
      </c>
      <c r="O2529" s="13"/>
      <c r="P2529" s="14">
        <v>0.2</v>
      </c>
      <c r="Q2529" s="15">
        <v>0.3</v>
      </c>
      <c r="R2529" s="16" t="str">
        <f t="shared" si="215"/>
        <v>LOGITECH</v>
      </c>
      <c r="S2529" s="17"/>
      <c r="T2529" s="10" t="str">
        <f t="shared" si="217"/>
        <v>SISTEMA DE VIDEO CONFERENCIA COMPATIBLE CON SKYPE BUSINESS.</v>
      </c>
    </row>
    <row r="2530" spans="1:20" ht="27" customHeight="1" x14ac:dyDescent="0.25">
      <c r="A2530" s="8" t="s">
        <v>5422</v>
      </c>
      <c r="B2530" s="9"/>
      <c r="C2530" s="9"/>
      <c r="D2530" s="8" t="s">
        <v>45</v>
      </c>
      <c r="E2530" s="8"/>
      <c r="F2530" s="8" t="s">
        <v>22</v>
      </c>
      <c r="G2530" s="10" t="s">
        <v>5430</v>
      </c>
      <c r="H2530" s="8" t="s">
        <v>5431</v>
      </c>
      <c r="I2530" s="10" t="s">
        <v>5430</v>
      </c>
      <c r="J2530" s="11" t="s">
        <v>33</v>
      </c>
      <c r="K2530" s="18">
        <v>99900</v>
      </c>
      <c r="L2530" s="12">
        <f>ROUNDUP(K2530*(1+P2530)/(1-Q2530),0)</f>
        <v>142715</v>
      </c>
      <c r="M2530" s="8">
        <v>1</v>
      </c>
      <c r="N2530" s="8" t="s">
        <v>27</v>
      </c>
      <c r="O2530" s="13"/>
      <c r="P2530" s="14">
        <v>0</v>
      </c>
      <c r="Q2530" s="15">
        <v>0.3</v>
      </c>
      <c r="R2530" s="16" t="str">
        <f t="shared" si="215"/>
        <v>LOGITECH</v>
      </c>
      <c r="S2530" s="17"/>
      <c r="T2530" s="10" t="str">
        <f t="shared" si="217"/>
        <v>KIT INALÁMBRICO DE TECLADO Y MOUSE</v>
      </c>
    </row>
    <row r="2531" spans="1:20" ht="27" customHeight="1" x14ac:dyDescent="0.25">
      <c r="A2531" s="8" t="s">
        <v>5422</v>
      </c>
      <c r="B2531" s="9"/>
      <c r="C2531" s="9"/>
      <c r="D2531" s="8" t="s">
        <v>45</v>
      </c>
      <c r="E2531" s="8"/>
      <c r="F2531" s="8" t="s">
        <v>22</v>
      </c>
      <c r="G2531" s="10" t="str">
        <f>B2531&amp;"-"&amp;D2531&amp;"-"&amp;E2531&amp;F2531</f>
        <v>-PROG_-BLANCO</v>
      </c>
      <c r="H2531" s="8" t="s">
        <v>5432</v>
      </c>
      <c r="I2531" s="10" t="s">
        <v>5433</v>
      </c>
      <c r="J2531" s="11" t="s">
        <v>26</v>
      </c>
      <c r="K2531" s="18">
        <v>807</v>
      </c>
      <c r="L2531" s="12">
        <f>IF(J2531="P",ROUNDUP(K2531/(1-Q2531),-2),K2531*(1+P2531)/(1-Q2531))</f>
        <v>1152.8571428571429</v>
      </c>
      <c r="M2531" s="8">
        <v>1</v>
      </c>
      <c r="N2531" s="8" t="s">
        <v>27</v>
      </c>
      <c r="O2531" s="13"/>
      <c r="P2531" s="14">
        <v>0</v>
      </c>
      <c r="Q2531" s="15">
        <v>0.3</v>
      </c>
      <c r="R2531" s="16" t="str">
        <f t="shared" si="215"/>
        <v>LOGITECH</v>
      </c>
      <c r="S2531" s="17"/>
      <c r="T2531" s="10" t="str">
        <f t="shared" si="217"/>
        <v>-PROG_-BLANCO</v>
      </c>
    </row>
    <row r="2532" spans="1:20" ht="27" customHeight="1" x14ac:dyDescent="0.25">
      <c r="A2532" s="8" t="s">
        <v>5422</v>
      </c>
      <c r="B2532" s="9"/>
      <c r="C2532" s="9"/>
      <c r="D2532" s="8" t="s">
        <v>45</v>
      </c>
      <c r="E2532" s="8"/>
      <c r="F2532" s="8" t="s">
        <v>22</v>
      </c>
      <c r="G2532" s="10" t="str">
        <f>B2532&amp;"-"&amp;D2532&amp;"-"&amp;E2532&amp;F2532</f>
        <v>-PROG_-BLANCO</v>
      </c>
      <c r="H2532" s="8" t="s">
        <v>5434</v>
      </c>
      <c r="I2532" s="10" t="s">
        <v>5435</v>
      </c>
      <c r="J2532" s="11" t="s">
        <v>26</v>
      </c>
      <c r="K2532" s="18">
        <v>561.97623842126472</v>
      </c>
      <c r="L2532" s="12">
        <f>IF(J2532="P",ROUNDUP(K2532/(1-Q2532),-2),K2532*(1+P2532)/(1-Q2532))</f>
        <v>802.82319774466396</v>
      </c>
      <c r="M2532" s="8">
        <v>1</v>
      </c>
      <c r="N2532" s="8" t="s">
        <v>27</v>
      </c>
      <c r="O2532" s="13"/>
      <c r="P2532" s="14">
        <v>0</v>
      </c>
      <c r="Q2532" s="15">
        <v>0.3</v>
      </c>
      <c r="R2532" s="16" t="str">
        <f t="shared" si="215"/>
        <v>LOGITECH</v>
      </c>
      <c r="S2532" s="17"/>
      <c r="T2532" s="10" t="str">
        <f t="shared" si="217"/>
        <v>-PROG_-BLANCO</v>
      </c>
    </row>
    <row r="2533" spans="1:20" ht="27" customHeight="1" x14ac:dyDescent="0.25">
      <c r="A2533" s="8" t="s">
        <v>5422</v>
      </c>
      <c r="B2533" s="9"/>
      <c r="C2533" s="9"/>
      <c r="D2533" s="8" t="s">
        <v>45</v>
      </c>
      <c r="E2533" s="8"/>
      <c r="F2533" s="8" t="s">
        <v>22</v>
      </c>
      <c r="G2533" s="10" t="str">
        <f>B2533&amp;"-"&amp;D2533&amp;"-"&amp;E2533&amp;F2533</f>
        <v>-PROG_-BLANCO</v>
      </c>
      <c r="H2533" s="8" t="s">
        <v>5436</v>
      </c>
      <c r="I2533" s="10" t="s">
        <v>5437</v>
      </c>
      <c r="J2533" s="11" t="s">
        <v>26</v>
      </c>
      <c r="K2533" s="18">
        <v>1231.245670559807</v>
      </c>
      <c r="L2533" s="12">
        <f>IF(J2533="P",ROUNDUP(K2533/(1-Q2533),-2),K2533*(1+P2533)/(1-Q2533))</f>
        <v>1758.92238651401</v>
      </c>
      <c r="M2533" s="8">
        <v>1</v>
      </c>
      <c r="N2533" s="8" t="s">
        <v>27</v>
      </c>
      <c r="O2533" s="13"/>
      <c r="P2533" s="14">
        <v>0</v>
      </c>
      <c r="Q2533" s="15">
        <v>0.3</v>
      </c>
      <c r="R2533" s="16" t="str">
        <f t="shared" si="215"/>
        <v>LOGITECH</v>
      </c>
      <c r="S2533" s="17"/>
      <c r="T2533" s="10" t="str">
        <f t="shared" si="217"/>
        <v>-PROG_-BLANCO</v>
      </c>
    </row>
    <row r="2534" spans="1:20" ht="27" customHeight="1" x14ac:dyDescent="0.25">
      <c r="A2534" s="8" t="s">
        <v>5422</v>
      </c>
      <c r="B2534" s="9"/>
      <c r="C2534" s="9"/>
      <c r="D2534" s="8" t="s">
        <v>45</v>
      </c>
      <c r="E2534" s="8"/>
      <c r="F2534" s="8" t="s">
        <v>22</v>
      </c>
      <c r="G2534" s="10" t="str">
        <f>B2534&amp;"-"&amp;D2534&amp;"-"&amp;E2534&amp;F2534</f>
        <v>-PROG_-BLANCO</v>
      </c>
      <c r="H2534" s="8" t="s">
        <v>5438</v>
      </c>
      <c r="I2534" s="10" t="s">
        <v>5439</v>
      </c>
      <c r="J2534" s="11" t="s">
        <v>26</v>
      </c>
      <c r="K2534" s="18">
        <v>69.778091018928734</v>
      </c>
      <c r="L2534" s="12">
        <f>IF(J2534="P",ROUNDUP(K2534/(1-Q2534),-2),K2534*(1+P2534)/(1-Q2534))</f>
        <v>99.682987169898198</v>
      </c>
      <c r="M2534" s="8">
        <v>1</v>
      </c>
      <c r="N2534" s="8" t="s">
        <v>27</v>
      </c>
      <c r="O2534" s="13"/>
      <c r="P2534" s="14">
        <v>0</v>
      </c>
      <c r="Q2534" s="15">
        <v>0.3</v>
      </c>
      <c r="R2534" s="16" t="str">
        <f t="shared" si="215"/>
        <v>LOGITECH</v>
      </c>
      <c r="S2534" s="17"/>
      <c r="T2534" s="10" t="str">
        <f t="shared" si="217"/>
        <v>-PROG_-BLANCO</v>
      </c>
    </row>
    <row r="2535" spans="1:20" ht="27" customHeight="1" x14ac:dyDescent="0.25">
      <c r="A2535" s="8" t="s">
        <v>5422</v>
      </c>
      <c r="B2535" s="9"/>
      <c r="C2535" s="9"/>
      <c r="D2535" s="8"/>
      <c r="E2535" s="8"/>
      <c r="F2535" s="8"/>
      <c r="G2535" s="10"/>
      <c r="H2535" s="8" t="s">
        <v>5440</v>
      </c>
      <c r="I2535" s="10" t="s">
        <v>5441</v>
      </c>
      <c r="J2535" s="11" t="s">
        <v>26</v>
      </c>
      <c r="K2535" s="18">
        <v>64</v>
      </c>
      <c r="L2535" s="12">
        <f>IF(J2535="P",ROUNDUP(K2535/(1-Q2535),-2),K2535*(1+P2535)/(1-Q2535))</f>
        <v>91.428571428571431</v>
      </c>
      <c r="M2535" s="8">
        <v>1</v>
      </c>
      <c r="N2535" s="8" t="s">
        <v>27</v>
      </c>
      <c r="O2535" s="13"/>
      <c r="P2535" s="14">
        <v>0</v>
      </c>
      <c r="Q2535" s="15">
        <v>0.3</v>
      </c>
      <c r="R2535" s="16" t="str">
        <f t="shared" si="215"/>
        <v>LOGITECH</v>
      </c>
      <c r="S2535" s="17"/>
      <c r="T2535" s="10"/>
    </row>
    <row r="2536" spans="1:20" ht="27" customHeight="1" x14ac:dyDescent="0.25">
      <c r="A2536" s="8" t="s">
        <v>5422</v>
      </c>
      <c r="B2536" s="9"/>
      <c r="C2536" s="9"/>
      <c r="D2536" s="8"/>
      <c r="E2536" s="8"/>
      <c r="F2536" s="8"/>
      <c r="G2536" s="10"/>
      <c r="H2536" s="8" t="s">
        <v>5442</v>
      </c>
      <c r="I2536" s="10" t="s">
        <v>5443</v>
      </c>
      <c r="J2536" s="11" t="s">
        <v>33</v>
      </c>
      <c r="K2536" s="18">
        <f>165900/1.19</f>
        <v>139411.76470588235</v>
      </c>
      <c r="L2536" s="12">
        <f>ROUNDUP(K2536*(1+P2536)/(1-Q2536),0)</f>
        <v>185883</v>
      </c>
      <c r="M2536" s="8">
        <v>1</v>
      </c>
      <c r="N2536" s="8" t="s">
        <v>27</v>
      </c>
      <c r="O2536" s="13"/>
      <c r="P2536" s="14">
        <v>0</v>
      </c>
      <c r="Q2536" s="15">
        <v>0.25</v>
      </c>
      <c r="R2536" s="16" t="str">
        <f t="shared" si="215"/>
        <v>LOGITECH</v>
      </c>
      <c r="S2536" s="17"/>
      <c r="T2536" s="10"/>
    </row>
    <row r="2537" spans="1:20" ht="27" customHeight="1" x14ac:dyDescent="0.25">
      <c r="A2537" s="8" t="s">
        <v>5422</v>
      </c>
      <c r="B2537" s="9"/>
      <c r="C2537" s="9"/>
      <c r="D2537" s="8"/>
      <c r="E2537" s="8"/>
      <c r="F2537" s="8"/>
      <c r="G2537" s="10"/>
      <c r="H2537" s="8" t="s">
        <v>5444</v>
      </c>
      <c r="I2537" s="10" t="s">
        <v>5445</v>
      </c>
      <c r="J2537" s="11" t="s">
        <v>26</v>
      </c>
      <c r="K2537" s="18">
        <v>229</v>
      </c>
      <c r="L2537" s="12">
        <f>ROUNDUP(K2537*(1+P2537)/(1-Q2537),0)</f>
        <v>393</v>
      </c>
      <c r="M2537" s="8">
        <v>1</v>
      </c>
      <c r="N2537" s="8" t="s">
        <v>27</v>
      </c>
      <c r="O2537" s="13"/>
      <c r="P2537" s="14">
        <v>0.2</v>
      </c>
      <c r="Q2537" s="15">
        <v>0.3</v>
      </c>
      <c r="R2537" s="16" t="str">
        <f t="shared" si="215"/>
        <v>LOGITECH</v>
      </c>
      <c r="S2537" s="17"/>
      <c r="T2537" s="10"/>
    </row>
    <row r="2538" spans="1:20" ht="27" customHeight="1" x14ac:dyDescent="0.25">
      <c r="A2538" s="8" t="s">
        <v>5446</v>
      </c>
      <c r="B2538" s="9"/>
      <c r="C2538" s="9"/>
      <c r="D2538" s="8" t="s">
        <v>45</v>
      </c>
      <c r="E2538" s="8"/>
      <c r="F2538" s="8" t="s">
        <v>22</v>
      </c>
      <c r="G2538" s="10" t="s">
        <v>5447</v>
      </c>
      <c r="H2538" s="8" t="s">
        <v>5448</v>
      </c>
      <c r="I2538" s="10" t="s">
        <v>5447</v>
      </c>
      <c r="J2538" s="11" t="s">
        <v>26</v>
      </c>
      <c r="K2538" s="18">
        <v>245</v>
      </c>
      <c r="L2538" s="12">
        <f>IF(J2538="P",ROUNDUP(K2538/(1-Q2538),-2),K2538*(1+P2538)/(1-Q2538))</f>
        <v>420</v>
      </c>
      <c r="M2538" s="8">
        <v>1</v>
      </c>
      <c r="N2538" s="8" t="s">
        <v>27</v>
      </c>
      <c r="O2538" s="13"/>
      <c r="P2538" s="14">
        <v>0.2</v>
      </c>
      <c r="Q2538" s="15">
        <v>0.3</v>
      </c>
      <c r="R2538" s="16" t="str">
        <f t="shared" si="215"/>
        <v>LUCKY TONE</v>
      </c>
      <c r="S2538" s="17"/>
      <c r="T2538" s="10" t="str">
        <f>G2538</f>
        <v>MICRÓFONO CUELLO DE GANZO CON CONECTIVIDAD DANTE MEDIANTE PoE.</v>
      </c>
    </row>
    <row r="2539" spans="1:20" ht="27" customHeight="1" x14ac:dyDescent="0.25">
      <c r="A2539" s="8" t="s">
        <v>5449</v>
      </c>
      <c r="B2539" s="9"/>
      <c r="C2539" s="9"/>
      <c r="D2539" s="8"/>
      <c r="E2539" s="8"/>
      <c r="F2539" s="8"/>
      <c r="G2539" s="10"/>
      <c r="H2539" s="8" t="s">
        <v>5450</v>
      </c>
      <c r="I2539" s="10" t="s">
        <v>5451</v>
      </c>
      <c r="J2539" s="11" t="s">
        <v>33</v>
      </c>
      <c r="K2539" s="18">
        <v>84033</v>
      </c>
      <c r="L2539" s="12">
        <f>ROUNDUP(K2539*(1+P2539)/(1-Q2539),0)</f>
        <v>140055</v>
      </c>
      <c r="M2539" s="8">
        <v>1</v>
      </c>
      <c r="N2539" s="8" t="s">
        <v>27</v>
      </c>
      <c r="O2539" s="13"/>
      <c r="P2539" s="14">
        <v>0</v>
      </c>
      <c r="Q2539" s="15">
        <v>0.4</v>
      </c>
      <c r="R2539" s="16" t="str">
        <f t="shared" si="215"/>
        <v>LULOVA</v>
      </c>
      <c r="S2539" s="17"/>
      <c r="T2539" s="10"/>
    </row>
    <row r="2540" spans="1:20" ht="27" customHeight="1" x14ac:dyDescent="0.25">
      <c r="A2540" s="8" t="s">
        <v>5449</v>
      </c>
      <c r="B2540" s="9"/>
      <c r="C2540" s="9"/>
      <c r="D2540" s="8"/>
      <c r="E2540" s="8"/>
      <c r="F2540" s="8"/>
      <c r="G2540" s="10"/>
      <c r="H2540" s="8" t="s">
        <v>5452</v>
      </c>
      <c r="I2540" s="10" t="s">
        <v>5453</v>
      </c>
      <c r="J2540" s="11" t="s">
        <v>33</v>
      </c>
      <c r="K2540" s="18">
        <v>375000</v>
      </c>
      <c r="L2540" s="12">
        <f>IF(J2540="P",ROUNDUP(K2540/(1-Q2540),-2),K2540*(1+P2540)/(1-Q2540))</f>
        <v>750000</v>
      </c>
      <c r="M2540" s="8">
        <v>1</v>
      </c>
      <c r="N2540" s="8" t="s">
        <v>27</v>
      </c>
      <c r="O2540" s="13" t="s">
        <v>588</v>
      </c>
      <c r="P2540" s="14">
        <v>0</v>
      </c>
      <c r="Q2540" s="15">
        <v>0.5</v>
      </c>
      <c r="R2540" s="16" t="str">
        <f t="shared" si="215"/>
        <v>LULOVA</v>
      </c>
      <c r="S2540" s="17"/>
      <c r="T2540" s="10"/>
    </row>
    <row r="2541" spans="1:20" ht="27" customHeight="1" x14ac:dyDescent="0.25">
      <c r="A2541" s="8" t="s">
        <v>5454</v>
      </c>
      <c r="B2541" s="9"/>
      <c r="C2541" s="9"/>
      <c r="D2541" s="8"/>
      <c r="E2541" s="8"/>
      <c r="F2541" s="8" t="s">
        <v>22</v>
      </c>
      <c r="G2541" s="10" t="s">
        <v>5455</v>
      </c>
      <c r="H2541" s="8" t="s">
        <v>5456</v>
      </c>
      <c r="I2541" s="10" t="s">
        <v>5455</v>
      </c>
      <c r="J2541" s="11" t="s">
        <v>33</v>
      </c>
      <c r="K2541" s="18">
        <v>16810</v>
      </c>
      <c r="L2541" s="12">
        <f>IF(J2541="P",ROUNDUP(K2541/(1-Q2541),-2),K2541*(1+P2541)/(1-Q2541))</f>
        <v>28100</v>
      </c>
      <c r="M2541" s="8">
        <v>1</v>
      </c>
      <c r="N2541" s="8" t="s">
        <v>27</v>
      </c>
      <c r="O2541" s="13"/>
      <c r="P2541" s="14">
        <v>0.2</v>
      </c>
      <c r="Q2541" s="15">
        <v>0.4</v>
      </c>
      <c r="R2541" s="16" t="str">
        <f t="shared" si="215"/>
        <v>LUMEK</v>
      </c>
      <c r="S2541" s="17"/>
      <c r="T2541" s="10" t="str">
        <f t="shared" ref="T2541:T2572" si="218">G2541</f>
        <v>BOMBILLA ECO CLASIK 3000K, ROSCA E27, 7 VATIOS.</v>
      </c>
    </row>
    <row r="2542" spans="1:20" ht="27" customHeight="1" x14ac:dyDescent="0.25">
      <c r="A2542" s="8" t="s">
        <v>5454</v>
      </c>
      <c r="B2542" s="9"/>
      <c r="C2542" s="9"/>
      <c r="D2542" s="8"/>
      <c r="E2542" s="8"/>
      <c r="F2542" s="8" t="s">
        <v>22</v>
      </c>
      <c r="G2542" s="10" t="s">
        <v>5457</v>
      </c>
      <c r="H2542" s="8" t="s">
        <v>5458</v>
      </c>
      <c r="I2542" s="10" t="s">
        <v>5457</v>
      </c>
      <c r="J2542" s="11" t="s">
        <v>33</v>
      </c>
      <c r="K2542" s="18">
        <v>7000</v>
      </c>
      <c r="L2542" s="12">
        <f>IF(J2542="P",ROUNDUP(K2542/(1-Q2542),-2),K2542*(1+P2542)/(1-Q2542))</f>
        <v>11700</v>
      </c>
      <c r="M2542" s="8">
        <v>1</v>
      </c>
      <c r="N2542" s="8" t="s">
        <v>27</v>
      </c>
      <c r="O2542" s="13"/>
      <c r="P2542" s="14">
        <v>0.2</v>
      </c>
      <c r="Q2542" s="15">
        <v>0.4</v>
      </c>
      <c r="R2542" s="16" t="str">
        <f t="shared" si="215"/>
        <v>LUMEK</v>
      </c>
      <c r="S2542" s="17"/>
      <c r="T2542" s="10" t="str">
        <f t="shared" si="218"/>
        <v>LED ECO SPOT MR16 7W 6500K.</v>
      </c>
    </row>
    <row r="2543" spans="1:20" ht="27" customHeight="1" x14ac:dyDescent="0.25">
      <c r="A2543" s="8" t="s">
        <v>5454</v>
      </c>
      <c r="B2543" s="9"/>
      <c r="C2543" s="9"/>
      <c r="D2543" s="8" t="s">
        <v>45</v>
      </c>
      <c r="E2543" s="8"/>
      <c r="F2543" s="8" t="s">
        <v>22</v>
      </c>
      <c r="G2543" s="10" t="s">
        <v>5459</v>
      </c>
      <c r="H2543" s="8" t="s">
        <v>5460</v>
      </c>
      <c r="I2543" s="10" t="s">
        <v>5459</v>
      </c>
      <c r="J2543" s="11" t="s">
        <v>33</v>
      </c>
      <c r="K2543" s="18">
        <v>19000</v>
      </c>
      <c r="L2543" s="12">
        <f>ROUNDUP(K2543*(1+P2543)/(1-Q2543),0)</f>
        <v>27143</v>
      </c>
      <c r="M2543" s="8">
        <v>1</v>
      </c>
      <c r="N2543" s="8" t="s">
        <v>27</v>
      </c>
      <c r="O2543" s="13"/>
      <c r="P2543" s="14">
        <v>0</v>
      </c>
      <c r="Q2543" s="15">
        <v>0.3</v>
      </c>
      <c r="R2543" s="16" t="str">
        <f t="shared" si="215"/>
        <v>LUMEK</v>
      </c>
      <c r="S2543" s="17"/>
      <c r="T2543" s="10" t="str">
        <f t="shared" si="218"/>
        <v>LED DIMERIZABLE 3000K ROSCA E27 DE 14W.</v>
      </c>
    </row>
    <row r="2544" spans="1:20" ht="27" customHeight="1" x14ac:dyDescent="0.25">
      <c r="A2544" s="8" t="s">
        <v>5454</v>
      </c>
      <c r="B2544" s="9" t="s">
        <v>93</v>
      </c>
      <c r="C2544" s="9"/>
      <c r="D2544" s="8" t="s">
        <v>2087</v>
      </c>
      <c r="E2544" s="8"/>
      <c r="F2544" s="8" t="s">
        <v>22</v>
      </c>
      <c r="G2544" s="10" t="s">
        <v>5461</v>
      </c>
      <c r="H2544" s="8" t="s">
        <v>5462</v>
      </c>
      <c r="I2544" s="10" t="s">
        <v>5461</v>
      </c>
      <c r="J2544" s="11" t="s">
        <v>33</v>
      </c>
      <c r="K2544" s="18">
        <v>38000</v>
      </c>
      <c r="L2544" s="12">
        <f t="shared" ref="L2544:L2575" si="219">IF(J2544="P",ROUNDUP(K2544/(1-Q2544),-2),K2544*(1+P2544)/(1-Q2544))</f>
        <v>54300</v>
      </c>
      <c r="M2544" s="8">
        <v>1</v>
      </c>
      <c r="N2544" s="8" t="s">
        <v>27</v>
      </c>
      <c r="O2544" s="13"/>
      <c r="P2544" s="14">
        <v>0.2</v>
      </c>
      <c r="Q2544" s="15">
        <v>0.3</v>
      </c>
      <c r="R2544" s="16" t="str">
        <f t="shared" si="215"/>
        <v>LUMEK</v>
      </c>
      <c r="S2544" s="17"/>
      <c r="T2544" s="10" t="str">
        <f t="shared" si="218"/>
        <v>CARCASA HERMÉTICA, IP65 EN POLICARBONATO.</v>
      </c>
    </row>
    <row r="2545" spans="1:20" ht="27" customHeight="1" x14ac:dyDescent="0.25">
      <c r="A2545" s="8" t="s">
        <v>5454</v>
      </c>
      <c r="B2545" s="9" t="s">
        <v>93</v>
      </c>
      <c r="C2545" s="9"/>
      <c r="D2545" s="8" t="s">
        <v>94</v>
      </c>
      <c r="E2545" s="8"/>
      <c r="F2545" s="8" t="s">
        <v>22</v>
      </c>
      <c r="G2545" s="10" t="s">
        <v>5463</v>
      </c>
      <c r="H2545" s="8" t="s">
        <v>5464</v>
      </c>
      <c r="I2545" s="10" t="s">
        <v>5463</v>
      </c>
      <c r="J2545" s="11" t="s">
        <v>33</v>
      </c>
      <c r="K2545" s="18">
        <v>96310</v>
      </c>
      <c r="L2545" s="12">
        <f t="shared" si="219"/>
        <v>137600</v>
      </c>
      <c r="M2545" s="8">
        <v>1</v>
      </c>
      <c r="N2545" s="8" t="s">
        <v>27</v>
      </c>
      <c r="O2545" s="13"/>
      <c r="P2545" s="14">
        <v>0.2</v>
      </c>
      <c r="Q2545" s="15">
        <v>0.3</v>
      </c>
      <c r="R2545" s="16" t="str">
        <f t="shared" si="215"/>
        <v>LUMEK</v>
      </c>
      <c r="S2545" s="17"/>
      <c r="T2545" s="10" t="str">
        <f t="shared" si="218"/>
        <v>LED ECO ELEGANCE 32W 3000K LUMEK
100-240V</v>
      </c>
    </row>
    <row r="2546" spans="1:20" ht="27" customHeight="1" x14ac:dyDescent="0.25">
      <c r="A2546" s="8" t="s">
        <v>5454</v>
      </c>
      <c r="B2546" s="9" t="s">
        <v>93</v>
      </c>
      <c r="C2546" s="9"/>
      <c r="D2546" s="8" t="s">
        <v>5465</v>
      </c>
      <c r="E2546" s="8"/>
      <c r="F2546" s="8" t="s">
        <v>22</v>
      </c>
      <c r="G2546" s="10" t="s">
        <v>5466</v>
      </c>
      <c r="H2546" s="8" t="s">
        <v>5467</v>
      </c>
      <c r="I2546" s="10" t="s">
        <v>5466</v>
      </c>
      <c r="J2546" s="11" t="s">
        <v>33</v>
      </c>
      <c r="K2546" s="18">
        <v>12000</v>
      </c>
      <c r="L2546" s="12">
        <f t="shared" si="219"/>
        <v>20000</v>
      </c>
      <c r="M2546" s="8">
        <v>1</v>
      </c>
      <c r="N2546" s="8" t="s">
        <v>27</v>
      </c>
      <c r="O2546" s="13"/>
      <c r="P2546" s="14">
        <v>0.2</v>
      </c>
      <c r="Q2546" s="15">
        <v>0.4</v>
      </c>
      <c r="R2546" s="16" t="str">
        <f t="shared" si="215"/>
        <v>LUMEK</v>
      </c>
      <c r="S2546" s="17"/>
      <c r="T2546" s="10" t="str">
        <f t="shared" si="218"/>
        <v>BALA DE EMPOTRAR EN TECHO PARA LUMINARIA MR_16. MARCA: ILUMEK.</v>
      </c>
    </row>
    <row r="2547" spans="1:20" ht="27" customHeight="1" x14ac:dyDescent="0.25">
      <c r="A2547" s="8" t="s">
        <v>5454</v>
      </c>
      <c r="B2547" s="9" t="s">
        <v>93</v>
      </c>
      <c r="C2547" s="9"/>
      <c r="D2547" s="8" t="s">
        <v>94</v>
      </c>
      <c r="E2547" s="8"/>
      <c r="F2547" s="8" t="s">
        <v>22</v>
      </c>
      <c r="G2547" s="10" t="s">
        <v>5468</v>
      </c>
      <c r="H2547" s="8" t="s">
        <v>5469</v>
      </c>
      <c r="I2547" s="10" t="s">
        <v>5468</v>
      </c>
      <c r="J2547" s="11" t="s">
        <v>33</v>
      </c>
      <c r="K2547" s="18">
        <v>11500</v>
      </c>
      <c r="L2547" s="12">
        <f t="shared" si="219"/>
        <v>19200</v>
      </c>
      <c r="M2547" s="8">
        <v>1</v>
      </c>
      <c r="N2547" s="8" t="s">
        <v>27</v>
      </c>
      <c r="O2547" s="13"/>
      <c r="P2547" s="14">
        <v>0.2</v>
      </c>
      <c r="Q2547" s="15">
        <v>0.4</v>
      </c>
      <c r="R2547" s="16" t="str">
        <f t="shared" si="215"/>
        <v>LUMEK</v>
      </c>
      <c r="S2547" s="17"/>
      <c r="T2547" s="10" t="str">
        <f t="shared" si="218"/>
        <v>BOMBILLA DE 6.5 VATIOS LED, COLOR BLANCO CÁLIDO. MARCA: ILUMEK.</v>
      </c>
    </row>
    <row r="2548" spans="1:20" ht="27" customHeight="1" x14ac:dyDescent="0.25">
      <c r="A2548" s="8" t="s">
        <v>5454</v>
      </c>
      <c r="B2548" s="9" t="s">
        <v>7</v>
      </c>
      <c r="C2548" s="9"/>
      <c r="D2548" s="8" t="s">
        <v>2087</v>
      </c>
      <c r="E2548" s="8"/>
      <c r="F2548" s="8" t="s">
        <v>22</v>
      </c>
      <c r="G2548" s="10" t="s">
        <v>5470</v>
      </c>
      <c r="H2548" s="8" t="s">
        <v>5462</v>
      </c>
      <c r="I2548" s="10" t="s">
        <v>5470</v>
      </c>
      <c r="J2548" s="11" t="s">
        <v>33</v>
      </c>
      <c r="K2548" s="18">
        <f>38000+32000+8000+4000+4000</f>
        <v>86000</v>
      </c>
      <c r="L2548" s="12">
        <f t="shared" si="219"/>
        <v>122900</v>
      </c>
      <c r="M2548" s="8">
        <v>1</v>
      </c>
      <c r="N2548" s="8" t="s">
        <v>27</v>
      </c>
      <c r="O2548" s="13"/>
      <c r="P2548" s="14">
        <v>0.2</v>
      </c>
      <c r="Q2548" s="15">
        <v>0.3</v>
      </c>
      <c r="R2548" s="16" t="str">
        <f t="shared" si="215"/>
        <v>LUMEK</v>
      </c>
      <c r="S2548" s="17"/>
      <c r="T2548" s="10" t="str">
        <f t="shared" si="218"/>
        <v>LUMINARIA HERMÉTICA CON BALASTO 2x28W T5.</v>
      </c>
    </row>
    <row r="2549" spans="1:20" ht="27" customHeight="1" x14ac:dyDescent="0.25">
      <c r="A2549" s="8" t="s">
        <v>5454</v>
      </c>
      <c r="B2549" s="9" t="s">
        <v>7</v>
      </c>
      <c r="C2549" s="9"/>
      <c r="D2549" s="8" t="s">
        <v>2087</v>
      </c>
      <c r="E2549" s="8"/>
      <c r="F2549" s="8" t="s">
        <v>22</v>
      </c>
      <c r="G2549" s="10" t="s">
        <v>5471</v>
      </c>
      <c r="H2549" s="8" t="s">
        <v>5472</v>
      </c>
      <c r="I2549" s="10" t="s">
        <v>5471</v>
      </c>
      <c r="J2549" s="11" t="s">
        <v>33</v>
      </c>
      <c r="K2549" s="18">
        <v>57000</v>
      </c>
      <c r="L2549" s="12">
        <f t="shared" si="219"/>
        <v>95000</v>
      </c>
      <c r="M2549" s="8">
        <v>1</v>
      </c>
      <c r="N2549" s="8" t="s">
        <v>27</v>
      </c>
      <c r="O2549" s="13"/>
      <c r="P2549" s="14">
        <v>0.2</v>
      </c>
      <c r="Q2549" s="15">
        <v>0.4</v>
      </c>
      <c r="R2549" s="16" t="str">
        <f t="shared" si="215"/>
        <v>LUMEK</v>
      </c>
      <c r="S2549" s="17"/>
      <c r="T2549" s="10" t="str">
        <f t="shared" si="218"/>
        <v>LUMINARIA DE EMERGENCIA 2X1W, AUTONOMÍA DE 90 MINUTOS.</v>
      </c>
    </row>
    <row r="2550" spans="1:20" ht="27" customHeight="1" x14ac:dyDescent="0.25">
      <c r="A2550" s="8" t="s">
        <v>5454</v>
      </c>
      <c r="B2550" s="9" t="s">
        <v>7</v>
      </c>
      <c r="C2550" s="9"/>
      <c r="D2550" s="8" t="s">
        <v>2087</v>
      </c>
      <c r="E2550" s="8"/>
      <c r="F2550" s="8" t="s">
        <v>22</v>
      </c>
      <c r="G2550" s="10" t="s">
        <v>5473</v>
      </c>
      <c r="H2550" s="8" t="s">
        <v>5474</v>
      </c>
      <c r="I2550" s="10" t="s">
        <v>5473</v>
      </c>
      <c r="J2550" s="11" t="s">
        <v>33</v>
      </c>
      <c r="K2550" s="18">
        <v>34280</v>
      </c>
      <c r="L2550" s="12">
        <f t="shared" si="219"/>
        <v>57200</v>
      </c>
      <c r="M2550" s="8">
        <v>1</v>
      </c>
      <c r="N2550" s="8" t="s">
        <v>27</v>
      </c>
      <c r="O2550" s="13"/>
      <c r="P2550" s="14">
        <v>0.2</v>
      </c>
      <c r="Q2550" s="15">
        <v>0.4</v>
      </c>
      <c r="R2550" s="16" t="str">
        <f t="shared" si="215"/>
        <v>LUMEK</v>
      </c>
      <c r="S2550" s="17"/>
      <c r="T2550" s="10" t="str">
        <f t="shared" si="218"/>
        <v>LUMINARIA DE SOBRE PONER LED DE 18 VATIOS NO DIMERIZABLE EN COLOR BLANCO 6500K.</v>
      </c>
    </row>
    <row r="2551" spans="1:20" ht="27" customHeight="1" x14ac:dyDescent="0.25">
      <c r="A2551" s="8" t="s">
        <v>5454</v>
      </c>
      <c r="B2551" s="9" t="s">
        <v>93</v>
      </c>
      <c r="C2551" s="9"/>
      <c r="D2551" s="8" t="s">
        <v>93</v>
      </c>
      <c r="E2551" s="8"/>
      <c r="F2551" s="8" t="s">
        <v>22</v>
      </c>
      <c r="G2551" s="10" t="s">
        <v>5475</v>
      </c>
      <c r="H2551" s="8" t="s">
        <v>5476</v>
      </c>
      <c r="I2551" s="10" t="s">
        <v>5475</v>
      </c>
      <c r="J2551" s="11" t="s">
        <v>33</v>
      </c>
      <c r="K2551" s="18">
        <v>23000</v>
      </c>
      <c r="L2551" s="12">
        <f t="shared" si="219"/>
        <v>38400</v>
      </c>
      <c r="M2551" s="8">
        <v>1</v>
      </c>
      <c r="N2551" s="8" t="s">
        <v>27</v>
      </c>
      <c r="O2551" s="13"/>
      <c r="P2551" s="14">
        <v>0.2</v>
      </c>
      <c r="Q2551" s="15">
        <v>0.4</v>
      </c>
      <c r="R2551" s="16" t="str">
        <f t="shared" si="215"/>
        <v>LUMEK</v>
      </c>
      <c r="S2551" s="17"/>
      <c r="T2551" s="10" t="str">
        <f t="shared" si="218"/>
        <v>LUMINARIA LED DE 7.5W, COLOR CÁLIDO DE 3000K, CONECTOR GU10 A 120V.</v>
      </c>
    </row>
    <row r="2552" spans="1:20" ht="27" customHeight="1" x14ac:dyDescent="0.25">
      <c r="A2552" s="8" t="s">
        <v>5454</v>
      </c>
      <c r="B2552" s="9" t="s">
        <v>93</v>
      </c>
      <c r="C2552" s="9"/>
      <c r="D2552" s="8" t="s">
        <v>93</v>
      </c>
      <c r="E2552" s="8"/>
      <c r="F2552" s="8" t="s">
        <v>22</v>
      </c>
      <c r="G2552" s="10" t="s">
        <v>5477</v>
      </c>
      <c r="H2552" s="8" t="s">
        <v>5478</v>
      </c>
      <c r="I2552" s="10" t="s">
        <v>5477</v>
      </c>
      <c r="J2552" s="11" t="s">
        <v>33</v>
      </c>
      <c r="K2552" s="18">
        <v>67500</v>
      </c>
      <c r="L2552" s="12">
        <f t="shared" si="219"/>
        <v>96500</v>
      </c>
      <c r="M2552" s="8">
        <v>1</v>
      </c>
      <c r="N2552" s="8" t="s">
        <v>27</v>
      </c>
      <c r="O2552" s="13"/>
      <c r="P2552" s="14">
        <v>0.2</v>
      </c>
      <c r="Q2552" s="15">
        <v>0.3</v>
      </c>
      <c r="R2552" s="16" t="str">
        <f t="shared" si="215"/>
        <v>LUMEK</v>
      </c>
      <c r="S2552" s="17"/>
      <c r="T2552" s="10" t="str">
        <f t="shared" si="218"/>
        <v>PANEL LED DE INCRUSTAR DE 8", 23 VATIOS. 6500K.</v>
      </c>
    </row>
    <row r="2553" spans="1:20" ht="27" customHeight="1" x14ac:dyDescent="0.25">
      <c r="A2553" s="8" t="s">
        <v>5454</v>
      </c>
      <c r="B2553" s="9" t="s">
        <v>93</v>
      </c>
      <c r="C2553" s="9"/>
      <c r="D2553" s="8" t="s">
        <v>93</v>
      </c>
      <c r="E2553" s="8"/>
      <c r="F2553" s="8" t="s">
        <v>22</v>
      </c>
      <c r="G2553" s="10" t="s">
        <v>5479</v>
      </c>
      <c r="H2553" s="8" t="s">
        <v>5480</v>
      </c>
      <c r="I2553" s="10" t="s">
        <v>5479</v>
      </c>
      <c r="J2553" s="11" t="s">
        <v>33</v>
      </c>
      <c r="K2553" s="18">
        <v>14700</v>
      </c>
      <c r="L2553" s="12">
        <f t="shared" si="219"/>
        <v>21000</v>
      </c>
      <c r="M2553" s="8">
        <v>1</v>
      </c>
      <c r="N2553" s="8" t="s">
        <v>27</v>
      </c>
      <c r="O2553" s="13"/>
      <c r="P2553" s="14">
        <v>0.2</v>
      </c>
      <c r="Q2553" s="15">
        <v>0.3</v>
      </c>
      <c r="R2553" s="16" t="str">
        <f t="shared" si="215"/>
        <v>LUMEK</v>
      </c>
      <c r="S2553" s="17"/>
      <c r="T2553" s="10" t="str">
        <f t="shared" si="218"/>
        <v>LED GU10 DIMERIZABLE DE 7.5 VATIOS, 3000K.</v>
      </c>
    </row>
    <row r="2554" spans="1:20" ht="27" customHeight="1" x14ac:dyDescent="0.25">
      <c r="A2554" s="8" t="s">
        <v>5454</v>
      </c>
      <c r="B2554" s="9" t="s">
        <v>93</v>
      </c>
      <c r="C2554" s="9"/>
      <c r="D2554" s="8" t="s">
        <v>93</v>
      </c>
      <c r="E2554" s="8"/>
      <c r="F2554" s="8" t="s">
        <v>22</v>
      </c>
      <c r="G2554" s="10" t="s">
        <v>5481</v>
      </c>
      <c r="H2554" s="8" t="s">
        <v>5482</v>
      </c>
      <c r="I2554" s="10" t="s">
        <v>5481</v>
      </c>
      <c r="J2554" s="11" t="s">
        <v>33</v>
      </c>
      <c r="K2554" s="18">
        <v>96310</v>
      </c>
      <c r="L2554" s="12">
        <f t="shared" si="219"/>
        <v>137600</v>
      </c>
      <c r="M2554" s="8">
        <v>1</v>
      </c>
      <c r="N2554" s="8" t="s">
        <v>27</v>
      </c>
      <c r="O2554" s="13"/>
      <c r="P2554" s="14">
        <v>0.2</v>
      </c>
      <c r="Q2554" s="15">
        <v>0.3</v>
      </c>
      <c r="R2554" s="16" t="str">
        <f t="shared" si="215"/>
        <v>LUMEK</v>
      </c>
      <c r="S2554" s="17"/>
      <c r="T2554" s="10" t="str">
        <f t="shared" si="218"/>
        <v>LED ECO ELEGANCE 23W 6000K LUMEK
100-240V</v>
      </c>
    </row>
    <row r="2555" spans="1:20" ht="27" customHeight="1" x14ac:dyDescent="0.25">
      <c r="A2555" s="8" t="s">
        <v>5454</v>
      </c>
      <c r="B2555" s="9"/>
      <c r="C2555" s="9"/>
      <c r="D2555" s="8"/>
      <c r="E2555" s="8"/>
      <c r="F2555" s="8" t="s">
        <v>22</v>
      </c>
      <c r="G2555" s="10" t="s">
        <v>5483</v>
      </c>
      <c r="H2555" s="8" t="s">
        <v>5484</v>
      </c>
      <c r="I2555" s="10" t="s">
        <v>5483</v>
      </c>
      <c r="J2555" s="11" t="s">
        <v>33</v>
      </c>
      <c r="K2555" s="18">
        <v>100400</v>
      </c>
      <c r="L2555" s="12">
        <f t="shared" si="219"/>
        <v>167400</v>
      </c>
      <c r="M2555" s="8">
        <v>1</v>
      </c>
      <c r="N2555" s="8" t="s">
        <v>27</v>
      </c>
      <c r="O2555" s="13"/>
      <c r="P2555" s="14">
        <v>0.2</v>
      </c>
      <c r="Q2555" s="15">
        <v>0.4</v>
      </c>
      <c r="R2555" s="16" t="str">
        <f t="shared" si="215"/>
        <v>LUMEK</v>
      </c>
      <c r="S2555" s="17"/>
      <c r="T2555" s="10" t="str">
        <f t="shared" si="218"/>
        <v>LUMINARIA PARA SEÑALIZACIÓN DE SALIDA EN LED</v>
      </c>
    </row>
    <row r="2556" spans="1:20" ht="27" customHeight="1" x14ac:dyDescent="0.25">
      <c r="A2556" s="8" t="s">
        <v>5454</v>
      </c>
      <c r="B2556" s="9"/>
      <c r="C2556" s="9"/>
      <c r="D2556" s="8"/>
      <c r="E2556" s="8"/>
      <c r="F2556" s="8" t="s">
        <v>22</v>
      </c>
      <c r="G2556" s="10" t="s">
        <v>5485</v>
      </c>
      <c r="H2556" s="8" t="s">
        <v>5486</v>
      </c>
      <c r="I2556" s="10" t="s">
        <v>5485</v>
      </c>
      <c r="J2556" s="11" t="s">
        <v>33</v>
      </c>
      <c r="K2556" s="18">
        <v>24210</v>
      </c>
      <c r="L2556" s="12">
        <f t="shared" si="219"/>
        <v>40400</v>
      </c>
      <c r="M2556" s="8">
        <v>1</v>
      </c>
      <c r="N2556" s="8" t="s">
        <v>27</v>
      </c>
      <c r="O2556" s="13"/>
      <c r="P2556" s="14">
        <v>0.2</v>
      </c>
      <c r="Q2556" s="15">
        <v>0.4</v>
      </c>
      <c r="R2556" s="16" t="str">
        <f t="shared" si="215"/>
        <v>LUMEK</v>
      </c>
      <c r="S2556" s="17"/>
      <c r="T2556" s="10" t="str">
        <f t="shared" si="218"/>
        <v>TUBO LED T8 DE 24.5W, 6500K, MULTI-VOLTAJE.</v>
      </c>
    </row>
    <row r="2557" spans="1:20" ht="27" customHeight="1" x14ac:dyDescent="0.25">
      <c r="A2557" s="8" t="s">
        <v>5454</v>
      </c>
      <c r="B2557" s="9"/>
      <c r="C2557" s="9"/>
      <c r="D2557" s="8"/>
      <c r="E2557" s="8"/>
      <c r="F2557" s="8" t="s">
        <v>22</v>
      </c>
      <c r="G2557" s="10" t="s">
        <v>5487</v>
      </c>
      <c r="H2557" s="8" t="s">
        <v>5488</v>
      </c>
      <c r="I2557" s="10" t="s">
        <v>5487</v>
      </c>
      <c r="J2557" s="11" t="s">
        <v>33</v>
      </c>
      <c r="K2557" s="18">
        <v>8100</v>
      </c>
      <c r="L2557" s="12">
        <f t="shared" si="219"/>
        <v>13500</v>
      </c>
      <c r="M2557" s="8">
        <v>1</v>
      </c>
      <c r="N2557" s="8" t="s">
        <v>27</v>
      </c>
      <c r="O2557" s="13"/>
      <c r="P2557" s="14">
        <v>0.2</v>
      </c>
      <c r="Q2557" s="15">
        <v>0.4</v>
      </c>
      <c r="R2557" s="16" t="str">
        <f t="shared" si="215"/>
        <v>LUMEK</v>
      </c>
      <c r="S2557" s="17"/>
      <c r="T2557" s="10" t="str">
        <f t="shared" si="218"/>
        <v>LUMINARIA NO DIMERIZABLE GU10, 7.5W, 3000K.</v>
      </c>
    </row>
    <row r="2558" spans="1:20" ht="27" customHeight="1" x14ac:dyDescent="0.25">
      <c r="A2558" s="8" t="s">
        <v>5454</v>
      </c>
      <c r="B2558" s="9"/>
      <c r="C2558" s="9"/>
      <c r="D2558" s="8"/>
      <c r="E2558" s="8"/>
      <c r="F2558" s="8" t="s">
        <v>22</v>
      </c>
      <c r="G2558" s="10" t="s">
        <v>5489</v>
      </c>
      <c r="H2558" s="8" t="s">
        <v>5490</v>
      </c>
      <c r="I2558" s="10" t="s">
        <v>5489</v>
      </c>
      <c r="J2558" s="11" t="s">
        <v>33</v>
      </c>
      <c r="K2558" s="18">
        <v>12900</v>
      </c>
      <c r="L2558" s="12">
        <f t="shared" si="219"/>
        <v>21500</v>
      </c>
      <c r="M2558" s="8">
        <v>1</v>
      </c>
      <c r="N2558" s="8" t="s">
        <v>27</v>
      </c>
      <c r="O2558" s="13"/>
      <c r="P2558" s="14">
        <v>0.2</v>
      </c>
      <c r="Q2558" s="15">
        <v>0.4</v>
      </c>
      <c r="R2558" s="16" t="str">
        <f t="shared" si="215"/>
        <v>LUMEK</v>
      </c>
      <c r="S2558" s="17"/>
      <c r="T2558" s="10" t="str">
        <f t="shared" si="218"/>
        <v>BOMBILLA MR16 DE 6 VATIOS ATENUABLE, CONECTOR GU10, 3000K.</v>
      </c>
    </row>
    <row r="2559" spans="1:20" ht="27" customHeight="1" x14ac:dyDescent="0.25">
      <c r="A2559" s="8" t="s">
        <v>5454</v>
      </c>
      <c r="B2559" s="9"/>
      <c r="C2559" s="9"/>
      <c r="D2559" s="8"/>
      <c r="E2559" s="8"/>
      <c r="F2559" s="8" t="s">
        <v>22</v>
      </c>
      <c r="G2559" s="10" t="s">
        <v>5491</v>
      </c>
      <c r="H2559" s="8" t="s">
        <v>5492</v>
      </c>
      <c r="I2559" s="10" t="s">
        <v>5491</v>
      </c>
      <c r="J2559" s="11" t="s">
        <v>33</v>
      </c>
      <c r="K2559" s="18">
        <v>8700</v>
      </c>
      <c r="L2559" s="12">
        <f t="shared" si="219"/>
        <v>14500</v>
      </c>
      <c r="M2559" s="8">
        <v>1</v>
      </c>
      <c r="N2559" s="8" t="s">
        <v>27</v>
      </c>
      <c r="O2559" s="13"/>
      <c r="P2559" s="14">
        <v>0.2</v>
      </c>
      <c r="Q2559" s="15">
        <v>0.4</v>
      </c>
      <c r="R2559" s="16" t="str">
        <f t="shared" si="215"/>
        <v>LUMEK</v>
      </c>
      <c r="S2559" s="17"/>
      <c r="T2559" s="10" t="str">
        <f t="shared" si="218"/>
        <v>LED INTEGRADO MP16, 5.5W 3000K.</v>
      </c>
    </row>
    <row r="2560" spans="1:20" ht="27" customHeight="1" x14ac:dyDescent="0.25">
      <c r="A2560" s="8" t="s">
        <v>5454</v>
      </c>
      <c r="B2560" s="9"/>
      <c r="C2560" s="9"/>
      <c r="D2560" s="8"/>
      <c r="E2560" s="8"/>
      <c r="F2560" s="8" t="s">
        <v>22</v>
      </c>
      <c r="G2560" s="10" t="s">
        <v>5493</v>
      </c>
      <c r="H2560" s="8" t="s">
        <v>5494</v>
      </c>
      <c r="I2560" s="10" t="s">
        <v>5493</v>
      </c>
      <c r="J2560" s="11" t="s">
        <v>33</v>
      </c>
      <c r="K2560" s="18">
        <v>26000</v>
      </c>
      <c r="L2560" s="12">
        <f t="shared" si="219"/>
        <v>43400</v>
      </c>
      <c r="M2560" s="8">
        <v>1</v>
      </c>
      <c r="N2560" s="8" t="s">
        <v>27</v>
      </c>
      <c r="O2560" s="13"/>
      <c r="P2560" s="14">
        <v>0.2</v>
      </c>
      <c r="Q2560" s="15">
        <v>0.4</v>
      </c>
      <c r="R2560" s="16" t="str">
        <f t="shared" si="215"/>
        <v>LUMEK</v>
      </c>
      <c r="S2560" s="17"/>
      <c r="T2560" s="10" t="str">
        <f t="shared" si="218"/>
        <v>LED AR111 NO DIMERIZABLE, 3000K. CONEXIÓN DIRECTA A 110V.</v>
      </c>
    </row>
    <row r="2561" spans="1:20" ht="27" customHeight="1" x14ac:dyDescent="0.25">
      <c r="A2561" s="8" t="s">
        <v>5454</v>
      </c>
      <c r="B2561" s="9"/>
      <c r="C2561" s="9"/>
      <c r="D2561" s="8"/>
      <c r="E2561" s="8"/>
      <c r="F2561" s="8" t="s">
        <v>22</v>
      </c>
      <c r="G2561" s="10" t="s">
        <v>5495</v>
      </c>
      <c r="H2561" s="8" t="s">
        <v>5496</v>
      </c>
      <c r="I2561" s="10" t="s">
        <v>5495</v>
      </c>
      <c r="J2561" s="11" t="s">
        <v>33</v>
      </c>
      <c r="K2561" s="18">
        <v>32300</v>
      </c>
      <c r="L2561" s="12">
        <f t="shared" si="219"/>
        <v>53900</v>
      </c>
      <c r="M2561" s="8">
        <v>1</v>
      </c>
      <c r="N2561" s="8" t="s">
        <v>27</v>
      </c>
      <c r="O2561" s="13"/>
      <c r="P2561" s="14">
        <v>0.2</v>
      </c>
      <c r="Q2561" s="15">
        <v>0.4</v>
      </c>
      <c r="R2561" s="16" t="str">
        <f t="shared" ref="R2561:R2624" si="220">A2561</f>
        <v>LUMEK</v>
      </c>
      <c r="S2561" s="17"/>
      <c r="T2561" s="10" t="str">
        <f t="shared" si="218"/>
        <v>LED FLOOR WASH DE 2W, 4000K.</v>
      </c>
    </row>
    <row r="2562" spans="1:20" ht="27" customHeight="1" x14ac:dyDescent="0.25">
      <c r="A2562" s="8" t="s">
        <v>5454</v>
      </c>
      <c r="B2562" s="9"/>
      <c r="C2562" s="9"/>
      <c r="D2562" s="8"/>
      <c r="E2562" s="8"/>
      <c r="F2562" s="8" t="s">
        <v>22</v>
      </c>
      <c r="G2562" s="10" t="s">
        <v>5497</v>
      </c>
      <c r="H2562" s="8" t="s">
        <v>5498</v>
      </c>
      <c r="I2562" s="10" t="s">
        <v>5497</v>
      </c>
      <c r="J2562" s="11" t="s">
        <v>33</v>
      </c>
      <c r="K2562" s="18">
        <v>10610</v>
      </c>
      <c r="L2562" s="12">
        <f t="shared" si="219"/>
        <v>17700</v>
      </c>
      <c r="M2562" s="8">
        <v>1</v>
      </c>
      <c r="N2562" s="8" t="s">
        <v>27</v>
      </c>
      <c r="O2562" s="13"/>
      <c r="P2562" s="14">
        <v>0.2</v>
      </c>
      <c r="Q2562" s="15">
        <v>0.4</v>
      </c>
      <c r="R2562" s="16" t="str">
        <f t="shared" si="220"/>
        <v>LUMEK</v>
      </c>
      <c r="S2562" s="17"/>
      <c r="T2562" s="10" t="str">
        <f t="shared" si="218"/>
        <v>LED ECO SPOT MR16 7.5W 6500K, ATENUABLE.</v>
      </c>
    </row>
    <row r="2563" spans="1:20" ht="27" customHeight="1" x14ac:dyDescent="0.25">
      <c r="A2563" s="8" t="s">
        <v>5454</v>
      </c>
      <c r="B2563" s="9"/>
      <c r="C2563" s="9"/>
      <c r="D2563" s="8"/>
      <c r="E2563" s="8"/>
      <c r="F2563" s="8" t="s">
        <v>22</v>
      </c>
      <c r="G2563" s="10" t="s">
        <v>5499</v>
      </c>
      <c r="H2563" s="8" t="s">
        <v>5500</v>
      </c>
      <c r="I2563" s="10" t="s">
        <v>5499</v>
      </c>
      <c r="J2563" s="11" t="s">
        <v>33</v>
      </c>
      <c r="K2563" s="18">
        <v>43500</v>
      </c>
      <c r="L2563" s="12">
        <f t="shared" si="219"/>
        <v>72500</v>
      </c>
      <c r="M2563" s="8">
        <v>1</v>
      </c>
      <c r="N2563" s="8" t="s">
        <v>27</v>
      </c>
      <c r="O2563" s="13"/>
      <c r="P2563" s="14">
        <v>0.2</v>
      </c>
      <c r="Q2563" s="15">
        <v>0.4</v>
      </c>
      <c r="R2563" s="16" t="str">
        <f t="shared" si="220"/>
        <v>LUMEK</v>
      </c>
      <c r="S2563" s="17"/>
      <c r="T2563" s="10" t="str">
        <f t="shared" si="218"/>
        <v>LUMINARIA HERMÉTICA DE 2X18W CON TUBO LED.</v>
      </c>
    </row>
    <row r="2564" spans="1:20" ht="27" customHeight="1" x14ac:dyDescent="0.25">
      <c r="A2564" s="8" t="s">
        <v>5454</v>
      </c>
      <c r="B2564" s="9"/>
      <c r="C2564" s="9"/>
      <c r="D2564" s="8"/>
      <c r="E2564" s="8"/>
      <c r="F2564" s="8" t="s">
        <v>22</v>
      </c>
      <c r="G2564" s="10" t="s">
        <v>5501</v>
      </c>
      <c r="H2564" s="8" t="s">
        <v>5502</v>
      </c>
      <c r="I2564" s="10" t="s">
        <v>5501</v>
      </c>
      <c r="J2564" s="11" t="s">
        <v>33</v>
      </c>
      <c r="K2564" s="18">
        <v>46000</v>
      </c>
      <c r="L2564" s="12">
        <f t="shared" si="219"/>
        <v>76700</v>
      </c>
      <c r="M2564" s="8">
        <v>1</v>
      </c>
      <c r="N2564" s="8" t="s">
        <v>27</v>
      </c>
      <c r="O2564" s="13"/>
      <c r="P2564" s="14">
        <v>0.2</v>
      </c>
      <c r="Q2564" s="15">
        <v>0.4</v>
      </c>
      <c r="R2564" s="16" t="str">
        <f t="shared" si="220"/>
        <v>LUMEK</v>
      </c>
      <c r="S2564" s="17"/>
      <c r="T2564" s="10" t="str">
        <f t="shared" si="218"/>
        <v>LUMINARIA HERMÉTICA PARA 2 TUBOS T8 LED DE 18W.</v>
      </c>
    </row>
    <row r="2565" spans="1:20" ht="27" customHeight="1" x14ac:dyDescent="0.25">
      <c r="A2565" s="8" t="s">
        <v>5454</v>
      </c>
      <c r="B2565" s="9"/>
      <c r="C2565" s="9"/>
      <c r="D2565" s="8"/>
      <c r="E2565" s="8"/>
      <c r="F2565" s="8" t="s">
        <v>22</v>
      </c>
      <c r="G2565" s="10" t="s">
        <v>5503</v>
      </c>
      <c r="H2565" s="8" t="s">
        <v>5504</v>
      </c>
      <c r="I2565" s="10" t="s">
        <v>5503</v>
      </c>
      <c r="J2565" s="11" t="s">
        <v>33</v>
      </c>
      <c r="K2565" s="18">
        <v>7320</v>
      </c>
      <c r="L2565" s="12">
        <f t="shared" si="219"/>
        <v>12200</v>
      </c>
      <c r="M2565" s="8">
        <v>1</v>
      </c>
      <c r="N2565" s="8" t="s">
        <v>27</v>
      </c>
      <c r="O2565" s="13"/>
      <c r="P2565" s="14">
        <v>0.2</v>
      </c>
      <c r="Q2565" s="15">
        <v>0.4</v>
      </c>
      <c r="R2565" s="16" t="str">
        <f t="shared" si="220"/>
        <v>LUMEK</v>
      </c>
      <c r="S2565" s="17"/>
      <c r="T2565" s="10" t="str">
        <f t="shared" si="218"/>
        <v>TUBO LED DE 18W EN FORMATO T8</v>
      </c>
    </row>
    <row r="2566" spans="1:20" ht="27" customHeight="1" x14ac:dyDescent="0.25">
      <c r="A2566" s="8" t="s">
        <v>5454</v>
      </c>
      <c r="B2566" s="9"/>
      <c r="C2566" s="9"/>
      <c r="D2566" s="8"/>
      <c r="E2566" s="8"/>
      <c r="F2566" s="8" t="s">
        <v>22</v>
      </c>
      <c r="G2566" s="10" t="s">
        <v>5505</v>
      </c>
      <c r="H2566" s="8" t="s">
        <v>5506</v>
      </c>
      <c r="I2566" s="10" t="s">
        <v>5505</v>
      </c>
      <c r="J2566" s="11" t="s">
        <v>33</v>
      </c>
      <c r="K2566" s="18">
        <v>344000</v>
      </c>
      <c r="L2566" s="12">
        <f t="shared" si="219"/>
        <v>573400</v>
      </c>
      <c r="M2566" s="8">
        <v>1</v>
      </c>
      <c r="N2566" s="8" t="s">
        <v>27</v>
      </c>
      <c r="O2566" s="13"/>
      <c r="P2566" s="14">
        <v>0.2</v>
      </c>
      <c r="Q2566" s="15">
        <v>0.4</v>
      </c>
      <c r="R2566" s="16" t="str">
        <f t="shared" si="220"/>
        <v>LUMEK</v>
      </c>
      <c r="S2566" s="17"/>
      <c r="T2566" s="10" t="str">
        <f t="shared" si="218"/>
        <v>LUMINARIA LED DE ALTA EFICIENCIA PARA USO HIGHBAY. POTENCIA 100W.</v>
      </c>
    </row>
    <row r="2567" spans="1:20" ht="27" customHeight="1" x14ac:dyDescent="0.25">
      <c r="A2567" s="8" t="s">
        <v>5454</v>
      </c>
      <c r="B2567" s="9"/>
      <c r="C2567" s="9"/>
      <c r="D2567" s="8"/>
      <c r="E2567" s="8"/>
      <c r="F2567" s="8" t="s">
        <v>22</v>
      </c>
      <c r="G2567" s="10" t="s">
        <v>5505</v>
      </c>
      <c r="H2567" s="8" t="s">
        <v>5507</v>
      </c>
      <c r="I2567" s="10" t="s">
        <v>5505</v>
      </c>
      <c r="J2567" s="11" t="s">
        <v>33</v>
      </c>
      <c r="K2567" s="18">
        <v>500000</v>
      </c>
      <c r="L2567" s="12">
        <f t="shared" si="219"/>
        <v>833400</v>
      </c>
      <c r="M2567" s="8">
        <v>1</v>
      </c>
      <c r="N2567" s="8" t="s">
        <v>27</v>
      </c>
      <c r="O2567" s="13"/>
      <c r="P2567" s="14">
        <v>0.2</v>
      </c>
      <c r="Q2567" s="15">
        <v>0.4</v>
      </c>
      <c r="R2567" s="16" t="str">
        <f t="shared" si="220"/>
        <v>LUMEK</v>
      </c>
      <c r="S2567" s="17"/>
      <c r="T2567" s="10" t="str">
        <f t="shared" si="218"/>
        <v>LUMINARIA LED DE ALTA EFICIENCIA PARA USO HIGHBAY. POTENCIA 100W.</v>
      </c>
    </row>
    <row r="2568" spans="1:20" ht="27" customHeight="1" x14ac:dyDescent="0.25">
      <c r="A2568" s="8" t="s">
        <v>5454</v>
      </c>
      <c r="B2568" s="9"/>
      <c r="C2568" s="9"/>
      <c r="D2568" s="8"/>
      <c r="E2568" s="8"/>
      <c r="F2568" s="8" t="s">
        <v>22</v>
      </c>
      <c r="G2568" s="10" t="s">
        <v>5505</v>
      </c>
      <c r="H2568" s="8" t="s">
        <v>5508</v>
      </c>
      <c r="I2568" s="10" t="s">
        <v>5505</v>
      </c>
      <c r="J2568" s="11" t="s">
        <v>33</v>
      </c>
      <c r="K2568" s="18">
        <v>600000</v>
      </c>
      <c r="L2568" s="12">
        <f t="shared" si="219"/>
        <v>1000000</v>
      </c>
      <c r="M2568" s="8">
        <v>1</v>
      </c>
      <c r="N2568" s="8" t="s">
        <v>27</v>
      </c>
      <c r="O2568" s="13"/>
      <c r="P2568" s="14">
        <v>0.2</v>
      </c>
      <c r="Q2568" s="15">
        <v>0.4</v>
      </c>
      <c r="R2568" s="16" t="str">
        <f t="shared" si="220"/>
        <v>LUMEK</v>
      </c>
      <c r="S2568" s="17"/>
      <c r="T2568" s="10" t="str">
        <f t="shared" si="218"/>
        <v>LUMINARIA LED DE ALTA EFICIENCIA PARA USO HIGHBAY. POTENCIA 100W.</v>
      </c>
    </row>
    <row r="2569" spans="1:20" ht="27" customHeight="1" x14ac:dyDescent="0.25">
      <c r="A2569" s="8" t="s">
        <v>5454</v>
      </c>
      <c r="B2569" s="9"/>
      <c r="C2569" s="9"/>
      <c r="D2569" s="8"/>
      <c r="E2569" s="8"/>
      <c r="F2569" s="8" t="s">
        <v>22</v>
      </c>
      <c r="G2569" s="10" t="s">
        <v>5509</v>
      </c>
      <c r="H2569" s="8" t="s">
        <v>5510</v>
      </c>
      <c r="I2569" s="10" t="s">
        <v>5509</v>
      </c>
      <c r="J2569" s="11" t="s">
        <v>33</v>
      </c>
      <c r="K2569" s="18">
        <v>60000</v>
      </c>
      <c r="L2569" s="12">
        <f t="shared" si="219"/>
        <v>100000</v>
      </c>
      <c r="M2569" s="8">
        <v>1</v>
      </c>
      <c r="N2569" s="8" t="s">
        <v>27</v>
      </c>
      <c r="O2569" s="13"/>
      <c r="P2569" s="14">
        <v>0.2</v>
      </c>
      <c r="Q2569" s="15">
        <v>0.4</v>
      </c>
      <c r="R2569" s="16" t="str">
        <f t="shared" si="220"/>
        <v>LUMEK</v>
      </c>
      <c r="S2569" s="17"/>
      <c r="T2569" s="10" t="str">
        <f t="shared" si="218"/>
        <v>LUMINARIA HERMÉTICA PARA TUBO LED T8 2x18W.</v>
      </c>
    </row>
    <row r="2570" spans="1:20" ht="27" customHeight="1" x14ac:dyDescent="0.25">
      <c r="A2570" s="8" t="s">
        <v>5454</v>
      </c>
      <c r="B2570" s="9"/>
      <c r="C2570" s="9"/>
      <c r="D2570" s="8"/>
      <c r="E2570" s="8"/>
      <c r="F2570" s="8" t="s">
        <v>22</v>
      </c>
      <c r="G2570" s="10" t="s">
        <v>5511</v>
      </c>
      <c r="H2570" s="8" t="s">
        <v>5512</v>
      </c>
      <c r="I2570" s="10" t="s">
        <v>5511</v>
      </c>
      <c r="J2570" s="11" t="s">
        <v>33</v>
      </c>
      <c r="K2570" s="18">
        <v>19060</v>
      </c>
      <c r="L2570" s="12">
        <f t="shared" si="219"/>
        <v>31800</v>
      </c>
      <c r="M2570" s="8">
        <v>1</v>
      </c>
      <c r="N2570" s="8" t="s">
        <v>27</v>
      </c>
      <c r="O2570" s="13"/>
      <c r="P2570" s="14">
        <v>0.2</v>
      </c>
      <c r="Q2570" s="15">
        <v>0.4</v>
      </c>
      <c r="R2570" s="16" t="str">
        <f t="shared" si="220"/>
        <v>LUMEK</v>
      </c>
      <c r="S2570" s="17"/>
      <c r="T2570" s="10" t="str">
        <f t="shared" si="218"/>
        <v>LED ECO PAR 20 DE 6W, 3000K, ROSCA E27</v>
      </c>
    </row>
    <row r="2571" spans="1:20" ht="27" customHeight="1" x14ac:dyDescent="0.25">
      <c r="A2571" s="8" t="s">
        <v>5454</v>
      </c>
      <c r="B2571" s="9"/>
      <c r="C2571" s="9"/>
      <c r="D2571" s="8"/>
      <c r="E2571" s="8"/>
      <c r="F2571" s="8" t="s">
        <v>22</v>
      </c>
      <c r="G2571" s="10" t="s">
        <v>5513</v>
      </c>
      <c r="H2571" s="8" t="s">
        <v>5514</v>
      </c>
      <c r="I2571" s="10" t="s">
        <v>5513</v>
      </c>
      <c r="J2571" s="11" t="s">
        <v>33</v>
      </c>
      <c r="K2571" s="18">
        <v>3300</v>
      </c>
      <c r="L2571" s="12">
        <f t="shared" si="219"/>
        <v>5500</v>
      </c>
      <c r="M2571" s="8">
        <v>1</v>
      </c>
      <c r="N2571" s="8" t="s">
        <v>27</v>
      </c>
      <c r="O2571" s="13"/>
      <c r="P2571" s="14">
        <v>0.2</v>
      </c>
      <c r="Q2571" s="15">
        <v>0.4</v>
      </c>
      <c r="R2571" s="16" t="str">
        <f t="shared" si="220"/>
        <v>LUMEK</v>
      </c>
      <c r="S2571" s="17"/>
      <c r="T2571" s="10" t="str">
        <f t="shared" si="218"/>
        <v>LED ECO NO DIMERIZABLE 6.5W. 3000K, E27.</v>
      </c>
    </row>
    <row r="2572" spans="1:20" ht="27" customHeight="1" x14ac:dyDescent="0.25">
      <c r="A2572" s="8" t="s">
        <v>5454</v>
      </c>
      <c r="B2572" s="9"/>
      <c r="C2572" s="9"/>
      <c r="D2572" s="8"/>
      <c r="E2572" s="8"/>
      <c r="F2572" s="8" t="s">
        <v>22</v>
      </c>
      <c r="G2572" s="10" t="s">
        <v>5515</v>
      </c>
      <c r="H2572" s="8" t="s">
        <v>5516</v>
      </c>
      <c r="I2572" s="10" t="s">
        <v>5515</v>
      </c>
      <c r="J2572" s="11" t="s">
        <v>33</v>
      </c>
      <c r="K2572" s="18">
        <v>32000</v>
      </c>
      <c r="L2572" s="12">
        <f t="shared" si="219"/>
        <v>53400</v>
      </c>
      <c r="M2572" s="8">
        <v>1</v>
      </c>
      <c r="N2572" s="8" t="s">
        <v>27</v>
      </c>
      <c r="O2572" s="13"/>
      <c r="P2572" s="14">
        <v>0.2</v>
      </c>
      <c r="Q2572" s="15">
        <v>0.4</v>
      </c>
      <c r="R2572" s="16" t="str">
        <f t="shared" si="220"/>
        <v>LUMEK</v>
      </c>
      <c r="S2572" s="17"/>
      <c r="T2572" s="10" t="str">
        <f t="shared" si="218"/>
        <v>BOMBILLO LED PAR 38, 18W.</v>
      </c>
    </row>
    <row r="2573" spans="1:20" ht="27" customHeight="1" x14ac:dyDescent="0.25">
      <c r="A2573" s="8" t="s">
        <v>5454</v>
      </c>
      <c r="B2573" s="9"/>
      <c r="C2573" s="9"/>
      <c r="D2573" s="8"/>
      <c r="E2573" s="8"/>
      <c r="F2573" s="8" t="s">
        <v>22</v>
      </c>
      <c r="G2573" s="10" t="s">
        <v>5517</v>
      </c>
      <c r="H2573" s="8" t="s">
        <v>5518</v>
      </c>
      <c r="I2573" s="10" t="s">
        <v>5517</v>
      </c>
      <c r="J2573" s="11" t="s">
        <v>33</v>
      </c>
      <c r="K2573" s="18">
        <v>70000</v>
      </c>
      <c r="L2573" s="12">
        <f t="shared" si="219"/>
        <v>116700</v>
      </c>
      <c r="M2573" s="8">
        <v>1</v>
      </c>
      <c r="N2573" s="8" t="s">
        <v>27</v>
      </c>
      <c r="O2573" s="13"/>
      <c r="P2573" s="14">
        <v>0.2</v>
      </c>
      <c r="Q2573" s="15">
        <v>0.4</v>
      </c>
      <c r="R2573" s="16" t="str">
        <f t="shared" si="220"/>
        <v>LUMEK</v>
      </c>
      <c r="S2573" s="17"/>
      <c r="T2573" s="10" t="str">
        <f t="shared" ref="T2573:T2606" si="221">G2573</f>
        <v>PANEL NO ATENUABLE LUZ NEUTRA DE 4100k, POTENCIA DE 40 VATIOS.</v>
      </c>
    </row>
    <row r="2574" spans="1:20" ht="27" customHeight="1" x14ac:dyDescent="0.25">
      <c r="A2574" s="8" t="s">
        <v>5454</v>
      </c>
      <c r="B2574" s="9"/>
      <c r="C2574" s="9"/>
      <c r="D2574" s="8"/>
      <c r="E2574" s="8"/>
      <c r="F2574" s="8" t="s">
        <v>22</v>
      </c>
      <c r="G2574" s="10" t="s">
        <v>5519</v>
      </c>
      <c r="H2574" s="8" t="s">
        <v>5520</v>
      </c>
      <c r="I2574" s="10" t="s">
        <v>5519</v>
      </c>
      <c r="J2574" s="11" t="s">
        <v>33</v>
      </c>
      <c r="K2574" s="18">
        <v>5000</v>
      </c>
      <c r="L2574" s="12">
        <f t="shared" si="219"/>
        <v>8400</v>
      </c>
      <c r="M2574" s="8">
        <v>1</v>
      </c>
      <c r="N2574" s="8" t="s">
        <v>27</v>
      </c>
      <c r="O2574" s="13"/>
      <c r="P2574" s="14">
        <v>0.2</v>
      </c>
      <c r="Q2574" s="15">
        <v>0.4</v>
      </c>
      <c r="R2574" s="16" t="str">
        <f t="shared" si="220"/>
        <v>LUMEK</v>
      </c>
      <c r="S2574" s="17"/>
      <c r="T2574" s="10" t="str">
        <f t="shared" si="221"/>
        <v>BOMBILLA LED DE 5 VATIOS NO DIMERIZABLE, CON CONEXIÓN GU10</v>
      </c>
    </row>
    <row r="2575" spans="1:20" ht="27" customHeight="1" x14ac:dyDescent="0.25">
      <c r="A2575" s="8" t="s">
        <v>5454</v>
      </c>
      <c r="B2575" s="9"/>
      <c r="C2575" s="9"/>
      <c r="D2575" s="8"/>
      <c r="E2575" s="8"/>
      <c r="F2575" s="8" t="s">
        <v>22</v>
      </c>
      <c r="G2575" s="10" t="s">
        <v>5521</v>
      </c>
      <c r="H2575" s="8" t="s">
        <v>5522</v>
      </c>
      <c r="I2575" s="10" t="s">
        <v>5521</v>
      </c>
      <c r="J2575" s="11" t="s">
        <v>33</v>
      </c>
      <c r="K2575" s="18">
        <v>12000</v>
      </c>
      <c r="L2575" s="12">
        <f t="shared" si="219"/>
        <v>20000</v>
      </c>
      <c r="M2575" s="8">
        <v>1</v>
      </c>
      <c r="N2575" s="8" t="s">
        <v>27</v>
      </c>
      <c r="O2575" s="13"/>
      <c r="P2575" s="14">
        <v>0.2</v>
      </c>
      <c r="Q2575" s="15">
        <v>0.4</v>
      </c>
      <c r="R2575" s="16" t="str">
        <f t="shared" si="220"/>
        <v>LUMEK</v>
      </c>
      <c r="S2575" s="17"/>
      <c r="T2575" s="10" t="str">
        <f t="shared" si="221"/>
        <v>LUMINARIA DE SOBREPONER, TIPO PANEL LED DE 6", 12W.</v>
      </c>
    </row>
    <row r="2576" spans="1:20" ht="27" customHeight="1" x14ac:dyDescent="0.25">
      <c r="A2576" s="8" t="s">
        <v>5454</v>
      </c>
      <c r="B2576" s="9"/>
      <c r="C2576" s="9"/>
      <c r="D2576" s="8"/>
      <c r="E2576" s="8"/>
      <c r="F2576" s="8" t="s">
        <v>22</v>
      </c>
      <c r="G2576" s="10" t="s">
        <v>5523</v>
      </c>
      <c r="H2576" s="8" t="s">
        <v>5524</v>
      </c>
      <c r="I2576" s="10" t="s">
        <v>5523</v>
      </c>
      <c r="J2576" s="11" t="s">
        <v>33</v>
      </c>
      <c r="K2576" s="18">
        <v>17000</v>
      </c>
      <c r="L2576" s="12">
        <f t="shared" ref="L2576:L2601" si="222">IF(J2576="P",ROUNDUP(K2576/(1-Q2576),-2),K2576*(1+P2576)/(1-Q2576))</f>
        <v>28400</v>
      </c>
      <c r="M2576" s="8">
        <v>1</v>
      </c>
      <c r="N2576" s="8" t="s">
        <v>27</v>
      </c>
      <c r="O2576" s="13"/>
      <c r="P2576" s="14">
        <v>0.2</v>
      </c>
      <c r="Q2576" s="15">
        <v>0.4</v>
      </c>
      <c r="R2576" s="16" t="str">
        <f t="shared" si="220"/>
        <v>LUMEK</v>
      </c>
      <c r="S2576" s="17"/>
      <c r="T2576" s="10" t="str">
        <f t="shared" si="221"/>
        <v>PANEL LED REDONDO LUZ BLANCA, 18W.</v>
      </c>
    </row>
    <row r="2577" spans="1:20" ht="27" customHeight="1" x14ac:dyDescent="0.25">
      <c r="A2577" s="8" t="s">
        <v>5454</v>
      </c>
      <c r="B2577" s="9"/>
      <c r="C2577" s="9"/>
      <c r="D2577" s="8"/>
      <c r="E2577" s="8"/>
      <c r="F2577" s="8" t="s">
        <v>22</v>
      </c>
      <c r="G2577" s="10" t="s">
        <v>5525</v>
      </c>
      <c r="H2577" s="8" t="s">
        <v>5526</v>
      </c>
      <c r="I2577" s="10" t="s">
        <v>5525</v>
      </c>
      <c r="J2577" s="11" t="s">
        <v>33</v>
      </c>
      <c r="K2577" s="18">
        <v>23650</v>
      </c>
      <c r="L2577" s="12">
        <f t="shared" si="222"/>
        <v>39500</v>
      </c>
      <c r="M2577" s="8">
        <v>1</v>
      </c>
      <c r="N2577" s="8" t="s">
        <v>27</v>
      </c>
      <c r="O2577" s="13"/>
      <c r="P2577" s="14">
        <v>0.2</v>
      </c>
      <c r="Q2577" s="15">
        <v>0.4</v>
      </c>
      <c r="R2577" s="16" t="str">
        <f t="shared" si="220"/>
        <v>LUMEK</v>
      </c>
      <c r="S2577" s="17"/>
      <c r="T2577" s="10" t="str">
        <f t="shared" si="221"/>
        <v>LED AR111 NO DIMERIZABLE, 6500K. CONEXIÓN DIRECTA A 110V.</v>
      </c>
    </row>
    <row r="2578" spans="1:20" ht="27" customHeight="1" x14ac:dyDescent="0.25">
      <c r="A2578" s="8" t="s">
        <v>5454</v>
      </c>
      <c r="B2578" s="9"/>
      <c r="C2578" s="9"/>
      <c r="D2578" s="8"/>
      <c r="E2578" s="8"/>
      <c r="F2578" s="8" t="s">
        <v>22</v>
      </c>
      <c r="G2578" s="10" t="s">
        <v>5527</v>
      </c>
      <c r="H2578" s="8" t="s">
        <v>5528</v>
      </c>
      <c r="I2578" s="10" t="s">
        <v>5527</v>
      </c>
      <c r="J2578" s="11" t="s">
        <v>33</v>
      </c>
      <c r="K2578" s="18">
        <f>17900/3</f>
        <v>5966.666666666667</v>
      </c>
      <c r="L2578" s="12">
        <f t="shared" si="222"/>
        <v>12000</v>
      </c>
      <c r="M2578" s="8">
        <v>1</v>
      </c>
      <c r="N2578" s="8" t="s">
        <v>27</v>
      </c>
      <c r="O2578" s="13"/>
      <c r="P2578" s="14">
        <v>0.2</v>
      </c>
      <c r="Q2578" s="15">
        <v>0.5</v>
      </c>
      <c r="R2578" s="16" t="str">
        <f t="shared" si="220"/>
        <v>LUMEK</v>
      </c>
      <c r="S2578" s="17"/>
      <c r="T2578" s="10" t="str">
        <f t="shared" si="221"/>
        <v>LUMINARIA LED DE 5.5W, COLOR 6500K, CONECTOR GU10 A 120V.</v>
      </c>
    </row>
    <row r="2579" spans="1:20" ht="27" customHeight="1" x14ac:dyDescent="0.25">
      <c r="A2579" s="8" t="s">
        <v>5454</v>
      </c>
      <c r="B2579" s="9"/>
      <c r="C2579" s="9"/>
      <c r="D2579" s="8"/>
      <c r="E2579" s="8"/>
      <c r="F2579" s="8" t="s">
        <v>22</v>
      </c>
      <c r="G2579" s="10" t="s">
        <v>5529</v>
      </c>
      <c r="H2579" s="8" t="s">
        <v>5530</v>
      </c>
      <c r="I2579" s="10" t="s">
        <v>5529</v>
      </c>
      <c r="J2579" s="11" t="s">
        <v>33</v>
      </c>
      <c r="K2579" s="18">
        <v>7400</v>
      </c>
      <c r="L2579" s="12">
        <f t="shared" si="222"/>
        <v>10600</v>
      </c>
      <c r="M2579" s="8">
        <v>1</v>
      </c>
      <c r="N2579" s="8" t="s">
        <v>27</v>
      </c>
      <c r="O2579" s="13"/>
      <c r="P2579" s="14">
        <v>0.2</v>
      </c>
      <c r="Q2579" s="15">
        <v>0.3</v>
      </c>
      <c r="R2579" s="16" t="str">
        <f t="shared" si="220"/>
        <v>LUMEK</v>
      </c>
      <c r="S2579" s="17"/>
      <c r="T2579" s="10" t="str">
        <f t="shared" si="221"/>
        <v>LUMINARIA NO DIMERIZABLE GU10, 7.5W, 6500K.</v>
      </c>
    </row>
    <row r="2580" spans="1:20" ht="27" customHeight="1" x14ac:dyDescent="0.25">
      <c r="A2580" s="8" t="s">
        <v>5454</v>
      </c>
      <c r="B2580" s="9"/>
      <c r="C2580" s="9"/>
      <c r="D2580" s="8"/>
      <c r="E2580" s="8"/>
      <c r="F2580" s="8" t="s">
        <v>22</v>
      </c>
      <c r="G2580" s="10" t="s">
        <v>5531</v>
      </c>
      <c r="H2580" s="8" t="s">
        <v>5532</v>
      </c>
      <c r="I2580" s="10" t="s">
        <v>5531</v>
      </c>
      <c r="J2580" s="11" t="s">
        <v>33</v>
      </c>
      <c r="K2580" s="18">
        <v>23000</v>
      </c>
      <c r="L2580" s="12">
        <f t="shared" si="222"/>
        <v>38400</v>
      </c>
      <c r="M2580" s="8">
        <v>1</v>
      </c>
      <c r="N2580" s="8" t="s">
        <v>27</v>
      </c>
      <c r="O2580" s="13"/>
      <c r="P2580" s="14">
        <v>0.2</v>
      </c>
      <c r="Q2580" s="15">
        <v>0.4</v>
      </c>
      <c r="R2580" s="16" t="str">
        <f t="shared" si="220"/>
        <v>LUMEK</v>
      </c>
      <c r="S2580" s="17"/>
      <c r="T2580" s="10" t="str">
        <f t="shared" si="221"/>
        <v>LUMINARIA LED DE 5.5W, COLOR BLANCO 6000K, CONECTOR GU10 A 120V.</v>
      </c>
    </row>
    <row r="2581" spans="1:20" ht="27" customHeight="1" x14ac:dyDescent="0.25">
      <c r="A2581" s="8" t="s">
        <v>5454</v>
      </c>
      <c r="B2581" s="9"/>
      <c r="C2581" s="9"/>
      <c r="D2581" s="8"/>
      <c r="E2581" s="8"/>
      <c r="F2581" s="8" t="s">
        <v>22</v>
      </c>
      <c r="G2581" s="10" t="s">
        <v>5533</v>
      </c>
      <c r="H2581" s="8" t="s">
        <v>5534</v>
      </c>
      <c r="I2581" s="10" t="s">
        <v>5533</v>
      </c>
      <c r="J2581" s="11" t="s">
        <v>33</v>
      </c>
      <c r="K2581" s="18">
        <v>70000</v>
      </c>
      <c r="L2581" s="12">
        <f t="shared" si="222"/>
        <v>116700</v>
      </c>
      <c r="M2581" s="8">
        <v>1</v>
      </c>
      <c r="N2581" s="8" t="s">
        <v>27</v>
      </c>
      <c r="O2581" s="13"/>
      <c r="P2581" s="14">
        <v>0.2</v>
      </c>
      <c r="Q2581" s="15">
        <v>0.4</v>
      </c>
      <c r="R2581" s="16" t="str">
        <f t="shared" si="220"/>
        <v>LUMEK</v>
      </c>
      <c r="S2581" s="17"/>
      <c r="T2581" s="10" t="str">
        <f t="shared" si="221"/>
        <v>PANEL LED DE 45 VATIOS 4100K</v>
      </c>
    </row>
    <row r="2582" spans="1:20" ht="27" customHeight="1" x14ac:dyDescent="0.25">
      <c r="A2582" s="8" t="s">
        <v>5454</v>
      </c>
      <c r="B2582" s="9"/>
      <c r="C2582" s="9"/>
      <c r="D2582" s="8"/>
      <c r="E2582" s="8"/>
      <c r="F2582" s="8" t="s">
        <v>22</v>
      </c>
      <c r="G2582" s="10" t="s">
        <v>5535</v>
      </c>
      <c r="H2582" s="8" t="s">
        <v>5536</v>
      </c>
      <c r="I2582" s="10" t="s">
        <v>5535</v>
      </c>
      <c r="J2582" s="11" t="s">
        <v>33</v>
      </c>
      <c r="K2582" s="18">
        <v>9540</v>
      </c>
      <c r="L2582" s="12">
        <f t="shared" si="222"/>
        <v>13700</v>
      </c>
      <c r="M2582" s="8">
        <v>1</v>
      </c>
      <c r="N2582" s="8" t="s">
        <v>27</v>
      </c>
      <c r="O2582" s="13"/>
      <c r="P2582" s="14">
        <v>0.2</v>
      </c>
      <c r="Q2582" s="15">
        <v>0.3</v>
      </c>
      <c r="R2582" s="16" t="str">
        <f t="shared" si="220"/>
        <v>LUMEK</v>
      </c>
      <c r="S2582" s="17"/>
      <c r="T2582" s="10" t="str">
        <f t="shared" si="221"/>
        <v>PANEL LED REDONDO DE INCRUSTAR, 4000K, 18 VATIOS.</v>
      </c>
    </row>
    <row r="2583" spans="1:20" ht="27" customHeight="1" x14ac:dyDescent="0.25">
      <c r="A2583" s="8" t="s">
        <v>5454</v>
      </c>
      <c r="B2583" s="9"/>
      <c r="C2583" s="9"/>
      <c r="D2583" s="8"/>
      <c r="E2583" s="8"/>
      <c r="F2583" s="8" t="s">
        <v>22</v>
      </c>
      <c r="G2583" s="10" t="s">
        <v>5537</v>
      </c>
      <c r="H2583" s="8" t="s">
        <v>5538</v>
      </c>
      <c r="I2583" s="10" t="s">
        <v>5537</v>
      </c>
      <c r="J2583" s="11" t="s">
        <v>33</v>
      </c>
      <c r="K2583" s="18">
        <v>13090</v>
      </c>
      <c r="L2583" s="12">
        <f t="shared" si="222"/>
        <v>18700</v>
      </c>
      <c r="M2583" s="8">
        <v>1</v>
      </c>
      <c r="N2583" s="8" t="s">
        <v>27</v>
      </c>
      <c r="O2583" s="13"/>
      <c r="P2583" s="14">
        <v>0.2</v>
      </c>
      <c r="Q2583" s="15">
        <v>0.3</v>
      </c>
      <c r="R2583" s="16" t="str">
        <f t="shared" si="220"/>
        <v>LUMEK</v>
      </c>
      <c r="S2583" s="17"/>
      <c r="T2583" s="10" t="str">
        <f t="shared" si="221"/>
        <v>PANEL LED REDONDO DE SOBREPONER, 3000K, 18 VATIOS.</v>
      </c>
    </row>
    <row r="2584" spans="1:20" ht="27" customHeight="1" x14ac:dyDescent="0.25">
      <c r="A2584" s="8" t="s">
        <v>5454</v>
      </c>
      <c r="B2584" s="9"/>
      <c r="C2584" s="9"/>
      <c r="D2584" s="8"/>
      <c r="E2584" s="8"/>
      <c r="F2584" s="8" t="s">
        <v>22</v>
      </c>
      <c r="G2584" s="10" t="s">
        <v>5539</v>
      </c>
      <c r="H2584" s="8" t="s">
        <v>5540</v>
      </c>
      <c r="I2584" s="10" t="s">
        <v>5539</v>
      </c>
      <c r="J2584" s="11" t="s">
        <v>33</v>
      </c>
      <c r="K2584" s="18">
        <v>9890</v>
      </c>
      <c r="L2584" s="12">
        <f t="shared" si="222"/>
        <v>14200</v>
      </c>
      <c r="M2584" s="8">
        <v>1</v>
      </c>
      <c r="N2584" s="8" t="s">
        <v>27</v>
      </c>
      <c r="O2584" s="13"/>
      <c r="P2584" s="14">
        <v>0.2</v>
      </c>
      <c r="Q2584" s="15">
        <v>0.3</v>
      </c>
      <c r="R2584" s="16" t="str">
        <f t="shared" si="220"/>
        <v>LUMEK</v>
      </c>
      <c r="S2584" s="17"/>
      <c r="T2584" s="10" t="str">
        <f t="shared" si="221"/>
        <v>PANEL LED REDONDO DE SOBREPONER, 6500K, 12 VATIOS.</v>
      </c>
    </row>
    <row r="2585" spans="1:20" ht="27" customHeight="1" x14ac:dyDescent="0.25">
      <c r="A2585" s="8" t="s">
        <v>5454</v>
      </c>
      <c r="B2585" s="9"/>
      <c r="C2585" s="9"/>
      <c r="D2585" s="8"/>
      <c r="E2585" s="8"/>
      <c r="F2585" s="8" t="s">
        <v>22</v>
      </c>
      <c r="G2585" s="10" t="s">
        <v>5541</v>
      </c>
      <c r="H2585" s="8" t="s">
        <v>5542</v>
      </c>
      <c r="I2585" s="10" t="s">
        <v>5541</v>
      </c>
      <c r="J2585" s="11" t="s">
        <v>33</v>
      </c>
      <c r="K2585" s="18">
        <v>3400</v>
      </c>
      <c r="L2585" s="12">
        <f t="shared" si="222"/>
        <v>11400</v>
      </c>
      <c r="M2585" s="8">
        <v>1</v>
      </c>
      <c r="N2585" s="8" t="s">
        <v>27</v>
      </c>
      <c r="O2585" s="13"/>
      <c r="P2585" s="14">
        <v>0</v>
      </c>
      <c r="Q2585" s="15">
        <v>0.7</v>
      </c>
      <c r="R2585" s="16" t="str">
        <f t="shared" si="220"/>
        <v>LUMEK</v>
      </c>
      <c r="S2585" s="17"/>
      <c r="T2585" s="10" t="str">
        <f t="shared" si="221"/>
        <v>LUMINARIA LED DE 4W, COLOR 3000K, CONECTOR GU10 A 120V. 350Lm. NO DIMERIZABLE.</v>
      </c>
    </row>
    <row r="2586" spans="1:20" ht="27" customHeight="1" x14ac:dyDescent="0.25">
      <c r="A2586" s="8" t="s">
        <v>5454</v>
      </c>
      <c r="B2586" s="9"/>
      <c r="C2586" s="9"/>
      <c r="D2586" s="8"/>
      <c r="E2586" s="8"/>
      <c r="F2586" s="8" t="s">
        <v>22</v>
      </c>
      <c r="G2586" s="10" t="s">
        <v>5543</v>
      </c>
      <c r="H2586" s="8" t="s">
        <v>5544</v>
      </c>
      <c r="I2586" s="10" t="s">
        <v>5543</v>
      </c>
      <c r="J2586" s="11" t="s">
        <v>33</v>
      </c>
      <c r="K2586" s="18">
        <v>3400</v>
      </c>
      <c r="L2586" s="12">
        <f t="shared" si="222"/>
        <v>11400</v>
      </c>
      <c r="M2586" s="8">
        <v>1</v>
      </c>
      <c r="N2586" s="8" t="s">
        <v>27</v>
      </c>
      <c r="O2586" s="13"/>
      <c r="P2586" s="14">
        <v>0</v>
      </c>
      <c r="Q2586" s="15">
        <v>0.7</v>
      </c>
      <c r="R2586" s="16" t="str">
        <f t="shared" si="220"/>
        <v>LUMEK</v>
      </c>
      <c r="S2586" s="17"/>
      <c r="T2586" s="10" t="str">
        <f t="shared" si="221"/>
        <v>LUMINARIA LED DE 4W, COLOR 6500K, CONECTOR GU10 A 120V. 350Lm. NO DIMERIZABLE.</v>
      </c>
    </row>
    <row r="2587" spans="1:20" ht="27" customHeight="1" x14ac:dyDescent="0.25">
      <c r="A2587" s="8" t="s">
        <v>5454</v>
      </c>
      <c r="B2587" s="9"/>
      <c r="C2587" s="9"/>
      <c r="D2587" s="8"/>
      <c r="E2587" s="8"/>
      <c r="F2587" s="8" t="s">
        <v>22</v>
      </c>
      <c r="G2587" s="10" t="s">
        <v>5545</v>
      </c>
      <c r="H2587" s="8" t="s">
        <v>5546</v>
      </c>
      <c r="I2587" s="10" t="s">
        <v>5545</v>
      </c>
      <c r="J2587" s="11" t="s">
        <v>33</v>
      </c>
      <c r="K2587" s="18">
        <v>4110</v>
      </c>
      <c r="L2587" s="12">
        <f t="shared" si="222"/>
        <v>13700</v>
      </c>
      <c r="M2587" s="8">
        <v>1</v>
      </c>
      <c r="N2587" s="8" t="s">
        <v>27</v>
      </c>
      <c r="O2587" s="13"/>
      <c r="P2587" s="14">
        <v>0</v>
      </c>
      <c r="Q2587" s="15">
        <v>0.7</v>
      </c>
      <c r="R2587" s="16" t="str">
        <f t="shared" si="220"/>
        <v>LUMEK</v>
      </c>
      <c r="S2587" s="17"/>
      <c r="T2587" s="10" t="str">
        <f t="shared" si="221"/>
        <v>LUMINARIA LED DE 5W, COLOR 3000K, CONECTOR GU10 A 120V. 450Lm. NO DIMERIZABLE.</v>
      </c>
    </row>
    <row r="2588" spans="1:20" ht="27" customHeight="1" x14ac:dyDescent="0.25">
      <c r="A2588" s="8" t="s">
        <v>5454</v>
      </c>
      <c r="B2588" s="9"/>
      <c r="C2588" s="9"/>
      <c r="D2588" s="8"/>
      <c r="E2588" s="8"/>
      <c r="F2588" s="8" t="s">
        <v>22</v>
      </c>
      <c r="G2588" s="10" t="s">
        <v>5547</v>
      </c>
      <c r="H2588" s="8" t="s">
        <v>5548</v>
      </c>
      <c r="I2588" s="10" t="s">
        <v>5547</v>
      </c>
      <c r="J2588" s="11" t="s">
        <v>33</v>
      </c>
      <c r="K2588" s="18">
        <v>4110</v>
      </c>
      <c r="L2588" s="12">
        <f t="shared" si="222"/>
        <v>13700</v>
      </c>
      <c r="M2588" s="8">
        <v>1</v>
      </c>
      <c r="N2588" s="8" t="s">
        <v>27</v>
      </c>
      <c r="O2588" s="13"/>
      <c r="P2588" s="14">
        <v>0</v>
      </c>
      <c r="Q2588" s="15">
        <v>0.7</v>
      </c>
      <c r="R2588" s="16" t="str">
        <f t="shared" si="220"/>
        <v>LUMEK</v>
      </c>
      <c r="S2588" s="17"/>
      <c r="T2588" s="10" t="str">
        <f t="shared" si="221"/>
        <v>LUMINARIA LED DE 5W, COLOR 6500K, CONECTOR GU10 A 120V. 450Lm. NO DIMERIZABLE.</v>
      </c>
    </row>
    <row r="2589" spans="1:20" ht="27" customHeight="1" x14ac:dyDescent="0.25">
      <c r="A2589" s="8" t="s">
        <v>5454</v>
      </c>
      <c r="B2589" s="9"/>
      <c r="C2589" s="9"/>
      <c r="D2589" s="8"/>
      <c r="E2589" s="8"/>
      <c r="F2589" s="8" t="s">
        <v>22</v>
      </c>
      <c r="G2589" s="10" t="s">
        <v>5549</v>
      </c>
      <c r="H2589" s="8" t="s">
        <v>5550</v>
      </c>
      <c r="I2589" s="10" t="s">
        <v>5549</v>
      </c>
      <c r="J2589" s="11" t="s">
        <v>33</v>
      </c>
      <c r="K2589" s="18">
        <v>4900</v>
      </c>
      <c r="L2589" s="12">
        <f t="shared" si="222"/>
        <v>16400</v>
      </c>
      <c r="M2589" s="8">
        <v>1</v>
      </c>
      <c r="N2589" s="8" t="s">
        <v>27</v>
      </c>
      <c r="O2589" s="13"/>
      <c r="P2589" s="14">
        <v>0</v>
      </c>
      <c r="Q2589" s="15">
        <v>0.7</v>
      </c>
      <c r="R2589" s="16" t="str">
        <f t="shared" si="220"/>
        <v>LUMEK</v>
      </c>
      <c r="S2589" s="17"/>
      <c r="T2589" s="10" t="str">
        <f t="shared" si="221"/>
        <v>LUMINARIA LED DE 6.3W, COLOR 3000K, CONECTOR GU10 A 120V. 550Lm. NO DIMERIZABLE.</v>
      </c>
    </row>
    <row r="2590" spans="1:20" ht="27" customHeight="1" x14ac:dyDescent="0.25">
      <c r="A2590" s="8" t="s">
        <v>5454</v>
      </c>
      <c r="B2590" s="9"/>
      <c r="C2590" s="9"/>
      <c r="D2590" s="8"/>
      <c r="E2590" s="8"/>
      <c r="F2590" s="8" t="s">
        <v>22</v>
      </c>
      <c r="G2590" s="10" t="s">
        <v>5551</v>
      </c>
      <c r="H2590" s="8" t="s">
        <v>5552</v>
      </c>
      <c r="I2590" s="10" t="s">
        <v>5551</v>
      </c>
      <c r="J2590" s="11" t="s">
        <v>33</v>
      </c>
      <c r="K2590" s="18">
        <v>4110</v>
      </c>
      <c r="L2590" s="12">
        <f t="shared" si="222"/>
        <v>13700</v>
      </c>
      <c r="M2590" s="8">
        <v>1</v>
      </c>
      <c r="N2590" s="8" t="s">
        <v>27</v>
      </c>
      <c r="O2590" s="13"/>
      <c r="P2590" s="14">
        <v>0</v>
      </c>
      <c r="Q2590" s="15">
        <v>0.7</v>
      </c>
      <c r="R2590" s="16" t="str">
        <f t="shared" si="220"/>
        <v>LUMEK</v>
      </c>
      <c r="S2590" s="17"/>
      <c r="T2590" s="10" t="str">
        <f t="shared" si="221"/>
        <v>LUMINARIA LED DE 6.5W, COLOR 3000K, CONECTOR GU10 A 120V. 450Lm. NO DIMERIZABLE.</v>
      </c>
    </row>
    <row r="2591" spans="1:20" ht="27" customHeight="1" x14ac:dyDescent="0.25">
      <c r="A2591" s="8" t="s">
        <v>5454</v>
      </c>
      <c r="B2591" s="9"/>
      <c r="C2591" s="9"/>
      <c r="D2591" s="8"/>
      <c r="E2591" s="8"/>
      <c r="F2591" s="8" t="s">
        <v>22</v>
      </c>
      <c r="G2591" s="10" t="s">
        <v>5553</v>
      </c>
      <c r="H2591" s="8" t="s">
        <v>5554</v>
      </c>
      <c r="I2591" s="10" t="s">
        <v>5553</v>
      </c>
      <c r="J2591" s="11" t="s">
        <v>33</v>
      </c>
      <c r="K2591" s="18">
        <v>4110</v>
      </c>
      <c r="L2591" s="12">
        <f t="shared" si="222"/>
        <v>13700</v>
      </c>
      <c r="M2591" s="8">
        <v>1</v>
      </c>
      <c r="N2591" s="8" t="s">
        <v>27</v>
      </c>
      <c r="O2591" s="13"/>
      <c r="P2591" s="14">
        <v>0</v>
      </c>
      <c r="Q2591" s="15">
        <v>0.7</v>
      </c>
      <c r="R2591" s="16" t="str">
        <f t="shared" si="220"/>
        <v>LUMEK</v>
      </c>
      <c r="S2591" s="17"/>
      <c r="T2591" s="10" t="str">
        <f t="shared" si="221"/>
        <v>LUMINARIA LED DE 6W, COLOR 6500K, CONECTOR GU10 A 120V. 450Lm. NO DIMERIZABLE.</v>
      </c>
    </row>
    <row r="2592" spans="1:20" ht="27" customHeight="1" x14ac:dyDescent="0.25">
      <c r="A2592" s="8" t="s">
        <v>5454</v>
      </c>
      <c r="B2592" s="9"/>
      <c r="C2592" s="9"/>
      <c r="D2592" s="8"/>
      <c r="E2592" s="8"/>
      <c r="F2592" s="8" t="s">
        <v>22</v>
      </c>
      <c r="G2592" s="10" t="s">
        <v>5553</v>
      </c>
      <c r="H2592" s="8" t="s">
        <v>5555</v>
      </c>
      <c r="I2592" s="10" t="s">
        <v>5553</v>
      </c>
      <c r="J2592" s="11" t="s">
        <v>33</v>
      </c>
      <c r="K2592" s="18">
        <v>4110</v>
      </c>
      <c r="L2592" s="12">
        <f t="shared" si="222"/>
        <v>13700</v>
      </c>
      <c r="M2592" s="8">
        <v>1</v>
      </c>
      <c r="N2592" s="8" t="s">
        <v>27</v>
      </c>
      <c r="O2592" s="13"/>
      <c r="P2592" s="14">
        <v>0</v>
      </c>
      <c r="Q2592" s="15">
        <v>0.7</v>
      </c>
      <c r="R2592" s="16" t="str">
        <f t="shared" si="220"/>
        <v>LUMEK</v>
      </c>
      <c r="S2592" s="17"/>
      <c r="T2592" s="10" t="str">
        <f t="shared" si="221"/>
        <v>LUMINARIA LED DE 6W, COLOR 6500K, CONECTOR GU10 A 120V. 450Lm. NO DIMERIZABLE.</v>
      </c>
    </row>
    <row r="2593" spans="1:20" ht="27" customHeight="1" x14ac:dyDescent="0.25">
      <c r="A2593" s="8" t="s">
        <v>5454</v>
      </c>
      <c r="B2593" s="9"/>
      <c r="C2593" s="9"/>
      <c r="D2593" s="8"/>
      <c r="E2593" s="8"/>
      <c r="F2593" s="8" t="s">
        <v>22</v>
      </c>
      <c r="G2593" s="10" t="s">
        <v>5556</v>
      </c>
      <c r="H2593" s="8" t="s">
        <v>5557</v>
      </c>
      <c r="I2593" s="10" t="s">
        <v>5556</v>
      </c>
      <c r="J2593" s="11" t="s">
        <v>33</v>
      </c>
      <c r="K2593" s="18">
        <v>4900</v>
      </c>
      <c r="L2593" s="12">
        <f t="shared" si="222"/>
        <v>16400</v>
      </c>
      <c r="M2593" s="8">
        <v>1</v>
      </c>
      <c r="N2593" s="8" t="s">
        <v>27</v>
      </c>
      <c r="O2593" s="13"/>
      <c r="P2593" s="14">
        <v>0</v>
      </c>
      <c r="Q2593" s="15">
        <v>0.7</v>
      </c>
      <c r="R2593" s="16" t="str">
        <f t="shared" si="220"/>
        <v>LUMEK</v>
      </c>
      <c r="S2593" s="17"/>
      <c r="T2593" s="10" t="str">
        <f t="shared" si="221"/>
        <v>LUMINARIA LED DE 6W, COLOR 3000K, CONECTOR GU10 A 120V. 550Lm. NO DIMERIZABLE.</v>
      </c>
    </row>
    <row r="2594" spans="1:20" ht="27" customHeight="1" x14ac:dyDescent="0.25">
      <c r="A2594" s="8" t="s">
        <v>5454</v>
      </c>
      <c r="B2594" s="9"/>
      <c r="C2594" s="9"/>
      <c r="D2594" s="8"/>
      <c r="E2594" s="8"/>
      <c r="F2594" s="8" t="s">
        <v>22</v>
      </c>
      <c r="G2594" s="10" t="s">
        <v>5558</v>
      </c>
      <c r="H2594" s="8" t="s">
        <v>5559</v>
      </c>
      <c r="I2594" s="10" t="s">
        <v>5558</v>
      </c>
      <c r="J2594" s="11" t="s">
        <v>33</v>
      </c>
      <c r="K2594" s="18">
        <v>4900</v>
      </c>
      <c r="L2594" s="12">
        <f t="shared" si="222"/>
        <v>16400</v>
      </c>
      <c r="M2594" s="8">
        <v>1</v>
      </c>
      <c r="N2594" s="8" t="s">
        <v>27</v>
      </c>
      <c r="O2594" s="13"/>
      <c r="P2594" s="14">
        <v>0</v>
      </c>
      <c r="Q2594" s="15">
        <v>0.7</v>
      </c>
      <c r="R2594" s="16" t="str">
        <f t="shared" si="220"/>
        <v>LUMEK</v>
      </c>
      <c r="S2594" s="17"/>
      <c r="T2594" s="10" t="str">
        <f t="shared" si="221"/>
        <v>LUMINARIA LED DE 6W, COLOR 6500K, CONECTOR GU10 A 120V. 550Lm. NO DIMERIZABLE.</v>
      </c>
    </row>
    <row r="2595" spans="1:20" ht="27" customHeight="1" x14ac:dyDescent="0.25">
      <c r="A2595" s="8" t="s">
        <v>5454</v>
      </c>
      <c r="B2595" s="9"/>
      <c r="C2595" s="9"/>
      <c r="D2595" s="8"/>
      <c r="E2595" s="8"/>
      <c r="F2595" s="8" t="s">
        <v>22</v>
      </c>
      <c r="G2595" s="10" t="s">
        <v>5560</v>
      </c>
      <c r="H2595" s="8" t="s">
        <v>5561</v>
      </c>
      <c r="I2595" s="10" t="s">
        <v>5560</v>
      </c>
      <c r="J2595" s="11" t="s">
        <v>33</v>
      </c>
      <c r="K2595" s="18">
        <v>4900</v>
      </c>
      <c r="L2595" s="12">
        <f t="shared" si="222"/>
        <v>16400</v>
      </c>
      <c r="M2595" s="8">
        <v>1</v>
      </c>
      <c r="N2595" s="8" t="s">
        <v>27</v>
      </c>
      <c r="O2595" s="13"/>
      <c r="P2595" s="14">
        <v>0</v>
      </c>
      <c r="Q2595" s="15">
        <v>0.7</v>
      </c>
      <c r="R2595" s="16" t="str">
        <f t="shared" si="220"/>
        <v>LUMEK</v>
      </c>
      <c r="S2595" s="17"/>
      <c r="T2595" s="10" t="str">
        <f t="shared" si="221"/>
        <v>LUMINARIA LED DE 7W, COLOR 3000K, CONECTOR GU10 A 120V. 550Lm. NO DIMERIZABLE.</v>
      </c>
    </row>
    <row r="2596" spans="1:20" ht="27" customHeight="1" x14ac:dyDescent="0.25">
      <c r="A2596" s="8" t="s">
        <v>5454</v>
      </c>
      <c r="B2596" s="9"/>
      <c r="C2596" s="9"/>
      <c r="D2596" s="8"/>
      <c r="E2596" s="8"/>
      <c r="F2596" s="8" t="s">
        <v>22</v>
      </c>
      <c r="G2596" s="10" t="s">
        <v>5562</v>
      </c>
      <c r="H2596" s="8" t="s">
        <v>5563</v>
      </c>
      <c r="I2596" s="10" t="s">
        <v>5562</v>
      </c>
      <c r="J2596" s="11" t="s">
        <v>33</v>
      </c>
      <c r="K2596" s="18">
        <v>4900</v>
      </c>
      <c r="L2596" s="12">
        <f t="shared" si="222"/>
        <v>16400</v>
      </c>
      <c r="M2596" s="8">
        <v>1</v>
      </c>
      <c r="N2596" s="8" t="s">
        <v>27</v>
      </c>
      <c r="O2596" s="13"/>
      <c r="P2596" s="14">
        <v>0</v>
      </c>
      <c r="Q2596" s="15">
        <v>0.7</v>
      </c>
      <c r="R2596" s="16" t="str">
        <f t="shared" si="220"/>
        <v>LUMEK</v>
      </c>
      <c r="S2596" s="17"/>
      <c r="T2596" s="10" t="str">
        <f t="shared" si="221"/>
        <v>LUMINARIA LED DE 7W, COLOR 6500K, CONECTOR GU10 A 120V. 550Lm. NO DIMERIZABLE.</v>
      </c>
    </row>
    <row r="2597" spans="1:20" ht="27" customHeight="1" x14ac:dyDescent="0.25">
      <c r="A2597" s="8" t="s">
        <v>5454</v>
      </c>
      <c r="B2597" s="9"/>
      <c r="C2597" s="9"/>
      <c r="D2597" s="8"/>
      <c r="E2597" s="8"/>
      <c r="F2597" s="8" t="s">
        <v>22</v>
      </c>
      <c r="G2597" s="10" t="s">
        <v>5564</v>
      </c>
      <c r="H2597" s="8" t="s">
        <v>5565</v>
      </c>
      <c r="I2597" s="10" t="s">
        <v>5564</v>
      </c>
      <c r="J2597" s="11" t="s">
        <v>33</v>
      </c>
      <c r="K2597" s="18">
        <v>3400</v>
      </c>
      <c r="L2597" s="12">
        <f t="shared" si="222"/>
        <v>11400</v>
      </c>
      <c r="M2597" s="8">
        <v>1</v>
      </c>
      <c r="N2597" s="8" t="s">
        <v>27</v>
      </c>
      <c r="O2597" s="13"/>
      <c r="P2597" s="14">
        <v>0</v>
      </c>
      <c r="Q2597" s="15">
        <v>0.7</v>
      </c>
      <c r="R2597" s="16" t="str">
        <f t="shared" si="220"/>
        <v>LUMEK</v>
      </c>
      <c r="S2597" s="17"/>
      <c r="T2597" s="10" t="str">
        <f t="shared" si="221"/>
        <v>LUMINARIA LED DE 5.5W, COLOR 6500K, CONECTOR GU10 A 120V. 350Lm. NO DIMERIZABLE.</v>
      </c>
    </row>
    <row r="2598" spans="1:20" ht="27" customHeight="1" x14ac:dyDescent="0.25">
      <c r="A2598" s="8" t="s">
        <v>5454</v>
      </c>
      <c r="B2598" s="9"/>
      <c r="C2598" s="9"/>
      <c r="D2598" s="8"/>
      <c r="E2598" s="8"/>
      <c r="F2598" s="8" t="s">
        <v>22</v>
      </c>
      <c r="G2598" s="10" t="s">
        <v>5566</v>
      </c>
      <c r="H2598" s="8" t="s">
        <v>5567</v>
      </c>
      <c r="I2598" s="10" t="s">
        <v>5566</v>
      </c>
      <c r="J2598" s="11" t="s">
        <v>33</v>
      </c>
      <c r="K2598" s="18">
        <v>8800</v>
      </c>
      <c r="L2598" s="12">
        <f t="shared" si="222"/>
        <v>19600</v>
      </c>
      <c r="M2598" s="8">
        <v>1</v>
      </c>
      <c r="N2598" s="8" t="s">
        <v>27</v>
      </c>
      <c r="O2598" s="13"/>
      <c r="P2598" s="14">
        <v>0</v>
      </c>
      <c r="Q2598" s="15">
        <v>0.55000000000000004</v>
      </c>
      <c r="R2598" s="16" t="str">
        <f t="shared" si="220"/>
        <v>LUMEK</v>
      </c>
      <c r="S2598" s="17"/>
      <c r="T2598" s="10" t="str">
        <f t="shared" si="221"/>
        <v>LUMINARIA LED DE 6W, COLOR 3000K, CONECTOR GU10 A 120V. 350Lm. DIMERIZABLE.</v>
      </c>
    </row>
    <row r="2599" spans="1:20" ht="27" customHeight="1" x14ac:dyDescent="0.25">
      <c r="A2599" s="8" t="s">
        <v>5454</v>
      </c>
      <c r="B2599" s="9"/>
      <c r="C2599" s="9"/>
      <c r="D2599" s="8"/>
      <c r="E2599" s="8"/>
      <c r="F2599" s="8" t="s">
        <v>22</v>
      </c>
      <c r="G2599" s="10" t="s">
        <v>5568</v>
      </c>
      <c r="H2599" s="8" t="s">
        <v>5569</v>
      </c>
      <c r="I2599" s="10" t="s">
        <v>5568</v>
      </c>
      <c r="J2599" s="11" t="s">
        <v>33</v>
      </c>
      <c r="K2599" s="18">
        <v>8800</v>
      </c>
      <c r="L2599" s="12">
        <f t="shared" si="222"/>
        <v>19600</v>
      </c>
      <c r="M2599" s="8">
        <v>1</v>
      </c>
      <c r="N2599" s="8" t="s">
        <v>27</v>
      </c>
      <c r="O2599" s="13"/>
      <c r="P2599" s="14">
        <v>0</v>
      </c>
      <c r="Q2599" s="15">
        <v>0.55000000000000004</v>
      </c>
      <c r="R2599" s="16" t="str">
        <f t="shared" si="220"/>
        <v>LUMEK</v>
      </c>
      <c r="S2599" s="17"/>
      <c r="T2599" s="10" t="str">
        <f t="shared" si="221"/>
        <v>LUMINARIA LED DE 6W, COLOR 6500K, CONECTOR GU10 A 120V. 350Lm. DIMERIZABLE.</v>
      </c>
    </row>
    <row r="2600" spans="1:20" ht="27" customHeight="1" x14ac:dyDescent="0.25">
      <c r="A2600" s="8" t="s">
        <v>5454</v>
      </c>
      <c r="B2600" s="9"/>
      <c r="C2600" s="9"/>
      <c r="D2600" s="8"/>
      <c r="E2600" s="8"/>
      <c r="F2600" s="8" t="s">
        <v>22</v>
      </c>
      <c r="G2600" s="10" t="s">
        <v>5570</v>
      </c>
      <c r="H2600" s="8" t="s">
        <v>5571</v>
      </c>
      <c r="I2600" s="10" t="s">
        <v>5570</v>
      </c>
      <c r="J2600" s="11" t="s">
        <v>33</v>
      </c>
      <c r="K2600" s="18">
        <v>8800</v>
      </c>
      <c r="L2600" s="12">
        <f t="shared" si="222"/>
        <v>19600</v>
      </c>
      <c r="M2600" s="8">
        <v>1</v>
      </c>
      <c r="N2600" s="8" t="s">
        <v>27</v>
      </c>
      <c r="O2600" s="13"/>
      <c r="P2600" s="14">
        <v>0</v>
      </c>
      <c r="Q2600" s="15">
        <v>0.55000000000000004</v>
      </c>
      <c r="R2600" s="16" t="str">
        <f t="shared" si="220"/>
        <v>LUMEK</v>
      </c>
      <c r="S2600" s="17"/>
      <c r="T2600" s="10" t="str">
        <f t="shared" si="221"/>
        <v>LUMINARIA LED DE 7.5W, COLOR 6500K, CONECTOR GU10 A 120V. 550Lm. DIMERIZABLE.</v>
      </c>
    </row>
    <row r="2601" spans="1:20" ht="27" customHeight="1" x14ac:dyDescent="0.25">
      <c r="A2601" s="8" t="s">
        <v>5454</v>
      </c>
      <c r="B2601" s="9"/>
      <c r="C2601" s="9"/>
      <c r="D2601" s="8"/>
      <c r="E2601" s="8"/>
      <c r="F2601" s="8" t="s">
        <v>22</v>
      </c>
      <c r="G2601" s="10" t="s">
        <v>5572</v>
      </c>
      <c r="H2601" s="8" t="s">
        <v>5573</v>
      </c>
      <c r="I2601" s="10" t="s">
        <v>5572</v>
      </c>
      <c r="J2601" s="11" t="s">
        <v>33</v>
      </c>
      <c r="K2601" s="18">
        <v>15900</v>
      </c>
      <c r="L2601" s="12">
        <f t="shared" si="222"/>
        <v>31800</v>
      </c>
      <c r="M2601" s="8">
        <v>1</v>
      </c>
      <c r="N2601" s="8" t="s">
        <v>27</v>
      </c>
      <c r="O2601" s="13" t="s">
        <v>588</v>
      </c>
      <c r="P2601" s="14">
        <v>0</v>
      </c>
      <c r="Q2601" s="15">
        <v>0.5</v>
      </c>
      <c r="R2601" s="16" t="str">
        <f t="shared" si="220"/>
        <v>LUMEK</v>
      </c>
      <c r="S2601" s="17"/>
      <c r="T2601" s="10" t="str">
        <f t="shared" si="221"/>
        <v>PANEL LED DE INCRUSTAR DE 24W. 4000K</v>
      </c>
    </row>
    <row r="2602" spans="1:20" ht="27" customHeight="1" x14ac:dyDescent="0.25">
      <c r="A2602" s="8" t="s">
        <v>5454</v>
      </c>
      <c r="B2602" s="9"/>
      <c r="C2602" s="9"/>
      <c r="D2602" s="8" t="s">
        <v>45</v>
      </c>
      <c r="E2602" s="8"/>
      <c r="F2602" s="8" t="s">
        <v>22</v>
      </c>
      <c r="G2602" s="10" t="s">
        <v>5574</v>
      </c>
      <c r="H2602" s="8" t="s">
        <v>5575</v>
      </c>
      <c r="I2602" s="10" t="s">
        <v>5576</v>
      </c>
      <c r="J2602" s="11" t="s">
        <v>33</v>
      </c>
      <c r="K2602" s="18">
        <v>46500</v>
      </c>
      <c r="L2602" s="12">
        <f>ROUNDUP(K2602*(1+P2602)/(1-Q2602),0)</f>
        <v>66429</v>
      </c>
      <c r="M2602" s="8">
        <v>1</v>
      </c>
      <c r="N2602" s="8" t="s">
        <v>27</v>
      </c>
      <c r="O2602" s="13"/>
      <c r="P2602" s="14">
        <v>0</v>
      </c>
      <c r="Q2602" s="15">
        <v>0.3</v>
      </c>
      <c r="R2602" s="16" t="str">
        <f t="shared" si="220"/>
        <v>LUMEK</v>
      </c>
      <c r="S2602" s="17"/>
      <c r="T2602" s="10" t="str">
        <f t="shared" si="221"/>
        <v>HERMÉTICA IP65 CON DOS TUBOS DE 17W.</v>
      </c>
    </row>
    <row r="2603" spans="1:20" ht="27" customHeight="1" x14ac:dyDescent="0.25">
      <c r="A2603" s="8" t="s">
        <v>5454</v>
      </c>
      <c r="B2603" s="9"/>
      <c r="C2603" s="9"/>
      <c r="D2603" s="8" t="s">
        <v>45</v>
      </c>
      <c r="E2603" s="8"/>
      <c r="F2603" s="8" t="s">
        <v>22</v>
      </c>
      <c r="G2603" s="10" t="s">
        <v>5577</v>
      </c>
      <c r="H2603" s="8" t="s">
        <v>5578</v>
      </c>
      <c r="I2603" s="10" t="s">
        <v>5577</v>
      </c>
      <c r="J2603" s="11" t="s">
        <v>33</v>
      </c>
      <c r="K2603" s="18">
        <v>93800</v>
      </c>
      <c r="L2603" s="12">
        <f>IF(J2603="P",ROUNDUP(K2603/(1-Q2603),-2),K2603*(1+P2603)/(1-Q2603))</f>
        <v>134000</v>
      </c>
      <c r="M2603" s="8">
        <v>1</v>
      </c>
      <c r="N2603" s="8" t="s">
        <v>27</v>
      </c>
      <c r="O2603" s="13"/>
      <c r="P2603" s="14">
        <v>0</v>
      </c>
      <c r="Q2603" s="15">
        <v>0.3</v>
      </c>
      <c r="R2603" s="16" t="str">
        <f t="shared" si="220"/>
        <v>LUMEK</v>
      </c>
      <c r="S2603" s="17"/>
      <c r="T2603" s="10" t="str">
        <f t="shared" si="221"/>
        <v>LUMINARIA LINEAL DE 40W TIPO TITANIA</v>
      </c>
    </row>
    <row r="2604" spans="1:20" ht="27" customHeight="1" x14ac:dyDescent="0.25">
      <c r="A2604" s="8" t="s">
        <v>5454</v>
      </c>
      <c r="B2604" s="9"/>
      <c r="C2604" s="9"/>
      <c r="D2604" s="8" t="s">
        <v>45</v>
      </c>
      <c r="E2604" s="8"/>
      <c r="F2604" s="8" t="s">
        <v>22</v>
      </c>
      <c r="G2604" s="10" t="s">
        <v>5579</v>
      </c>
      <c r="H2604" s="8" t="s">
        <v>5580</v>
      </c>
      <c r="I2604" s="10" t="s">
        <v>5579</v>
      </c>
      <c r="J2604" s="11" t="s">
        <v>33</v>
      </c>
      <c r="K2604" s="18">
        <v>51000</v>
      </c>
      <c r="L2604" s="12">
        <f>IF(J2604="P",ROUNDUP(K2604/(1-Q2604),-2),K2604*(1+P2604)/(1-Q2604))</f>
        <v>85000</v>
      </c>
      <c r="M2604" s="8">
        <v>1</v>
      </c>
      <c r="N2604" s="8" t="s">
        <v>27</v>
      </c>
      <c r="O2604" s="13" t="s">
        <v>588</v>
      </c>
      <c r="P2604" s="14">
        <v>0</v>
      </c>
      <c r="Q2604" s="15">
        <v>0.4</v>
      </c>
      <c r="R2604" s="16" t="str">
        <f t="shared" si="220"/>
        <v>LUMEK</v>
      </c>
      <c r="S2604" s="17"/>
      <c r="T2604" s="10" t="str">
        <f t="shared" si="221"/>
        <v>PANEL LED DE 40W, MULTIVOLTAJE DE 60X60, 6500K.</v>
      </c>
    </row>
    <row r="2605" spans="1:20" ht="27" customHeight="1" x14ac:dyDescent="0.25">
      <c r="A2605" s="8" t="s">
        <v>5454</v>
      </c>
      <c r="B2605" s="9"/>
      <c r="C2605" s="9"/>
      <c r="D2605" s="8" t="s">
        <v>45</v>
      </c>
      <c r="E2605" s="8"/>
      <c r="F2605" s="8" t="s">
        <v>22</v>
      </c>
      <c r="G2605" s="10" t="s">
        <v>5581</v>
      </c>
      <c r="H2605" s="8" t="s">
        <v>5478</v>
      </c>
      <c r="I2605" s="10" t="s">
        <v>5581</v>
      </c>
      <c r="J2605" s="11" t="s">
        <v>33</v>
      </c>
      <c r="K2605" s="18">
        <v>51000</v>
      </c>
      <c r="L2605" s="12">
        <f>IF(J2605="P",ROUNDUP(K2605/(1-Q2605),-2),K2605*(1+P2605)/(1-Q2605))</f>
        <v>85000</v>
      </c>
      <c r="M2605" s="8">
        <v>1</v>
      </c>
      <c r="N2605" s="8" t="s">
        <v>27</v>
      </c>
      <c r="O2605" s="13" t="s">
        <v>588</v>
      </c>
      <c r="P2605" s="14">
        <v>0</v>
      </c>
      <c r="Q2605" s="15">
        <v>0.4</v>
      </c>
      <c r="R2605" s="16" t="str">
        <f t="shared" si="220"/>
        <v>LUMEK</v>
      </c>
      <c r="S2605" s="17"/>
      <c r="T2605" s="10" t="str">
        <f t="shared" si="221"/>
        <v>PANEL LED DE 40W, MULTIVOLTAJE DE 60X60, 4000K.</v>
      </c>
    </row>
    <row r="2606" spans="1:20" ht="27" customHeight="1" x14ac:dyDescent="0.25">
      <c r="A2606" s="8" t="s">
        <v>5454</v>
      </c>
      <c r="B2606" s="9"/>
      <c r="C2606" s="9"/>
      <c r="D2606" s="8" t="s">
        <v>45</v>
      </c>
      <c r="E2606" s="8"/>
      <c r="F2606" s="8" t="s">
        <v>22</v>
      </c>
      <c r="G2606" s="10" t="s">
        <v>5582</v>
      </c>
      <c r="H2606" s="8" t="s">
        <v>5583</v>
      </c>
      <c r="I2606" s="10" t="s">
        <v>5582</v>
      </c>
      <c r="J2606" s="11" t="s">
        <v>33</v>
      </c>
      <c r="K2606" s="18">
        <v>62000</v>
      </c>
      <c r="L2606" s="12">
        <f>IF(J2606="P",ROUNDUP(K2606/(1-Q2606),-2),K2606*(1+P2606)/(1-Q2606))</f>
        <v>88600</v>
      </c>
      <c r="M2606" s="8">
        <v>1</v>
      </c>
      <c r="N2606" s="8" t="s">
        <v>27</v>
      </c>
      <c r="O2606" s="13"/>
      <c r="P2606" s="14">
        <v>0</v>
      </c>
      <c r="Q2606" s="15">
        <v>0.3</v>
      </c>
      <c r="R2606" s="16" t="str">
        <f t="shared" si="220"/>
        <v>LUMEK</v>
      </c>
      <c r="S2606" s="17"/>
      <c r="T2606" s="10" t="str">
        <f t="shared" si="221"/>
        <v>LUMINARIA DE 22 EN COLOR 6500K CON DISIPADOR</v>
      </c>
    </row>
    <row r="2607" spans="1:20" ht="27" customHeight="1" x14ac:dyDescent="0.25">
      <c r="A2607" s="8" t="s">
        <v>5454</v>
      </c>
      <c r="B2607" s="9"/>
      <c r="C2607" s="9"/>
      <c r="D2607" s="8"/>
      <c r="E2607" s="8"/>
      <c r="F2607" s="8"/>
      <c r="G2607" s="10"/>
      <c r="H2607" s="8" t="s">
        <v>5584</v>
      </c>
      <c r="I2607" s="10" t="s">
        <v>5585</v>
      </c>
      <c r="J2607" s="11" t="s">
        <v>33</v>
      </c>
      <c r="K2607" s="18">
        <v>6760</v>
      </c>
      <c r="L2607" s="12">
        <f>IF(J2607="P",ROUNDUP(K2607/(1-Q2607),-2),K2607*(1+P2607)/(1-Q2607))</f>
        <v>9700</v>
      </c>
      <c r="M2607" s="8">
        <v>1</v>
      </c>
      <c r="N2607" s="8" t="s">
        <v>27</v>
      </c>
      <c r="O2607" s="13"/>
      <c r="P2607" s="14">
        <v>0</v>
      </c>
      <c r="Q2607" s="15">
        <v>0.3</v>
      </c>
      <c r="R2607" s="16" t="str">
        <f t="shared" si="220"/>
        <v>LUMEK</v>
      </c>
      <c r="S2607" s="17"/>
      <c r="T2607" s="10"/>
    </row>
    <row r="2608" spans="1:20" ht="27" customHeight="1" x14ac:dyDescent="0.25">
      <c r="A2608" s="8" t="s">
        <v>5454</v>
      </c>
      <c r="B2608" s="9"/>
      <c r="C2608" s="9"/>
      <c r="D2608" s="8"/>
      <c r="E2608" s="8"/>
      <c r="F2608" s="8"/>
      <c r="G2608" s="10"/>
      <c r="H2608" s="8" t="s">
        <v>5586</v>
      </c>
      <c r="I2608" s="10" t="s">
        <v>5587</v>
      </c>
      <c r="J2608" s="11" t="s">
        <v>33</v>
      </c>
      <c r="K2608" s="18">
        <v>6420</v>
      </c>
      <c r="L2608" s="12">
        <f>K2608*(1+P2608)/(1-Q2608)</f>
        <v>9171.4285714285725</v>
      </c>
      <c r="M2608" s="8">
        <v>1</v>
      </c>
      <c r="N2608" s="8" t="s">
        <v>27</v>
      </c>
      <c r="O2608" s="13"/>
      <c r="P2608" s="14">
        <v>0</v>
      </c>
      <c r="Q2608" s="15">
        <v>0.3</v>
      </c>
      <c r="R2608" s="16" t="str">
        <f t="shared" si="220"/>
        <v>LUMEK</v>
      </c>
      <c r="S2608" s="17"/>
      <c r="T2608" s="10"/>
    </row>
    <row r="2609" spans="1:20" ht="27" customHeight="1" x14ac:dyDescent="0.25">
      <c r="A2609" s="8" t="s">
        <v>5454</v>
      </c>
      <c r="B2609" s="9"/>
      <c r="C2609" s="9"/>
      <c r="D2609" s="8"/>
      <c r="E2609" s="8"/>
      <c r="F2609" s="8"/>
      <c r="G2609" s="10"/>
      <c r="H2609" s="8" t="s">
        <v>5588</v>
      </c>
      <c r="I2609" s="10" t="s">
        <v>5589</v>
      </c>
      <c r="J2609" s="11" t="s">
        <v>33</v>
      </c>
      <c r="K2609" s="18">
        <v>9780</v>
      </c>
      <c r="L2609" s="12">
        <f>K2609*(1+P2609)/(1-Q2609)</f>
        <v>13971.428571428572</v>
      </c>
      <c r="M2609" s="8">
        <v>1</v>
      </c>
      <c r="N2609" s="8" t="s">
        <v>27</v>
      </c>
      <c r="O2609" s="13"/>
      <c r="P2609" s="14">
        <v>0</v>
      </c>
      <c r="Q2609" s="15">
        <v>0.3</v>
      </c>
      <c r="R2609" s="16" t="str">
        <f t="shared" si="220"/>
        <v>LUMEK</v>
      </c>
      <c r="S2609" s="17"/>
      <c r="T2609" s="10"/>
    </row>
    <row r="2610" spans="1:20" ht="27" customHeight="1" x14ac:dyDescent="0.25">
      <c r="A2610" s="8" t="s">
        <v>5454</v>
      </c>
      <c r="B2610" s="9"/>
      <c r="C2610" s="9"/>
      <c r="D2610" s="8"/>
      <c r="E2610" s="8"/>
      <c r="F2610" s="8"/>
      <c r="G2610" s="10"/>
      <c r="H2610" s="8" t="s">
        <v>5590</v>
      </c>
      <c r="I2610" s="10" t="s">
        <v>5591</v>
      </c>
      <c r="J2610" s="11" t="s">
        <v>33</v>
      </c>
      <c r="K2610" s="18">
        <v>11500</v>
      </c>
      <c r="L2610" s="12">
        <f>K2610*(1+P2610)/(1-Q2610)</f>
        <v>16428.571428571431</v>
      </c>
      <c r="M2610" s="8">
        <v>1</v>
      </c>
      <c r="N2610" s="8" t="s">
        <v>27</v>
      </c>
      <c r="O2610" s="13"/>
      <c r="P2610" s="14">
        <v>0</v>
      </c>
      <c r="Q2610" s="15">
        <v>0.3</v>
      </c>
      <c r="R2610" s="16" t="str">
        <f t="shared" si="220"/>
        <v>LUMEK</v>
      </c>
      <c r="S2610" s="17"/>
      <c r="T2610" s="10"/>
    </row>
    <row r="2611" spans="1:20" ht="27" customHeight="1" x14ac:dyDescent="0.25">
      <c r="A2611" s="8" t="s">
        <v>5454</v>
      </c>
      <c r="B2611" s="9"/>
      <c r="C2611" s="9"/>
      <c r="D2611" s="8"/>
      <c r="E2611" s="8"/>
      <c r="F2611" s="8"/>
      <c r="G2611" s="10"/>
      <c r="H2611" s="8" t="s">
        <v>5592</v>
      </c>
      <c r="I2611" s="10" t="s">
        <v>5593</v>
      </c>
      <c r="J2611" s="11" t="s">
        <v>33</v>
      </c>
      <c r="K2611" s="18">
        <v>10200</v>
      </c>
      <c r="L2611" s="12">
        <f>ROUNDUP(K2611*(1+P2611)/(1-Q2611),0)</f>
        <v>17000</v>
      </c>
      <c r="M2611" s="8">
        <v>1</v>
      </c>
      <c r="N2611" s="8" t="s">
        <v>27</v>
      </c>
      <c r="O2611" s="13"/>
      <c r="P2611" s="14">
        <v>0</v>
      </c>
      <c r="Q2611" s="15">
        <v>0.4</v>
      </c>
      <c r="R2611" s="16" t="str">
        <f t="shared" si="220"/>
        <v>LUMEK</v>
      </c>
      <c r="S2611" s="17"/>
      <c r="T2611" s="10"/>
    </row>
    <row r="2612" spans="1:20" ht="27" customHeight="1" x14ac:dyDescent="0.25">
      <c r="A2612" s="8" t="s">
        <v>5454</v>
      </c>
      <c r="B2612" s="9"/>
      <c r="C2612" s="9"/>
      <c r="D2612" s="8"/>
      <c r="E2612" s="8"/>
      <c r="F2612" s="8"/>
      <c r="G2612" s="10"/>
      <c r="H2612" s="8" t="s">
        <v>5536</v>
      </c>
      <c r="I2612" s="10" t="s">
        <v>5594</v>
      </c>
      <c r="J2612" s="11" t="s">
        <v>33</v>
      </c>
      <c r="K2612" s="18">
        <v>18900</v>
      </c>
      <c r="L2612" s="12">
        <f>ROUNDUP(K2612*(1+P2612)/(1-Q2612),0)</f>
        <v>27000</v>
      </c>
      <c r="M2612" s="8">
        <v>1</v>
      </c>
      <c r="N2612" s="8" t="s">
        <v>27</v>
      </c>
      <c r="O2612" s="13"/>
      <c r="P2612" s="14">
        <v>0</v>
      </c>
      <c r="Q2612" s="15">
        <v>0.3</v>
      </c>
      <c r="R2612" s="16" t="str">
        <f t="shared" si="220"/>
        <v>LUMEK</v>
      </c>
      <c r="S2612" s="17"/>
      <c r="T2612" s="10"/>
    </row>
    <row r="2613" spans="1:20" ht="27" customHeight="1" x14ac:dyDescent="0.25">
      <c r="A2613" s="8" t="s">
        <v>5595</v>
      </c>
      <c r="B2613" s="9"/>
      <c r="C2613" s="9"/>
      <c r="D2613" s="8"/>
      <c r="E2613" s="8"/>
      <c r="F2613" s="8" t="s">
        <v>22</v>
      </c>
      <c r="G2613" s="10" t="s">
        <v>5596</v>
      </c>
      <c r="H2613" s="8" t="s">
        <v>5597</v>
      </c>
      <c r="I2613" s="10" t="s">
        <v>5596</v>
      </c>
      <c r="J2613" s="11" t="s">
        <v>33</v>
      </c>
      <c r="K2613" s="18">
        <v>85000</v>
      </c>
      <c r="L2613" s="12">
        <f t="shared" ref="L2613:L2647" si="223">IF(J2613="P",ROUNDUP(K2613/(1-Q2613),-2),K2613*(1+P2613)/(1-Q2613))</f>
        <v>141700</v>
      </c>
      <c r="M2613" s="8">
        <v>1</v>
      </c>
      <c r="N2613" s="8" t="s">
        <v>27</v>
      </c>
      <c r="O2613" s="13"/>
      <c r="P2613" s="14">
        <v>0.2</v>
      </c>
      <c r="Q2613" s="15">
        <v>0.4</v>
      </c>
      <c r="R2613" s="16" t="str">
        <f t="shared" si="220"/>
        <v>LUMIA</v>
      </c>
      <c r="S2613" s="17"/>
      <c r="T2613" s="10" t="str">
        <f t="shared" ref="T2613:T2676" si="224">G2613</f>
        <v>PANEL LED DE 48 VATIOS EN LUZ BLANCA.</v>
      </c>
    </row>
    <row r="2614" spans="1:20" ht="27" customHeight="1" x14ac:dyDescent="0.25">
      <c r="A2614" s="8" t="s">
        <v>5598</v>
      </c>
      <c r="B2614" s="9"/>
      <c r="C2614" s="9"/>
      <c r="D2614" s="8"/>
      <c r="E2614" s="8"/>
      <c r="F2614" s="8" t="s">
        <v>22</v>
      </c>
      <c r="G2614" s="10" t="s">
        <v>5599</v>
      </c>
      <c r="H2614" s="8" t="s">
        <v>5600</v>
      </c>
      <c r="I2614" s="10" t="s">
        <v>5599</v>
      </c>
      <c r="J2614" s="11" t="s">
        <v>33</v>
      </c>
      <c r="K2614" s="18">
        <v>190000</v>
      </c>
      <c r="L2614" s="12">
        <f t="shared" si="223"/>
        <v>316700</v>
      </c>
      <c r="M2614" s="8">
        <v>1</v>
      </c>
      <c r="N2614" s="8" t="s">
        <v>27</v>
      </c>
      <c r="O2614" s="13"/>
      <c r="P2614" s="14">
        <v>0.2</v>
      </c>
      <c r="Q2614" s="15">
        <v>0.4</v>
      </c>
      <c r="R2614" s="16" t="str">
        <f t="shared" si="220"/>
        <v>LUMIK</v>
      </c>
      <c r="S2614" s="17"/>
      <c r="T2614" s="10" t="str">
        <f t="shared" si="224"/>
        <v>PANEL LED ATENUABLE DE 60 VATIOS 4100K</v>
      </c>
    </row>
    <row r="2615" spans="1:20" ht="27" customHeight="1" x14ac:dyDescent="0.25">
      <c r="A2615" s="8" t="s">
        <v>5598</v>
      </c>
      <c r="B2615" s="9"/>
      <c r="C2615" s="9"/>
      <c r="D2615" s="8"/>
      <c r="E2615" s="8"/>
      <c r="F2615" s="8" t="s">
        <v>22</v>
      </c>
      <c r="G2615" s="10" t="s">
        <v>5601</v>
      </c>
      <c r="H2615" s="8" t="s">
        <v>5602</v>
      </c>
      <c r="I2615" s="10" t="s">
        <v>5601</v>
      </c>
      <c r="J2615" s="11" t="s">
        <v>33</v>
      </c>
      <c r="K2615" s="18">
        <v>19000</v>
      </c>
      <c r="L2615" s="12">
        <f t="shared" si="223"/>
        <v>31700</v>
      </c>
      <c r="M2615" s="8">
        <v>1</v>
      </c>
      <c r="N2615" s="8" t="s">
        <v>27</v>
      </c>
      <c r="O2615" s="13"/>
      <c r="P2615" s="14">
        <v>0.2</v>
      </c>
      <c r="Q2615" s="15">
        <v>0.4</v>
      </c>
      <c r="R2615" s="16" t="str">
        <f t="shared" si="220"/>
        <v>LUMIK</v>
      </c>
      <c r="S2615" s="17"/>
      <c r="T2615" s="10" t="str">
        <f t="shared" si="224"/>
        <v>PANEL REDONDO DE 18 VATIOS 4100K.</v>
      </c>
    </row>
    <row r="2616" spans="1:20" ht="27" customHeight="1" x14ac:dyDescent="0.25">
      <c r="A2616" s="8" t="s">
        <v>5598</v>
      </c>
      <c r="B2616" s="9"/>
      <c r="C2616" s="9"/>
      <c r="D2616" s="8"/>
      <c r="E2616" s="8"/>
      <c r="F2616" s="8" t="s">
        <v>22</v>
      </c>
      <c r="G2616" s="10" t="s">
        <v>5603</v>
      </c>
      <c r="H2616" s="8" t="s">
        <v>5604</v>
      </c>
      <c r="I2616" s="10" t="s">
        <v>5603</v>
      </c>
      <c r="J2616" s="11" t="s">
        <v>33</v>
      </c>
      <c r="K2616" s="18">
        <v>15000</v>
      </c>
      <c r="L2616" s="12">
        <f t="shared" si="223"/>
        <v>25000</v>
      </c>
      <c r="M2616" s="8">
        <v>1</v>
      </c>
      <c r="N2616" s="8" t="s">
        <v>27</v>
      </c>
      <c r="O2616" s="13"/>
      <c r="P2616" s="14">
        <v>0.2</v>
      </c>
      <c r="Q2616" s="15">
        <v>0.4</v>
      </c>
      <c r="R2616" s="16" t="str">
        <f t="shared" si="220"/>
        <v>LUMIK</v>
      </c>
      <c r="S2616" s="17"/>
      <c r="T2616" s="10" t="str">
        <f t="shared" si="224"/>
        <v>PANEL REDONDO DE 18 VATIOS 6500K.</v>
      </c>
    </row>
    <row r="2617" spans="1:20" ht="27" customHeight="1" x14ac:dyDescent="0.25">
      <c r="A2617" s="8" t="s">
        <v>5598</v>
      </c>
      <c r="B2617" s="9"/>
      <c r="C2617" s="9"/>
      <c r="D2617" s="8"/>
      <c r="E2617" s="8"/>
      <c r="F2617" s="8" t="s">
        <v>22</v>
      </c>
      <c r="G2617" s="10" t="s">
        <v>5605</v>
      </c>
      <c r="H2617" s="8" t="s">
        <v>5606</v>
      </c>
      <c r="I2617" s="10" t="s">
        <v>5605</v>
      </c>
      <c r="J2617" s="11" t="s">
        <v>33</v>
      </c>
      <c r="K2617" s="18">
        <v>40000</v>
      </c>
      <c r="L2617" s="12">
        <f t="shared" si="223"/>
        <v>66700</v>
      </c>
      <c r="M2617" s="8">
        <v>1</v>
      </c>
      <c r="N2617" s="8" t="s">
        <v>27</v>
      </c>
      <c r="O2617" s="13"/>
      <c r="P2617" s="14">
        <v>0.2</v>
      </c>
      <c r="Q2617" s="15">
        <v>0.4</v>
      </c>
      <c r="R2617" s="16" t="str">
        <f t="shared" si="220"/>
        <v>LUMIK</v>
      </c>
      <c r="S2617" s="17"/>
      <c r="T2617" s="10" t="str">
        <f t="shared" si="224"/>
        <v>PANEL DE 12 VATIOS ATENUABLE 4100K.</v>
      </c>
    </row>
    <row r="2618" spans="1:20" ht="27" customHeight="1" x14ac:dyDescent="0.25">
      <c r="A2618" s="8" t="s">
        <v>5598</v>
      </c>
      <c r="B2618" s="9"/>
      <c r="C2618" s="9"/>
      <c r="D2618" s="8"/>
      <c r="E2618" s="8"/>
      <c r="F2618" s="8" t="s">
        <v>22</v>
      </c>
      <c r="G2618" s="10" t="s">
        <v>5607</v>
      </c>
      <c r="H2618" s="8" t="s">
        <v>5608</v>
      </c>
      <c r="I2618" s="10" t="s">
        <v>5607</v>
      </c>
      <c r="J2618" s="11" t="s">
        <v>26</v>
      </c>
      <c r="K2618" s="18">
        <v>22000</v>
      </c>
      <c r="L2618" s="12">
        <f t="shared" si="223"/>
        <v>44000</v>
      </c>
      <c r="M2618" s="8">
        <v>1</v>
      </c>
      <c r="N2618" s="8" t="s">
        <v>27</v>
      </c>
      <c r="O2618" s="13"/>
      <c r="P2618" s="14">
        <v>0.2</v>
      </c>
      <c r="Q2618" s="15">
        <v>0.4</v>
      </c>
      <c r="R2618" s="16" t="str">
        <f t="shared" si="220"/>
        <v>LUMIK</v>
      </c>
      <c r="S2618" s="17"/>
      <c r="T2618" s="10" t="str">
        <f t="shared" si="224"/>
        <v>PANEL LED ATENUABLE DE 12 VATIOS, TEMPERATURA 4100K.</v>
      </c>
    </row>
    <row r="2619" spans="1:20" ht="27" customHeight="1" x14ac:dyDescent="0.25">
      <c r="A2619" s="8" t="s">
        <v>5598</v>
      </c>
      <c r="B2619" s="9"/>
      <c r="C2619" s="9"/>
      <c r="D2619" s="8"/>
      <c r="E2619" s="8"/>
      <c r="F2619" s="8" t="s">
        <v>22</v>
      </c>
      <c r="G2619" s="10" t="s">
        <v>5609</v>
      </c>
      <c r="H2619" s="8" t="s">
        <v>5610</v>
      </c>
      <c r="I2619" s="10" t="s">
        <v>5609</v>
      </c>
      <c r="J2619" s="11" t="s">
        <v>26</v>
      </c>
      <c r="K2619" s="18">
        <v>28000</v>
      </c>
      <c r="L2619" s="12">
        <f t="shared" si="223"/>
        <v>56000</v>
      </c>
      <c r="M2619" s="8">
        <v>1</v>
      </c>
      <c r="N2619" s="8" t="s">
        <v>27</v>
      </c>
      <c r="O2619" s="13"/>
      <c r="P2619" s="14">
        <v>0.2</v>
      </c>
      <c r="Q2619" s="15">
        <v>0.4</v>
      </c>
      <c r="R2619" s="16" t="str">
        <f t="shared" si="220"/>
        <v>LUMIK</v>
      </c>
      <c r="S2619" s="17"/>
      <c r="T2619" s="10" t="str">
        <f t="shared" si="224"/>
        <v>PANEL LED ATENUABLE DE 18 VATIOS, TEMPERATURA 4100K.</v>
      </c>
    </row>
    <row r="2620" spans="1:20" ht="27" customHeight="1" x14ac:dyDescent="0.25">
      <c r="A2620" s="8" t="s">
        <v>5598</v>
      </c>
      <c r="B2620" s="9"/>
      <c r="C2620" s="9"/>
      <c r="D2620" s="8"/>
      <c r="E2620" s="8"/>
      <c r="F2620" s="8" t="s">
        <v>22</v>
      </c>
      <c r="G2620" s="10" t="s">
        <v>5611</v>
      </c>
      <c r="H2620" s="8" t="s">
        <v>5612</v>
      </c>
      <c r="I2620" s="10" t="s">
        <v>5611</v>
      </c>
      <c r="J2620" s="11" t="s">
        <v>33</v>
      </c>
      <c r="K2620" s="18">
        <v>33250</v>
      </c>
      <c r="L2620" s="12">
        <f t="shared" si="223"/>
        <v>55500</v>
      </c>
      <c r="M2620" s="8">
        <v>1</v>
      </c>
      <c r="N2620" s="8" t="s">
        <v>27</v>
      </c>
      <c r="O2620" s="13"/>
      <c r="P2620" s="14">
        <v>0.2</v>
      </c>
      <c r="Q2620" s="15">
        <v>0.4</v>
      </c>
      <c r="R2620" s="16" t="str">
        <f t="shared" si="220"/>
        <v>LUMIK</v>
      </c>
      <c r="S2620" s="17"/>
      <c r="T2620" s="10" t="str">
        <f t="shared" si="224"/>
        <v>CINTA LED 3500K, DE 5 METROS</v>
      </c>
    </row>
    <row r="2621" spans="1:20" ht="27" customHeight="1" x14ac:dyDescent="0.25">
      <c r="A2621" s="8" t="s">
        <v>5598</v>
      </c>
      <c r="B2621" s="9"/>
      <c r="C2621" s="9"/>
      <c r="D2621" s="8"/>
      <c r="E2621" s="8"/>
      <c r="F2621" s="8" t="s">
        <v>22</v>
      </c>
      <c r="G2621" s="10" t="s">
        <v>5613</v>
      </c>
      <c r="H2621" s="8" t="s">
        <v>5614</v>
      </c>
      <c r="I2621" s="10" t="s">
        <v>5613</v>
      </c>
      <c r="J2621" s="11" t="s">
        <v>33</v>
      </c>
      <c r="K2621" s="18">
        <v>10500</v>
      </c>
      <c r="L2621" s="12">
        <f t="shared" si="223"/>
        <v>17500</v>
      </c>
      <c r="M2621" s="8">
        <v>1</v>
      </c>
      <c r="N2621" s="8" t="s">
        <v>27</v>
      </c>
      <c r="O2621" s="13"/>
      <c r="P2621" s="14">
        <v>0.2</v>
      </c>
      <c r="Q2621" s="15">
        <v>0.4</v>
      </c>
      <c r="R2621" s="16" t="str">
        <f t="shared" si="220"/>
        <v>LUMIK</v>
      </c>
      <c r="S2621" s="17"/>
      <c r="T2621" s="10" t="str">
        <f t="shared" si="224"/>
        <v>FUENTE PARA CINTA LED DE 5 AMPERIOS</v>
      </c>
    </row>
    <row r="2622" spans="1:20" ht="27" customHeight="1" x14ac:dyDescent="0.25">
      <c r="A2622" s="8" t="s">
        <v>5598</v>
      </c>
      <c r="B2622" s="9"/>
      <c r="C2622" s="9"/>
      <c r="D2622" s="8"/>
      <c r="E2622" s="8"/>
      <c r="F2622" s="8" t="s">
        <v>22</v>
      </c>
      <c r="G2622" s="10" t="s">
        <v>5615</v>
      </c>
      <c r="H2622" s="8" t="s">
        <v>5616</v>
      </c>
      <c r="I2622" s="10" t="s">
        <v>5615</v>
      </c>
      <c r="J2622" s="11" t="s">
        <v>33</v>
      </c>
      <c r="K2622" s="18">
        <v>11000</v>
      </c>
      <c r="L2622" s="12">
        <f t="shared" si="223"/>
        <v>18400</v>
      </c>
      <c r="M2622" s="8">
        <v>1</v>
      </c>
      <c r="N2622" s="8" t="s">
        <v>27</v>
      </c>
      <c r="O2622" s="13"/>
      <c r="P2622" s="14">
        <v>0.2</v>
      </c>
      <c r="Q2622" s="15">
        <v>0.4</v>
      </c>
      <c r="R2622" s="16" t="str">
        <f t="shared" si="220"/>
        <v>LUMIK</v>
      </c>
      <c r="S2622" s="17"/>
      <c r="T2622" s="10" t="str">
        <f t="shared" si="224"/>
        <v>PANEL DE 12 VATIOS 4100K.</v>
      </c>
    </row>
    <row r="2623" spans="1:20" ht="27" customHeight="1" x14ac:dyDescent="0.25">
      <c r="A2623" s="8" t="s">
        <v>5598</v>
      </c>
      <c r="B2623" s="9"/>
      <c r="C2623" s="9"/>
      <c r="D2623" s="8"/>
      <c r="E2623" s="8"/>
      <c r="F2623" s="8" t="s">
        <v>22</v>
      </c>
      <c r="G2623" s="10" t="s">
        <v>5617</v>
      </c>
      <c r="H2623" s="8" t="s">
        <v>5618</v>
      </c>
      <c r="I2623" s="10" t="s">
        <v>5619</v>
      </c>
      <c r="J2623" s="11" t="s">
        <v>33</v>
      </c>
      <c r="K2623" s="18">
        <f>34000/2.5+27000/5</f>
        <v>19000</v>
      </c>
      <c r="L2623" s="12">
        <f t="shared" si="223"/>
        <v>31700</v>
      </c>
      <c r="M2623" s="8">
        <v>1</v>
      </c>
      <c r="N2623" s="8" t="s">
        <v>27</v>
      </c>
      <c r="O2623" s="13"/>
      <c r="P2623" s="14">
        <v>0.2</v>
      </c>
      <c r="Q2623" s="15">
        <v>0.4</v>
      </c>
      <c r="R2623" s="16" t="str">
        <f t="shared" si="220"/>
        <v>LUMIK</v>
      </c>
      <c r="S2623" s="17"/>
      <c r="T2623" s="10" t="str">
        <f t="shared" si="224"/>
        <v>METRO DE PERFIL CON CINTA LED DE 15W POR METRO.</v>
      </c>
    </row>
    <row r="2624" spans="1:20" ht="27" customHeight="1" x14ac:dyDescent="0.25">
      <c r="A2624" s="8" t="s">
        <v>5598</v>
      </c>
      <c r="B2624" s="9"/>
      <c r="C2624" s="9"/>
      <c r="D2624" s="8"/>
      <c r="E2624" s="8"/>
      <c r="F2624" s="8" t="s">
        <v>22</v>
      </c>
      <c r="G2624" s="10" t="s">
        <v>5620</v>
      </c>
      <c r="H2624" s="8" t="s">
        <v>5621</v>
      </c>
      <c r="I2624" s="10" t="s">
        <v>5620</v>
      </c>
      <c r="J2624" s="11" t="s">
        <v>33</v>
      </c>
      <c r="K2624" s="18">
        <v>30000</v>
      </c>
      <c r="L2624" s="12">
        <f t="shared" si="223"/>
        <v>50000</v>
      </c>
      <c r="M2624" s="8">
        <v>1</v>
      </c>
      <c r="N2624" s="8" t="s">
        <v>27</v>
      </c>
      <c r="O2624" s="13"/>
      <c r="P2624" s="14">
        <v>0.2</v>
      </c>
      <c r="Q2624" s="15">
        <v>0.4</v>
      </c>
      <c r="R2624" s="16" t="str">
        <f t="shared" si="220"/>
        <v>LUMIK</v>
      </c>
      <c r="S2624" s="17"/>
      <c r="T2624" s="10" t="str">
        <f t="shared" si="224"/>
        <v>SPOT RIEL BLANCO PARA RIEL EN FORMATO DE BOMBILLA E27</v>
      </c>
    </row>
    <row r="2625" spans="1:20" ht="27" customHeight="1" x14ac:dyDescent="0.25">
      <c r="A2625" s="8" t="s">
        <v>5598</v>
      </c>
      <c r="B2625" s="9"/>
      <c r="C2625" s="9"/>
      <c r="D2625" s="8"/>
      <c r="E2625" s="8"/>
      <c r="F2625" s="8" t="s">
        <v>22</v>
      </c>
      <c r="G2625" s="10" t="s">
        <v>5515</v>
      </c>
      <c r="H2625" s="8" t="s">
        <v>5622</v>
      </c>
      <c r="I2625" s="10" t="s">
        <v>5515</v>
      </c>
      <c r="J2625" s="11" t="s">
        <v>33</v>
      </c>
      <c r="K2625" s="18">
        <v>30000</v>
      </c>
      <c r="L2625" s="12">
        <f t="shared" si="223"/>
        <v>50000</v>
      </c>
      <c r="M2625" s="8">
        <v>1</v>
      </c>
      <c r="N2625" s="8" t="s">
        <v>27</v>
      </c>
      <c r="O2625" s="13"/>
      <c r="P2625" s="14">
        <v>0.2</v>
      </c>
      <c r="Q2625" s="15">
        <v>0.4</v>
      </c>
      <c r="R2625" s="16" t="str">
        <f t="shared" ref="R2625:R2688" si="225">A2625</f>
        <v>LUMIK</v>
      </c>
      <c r="S2625" s="17"/>
      <c r="T2625" s="10" t="str">
        <f t="shared" si="224"/>
        <v>BOMBILLO LED PAR 38, 18W.</v>
      </c>
    </row>
    <row r="2626" spans="1:20" ht="27" customHeight="1" x14ac:dyDescent="0.25">
      <c r="A2626" s="8" t="s">
        <v>5598</v>
      </c>
      <c r="B2626" s="9"/>
      <c r="C2626" s="9"/>
      <c r="D2626" s="8"/>
      <c r="E2626" s="8"/>
      <c r="F2626" s="8" t="s">
        <v>22</v>
      </c>
      <c r="G2626" s="10" t="s">
        <v>5623</v>
      </c>
      <c r="H2626" s="8" t="s">
        <v>5624</v>
      </c>
      <c r="I2626" s="10" t="s">
        <v>5623</v>
      </c>
      <c r="J2626" s="11" t="s">
        <v>33</v>
      </c>
      <c r="K2626" s="18">
        <v>29000</v>
      </c>
      <c r="L2626" s="12">
        <f t="shared" si="223"/>
        <v>48400</v>
      </c>
      <c r="M2626" s="8">
        <v>1</v>
      </c>
      <c r="N2626" s="8" t="s">
        <v>27</v>
      </c>
      <c r="O2626" s="13"/>
      <c r="P2626" s="14">
        <v>0.2</v>
      </c>
      <c r="Q2626" s="15">
        <v>0.4</v>
      </c>
      <c r="R2626" s="16" t="str">
        <f t="shared" si="225"/>
        <v>LUMIK</v>
      </c>
      <c r="S2626" s="17"/>
      <c r="T2626" s="10" t="str">
        <f t="shared" si="224"/>
        <v>PANEL DE 18 VATIOS ATENUABLE 4100K.</v>
      </c>
    </row>
    <row r="2627" spans="1:20" ht="27" customHeight="1" x14ac:dyDescent="0.25">
      <c r="A2627" s="8" t="s">
        <v>5598</v>
      </c>
      <c r="B2627" s="9"/>
      <c r="C2627" s="9"/>
      <c r="D2627" s="8"/>
      <c r="E2627" s="8"/>
      <c r="F2627" s="8" t="s">
        <v>22</v>
      </c>
      <c r="G2627" s="10" t="s">
        <v>5625</v>
      </c>
      <c r="H2627" s="8" t="s">
        <v>5626</v>
      </c>
      <c r="I2627" s="10" t="s">
        <v>5625</v>
      </c>
      <c r="J2627" s="11" t="s">
        <v>33</v>
      </c>
      <c r="K2627" s="18">
        <v>9000</v>
      </c>
      <c r="L2627" s="12">
        <f t="shared" si="223"/>
        <v>15000</v>
      </c>
      <c r="M2627" s="8">
        <v>1</v>
      </c>
      <c r="N2627" s="8" t="s">
        <v>27</v>
      </c>
      <c r="O2627" s="13"/>
      <c r="P2627" s="14">
        <v>0.2</v>
      </c>
      <c r="Q2627" s="15">
        <v>0.4</v>
      </c>
      <c r="R2627" s="16" t="str">
        <f t="shared" si="225"/>
        <v>LUMIK</v>
      </c>
      <c r="S2627" s="17"/>
      <c r="T2627" s="10" t="str">
        <f t="shared" si="224"/>
        <v>TUBO LED DE 18W 6000K, VIDA ÚTIL DE 15.000 HORAS. GARANTÍA DE UN ANO.</v>
      </c>
    </row>
    <row r="2628" spans="1:20" ht="27" customHeight="1" x14ac:dyDescent="0.25">
      <c r="A2628" s="8" t="s">
        <v>5598</v>
      </c>
      <c r="B2628" s="9"/>
      <c r="C2628" s="9"/>
      <c r="D2628" s="8"/>
      <c r="E2628" s="8"/>
      <c r="F2628" s="8" t="s">
        <v>22</v>
      </c>
      <c r="G2628" s="10" t="s">
        <v>5627</v>
      </c>
      <c r="H2628" s="8" t="s">
        <v>5628</v>
      </c>
      <c r="I2628" s="10" t="s">
        <v>5627</v>
      </c>
      <c r="J2628" s="11" t="s">
        <v>33</v>
      </c>
      <c r="K2628" s="18">
        <v>600</v>
      </c>
      <c r="L2628" s="12">
        <f t="shared" si="223"/>
        <v>900</v>
      </c>
      <c r="M2628" s="8">
        <v>1</v>
      </c>
      <c r="N2628" s="8" t="s">
        <v>27</v>
      </c>
      <c r="O2628" s="13"/>
      <c r="P2628" s="14">
        <v>0.2</v>
      </c>
      <c r="Q2628" s="15">
        <v>0.3</v>
      </c>
      <c r="R2628" s="16" t="str">
        <f t="shared" si="225"/>
        <v>LUMIK</v>
      </c>
      <c r="S2628" s="17"/>
      <c r="T2628" s="10" t="str">
        <f t="shared" si="224"/>
        <v>SOCKET PARA TUBO T8</v>
      </c>
    </row>
    <row r="2629" spans="1:20" ht="27" customHeight="1" x14ac:dyDescent="0.25">
      <c r="A2629" s="8" t="s">
        <v>5598</v>
      </c>
      <c r="B2629" s="9"/>
      <c r="C2629" s="9"/>
      <c r="D2629" s="8"/>
      <c r="E2629" s="8"/>
      <c r="F2629" s="8" t="s">
        <v>22</v>
      </c>
      <c r="G2629" s="10" t="s">
        <v>5629</v>
      </c>
      <c r="H2629" s="8" t="s">
        <v>5630</v>
      </c>
      <c r="I2629" s="10" t="s">
        <v>5629</v>
      </c>
      <c r="J2629" s="11" t="s">
        <v>33</v>
      </c>
      <c r="K2629" s="18">
        <v>100000</v>
      </c>
      <c r="L2629" s="12">
        <f t="shared" si="223"/>
        <v>142900</v>
      </c>
      <c r="M2629" s="8">
        <v>1</v>
      </c>
      <c r="N2629" s="8" t="s">
        <v>27</v>
      </c>
      <c r="O2629" s="13"/>
      <c r="P2629" s="14">
        <v>0.2</v>
      </c>
      <c r="Q2629" s="15">
        <v>0.3</v>
      </c>
      <c r="R2629" s="16" t="str">
        <f t="shared" si="225"/>
        <v>LUMIK</v>
      </c>
      <c r="S2629" s="17"/>
      <c r="T2629" s="10" t="str">
        <f t="shared" si="224"/>
        <v>PANEL LED DE 30X120CM A 60 VATIOS. TEMPERATURA DE COLOR DE 4000K.</v>
      </c>
    </row>
    <row r="2630" spans="1:20" ht="27" customHeight="1" x14ac:dyDescent="0.25">
      <c r="A2630" s="8" t="s">
        <v>5598</v>
      </c>
      <c r="B2630" s="9"/>
      <c r="C2630" s="9"/>
      <c r="D2630" s="8"/>
      <c r="E2630" s="8"/>
      <c r="F2630" s="8" t="s">
        <v>22</v>
      </c>
      <c r="G2630" s="10" t="s">
        <v>5631</v>
      </c>
      <c r="H2630" s="8" t="s">
        <v>5632</v>
      </c>
      <c r="I2630" s="10" t="s">
        <v>5631</v>
      </c>
      <c r="J2630" s="11" t="s">
        <v>33</v>
      </c>
      <c r="K2630" s="18">
        <v>22000</v>
      </c>
      <c r="L2630" s="12">
        <f t="shared" si="223"/>
        <v>31500</v>
      </c>
      <c r="M2630" s="8">
        <v>1</v>
      </c>
      <c r="N2630" s="8" t="s">
        <v>27</v>
      </c>
      <c r="O2630" s="13"/>
      <c r="P2630" s="14">
        <v>0.2</v>
      </c>
      <c r="Q2630" s="15">
        <v>0.3</v>
      </c>
      <c r="R2630" s="16" t="str">
        <f t="shared" si="225"/>
        <v>LUMIK</v>
      </c>
      <c r="S2630" s="17"/>
      <c r="T2630" s="10" t="str">
        <f t="shared" si="224"/>
        <v>PANEL LED REDONDO DE 24 VATIOS, 6500K.</v>
      </c>
    </row>
    <row r="2631" spans="1:20" ht="27" customHeight="1" x14ac:dyDescent="0.25">
      <c r="A2631" s="8" t="s">
        <v>5598</v>
      </c>
      <c r="B2631" s="9"/>
      <c r="C2631" s="9"/>
      <c r="D2631" s="8"/>
      <c r="E2631" s="8"/>
      <c r="F2631" s="8" t="s">
        <v>22</v>
      </c>
      <c r="G2631" s="10" t="s">
        <v>5633</v>
      </c>
      <c r="H2631" s="8" t="s">
        <v>5634</v>
      </c>
      <c r="I2631" s="10" t="s">
        <v>5633</v>
      </c>
      <c r="J2631" s="11" t="s">
        <v>33</v>
      </c>
      <c r="K2631" s="18">
        <v>7500</v>
      </c>
      <c r="L2631" s="12">
        <f t="shared" si="223"/>
        <v>10800</v>
      </c>
      <c r="M2631" s="8">
        <v>1</v>
      </c>
      <c r="N2631" s="8" t="s">
        <v>27</v>
      </c>
      <c r="O2631" s="13"/>
      <c r="P2631" s="14">
        <v>0.2</v>
      </c>
      <c r="Q2631" s="15">
        <v>0.3</v>
      </c>
      <c r="R2631" s="16" t="str">
        <f t="shared" si="225"/>
        <v>LUMIK</v>
      </c>
      <c r="S2631" s="17"/>
      <c r="T2631" s="10" t="str">
        <f t="shared" si="224"/>
        <v>PANEL LED DE 12W, 4000K, 20.000 HORAS, MULTIVOLTAGE. 840 Lm.</v>
      </c>
    </row>
    <row r="2632" spans="1:20" ht="27" customHeight="1" x14ac:dyDescent="0.25">
      <c r="A2632" s="8" t="s">
        <v>5598</v>
      </c>
      <c r="B2632" s="9"/>
      <c r="C2632" s="9"/>
      <c r="D2632" s="8"/>
      <c r="E2632" s="8"/>
      <c r="F2632" s="8" t="s">
        <v>22</v>
      </c>
      <c r="G2632" s="10" t="s">
        <v>5635</v>
      </c>
      <c r="H2632" s="8" t="s">
        <v>5636</v>
      </c>
      <c r="I2632" s="10" t="s">
        <v>5635</v>
      </c>
      <c r="J2632" s="11" t="s">
        <v>33</v>
      </c>
      <c r="K2632" s="18">
        <v>9500</v>
      </c>
      <c r="L2632" s="12">
        <f t="shared" si="223"/>
        <v>19000</v>
      </c>
      <c r="M2632" s="8">
        <v>1</v>
      </c>
      <c r="N2632" s="8" t="s">
        <v>27</v>
      </c>
      <c r="O2632" s="13"/>
      <c r="P2632" s="14">
        <v>0.2</v>
      </c>
      <c r="Q2632" s="15">
        <v>0.5</v>
      </c>
      <c r="R2632" s="16" t="str">
        <f t="shared" si="225"/>
        <v>LUMIK</v>
      </c>
      <c r="S2632" s="17"/>
      <c r="T2632" s="10" t="str">
        <f t="shared" si="224"/>
        <v>PANEL LED CUADRADO EN 6000K O 4000K. DE INCRUSTAR EN TECHO. CERTIFICADO RETIE.</v>
      </c>
    </row>
    <row r="2633" spans="1:20" ht="27" customHeight="1" x14ac:dyDescent="0.25">
      <c r="A2633" s="8" t="s">
        <v>5598</v>
      </c>
      <c r="B2633" s="9"/>
      <c r="C2633" s="9"/>
      <c r="D2633" s="8" t="s">
        <v>45</v>
      </c>
      <c r="E2633" s="8"/>
      <c r="F2633" s="8" t="s">
        <v>22</v>
      </c>
      <c r="G2633" s="10" t="s">
        <v>5637</v>
      </c>
      <c r="H2633" s="8" t="s">
        <v>5638</v>
      </c>
      <c r="I2633" s="10" t="s">
        <v>5639</v>
      </c>
      <c r="J2633" s="11" t="s">
        <v>33</v>
      </c>
      <c r="K2633" s="18">
        <v>8600</v>
      </c>
      <c r="L2633" s="12">
        <f t="shared" si="223"/>
        <v>14400</v>
      </c>
      <c r="M2633" s="8">
        <v>1</v>
      </c>
      <c r="N2633" s="8" t="s">
        <v>27</v>
      </c>
      <c r="O2633" s="13" t="s">
        <v>588</v>
      </c>
      <c r="P2633" s="14">
        <v>0</v>
      </c>
      <c r="Q2633" s="15">
        <v>0.4</v>
      </c>
      <c r="R2633" s="16" t="str">
        <f t="shared" si="225"/>
        <v>LUMIK</v>
      </c>
      <c r="S2633" s="17"/>
      <c r="T2633" s="10" t="str">
        <f t="shared" si="224"/>
        <v>PANEL DE SOBREPONER MULTIVOLTAJE 4000K.</v>
      </c>
    </row>
    <row r="2634" spans="1:20" ht="27" customHeight="1" x14ac:dyDescent="0.25">
      <c r="A2634" s="8" t="s">
        <v>5598</v>
      </c>
      <c r="B2634" s="9"/>
      <c r="C2634" s="9"/>
      <c r="D2634" s="8" t="s">
        <v>45</v>
      </c>
      <c r="E2634" s="8"/>
      <c r="F2634" s="8" t="s">
        <v>22</v>
      </c>
      <c r="G2634" s="10" t="s">
        <v>5640</v>
      </c>
      <c r="H2634" s="8" t="s">
        <v>5641</v>
      </c>
      <c r="I2634" s="10" t="s">
        <v>5642</v>
      </c>
      <c r="J2634" s="11" t="s">
        <v>33</v>
      </c>
      <c r="K2634" s="18">
        <v>10200</v>
      </c>
      <c r="L2634" s="12">
        <f t="shared" si="223"/>
        <v>17000</v>
      </c>
      <c r="M2634" s="8">
        <v>1</v>
      </c>
      <c r="N2634" s="8" t="s">
        <v>27</v>
      </c>
      <c r="O2634" s="13" t="s">
        <v>588</v>
      </c>
      <c r="P2634" s="14">
        <v>0</v>
      </c>
      <c r="Q2634" s="15">
        <v>0.4</v>
      </c>
      <c r="R2634" s="16" t="str">
        <f t="shared" si="225"/>
        <v>LUMIK</v>
      </c>
      <c r="S2634" s="17"/>
      <c r="T2634" s="10" t="str">
        <f t="shared" si="224"/>
        <v>PANEL DE SOBREPONER MULTIVOLTAJE 6500K.</v>
      </c>
    </row>
    <row r="2635" spans="1:20" ht="27" customHeight="1" x14ac:dyDescent="0.25">
      <c r="A2635" s="8" t="s">
        <v>5643</v>
      </c>
      <c r="B2635" s="9"/>
      <c r="C2635" s="9"/>
      <c r="D2635" s="8" t="s">
        <v>45</v>
      </c>
      <c r="E2635" s="8"/>
      <c r="F2635" s="8" t="s">
        <v>22</v>
      </c>
      <c r="G2635" s="10" t="s">
        <v>5644</v>
      </c>
      <c r="H2635" s="8" t="s">
        <v>5645</v>
      </c>
      <c r="I2635" s="10" t="s">
        <v>5644</v>
      </c>
      <c r="J2635" s="11" t="s">
        <v>33</v>
      </c>
      <c r="K2635" s="18">
        <v>190000</v>
      </c>
      <c r="L2635" s="12">
        <f t="shared" si="223"/>
        <v>316700</v>
      </c>
      <c r="M2635" s="8">
        <v>1</v>
      </c>
      <c r="N2635" s="8" t="s">
        <v>27</v>
      </c>
      <c r="O2635" s="13"/>
      <c r="P2635" s="14">
        <v>0</v>
      </c>
      <c r="Q2635" s="15">
        <v>0.4</v>
      </c>
      <c r="R2635" s="16" t="str">
        <f t="shared" si="225"/>
        <v>LUMINAR</v>
      </c>
      <c r="S2635" s="17"/>
      <c r="T2635" s="10" t="str">
        <f t="shared" si="224"/>
        <v>LUMINARIA DECORATIVA EN CRISTAL DESCOLGADA PARA BOMBILLA E27</v>
      </c>
    </row>
    <row r="2636" spans="1:20" ht="27" customHeight="1" x14ac:dyDescent="0.25">
      <c r="A2636" s="8" t="s">
        <v>5646</v>
      </c>
      <c r="B2636" s="9" t="s">
        <v>5465</v>
      </c>
      <c r="C2636" s="9"/>
      <c r="D2636" s="8" t="s">
        <v>5152</v>
      </c>
      <c r="E2636" s="8"/>
      <c r="F2636" s="8" t="s">
        <v>22</v>
      </c>
      <c r="G2636" s="10" t="s">
        <v>5647</v>
      </c>
      <c r="H2636" s="8" t="s">
        <v>5648</v>
      </c>
      <c r="I2636" s="10" t="s">
        <v>5647</v>
      </c>
      <c r="J2636" s="11" t="s">
        <v>33</v>
      </c>
      <c r="K2636" s="18">
        <v>18500</v>
      </c>
      <c r="L2636" s="12">
        <f t="shared" si="223"/>
        <v>23200</v>
      </c>
      <c r="M2636" s="8">
        <v>1</v>
      </c>
      <c r="N2636" s="8" t="s">
        <v>27</v>
      </c>
      <c r="O2636" s="13"/>
      <c r="P2636" s="14">
        <v>0</v>
      </c>
      <c r="Q2636" s="15">
        <v>0.2</v>
      </c>
      <c r="R2636" s="16" t="str">
        <f t="shared" si="225"/>
        <v>LUMINEX</v>
      </c>
      <c r="S2636" s="17"/>
      <c r="T2636" s="10" t="str">
        <f t="shared" si="224"/>
        <v>BREAKER PARA CIRCUITO DE 20 AMPERIOS.</v>
      </c>
    </row>
    <row r="2637" spans="1:20" ht="27" customHeight="1" x14ac:dyDescent="0.25">
      <c r="A2637" s="8" t="s">
        <v>5646</v>
      </c>
      <c r="B2637" s="9"/>
      <c r="C2637" s="9"/>
      <c r="D2637" s="8"/>
      <c r="E2637" s="8"/>
      <c r="F2637" s="8" t="s">
        <v>22</v>
      </c>
      <c r="G2637" s="10" t="s">
        <v>5649</v>
      </c>
      <c r="H2637" s="8" t="s">
        <v>5650</v>
      </c>
      <c r="I2637" s="10" t="s">
        <v>5649</v>
      </c>
      <c r="J2637" s="11" t="s">
        <v>33</v>
      </c>
      <c r="K2637" s="18">
        <v>51900</v>
      </c>
      <c r="L2637" s="12">
        <f t="shared" si="223"/>
        <v>74200</v>
      </c>
      <c r="M2637" s="8">
        <v>1</v>
      </c>
      <c r="N2637" s="8" t="s">
        <v>27</v>
      </c>
      <c r="O2637" s="13"/>
      <c r="P2637" s="14">
        <v>0.2</v>
      </c>
      <c r="Q2637" s="15">
        <v>0.3</v>
      </c>
      <c r="R2637" s="16" t="str">
        <f t="shared" si="225"/>
        <v>LUMINEX</v>
      </c>
      <c r="S2637" s="17"/>
      <c r="T2637" s="10" t="str">
        <f t="shared" si="224"/>
        <v>BREAKER ENCHUFABLE DE 2 X 30 AMPERIOS.</v>
      </c>
    </row>
    <row r="2638" spans="1:20" ht="27" customHeight="1" x14ac:dyDescent="0.25">
      <c r="A2638" s="8" t="s">
        <v>5646</v>
      </c>
      <c r="B2638" s="9"/>
      <c r="C2638" s="9"/>
      <c r="D2638" s="8"/>
      <c r="E2638" s="8"/>
      <c r="F2638" s="8" t="s">
        <v>22</v>
      </c>
      <c r="G2638" s="10" t="s">
        <v>5651</v>
      </c>
      <c r="H2638" s="8" t="s">
        <v>5652</v>
      </c>
      <c r="I2638" s="10" t="s">
        <v>5651</v>
      </c>
      <c r="J2638" s="11" t="s">
        <v>33</v>
      </c>
      <c r="K2638" s="18">
        <v>145890</v>
      </c>
      <c r="L2638" s="12">
        <f t="shared" si="223"/>
        <v>208500</v>
      </c>
      <c r="M2638" s="8">
        <v>1</v>
      </c>
      <c r="N2638" s="8" t="s">
        <v>27</v>
      </c>
      <c r="O2638" s="13"/>
      <c r="P2638" s="14">
        <v>0.2</v>
      </c>
      <c r="Q2638" s="15">
        <v>0.3</v>
      </c>
      <c r="R2638" s="16" t="str">
        <f t="shared" si="225"/>
        <v>LUMINEX</v>
      </c>
      <c r="S2638" s="17"/>
      <c r="T2638" s="10" t="str">
        <f t="shared" si="224"/>
        <v>TABLERO ELÉCTRICO DE 12 CIRCUITOS</v>
      </c>
    </row>
    <row r="2639" spans="1:20" ht="27" customHeight="1" x14ac:dyDescent="0.25">
      <c r="A2639" s="8" t="s">
        <v>5646</v>
      </c>
      <c r="B2639" s="9"/>
      <c r="C2639" s="9"/>
      <c r="D2639" s="8"/>
      <c r="E2639" s="8"/>
      <c r="F2639" s="8" t="s">
        <v>22</v>
      </c>
      <c r="G2639" s="10" t="s">
        <v>5653</v>
      </c>
      <c r="H2639" s="8" t="s">
        <v>5654</v>
      </c>
      <c r="I2639" s="10" t="s">
        <v>5653</v>
      </c>
      <c r="J2639" s="11" t="s">
        <v>33</v>
      </c>
      <c r="K2639" s="18">
        <v>12500</v>
      </c>
      <c r="L2639" s="12">
        <f t="shared" si="223"/>
        <v>17900</v>
      </c>
      <c r="M2639" s="8">
        <v>1</v>
      </c>
      <c r="N2639" s="8" t="s">
        <v>27</v>
      </c>
      <c r="O2639" s="13"/>
      <c r="P2639" s="14">
        <v>0.2</v>
      </c>
      <c r="Q2639" s="15">
        <v>0.3</v>
      </c>
      <c r="R2639" s="16" t="str">
        <f t="shared" si="225"/>
        <v>LUMINEX</v>
      </c>
      <c r="S2639" s="17"/>
      <c r="T2639" s="10" t="str">
        <f t="shared" si="224"/>
        <v>BREAKER 20 AMPERIOS ENCHUFABLE.</v>
      </c>
    </row>
    <row r="2640" spans="1:20" ht="27" customHeight="1" x14ac:dyDescent="0.25">
      <c r="A2640" s="8" t="s">
        <v>5646</v>
      </c>
      <c r="B2640" s="9"/>
      <c r="C2640" s="9"/>
      <c r="D2640" s="8"/>
      <c r="E2640" s="8"/>
      <c r="F2640" s="8" t="s">
        <v>22</v>
      </c>
      <c r="G2640" s="10" t="s">
        <v>5655</v>
      </c>
      <c r="H2640" s="8" t="s">
        <v>5136</v>
      </c>
      <c r="I2640" s="10" t="s">
        <v>5655</v>
      </c>
      <c r="J2640" s="11" t="s">
        <v>33</v>
      </c>
      <c r="K2640" s="18">
        <v>78000</v>
      </c>
      <c r="L2640" s="12">
        <f t="shared" si="223"/>
        <v>111500</v>
      </c>
      <c r="M2640" s="8">
        <v>1</v>
      </c>
      <c r="N2640" s="8" t="s">
        <v>27</v>
      </c>
      <c r="O2640" s="13"/>
      <c r="P2640" s="14">
        <v>0.2</v>
      </c>
      <c r="Q2640" s="15">
        <v>0.3</v>
      </c>
      <c r="R2640" s="16" t="str">
        <f t="shared" si="225"/>
        <v>LUMINEX</v>
      </c>
      <c r="S2640" s="17"/>
      <c r="T2640" s="10" t="str">
        <f t="shared" si="224"/>
        <v>BREAKER ENCHUFABLE DE 3X100A</v>
      </c>
    </row>
    <row r="2641" spans="1:27" ht="27" customHeight="1" x14ac:dyDescent="0.25">
      <c r="A2641" s="8" t="s">
        <v>5646</v>
      </c>
      <c r="B2641" s="9"/>
      <c r="C2641" s="9"/>
      <c r="D2641" s="8"/>
      <c r="E2641" s="8"/>
      <c r="F2641" s="8" t="s">
        <v>22</v>
      </c>
      <c r="G2641" s="10" t="s">
        <v>5656</v>
      </c>
      <c r="H2641" s="8" t="s">
        <v>5657</v>
      </c>
      <c r="I2641" s="10" t="s">
        <v>5656</v>
      </c>
      <c r="J2641" s="11" t="s">
        <v>33</v>
      </c>
      <c r="K2641" s="18">
        <v>40000</v>
      </c>
      <c r="L2641" s="12">
        <f t="shared" si="223"/>
        <v>57200</v>
      </c>
      <c r="M2641" s="8">
        <v>1</v>
      </c>
      <c r="N2641" s="8" t="s">
        <v>27</v>
      </c>
      <c r="O2641" s="13"/>
      <c r="P2641" s="14">
        <v>0.2</v>
      </c>
      <c r="Q2641" s="15">
        <v>0.3</v>
      </c>
      <c r="R2641" s="16" t="str">
        <f t="shared" si="225"/>
        <v>LUMINEX</v>
      </c>
      <c r="S2641" s="17"/>
      <c r="T2641" s="10" t="str">
        <f t="shared" si="224"/>
        <v>CAJA PARA CONTADOR MONOFÁSICO</v>
      </c>
    </row>
    <row r="2642" spans="1:27" ht="27" customHeight="1" x14ac:dyDescent="0.25">
      <c r="A2642" s="8" t="s">
        <v>5646</v>
      </c>
      <c r="B2642" s="9"/>
      <c r="C2642" s="9"/>
      <c r="D2642" s="8"/>
      <c r="E2642" s="8"/>
      <c r="F2642" s="8" t="s">
        <v>22</v>
      </c>
      <c r="G2642" s="10" t="s">
        <v>5658</v>
      </c>
      <c r="H2642" s="8" t="s">
        <v>5659</v>
      </c>
      <c r="I2642" s="10" t="s">
        <v>5658</v>
      </c>
      <c r="J2642" s="11" t="s">
        <v>33</v>
      </c>
      <c r="K2642" s="18">
        <v>71000</v>
      </c>
      <c r="L2642" s="12">
        <f t="shared" si="223"/>
        <v>101500</v>
      </c>
      <c r="M2642" s="8">
        <v>1</v>
      </c>
      <c r="N2642" s="8" t="s">
        <v>27</v>
      </c>
      <c r="O2642" s="13"/>
      <c r="P2642" s="14">
        <v>0.2</v>
      </c>
      <c r="Q2642" s="15">
        <v>0.3</v>
      </c>
      <c r="R2642" s="16" t="str">
        <f t="shared" si="225"/>
        <v>LUMINEX</v>
      </c>
      <c r="S2642" s="17"/>
      <c r="T2642" s="10" t="str">
        <f t="shared" si="224"/>
        <v>TABLERO BIFÁSICO DE 8 CIRCUITOS</v>
      </c>
    </row>
    <row r="2643" spans="1:27" ht="27" customHeight="1" x14ac:dyDescent="0.25">
      <c r="A2643" s="8" t="s">
        <v>5646</v>
      </c>
      <c r="B2643" s="9"/>
      <c r="C2643" s="9"/>
      <c r="D2643" s="8"/>
      <c r="E2643" s="8"/>
      <c r="F2643" s="8" t="s">
        <v>22</v>
      </c>
      <c r="G2643" s="10" t="s">
        <v>5660</v>
      </c>
      <c r="H2643" s="8" t="s">
        <v>5661</v>
      </c>
      <c r="I2643" s="10" t="s">
        <v>5660</v>
      </c>
      <c r="J2643" s="11" t="s">
        <v>33</v>
      </c>
      <c r="K2643" s="18">
        <v>53000</v>
      </c>
      <c r="L2643" s="12">
        <f t="shared" si="223"/>
        <v>75800</v>
      </c>
      <c r="M2643" s="8">
        <v>1</v>
      </c>
      <c r="N2643" s="8" t="s">
        <v>27</v>
      </c>
      <c r="O2643" s="13"/>
      <c r="P2643" s="14">
        <v>0.2</v>
      </c>
      <c r="Q2643" s="15">
        <v>0.3</v>
      </c>
      <c r="R2643" s="16" t="str">
        <f t="shared" si="225"/>
        <v>LUMINEX</v>
      </c>
      <c r="S2643" s="17"/>
      <c r="T2643" s="10" t="str">
        <f t="shared" si="224"/>
        <v>BREAKER ENCHUFABLE DE 3X30 AMPERIOS</v>
      </c>
    </row>
    <row r="2644" spans="1:27" ht="27" customHeight="1" x14ac:dyDescent="0.25">
      <c r="A2644" s="8" t="s">
        <v>5646</v>
      </c>
      <c r="B2644" s="9"/>
      <c r="C2644" s="9"/>
      <c r="D2644" s="8"/>
      <c r="E2644" s="8"/>
      <c r="F2644" s="8" t="s">
        <v>22</v>
      </c>
      <c r="G2644" s="10" t="s">
        <v>5662</v>
      </c>
      <c r="H2644" s="8" t="s">
        <v>5663</v>
      </c>
      <c r="I2644" s="10" t="s">
        <v>16832</v>
      </c>
      <c r="J2644" s="11" t="s">
        <v>33</v>
      </c>
      <c r="K2644" s="18">
        <v>21000</v>
      </c>
      <c r="L2644" s="12">
        <f t="shared" si="223"/>
        <v>30000</v>
      </c>
      <c r="M2644" s="8">
        <v>1</v>
      </c>
      <c r="N2644" s="8" t="s">
        <v>27</v>
      </c>
      <c r="O2644" s="13"/>
      <c r="P2644" s="14">
        <v>0.2</v>
      </c>
      <c r="Q2644" s="15">
        <v>0.3</v>
      </c>
      <c r="R2644" s="16" t="str">
        <f t="shared" si="225"/>
        <v>LUMINEX</v>
      </c>
      <c r="S2644" s="17"/>
      <c r="T2644" s="10" t="str">
        <f t="shared" si="224"/>
        <v>BREAKER DE CONTE DE 30 AMPERIOS</v>
      </c>
    </row>
    <row r="2645" spans="1:27" ht="27" customHeight="1" x14ac:dyDescent="0.25">
      <c r="A2645" s="8" t="s">
        <v>5646</v>
      </c>
      <c r="B2645" s="9"/>
      <c r="C2645" s="9"/>
      <c r="D2645" s="8"/>
      <c r="E2645" s="8"/>
      <c r="F2645" s="8" t="s">
        <v>22</v>
      </c>
      <c r="G2645" s="10" t="s">
        <v>5664</v>
      </c>
      <c r="H2645" s="8" t="s">
        <v>5665</v>
      </c>
      <c r="I2645" s="10" t="s">
        <v>5664</v>
      </c>
      <c r="J2645" s="11" t="s">
        <v>33</v>
      </c>
      <c r="K2645" s="18">
        <v>25000</v>
      </c>
      <c r="L2645" s="12">
        <f t="shared" si="223"/>
        <v>35800</v>
      </c>
      <c r="M2645" s="8">
        <v>1</v>
      </c>
      <c r="N2645" s="8" t="s">
        <v>27</v>
      </c>
      <c r="O2645" s="13"/>
      <c r="P2645" s="14">
        <v>0.2</v>
      </c>
      <c r="Q2645" s="15">
        <v>0.3</v>
      </c>
      <c r="R2645" s="16" t="str">
        <f t="shared" si="225"/>
        <v>LUMINEX</v>
      </c>
      <c r="S2645" s="17"/>
      <c r="T2645" s="10" t="str">
        <f t="shared" si="224"/>
        <v>BREAKER DE CORTE DE 40 AMPERIOS</v>
      </c>
    </row>
    <row r="2646" spans="1:27" ht="27" customHeight="1" x14ac:dyDescent="0.25">
      <c r="A2646" s="8" t="s">
        <v>5666</v>
      </c>
      <c r="B2646" s="9" t="s">
        <v>5666</v>
      </c>
      <c r="C2646" s="9"/>
      <c r="D2646" s="8" t="s">
        <v>5667</v>
      </c>
      <c r="E2646" s="8"/>
      <c r="F2646" s="8" t="s">
        <v>22</v>
      </c>
      <c r="G2646" s="10" t="s">
        <v>5668</v>
      </c>
      <c r="H2646" s="8" t="s">
        <v>5666</v>
      </c>
      <c r="I2646" s="10" t="s">
        <v>5668</v>
      </c>
      <c r="J2646" s="11" t="s">
        <v>33</v>
      </c>
      <c r="K2646" s="18">
        <v>15000</v>
      </c>
      <c r="L2646" s="12">
        <f t="shared" si="223"/>
        <v>25000</v>
      </c>
      <c r="M2646" s="8">
        <v>1</v>
      </c>
      <c r="N2646" s="8" t="s">
        <v>27</v>
      </c>
      <c r="O2646" s="13"/>
      <c r="P2646" s="14">
        <v>0.2</v>
      </c>
      <c r="Q2646" s="15">
        <v>0.4</v>
      </c>
      <c r="R2646" s="16" t="str">
        <f t="shared" si="225"/>
        <v>LUT</v>
      </c>
      <c r="S2646" s="17"/>
      <c r="T2646" s="10" t="str">
        <f t="shared" si="224"/>
        <v>MEMORIA GENÉRICA DE 4 GIGAS</v>
      </c>
    </row>
    <row r="2647" spans="1:27" ht="27" customHeight="1" x14ac:dyDescent="0.25">
      <c r="A2647" s="8" t="s">
        <v>5669</v>
      </c>
      <c r="B2647" s="9"/>
      <c r="C2647" s="9"/>
      <c r="D2647" s="8" t="s">
        <v>45</v>
      </c>
      <c r="E2647" s="8"/>
      <c r="F2647" s="8" t="s">
        <v>22</v>
      </c>
      <c r="G2647" s="10" t="s">
        <v>5670</v>
      </c>
      <c r="H2647" s="8" t="s">
        <v>5671</v>
      </c>
      <c r="I2647" s="10" t="s">
        <v>5670</v>
      </c>
      <c r="J2647" s="11" t="s">
        <v>33</v>
      </c>
      <c r="K2647" s="18">
        <f>198000/9</f>
        <v>22000</v>
      </c>
      <c r="L2647" s="12">
        <f t="shared" si="223"/>
        <v>31500</v>
      </c>
      <c r="M2647" s="8">
        <v>1</v>
      </c>
      <c r="N2647" s="8" t="s">
        <v>27</v>
      </c>
      <c r="O2647" s="13"/>
      <c r="P2647" s="14">
        <v>0</v>
      </c>
      <c r="Q2647" s="15">
        <v>0.3</v>
      </c>
      <c r="R2647" s="16" t="str">
        <f t="shared" si="225"/>
        <v>LUTEC</v>
      </c>
      <c r="S2647" s="17"/>
      <c r="T2647" s="10" t="str">
        <f t="shared" si="224"/>
        <v>GUAYA ELÉCTRICA CON SOCKET DECORATIVO EN ACERO INOXIDABLE</v>
      </c>
    </row>
    <row r="2648" spans="1:27" ht="27" customHeight="1" x14ac:dyDescent="0.25">
      <c r="A2648" s="8" t="s">
        <v>5672</v>
      </c>
      <c r="B2648" s="9" t="s">
        <v>5666</v>
      </c>
      <c r="C2648" s="9"/>
      <c r="D2648" s="8" t="s">
        <v>184</v>
      </c>
      <c r="E2648" s="8">
        <v>1</v>
      </c>
      <c r="F2648" s="8" t="s">
        <v>22</v>
      </c>
      <c r="G2648" s="10" t="s">
        <v>5673</v>
      </c>
      <c r="H2648" s="8" t="s">
        <v>5674</v>
      </c>
      <c r="I2648" s="10" t="s">
        <v>5675</v>
      </c>
      <c r="J2648" s="11" t="s">
        <v>26</v>
      </c>
      <c r="K2648" s="57">
        <v>57.5</v>
      </c>
      <c r="L2648" s="12">
        <f t="shared" ref="L2648:L2711" si="226">ROUNDUP(K2648*(1+P2648)/(1-Q2648),0)</f>
        <v>115</v>
      </c>
      <c r="M2648" s="8">
        <v>3</v>
      </c>
      <c r="N2648" s="8" t="s">
        <v>27</v>
      </c>
      <c r="O2648" s="13"/>
      <c r="P2648" s="14">
        <v>0.2</v>
      </c>
      <c r="Q2648" s="15">
        <v>0.4</v>
      </c>
      <c r="R2648" s="16" t="str">
        <f t="shared" si="225"/>
        <v>LUTRON</v>
      </c>
      <c r="S2648" s="17" t="str">
        <f t="shared" ref="S2648:S2711" si="227">A2648</f>
        <v>LUTRON</v>
      </c>
      <c r="T2648" s="10" t="str">
        <f t="shared" si="224"/>
        <v>BALASTRO T8 PARA TUBO U_BEND, DE UNA LÁMPARA.</v>
      </c>
      <c r="AA2648">
        <f>79*0.8</f>
        <v>63.2</v>
      </c>
    </row>
    <row r="2649" spans="1:27" ht="27" customHeight="1" x14ac:dyDescent="0.25">
      <c r="A2649" s="8" t="s">
        <v>5672</v>
      </c>
      <c r="B2649" s="9" t="s">
        <v>5666</v>
      </c>
      <c r="C2649" s="9"/>
      <c r="D2649" s="8" t="s">
        <v>184</v>
      </c>
      <c r="E2649" s="8">
        <v>2</v>
      </c>
      <c r="F2649" s="8" t="s">
        <v>22</v>
      </c>
      <c r="G2649" s="10" t="s">
        <v>5673</v>
      </c>
      <c r="H2649" s="8" t="s">
        <v>5674</v>
      </c>
      <c r="I2649" s="10" t="s">
        <v>5675</v>
      </c>
      <c r="J2649" s="11" t="s">
        <v>26</v>
      </c>
      <c r="K2649" s="57">
        <v>57.5</v>
      </c>
      <c r="L2649" s="12">
        <f t="shared" si="226"/>
        <v>115</v>
      </c>
      <c r="M2649" s="8">
        <v>3</v>
      </c>
      <c r="N2649" s="8" t="s">
        <v>27</v>
      </c>
      <c r="O2649" s="13"/>
      <c r="P2649" s="14">
        <v>0.2</v>
      </c>
      <c r="Q2649" s="15">
        <v>0.4</v>
      </c>
      <c r="R2649" s="16" t="str">
        <f t="shared" si="225"/>
        <v>LUTRON</v>
      </c>
      <c r="S2649" s="17" t="str">
        <f t="shared" si="227"/>
        <v>LUTRON</v>
      </c>
      <c r="T2649" s="10" t="str">
        <f t="shared" si="224"/>
        <v>BALASTRO T8 PARA TUBO U_BEND, DE UNA LÁMPARA.</v>
      </c>
    </row>
    <row r="2650" spans="1:27" ht="27" customHeight="1" x14ac:dyDescent="0.25">
      <c r="A2650" s="8" t="s">
        <v>5672</v>
      </c>
      <c r="B2650" s="9" t="s">
        <v>5666</v>
      </c>
      <c r="C2650" s="9"/>
      <c r="D2650" s="8" t="s">
        <v>184</v>
      </c>
      <c r="E2650" s="8">
        <v>3</v>
      </c>
      <c r="F2650" s="8" t="s">
        <v>22</v>
      </c>
      <c r="G2650" s="10" t="s">
        <v>5673</v>
      </c>
      <c r="H2650" s="8" t="s">
        <v>5674</v>
      </c>
      <c r="I2650" s="10" t="s">
        <v>5675</v>
      </c>
      <c r="J2650" s="11" t="s">
        <v>26</v>
      </c>
      <c r="K2650" s="57">
        <v>57.5</v>
      </c>
      <c r="L2650" s="12">
        <f t="shared" si="226"/>
        <v>115</v>
      </c>
      <c r="M2650" s="8">
        <v>3</v>
      </c>
      <c r="N2650" s="8" t="s">
        <v>27</v>
      </c>
      <c r="O2650" s="13"/>
      <c r="P2650" s="14">
        <v>0.2</v>
      </c>
      <c r="Q2650" s="15">
        <v>0.4</v>
      </c>
      <c r="R2650" s="16" t="str">
        <f t="shared" si="225"/>
        <v>LUTRON</v>
      </c>
      <c r="S2650" s="17" t="str">
        <f t="shared" si="227"/>
        <v>LUTRON</v>
      </c>
      <c r="T2650" s="10" t="str">
        <f t="shared" si="224"/>
        <v>BALASTRO T8 PARA TUBO U_BEND, DE UNA LÁMPARA.</v>
      </c>
    </row>
    <row r="2651" spans="1:27" ht="27" customHeight="1" x14ac:dyDescent="0.25">
      <c r="A2651" s="8" t="s">
        <v>5672</v>
      </c>
      <c r="B2651" s="9" t="s">
        <v>5666</v>
      </c>
      <c r="C2651" s="9"/>
      <c r="D2651" s="8" t="s">
        <v>184</v>
      </c>
      <c r="E2651" s="8">
        <v>4</v>
      </c>
      <c r="F2651" s="8" t="s">
        <v>22</v>
      </c>
      <c r="G2651" s="10" t="s">
        <v>5673</v>
      </c>
      <c r="H2651" s="8" t="s">
        <v>5676</v>
      </c>
      <c r="I2651" s="10" t="s">
        <v>5675</v>
      </c>
      <c r="J2651" s="11" t="s">
        <v>26</v>
      </c>
      <c r="K2651" s="57">
        <v>57.5</v>
      </c>
      <c r="L2651" s="12">
        <f t="shared" si="226"/>
        <v>115</v>
      </c>
      <c r="M2651" s="8">
        <v>3</v>
      </c>
      <c r="N2651" s="8" t="s">
        <v>27</v>
      </c>
      <c r="O2651" s="13"/>
      <c r="P2651" s="14">
        <v>0.2</v>
      </c>
      <c r="Q2651" s="15">
        <v>0.4</v>
      </c>
      <c r="R2651" s="16" t="str">
        <f t="shared" si="225"/>
        <v>LUTRON</v>
      </c>
      <c r="S2651" s="17" t="str">
        <f t="shared" si="227"/>
        <v>LUTRON</v>
      </c>
      <c r="T2651" s="10" t="str">
        <f t="shared" si="224"/>
        <v>BALASTRO T8 PARA TUBO U_BEND, DE UNA LÁMPARA.</v>
      </c>
    </row>
    <row r="2652" spans="1:27" ht="27" customHeight="1" x14ac:dyDescent="0.25">
      <c r="A2652" s="8" t="s">
        <v>5672</v>
      </c>
      <c r="B2652" s="9" t="s">
        <v>5666</v>
      </c>
      <c r="C2652" s="9"/>
      <c r="D2652" s="8" t="s">
        <v>184</v>
      </c>
      <c r="E2652" s="8">
        <v>5</v>
      </c>
      <c r="F2652" s="8" t="s">
        <v>22</v>
      </c>
      <c r="G2652" s="10" t="s">
        <v>5673</v>
      </c>
      <c r="H2652" s="8" t="s">
        <v>5676</v>
      </c>
      <c r="I2652" s="10" t="s">
        <v>5675</v>
      </c>
      <c r="J2652" s="11" t="s">
        <v>26</v>
      </c>
      <c r="K2652" s="57">
        <v>57.5</v>
      </c>
      <c r="L2652" s="12">
        <f t="shared" si="226"/>
        <v>115</v>
      </c>
      <c r="M2652" s="8">
        <v>3</v>
      </c>
      <c r="N2652" s="8" t="s">
        <v>27</v>
      </c>
      <c r="O2652" s="13"/>
      <c r="P2652" s="14">
        <v>0.2</v>
      </c>
      <c r="Q2652" s="15">
        <v>0.4</v>
      </c>
      <c r="R2652" s="16" t="str">
        <f t="shared" si="225"/>
        <v>LUTRON</v>
      </c>
      <c r="S2652" s="17" t="str">
        <f t="shared" si="227"/>
        <v>LUTRON</v>
      </c>
      <c r="T2652" s="10" t="str">
        <f t="shared" si="224"/>
        <v>BALASTRO T8 PARA TUBO U_BEND, DE UNA LÁMPARA.</v>
      </c>
    </row>
    <row r="2653" spans="1:27" ht="27" customHeight="1" x14ac:dyDescent="0.25">
      <c r="A2653" s="8" t="s">
        <v>5672</v>
      </c>
      <c r="B2653" s="9" t="s">
        <v>5666</v>
      </c>
      <c r="C2653" s="9"/>
      <c r="D2653" s="8" t="s">
        <v>184</v>
      </c>
      <c r="E2653" s="8">
        <v>6</v>
      </c>
      <c r="F2653" s="8" t="s">
        <v>22</v>
      </c>
      <c r="G2653" s="10" t="s">
        <v>5673</v>
      </c>
      <c r="H2653" s="8" t="s">
        <v>5676</v>
      </c>
      <c r="I2653" s="10" t="s">
        <v>5675</v>
      </c>
      <c r="J2653" s="11" t="s">
        <v>26</v>
      </c>
      <c r="K2653" s="57">
        <v>57.5</v>
      </c>
      <c r="L2653" s="12">
        <f t="shared" si="226"/>
        <v>115</v>
      </c>
      <c r="M2653" s="8">
        <v>3</v>
      </c>
      <c r="N2653" s="8" t="s">
        <v>27</v>
      </c>
      <c r="O2653" s="13"/>
      <c r="P2653" s="14">
        <v>0.2</v>
      </c>
      <c r="Q2653" s="15">
        <v>0.4</v>
      </c>
      <c r="R2653" s="16" t="str">
        <f t="shared" si="225"/>
        <v>LUTRON</v>
      </c>
      <c r="S2653" s="17" t="str">
        <f t="shared" si="227"/>
        <v>LUTRON</v>
      </c>
      <c r="T2653" s="10" t="str">
        <f t="shared" si="224"/>
        <v>BALASTRO T8 PARA TUBO U_BEND, DE UNA LÁMPARA.</v>
      </c>
    </row>
    <row r="2654" spans="1:27" ht="27" customHeight="1" x14ac:dyDescent="0.25">
      <c r="A2654" s="8" t="s">
        <v>5672</v>
      </c>
      <c r="B2654" s="9" t="s">
        <v>5666</v>
      </c>
      <c r="C2654" s="9"/>
      <c r="D2654" s="8" t="s">
        <v>184</v>
      </c>
      <c r="E2654" s="8">
        <v>7</v>
      </c>
      <c r="F2654" s="8" t="s">
        <v>22</v>
      </c>
      <c r="G2654" s="10" t="s">
        <v>5673</v>
      </c>
      <c r="H2654" s="8" t="s">
        <v>5677</v>
      </c>
      <c r="I2654" s="10" t="s">
        <v>5675</v>
      </c>
      <c r="J2654" s="11" t="s">
        <v>26</v>
      </c>
      <c r="K2654" s="57">
        <v>57.5</v>
      </c>
      <c r="L2654" s="12">
        <f t="shared" si="226"/>
        <v>115</v>
      </c>
      <c r="M2654" s="8">
        <v>3</v>
      </c>
      <c r="N2654" s="8" t="s">
        <v>27</v>
      </c>
      <c r="O2654" s="13"/>
      <c r="P2654" s="14">
        <v>0.2</v>
      </c>
      <c r="Q2654" s="15">
        <v>0.4</v>
      </c>
      <c r="R2654" s="16" t="str">
        <f t="shared" si="225"/>
        <v>LUTRON</v>
      </c>
      <c r="S2654" s="17" t="str">
        <f t="shared" si="227"/>
        <v>LUTRON</v>
      </c>
      <c r="T2654" s="10" t="str">
        <f t="shared" si="224"/>
        <v>BALASTRO T8 PARA TUBO U_BEND, DE UNA LÁMPARA.</v>
      </c>
    </row>
    <row r="2655" spans="1:27" ht="27" customHeight="1" x14ac:dyDescent="0.25">
      <c r="A2655" s="8" t="s">
        <v>5672</v>
      </c>
      <c r="B2655" s="9" t="s">
        <v>5666</v>
      </c>
      <c r="C2655" s="9"/>
      <c r="D2655" s="8" t="s">
        <v>184</v>
      </c>
      <c r="E2655" s="8">
        <v>8</v>
      </c>
      <c r="F2655" s="8" t="s">
        <v>22</v>
      </c>
      <c r="G2655" s="10" t="s">
        <v>5673</v>
      </c>
      <c r="H2655" s="8" t="s">
        <v>5678</v>
      </c>
      <c r="I2655" s="10" t="s">
        <v>5679</v>
      </c>
      <c r="J2655" s="11" t="s">
        <v>26</v>
      </c>
      <c r="K2655" s="57">
        <v>57.5</v>
      </c>
      <c r="L2655" s="12">
        <f t="shared" si="226"/>
        <v>115</v>
      </c>
      <c r="M2655" s="8">
        <v>3</v>
      </c>
      <c r="N2655" s="8" t="s">
        <v>27</v>
      </c>
      <c r="O2655" s="13"/>
      <c r="P2655" s="14">
        <v>0.2</v>
      </c>
      <c r="Q2655" s="15">
        <v>0.4</v>
      </c>
      <c r="R2655" s="16" t="str">
        <f t="shared" si="225"/>
        <v>LUTRON</v>
      </c>
      <c r="S2655" s="17" t="str">
        <f t="shared" si="227"/>
        <v>LUTRON</v>
      </c>
      <c r="T2655" s="10" t="str">
        <f t="shared" si="224"/>
        <v>BALASTRO T8 PARA TUBO U_BEND, DE UNA LÁMPARA.</v>
      </c>
    </row>
    <row r="2656" spans="1:27" ht="27" customHeight="1" x14ac:dyDescent="0.25">
      <c r="A2656" s="8" t="s">
        <v>5672</v>
      </c>
      <c r="B2656" s="9" t="s">
        <v>5666</v>
      </c>
      <c r="C2656" s="9"/>
      <c r="D2656" s="8" t="s">
        <v>184</v>
      </c>
      <c r="E2656" s="8">
        <v>9</v>
      </c>
      <c r="F2656" s="8" t="s">
        <v>22</v>
      </c>
      <c r="G2656" s="10" t="s">
        <v>5673</v>
      </c>
      <c r="H2656" s="8" t="s">
        <v>5680</v>
      </c>
      <c r="I2656" s="10" t="s">
        <v>5681</v>
      </c>
      <c r="J2656" s="11" t="s">
        <v>26</v>
      </c>
      <c r="K2656" s="57">
        <v>57.5</v>
      </c>
      <c r="L2656" s="12">
        <f t="shared" si="226"/>
        <v>115</v>
      </c>
      <c r="M2656" s="8">
        <v>3</v>
      </c>
      <c r="N2656" s="8" t="s">
        <v>27</v>
      </c>
      <c r="O2656" s="13"/>
      <c r="P2656" s="14">
        <v>0.2</v>
      </c>
      <c r="Q2656" s="15">
        <v>0.4</v>
      </c>
      <c r="R2656" s="16" t="str">
        <f t="shared" si="225"/>
        <v>LUTRON</v>
      </c>
      <c r="S2656" s="17" t="str">
        <f t="shared" si="227"/>
        <v>LUTRON</v>
      </c>
      <c r="T2656" s="10" t="str">
        <f t="shared" si="224"/>
        <v>BALASTRO T8 PARA TUBO U_BEND, DE UNA LÁMPARA.</v>
      </c>
    </row>
    <row r="2657" spans="1:20" ht="27" customHeight="1" x14ac:dyDescent="0.25">
      <c r="A2657" s="8" t="s">
        <v>5672</v>
      </c>
      <c r="B2657" s="9" t="s">
        <v>5666</v>
      </c>
      <c r="C2657" s="9"/>
      <c r="D2657" s="8" t="s">
        <v>184</v>
      </c>
      <c r="E2657" s="8">
        <v>10</v>
      </c>
      <c r="F2657" s="8" t="s">
        <v>22</v>
      </c>
      <c r="G2657" s="10" t="s">
        <v>5673</v>
      </c>
      <c r="H2657" s="8" t="s">
        <v>5680</v>
      </c>
      <c r="I2657" s="10" t="s">
        <v>5681</v>
      </c>
      <c r="J2657" s="11" t="s">
        <v>26</v>
      </c>
      <c r="K2657" s="57">
        <v>57.5</v>
      </c>
      <c r="L2657" s="12">
        <f t="shared" si="226"/>
        <v>115</v>
      </c>
      <c r="M2657" s="8">
        <v>3</v>
      </c>
      <c r="N2657" s="8" t="s">
        <v>27</v>
      </c>
      <c r="O2657" s="13"/>
      <c r="P2657" s="14">
        <v>0.2</v>
      </c>
      <c r="Q2657" s="15">
        <v>0.4</v>
      </c>
      <c r="R2657" s="16" t="str">
        <f t="shared" si="225"/>
        <v>LUTRON</v>
      </c>
      <c r="S2657" s="17" t="str">
        <f t="shared" si="227"/>
        <v>LUTRON</v>
      </c>
      <c r="T2657" s="10" t="str">
        <f t="shared" si="224"/>
        <v>BALASTRO T8 PARA TUBO U_BEND, DE UNA LÁMPARA.</v>
      </c>
    </row>
    <row r="2658" spans="1:20" ht="27" customHeight="1" x14ac:dyDescent="0.25">
      <c r="A2658" s="8" t="s">
        <v>5672</v>
      </c>
      <c r="B2658" s="9" t="s">
        <v>5666</v>
      </c>
      <c r="C2658" s="9"/>
      <c r="D2658" s="8" t="s">
        <v>184</v>
      </c>
      <c r="E2658" s="8">
        <v>11</v>
      </c>
      <c r="F2658" s="8" t="s">
        <v>22</v>
      </c>
      <c r="G2658" s="10" t="s">
        <v>5673</v>
      </c>
      <c r="H2658" s="8" t="s">
        <v>5680</v>
      </c>
      <c r="I2658" s="10" t="s">
        <v>5681</v>
      </c>
      <c r="J2658" s="11" t="s">
        <v>26</v>
      </c>
      <c r="K2658" s="57">
        <v>57.5</v>
      </c>
      <c r="L2658" s="12">
        <f t="shared" si="226"/>
        <v>115</v>
      </c>
      <c r="M2658" s="8">
        <v>3</v>
      </c>
      <c r="N2658" s="8" t="s">
        <v>27</v>
      </c>
      <c r="O2658" s="13"/>
      <c r="P2658" s="14">
        <v>0.2</v>
      </c>
      <c r="Q2658" s="15">
        <v>0.4</v>
      </c>
      <c r="R2658" s="16" t="str">
        <f t="shared" si="225"/>
        <v>LUTRON</v>
      </c>
      <c r="S2658" s="17" t="str">
        <f t="shared" si="227"/>
        <v>LUTRON</v>
      </c>
      <c r="T2658" s="10" t="str">
        <f t="shared" si="224"/>
        <v>BALASTRO T8 PARA TUBO U_BEND, DE UNA LÁMPARA.</v>
      </c>
    </row>
    <row r="2659" spans="1:20" ht="27" customHeight="1" x14ac:dyDescent="0.25">
      <c r="A2659" s="8" t="s">
        <v>5672</v>
      </c>
      <c r="B2659" s="9" t="s">
        <v>5666</v>
      </c>
      <c r="C2659" s="9"/>
      <c r="D2659" s="8" t="s">
        <v>184</v>
      </c>
      <c r="E2659" s="8">
        <v>12</v>
      </c>
      <c r="F2659" s="8" t="s">
        <v>22</v>
      </c>
      <c r="G2659" s="10" t="s">
        <v>5673</v>
      </c>
      <c r="H2659" s="8" t="s">
        <v>5682</v>
      </c>
      <c r="I2659" s="10" t="s">
        <v>5683</v>
      </c>
      <c r="J2659" s="11" t="s">
        <v>26</v>
      </c>
      <c r="K2659" s="57">
        <v>57.5</v>
      </c>
      <c r="L2659" s="12">
        <f t="shared" si="226"/>
        <v>115</v>
      </c>
      <c r="M2659" s="8">
        <v>3</v>
      </c>
      <c r="N2659" s="8" t="s">
        <v>27</v>
      </c>
      <c r="O2659" s="13"/>
      <c r="P2659" s="14">
        <v>0.2</v>
      </c>
      <c r="Q2659" s="15">
        <v>0.4</v>
      </c>
      <c r="R2659" s="16" t="str">
        <f t="shared" si="225"/>
        <v>LUTRON</v>
      </c>
      <c r="S2659" s="17" t="str">
        <f t="shared" si="227"/>
        <v>LUTRON</v>
      </c>
      <c r="T2659" s="10" t="str">
        <f t="shared" si="224"/>
        <v>BALASTRO T8 PARA TUBO U_BEND, DE UNA LÁMPARA.</v>
      </c>
    </row>
    <row r="2660" spans="1:20" ht="27" customHeight="1" x14ac:dyDescent="0.25">
      <c r="A2660" s="8" t="s">
        <v>5672</v>
      </c>
      <c r="B2660" s="9" t="s">
        <v>5666</v>
      </c>
      <c r="C2660" s="9"/>
      <c r="D2660" s="8" t="s">
        <v>184</v>
      </c>
      <c r="E2660" s="8">
        <v>13</v>
      </c>
      <c r="F2660" s="8" t="s">
        <v>22</v>
      </c>
      <c r="G2660" s="10" t="s">
        <v>5673</v>
      </c>
      <c r="H2660" s="8" t="s">
        <v>5684</v>
      </c>
      <c r="I2660" s="10" t="s">
        <v>5685</v>
      </c>
      <c r="J2660" s="11" t="s">
        <v>26</v>
      </c>
      <c r="K2660" s="57">
        <v>57.5</v>
      </c>
      <c r="L2660" s="12">
        <f t="shared" si="226"/>
        <v>115</v>
      </c>
      <c r="M2660" s="8">
        <v>3</v>
      </c>
      <c r="N2660" s="8" t="s">
        <v>27</v>
      </c>
      <c r="O2660" s="13"/>
      <c r="P2660" s="14">
        <v>0.2</v>
      </c>
      <c r="Q2660" s="15">
        <v>0.4</v>
      </c>
      <c r="R2660" s="16" t="str">
        <f t="shared" si="225"/>
        <v>LUTRON</v>
      </c>
      <c r="S2660" s="17" t="str">
        <f t="shared" si="227"/>
        <v>LUTRON</v>
      </c>
      <c r="T2660" s="10" t="str">
        <f t="shared" si="224"/>
        <v>BALASTRO T8 PARA TUBO U_BEND, DE UNA LÁMPARA.</v>
      </c>
    </row>
    <row r="2661" spans="1:20" ht="27" customHeight="1" x14ac:dyDescent="0.25">
      <c r="A2661" s="8" t="s">
        <v>5672</v>
      </c>
      <c r="B2661" s="9" t="s">
        <v>5666</v>
      </c>
      <c r="C2661" s="9"/>
      <c r="D2661" s="8" t="s">
        <v>184</v>
      </c>
      <c r="E2661" s="8">
        <v>14</v>
      </c>
      <c r="F2661" s="8" t="s">
        <v>22</v>
      </c>
      <c r="G2661" s="10" t="s">
        <v>5673</v>
      </c>
      <c r="H2661" s="8" t="s">
        <v>5684</v>
      </c>
      <c r="I2661" s="10" t="s">
        <v>5685</v>
      </c>
      <c r="J2661" s="11" t="s">
        <v>26</v>
      </c>
      <c r="K2661" s="57">
        <v>57.5</v>
      </c>
      <c r="L2661" s="12">
        <f t="shared" si="226"/>
        <v>115</v>
      </c>
      <c r="M2661" s="8">
        <v>3</v>
      </c>
      <c r="N2661" s="8" t="s">
        <v>27</v>
      </c>
      <c r="O2661" s="13"/>
      <c r="P2661" s="14">
        <v>0.2</v>
      </c>
      <c r="Q2661" s="15">
        <v>0.4</v>
      </c>
      <c r="R2661" s="16" t="str">
        <f t="shared" si="225"/>
        <v>LUTRON</v>
      </c>
      <c r="S2661" s="17" t="str">
        <f t="shared" si="227"/>
        <v>LUTRON</v>
      </c>
      <c r="T2661" s="10" t="str">
        <f t="shared" si="224"/>
        <v>BALASTRO T8 PARA TUBO U_BEND, DE UNA LÁMPARA.</v>
      </c>
    </row>
    <row r="2662" spans="1:20" ht="27" customHeight="1" x14ac:dyDescent="0.25">
      <c r="A2662" s="8" t="s">
        <v>5672</v>
      </c>
      <c r="B2662" s="9" t="s">
        <v>5666</v>
      </c>
      <c r="C2662" s="9"/>
      <c r="D2662" s="8" t="s">
        <v>184</v>
      </c>
      <c r="E2662" s="8">
        <v>15</v>
      </c>
      <c r="F2662" s="8" t="s">
        <v>22</v>
      </c>
      <c r="G2662" s="10" t="s">
        <v>5673</v>
      </c>
      <c r="H2662" s="8" t="s">
        <v>5684</v>
      </c>
      <c r="I2662" s="10" t="s">
        <v>5685</v>
      </c>
      <c r="J2662" s="11" t="s">
        <v>26</v>
      </c>
      <c r="K2662" s="57">
        <v>57.5</v>
      </c>
      <c r="L2662" s="12">
        <f t="shared" si="226"/>
        <v>115</v>
      </c>
      <c r="M2662" s="8">
        <v>3</v>
      </c>
      <c r="N2662" s="8" t="s">
        <v>27</v>
      </c>
      <c r="O2662" s="13"/>
      <c r="P2662" s="14">
        <v>0.2</v>
      </c>
      <c r="Q2662" s="15">
        <v>0.4</v>
      </c>
      <c r="R2662" s="16" t="str">
        <f t="shared" si="225"/>
        <v>LUTRON</v>
      </c>
      <c r="S2662" s="17" t="str">
        <f t="shared" si="227"/>
        <v>LUTRON</v>
      </c>
      <c r="T2662" s="10" t="str">
        <f t="shared" si="224"/>
        <v>BALASTRO T8 PARA TUBO U_BEND, DE UNA LÁMPARA.</v>
      </c>
    </row>
    <row r="2663" spans="1:20" ht="27" customHeight="1" x14ac:dyDescent="0.25">
      <c r="A2663" s="8" t="s">
        <v>5672</v>
      </c>
      <c r="B2663" s="9" t="s">
        <v>5666</v>
      </c>
      <c r="C2663" s="9"/>
      <c r="D2663" s="8" t="s">
        <v>184</v>
      </c>
      <c r="E2663" s="8">
        <v>16</v>
      </c>
      <c r="F2663" s="8" t="s">
        <v>22</v>
      </c>
      <c r="G2663" s="10" t="s">
        <v>5686</v>
      </c>
      <c r="H2663" s="8" t="s">
        <v>5687</v>
      </c>
      <c r="I2663" s="10" t="s">
        <v>5688</v>
      </c>
      <c r="J2663" s="11" t="s">
        <v>26</v>
      </c>
      <c r="K2663" s="57">
        <v>57.5</v>
      </c>
      <c r="L2663" s="12">
        <f t="shared" si="226"/>
        <v>115</v>
      </c>
      <c r="M2663" s="8">
        <v>3</v>
      </c>
      <c r="N2663" s="8" t="s">
        <v>27</v>
      </c>
      <c r="O2663" s="13"/>
      <c r="P2663" s="14">
        <v>0.2</v>
      </c>
      <c r="Q2663" s="15">
        <v>0.4</v>
      </c>
      <c r="R2663" s="16" t="str">
        <f t="shared" si="225"/>
        <v>LUTRON</v>
      </c>
      <c r="S2663" s="17" t="str">
        <f t="shared" si="227"/>
        <v>LUTRON</v>
      </c>
      <c r="T2663" s="10" t="str">
        <f t="shared" si="224"/>
        <v>BALASTRO T8 PARA TUBO U_BEND, DE UNA LÁMPARAS.</v>
      </c>
    </row>
    <row r="2664" spans="1:20" ht="27" customHeight="1" x14ac:dyDescent="0.25">
      <c r="A2664" s="8" t="s">
        <v>5672</v>
      </c>
      <c r="B2664" s="9" t="s">
        <v>5666</v>
      </c>
      <c r="C2664" s="9"/>
      <c r="D2664" s="8" t="s">
        <v>184</v>
      </c>
      <c r="E2664" s="8">
        <v>17</v>
      </c>
      <c r="F2664" s="8" t="s">
        <v>22</v>
      </c>
      <c r="G2664" s="10" t="s">
        <v>5686</v>
      </c>
      <c r="H2664" s="8" t="s">
        <v>5687</v>
      </c>
      <c r="I2664" s="10" t="s">
        <v>5688</v>
      </c>
      <c r="J2664" s="11" t="s">
        <v>26</v>
      </c>
      <c r="K2664" s="57">
        <v>57.5</v>
      </c>
      <c r="L2664" s="12">
        <f t="shared" si="226"/>
        <v>115</v>
      </c>
      <c r="M2664" s="8">
        <v>3</v>
      </c>
      <c r="N2664" s="8" t="s">
        <v>27</v>
      </c>
      <c r="O2664" s="13"/>
      <c r="P2664" s="14">
        <v>0.2</v>
      </c>
      <c r="Q2664" s="15">
        <v>0.4</v>
      </c>
      <c r="R2664" s="16" t="str">
        <f t="shared" si="225"/>
        <v>LUTRON</v>
      </c>
      <c r="S2664" s="17" t="str">
        <f t="shared" si="227"/>
        <v>LUTRON</v>
      </c>
      <c r="T2664" s="10" t="str">
        <f t="shared" si="224"/>
        <v>BALASTRO T8 PARA TUBO U_BEND, DE UNA LÁMPARAS.</v>
      </c>
    </row>
    <row r="2665" spans="1:20" ht="27" customHeight="1" x14ac:dyDescent="0.25">
      <c r="A2665" s="8" t="s">
        <v>5672</v>
      </c>
      <c r="B2665" s="9" t="s">
        <v>5666</v>
      </c>
      <c r="C2665" s="9"/>
      <c r="D2665" s="8" t="s">
        <v>184</v>
      </c>
      <c r="E2665" s="8">
        <v>18</v>
      </c>
      <c r="F2665" s="8" t="s">
        <v>22</v>
      </c>
      <c r="G2665" s="10" t="s">
        <v>5686</v>
      </c>
      <c r="H2665" s="8" t="s">
        <v>5687</v>
      </c>
      <c r="I2665" s="10" t="s">
        <v>5688</v>
      </c>
      <c r="J2665" s="11" t="s">
        <v>26</v>
      </c>
      <c r="K2665" s="57">
        <v>57.5</v>
      </c>
      <c r="L2665" s="12">
        <f t="shared" si="226"/>
        <v>115</v>
      </c>
      <c r="M2665" s="8">
        <v>3</v>
      </c>
      <c r="N2665" s="8" t="s">
        <v>27</v>
      </c>
      <c r="O2665" s="13"/>
      <c r="P2665" s="14">
        <v>0.2</v>
      </c>
      <c r="Q2665" s="15">
        <v>0.4</v>
      </c>
      <c r="R2665" s="16" t="str">
        <f t="shared" si="225"/>
        <v>LUTRON</v>
      </c>
      <c r="S2665" s="17" t="str">
        <f t="shared" si="227"/>
        <v>LUTRON</v>
      </c>
      <c r="T2665" s="10" t="str">
        <f t="shared" si="224"/>
        <v>BALASTRO T8 PARA TUBO U_BEND, DE UNA LÁMPARAS.</v>
      </c>
    </row>
    <row r="2666" spans="1:20" ht="27" customHeight="1" x14ac:dyDescent="0.25">
      <c r="A2666" s="8" t="s">
        <v>5672</v>
      </c>
      <c r="B2666" s="9" t="s">
        <v>5666</v>
      </c>
      <c r="C2666" s="9"/>
      <c r="D2666" s="8" t="s">
        <v>184</v>
      </c>
      <c r="E2666" s="8">
        <v>19</v>
      </c>
      <c r="F2666" s="8" t="s">
        <v>22</v>
      </c>
      <c r="G2666" s="10" t="s">
        <v>5686</v>
      </c>
      <c r="H2666" s="8" t="s">
        <v>5689</v>
      </c>
      <c r="I2666" s="10" t="s">
        <v>5690</v>
      </c>
      <c r="J2666" s="11" t="s">
        <v>26</v>
      </c>
      <c r="K2666" s="57">
        <v>57.5</v>
      </c>
      <c r="L2666" s="12">
        <f t="shared" si="226"/>
        <v>115</v>
      </c>
      <c r="M2666" s="8">
        <v>3</v>
      </c>
      <c r="N2666" s="8" t="s">
        <v>27</v>
      </c>
      <c r="O2666" s="13"/>
      <c r="P2666" s="14">
        <v>0.2</v>
      </c>
      <c r="Q2666" s="15">
        <v>0.4</v>
      </c>
      <c r="R2666" s="16" t="str">
        <f t="shared" si="225"/>
        <v>LUTRON</v>
      </c>
      <c r="S2666" s="17" t="str">
        <f t="shared" si="227"/>
        <v>LUTRON</v>
      </c>
      <c r="T2666" s="10" t="str">
        <f t="shared" si="224"/>
        <v>BALASTRO T8 PARA TUBO U_BEND, DE UNA LÁMPARAS.</v>
      </c>
    </row>
    <row r="2667" spans="1:20" ht="27" customHeight="1" x14ac:dyDescent="0.25">
      <c r="A2667" s="8" t="s">
        <v>5672</v>
      </c>
      <c r="B2667" s="9" t="s">
        <v>5666</v>
      </c>
      <c r="C2667" s="9"/>
      <c r="D2667" s="8" t="s">
        <v>184</v>
      </c>
      <c r="E2667" s="8">
        <v>20</v>
      </c>
      <c r="F2667" s="8" t="s">
        <v>22</v>
      </c>
      <c r="G2667" s="10" t="s">
        <v>5686</v>
      </c>
      <c r="H2667" s="8" t="s">
        <v>5689</v>
      </c>
      <c r="I2667" s="10" t="s">
        <v>5690</v>
      </c>
      <c r="J2667" s="11" t="s">
        <v>26</v>
      </c>
      <c r="K2667" s="57">
        <v>57.5</v>
      </c>
      <c r="L2667" s="12">
        <f t="shared" si="226"/>
        <v>115</v>
      </c>
      <c r="M2667" s="8">
        <v>3</v>
      </c>
      <c r="N2667" s="8" t="s">
        <v>27</v>
      </c>
      <c r="O2667" s="13"/>
      <c r="P2667" s="14">
        <v>0.2</v>
      </c>
      <c r="Q2667" s="15">
        <v>0.4</v>
      </c>
      <c r="R2667" s="16" t="str">
        <f t="shared" si="225"/>
        <v>LUTRON</v>
      </c>
      <c r="S2667" s="17" t="str">
        <f t="shared" si="227"/>
        <v>LUTRON</v>
      </c>
      <c r="T2667" s="10" t="str">
        <f t="shared" si="224"/>
        <v>BALASTRO T8 PARA TUBO U_BEND, DE UNA LÁMPARAS.</v>
      </c>
    </row>
    <row r="2668" spans="1:20" ht="27" customHeight="1" x14ac:dyDescent="0.25">
      <c r="A2668" s="8" t="s">
        <v>5672</v>
      </c>
      <c r="B2668" s="9" t="s">
        <v>5666</v>
      </c>
      <c r="C2668" s="9"/>
      <c r="D2668" s="8" t="s">
        <v>184</v>
      </c>
      <c r="E2668" s="8">
        <v>21</v>
      </c>
      <c r="F2668" s="8" t="s">
        <v>22</v>
      </c>
      <c r="G2668" s="10" t="s">
        <v>5686</v>
      </c>
      <c r="H2668" s="8" t="s">
        <v>5689</v>
      </c>
      <c r="I2668" s="10" t="s">
        <v>5690</v>
      </c>
      <c r="J2668" s="11" t="s">
        <v>26</v>
      </c>
      <c r="K2668" s="57">
        <v>57.5</v>
      </c>
      <c r="L2668" s="12">
        <f t="shared" si="226"/>
        <v>115</v>
      </c>
      <c r="M2668" s="8">
        <v>3</v>
      </c>
      <c r="N2668" s="8" t="s">
        <v>27</v>
      </c>
      <c r="O2668" s="13"/>
      <c r="P2668" s="14">
        <v>0.2</v>
      </c>
      <c r="Q2668" s="15">
        <v>0.4</v>
      </c>
      <c r="R2668" s="16" t="str">
        <f t="shared" si="225"/>
        <v>LUTRON</v>
      </c>
      <c r="S2668" s="17" t="str">
        <f t="shared" si="227"/>
        <v>LUTRON</v>
      </c>
      <c r="T2668" s="10" t="str">
        <f t="shared" si="224"/>
        <v>BALASTRO T8 PARA TUBO U_BEND, DE UNA LÁMPARAS.</v>
      </c>
    </row>
    <row r="2669" spans="1:20" ht="27" customHeight="1" x14ac:dyDescent="0.25">
      <c r="A2669" s="8" t="s">
        <v>5672</v>
      </c>
      <c r="B2669" s="9" t="s">
        <v>5666</v>
      </c>
      <c r="C2669" s="9"/>
      <c r="D2669" s="8" t="s">
        <v>184</v>
      </c>
      <c r="E2669" s="8">
        <v>22</v>
      </c>
      <c r="F2669" s="8" t="s">
        <v>22</v>
      </c>
      <c r="G2669" s="10" t="s">
        <v>5691</v>
      </c>
      <c r="H2669" s="8" t="s">
        <v>5692</v>
      </c>
      <c r="I2669" s="10" t="s">
        <v>5693</v>
      </c>
      <c r="J2669" s="11" t="s">
        <v>26</v>
      </c>
      <c r="K2669" s="57">
        <v>57.5</v>
      </c>
      <c r="L2669" s="12">
        <f t="shared" si="226"/>
        <v>115</v>
      </c>
      <c r="M2669" s="8">
        <v>3</v>
      </c>
      <c r="N2669" s="8" t="s">
        <v>27</v>
      </c>
      <c r="O2669" s="13"/>
      <c r="P2669" s="14">
        <v>0.2</v>
      </c>
      <c r="Q2669" s="15">
        <v>0.4</v>
      </c>
      <c r="R2669" s="16" t="str">
        <f t="shared" si="225"/>
        <v>LUTRON</v>
      </c>
      <c r="S2669" s="17" t="str">
        <f t="shared" si="227"/>
        <v>LUTRON</v>
      </c>
      <c r="T2669" s="10" t="str">
        <f t="shared" si="224"/>
        <v>BALASTRO T8 PARA TUBO U_BEND, 2 LÁMPARAS.</v>
      </c>
    </row>
    <row r="2670" spans="1:20" ht="27" customHeight="1" x14ac:dyDescent="0.25">
      <c r="A2670" s="8" t="s">
        <v>5672</v>
      </c>
      <c r="B2670" s="9" t="s">
        <v>5666</v>
      </c>
      <c r="C2670" s="9"/>
      <c r="D2670" s="8" t="s">
        <v>184</v>
      </c>
      <c r="E2670" s="8">
        <v>23</v>
      </c>
      <c r="F2670" s="8" t="s">
        <v>22</v>
      </c>
      <c r="G2670" s="10" t="s">
        <v>5691</v>
      </c>
      <c r="H2670" s="8" t="s">
        <v>5692</v>
      </c>
      <c r="I2670" s="10" t="s">
        <v>5693</v>
      </c>
      <c r="J2670" s="11" t="s">
        <v>26</v>
      </c>
      <c r="K2670" s="57">
        <v>57.5</v>
      </c>
      <c r="L2670" s="12">
        <f t="shared" si="226"/>
        <v>115</v>
      </c>
      <c r="M2670" s="8">
        <v>3</v>
      </c>
      <c r="N2670" s="8" t="s">
        <v>27</v>
      </c>
      <c r="O2670" s="13"/>
      <c r="P2670" s="14">
        <v>0.2</v>
      </c>
      <c r="Q2670" s="15">
        <v>0.4</v>
      </c>
      <c r="R2670" s="16" t="str">
        <f t="shared" si="225"/>
        <v>LUTRON</v>
      </c>
      <c r="S2670" s="17" t="str">
        <f t="shared" si="227"/>
        <v>LUTRON</v>
      </c>
      <c r="T2670" s="10" t="str">
        <f t="shared" si="224"/>
        <v>BALASTRO T8 PARA TUBO U_BEND, 2 LÁMPARAS.</v>
      </c>
    </row>
    <row r="2671" spans="1:20" ht="27" customHeight="1" x14ac:dyDescent="0.25">
      <c r="A2671" s="8" t="s">
        <v>5672</v>
      </c>
      <c r="B2671" s="9" t="s">
        <v>5666</v>
      </c>
      <c r="C2671" s="9"/>
      <c r="D2671" s="8" t="s">
        <v>184</v>
      </c>
      <c r="E2671" s="8">
        <v>24</v>
      </c>
      <c r="F2671" s="8" t="s">
        <v>22</v>
      </c>
      <c r="G2671" s="10" t="s">
        <v>5691</v>
      </c>
      <c r="H2671" s="8" t="s">
        <v>5692</v>
      </c>
      <c r="I2671" s="10" t="s">
        <v>5693</v>
      </c>
      <c r="J2671" s="11" t="s">
        <v>26</v>
      </c>
      <c r="K2671" s="57">
        <v>57.5</v>
      </c>
      <c r="L2671" s="12">
        <f t="shared" si="226"/>
        <v>115</v>
      </c>
      <c r="M2671" s="8">
        <v>3</v>
      </c>
      <c r="N2671" s="8" t="s">
        <v>27</v>
      </c>
      <c r="O2671" s="13"/>
      <c r="P2671" s="14">
        <v>0.2</v>
      </c>
      <c r="Q2671" s="15">
        <v>0.4</v>
      </c>
      <c r="R2671" s="16" t="str">
        <f t="shared" si="225"/>
        <v>LUTRON</v>
      </c>
      <c r="S2671" s="17" t="str">
        <f t="shared" si="227"/>
        <v>LUTRON</v>
      </c>
      <c r="T2671" s="10" t="str">
        <f t="shared" si="224"/>
        <v>BALASTRO T8 PARA TUBO U_BEND, 2 LÁMPARAS.</v>
      </c>
    </row>
    <row r="2672" spans="1:20" ht="27" customHeight="1" x14ac:dyDescent="0.25">
      <c r="A2672" s="8" t="s">
        <v>5672</v>
      </c>
      <c r="B2672" s="9" t="s">
        <v>5666</v>
      </c>
      <c r="C2672" s="9"/>
      <c r="D2672" s="8" t="s">
        <v>184</v>
      </c>
      <c r="E2672" s="8">
        <v>25</v>
      </c>
      <c r="F2672" s="8" t="s">
        <v>22</v>
      </c>
      <c r="G2672" s="10" t="s">
        <v>5691</v>
      </c>
      <c r="H2672" s="8" t="s">
        <v>5694</v>
      </c>
      <c r="I2672" s="10" t="s">
        <v>5693</v>
      </c>
      <c r="J2672" s="11" t="s">
        <v>26</v>
      </c>
      <c r="K2672" s="57">
        <v>57.5</v>
      </c>
      <c r="L2672" s="12">
        <f t="shared" si="226"/>
        <v>115</v>
      </c>
      <c r="M2672" s="8">
        <v>3</v>
      </c>
      <c r="N2672" s="8" t="s">
        <v>27</v>
      </c>
      <c r="O2672" s="13"/>
      <c r="P2672" s="14">
        <v>0.2</v>
      </c>
      <c r="Q2672" s="15">
        <v>0.4</v>
      </c>
      <c r="R2672" s="16" t="str">
        <f t="shared" si="225"/>
        <v>LUTRON</v>
      </c>
      <c r="S2672" s="17" t="str">
        <f t="shared" si="227"/>
        <v>LUTRON</v>
      </c>
      <c r="T2672" s="10" t="str">
        <f t="shared" si="224"/>
        <v>BALASTRO T8 PARA TUBO U_BEND, 2 LÁMPARAS.</v>
      </c>
    </row>
    <row r="2673" spans="1:20" ht="27" customHeight="1" x14ac:dyDescent="0.25">
      <c r="A2673" s="8" t="s">
        <v>5672</v>
      </c>
      <c r="B2673" s="9" t="s">
        <v>5666</v>
      </c>
      <c r="C2673" s="9"/>
      <c r="D2673" s="8" t="s">
        <v>184</v>
      </c>
      <c r="E2673" s="8">
        <v>26</v>
      </c>
      <c r="F2673" s="8" t="s">
        <v>22</v>
      </c>
      <c r="G2673" s="10" t="s">
        <v>5691</v>
      </c>
      <c r="H2673" s="8" t="s">
        <v>5694</v>
      </c>
      <c r="I2673" s="10" t="s">
        <v>5693</v>
      </c>
      <c r="J2673" s="11" t="s">
        <v>26</v>
      </c>
      <c r="K2673" s="57">
        <v>57.5</v>
      </c>
      <c r="L2673" s="12">
        <f t="shared" si="226"/>
        <v>115</v>
      </c>
      <c r="M2673" s="8">
        <v>3</v>
      </c>
      <c r="N2673" s="8" t="s">
        <v>27</v>
      </c>
      <c r="O2673" s="13"/>
      <c r="P2673" s="14">
        <v>0.2</v>
      </c>
      <c r="Q2673" s="15">
        <v>0.4</v>
      </c>
      <c r="R2673" s="16" t="str">
        <f t="shared" si="225"/>
        <v>LUTRON</v>
      </c>
      <c r="S2673" s="17" t="str">
        <f t="shared" si="227"/>
        <v>LUTRON</v>
      </c>
      <c r="T2673" s="10" t="str">
        <f t="shared" si="224"/>
        <v>BALASTRO T8 PARA TUBO U_BEND, 2 LÁMPARAS.</v>
      </c>
    </row>
    <row r="2674" spans="1:20" ht="27" customHeight="1" x14ac:dyDescent="0.25">
      <c r="A2674" s="8" t="s">
        <v>5672</v>
      </c>
      <c r="B2674" s="9" t="s">
        <v>5666</v>
      </c>
      <c r="C2674" s="9"/>
      <c r="D2674" s="8" t="s">
        <v>184</v>
      </c>
      <c r="E2674" s="8">
        <v>27</v>
      </c>
      <c r="F2674" s="8" t="s">
        <v>22</v>
      </c>
      <c r="G2674" s="10" t="s">
        <v>5691</v>
      </c>
      <c r="H2674" s="8" t="s">
        <v>5694</v>
      </c>
      <c r="I2674" s="10" t="s">
        <v>5693</v>
      </c>
      <c r="J2674" s="11" t="s">
        <v>26</v>
      </c>
      <c r="K2674" s="57">
        <v>57.5</v>
      </c>
      <c r="L2674" s="12">
        <f t="shared" si="226"/>
        <v>115</v>
      </c>
      <c r="M2674" s="8">
        <v>3</v>
      </c>
      <c r="N2674" s="8" t="s">
        <v>27</v>
      </c>
      <c r="O2674" s="13"/>
      <c r="P2674" s="14">
        <v>0.2</v>
      </c>
      <c r="Q2674" s="15">
        <v>0.4</v>
      </c>
      <c r="R2674" s="16" t="str">
        <f t="shared" si="225"/>
        <v>LUTRON</v>
      </c>
      <c r="S2674" s="17" t="str">
        <f t="shared" si="227"/>
        <v>LUTRON</v>
      </c>
      <c r="T2674" s="10" t="str">
        <f t="shared" si="224"/>
        <v>BALASTRO T8 PARA TUBO U_BEND, 2 LÁMPARAS.</v>
      </c>
    </row>
    <row r="2675" spans="1:20" ht="27" customHeight="1" x14ac:dyDescent="0.25">
      <c r="A2675" s="8" t="s">
        <v>5672</v>
      </c>
      <c r="B2675" s="9" t="s">
        <v>5666</v>
      </c>
      <c r="C2675" s="9"/>
      <c r="D2675" s="8" t="s">
        <v>184</v>
      </c>
      <c r="E2675" s="8">
        <v>28</v>
      </c>
      <c r="F2675" s="8" t="s">
        <v>22</v>
      </c>
      <c r="G2675" s="10" t="s">
        <v>5691</v>
      </c>
      <c r="H2675" s="8" t="s">
        <v>5678</v>
      </c>
      <c r="I2675" s="10" t="s">
        <v>5695</v>
      </c>
      <c r="J2675" s="11" t="s">
        <v>26</v>
      </c>
      <c r="K2675" s="57">
        <v>57.5</v>
      </c>
      <c r="L2675" s="12">
        <f t="shared" si="226"/>
        <v>115</v>
      </c>
      <c r="M2675" s="8">
        <v>3</v>
      </c>
      <c r="N2675" s="8" t="s">
        <v>27</v>
      </c>
      <c r="O2675" s="13"/>
      <c r="P2675" s="14">
        <v>0.2</v>
      </c>
      <c r="Q2675" s="15">
        <v>0.4</v>
      </c>
      <c r="R2675" s="16" t="str">
        <f t="shared" si="225"/>
        <v>LUTRON</v>
      </c>
      <c r="S2675" s="17" t="str">
        <f t="shared" si="227"/>
        <v>LUTRON</v>
      </c>
      <c r="T2675" s="10" t="str">
        <f t="shared" si="224"/>
        <v>BALASTRO T8 PARA TUBO U_BEND, 2 LÁMPARAS.</v>
      </c>
    </row>
    <row r="2676" spans="1:20" ht="27" customHeight="1" x14ac:dyDescent="0.25">
      <c r="A2676" s="8" t="s">
        <v>5672</v>
      </c>
      <c r="B2676" s="9" t="s">
        <v>5666</v>
      </c>
      <c r="C2676" s="9"/>
      <c r="D2676" s="8" t="s">
        <v>184</v>
      </c>
      <c r="E2676" s="8">
        <v>29</v>
      </c>
      <c r="F2676" s="8" t="s">
        <v>22</v>
      </c>
      <c r="G2676" s="10" t="s">
        <v>5696</v>
      </c>
      <c r="H2676" s="8" t="s">
        <v>5697</v>
      </c>
      <c r="I2676" s="10" t="s">
        <v>5698</v>
      </c>
      <c r="J2676" s="11" t="s">
        <v>26</v>
      </c>
      <c r="K2676" s="57">
        <v>57.5</v>
      </c>
      <c r="L2676" s="12">
        <f t="shared" si="226"/>
        <v>115</v>
      </c>
      <c r="M2676" s="8">
        <v>3</v>
      </c>
      <c r="N2676" s="8" t="s">
        <v>27</v>
      </c>
      <c r="O2676" s="13"/>
      <c r="P2676" s="14">
        <v>0.2</v>
      </c>
      <c r="Q2676" s="15">
        <v>0.4</v>
      </c>
      <c r="R2676" s="16" t="str">
        <f t="shared" si="225"/>
        <v>LUTRON</v>
      </c>
      <c r="S2676" s="17" t="str">
        <f t="shared" si="227"/>
        <v>LUTRON</v>
      </c>
      <c r="T2676" s="10" t="str">
        <f t="shared" si="224"/>
        <v>BALASTRO T8 PARA TUBO U_BEND, DE DOS LÁMPARAS.</v>
      </c>
    </row>
    <row r="2677" spans="1:20" ht="27" customHeight="1" x14ac:dyDescent="0.25">
      <c r="A2677" s="8" t="s">
        <v>5672</v>
      </c>
      <c r="B2677" s="9" t="s">
        <v>5666</v>
      </c>
      <c r="C2677" s="9"/>
      <c r="D2677" s="8" t="s">
        <v>184</v>
      </c>
      <c r="E2677" s="8">
        <v>30</v>
      </c>
      <c r="F2677" s="8" t="s">
        <v>22</v>
      </c>
      <c r="G2677" s="10" t="s">
        <v>5696</v>
      </c>
      <c r="H2677" s="8" t="s">
        <v>5697</v>
      </c>
      <c r="I2677" s="10" t="s">
        <v>5698</v>
      </c>
      <c r="J2677" s="11" t="s">
        <v>26</v>
      </c>
      <c r="K2677" s="57">
        <v>57.5</v>
      </c>
      <c r="L2677" s="12">
        <f t="shared" si="226"/>
        <v>115</v>
      </c>
      <c r="M2677" s="8">
        <v>3</v>
      </c>
      <c r="N2677" s="8" t="s">
        <v>27</v>
      </c>
      <c r="O2677" s="13"/>
      <c r="P2677" s="14">
        <v>0.2</v>
      </c>
      <c r="Q2677" s="15">
        <v>0.4</v>
      </c>
      <c r="R2677" s="16" t="str">
        <f t="shared" si="225"/>
        <v>LUTRON</v>
      </c>
      <c r="S2677" s="17" t="str">
        <f t="shared" si="227"/>
        <v>LUTRON</v>
      </c>
      <c r="T2677" s="10" t="str">
        <f t="shared" ref="T2677:T2740" si="228">G2677</f>
        <v>BALASTRO T8 PARA TUBO U_BEND, DE DOS LÁMPARAS.</v>
      </c>
    </row>
    <row r="2678" spans="1:20" ht="27" customHeight="1" x14ac:dyDescent="0.25">
      <c r="A2678" s="8" t="s">
        <v>5672</v>
      </c>
      <c r="B2678" s="9" t="s">
        <v>5666</v>
      </c>
      <c r="C2678" s="9"/>
      <c r="D2678" s="8" t="s">
        <v>184</v>
      </c>
      <c r="E2678" s="8">
        <v>31</v>
      </c>
      <c r="F2678" s="8" t="s">
        <v>22</v>
      </c>
      <c r="G2678" s="10" t="s">
        <v>5696</v>
      </c>
      <c r="H2678" s="8" t="s">
        <v>5699</v>
      </c>
      <c r="I2678" s="10" t="s">
        <v>5698</v>
      </c>
      <c r="J2678" s="11" t="s">
        <v>26</v>
      </c>
      <c r="K2678" s="57">
        <v>57.5</v>
      </c>
      <c r="L2678" s="12">
        <f t="shared" si="226"/>
        <v>115</v>
      </c>
      <c r="M2678" s="8">
        <v>3</v>
      </c>
      <c r="N2678" s="8" t="s">
        <v>27</v>
      </c>
      <c r="O2678" s="13"/>
      <c r="P2678" s="14">
        <v>0.2</v>
      </c>
      <c r="Q2678" s="15">
        <v>0.4</v>
      </c>
      <c r="R2678" s="16" t="str">
        <f t="shared" si="225"/>
        <v>LUTRON</v>
      </c>
      <c r="S2678" s="17" t="str">
        <f t="shared" si="227"/>
        <v>LUTRON</v>
      </c>
      <c r="T2678" s="10" t="str">
        <f t="shared" si="228"/>
        <v>BALASTRO T8 PARA TUBO U_BEND, DE DOS LÁMPARAS.</v>
      </c>
    </row>
    <row r="2679" spans="1:20" ht="27" customHeight="1" x14ac:dyDescent="0.25">
      <c r="A2679" s="8" t="s">
        <v>5672</v>
      </c>
      <c r="B2679" s="9" t="s">
        <v>5666</v>
      </c>
      <c r="C2679" s="9"/>
      <c r="D2679" s="8" t="s">
        <v>184</v>
      </c>
      <c r="E2679" s="8">
        <v>32</v>
      </c>
      <c r="F2679" s="8" t="s">
        <v>22</v>
      </c>
      <c r="G2679" s="10" t="s">
        <v>5696</v>
      </c>
      <c r="H2679" s="8" t="s">
        <v>5697</v>
      </c>
      <c r="I2679" s="10" t="s">
        <v>5698</v>
      </c>
      <c r="J2679" s="11" t="s">
        <v>26</v>
      </c>
      <c r="K2679" s="57">
        <v>57.5</v>
      </c>
      <c r="L2679" s="12">
        <f t="shared" si="226"/>
        <v>115</v>
      </c>
      <c r="M2679" s="8">
        <v>3</v>
      </c>
      <c r="N2679" s="8" t="s">
        <v>27</v>
      </c>
      <c r="O2679" s="13"/>
      <c r="P2679" s="14">
        <v>0.2</v>
      </c>
      <c r="Q2679" s="15">
        <v>0.4</v>
      </c>
      <c r="R2679" s="16" t="str">
        <f t="shared" si="225"/>
        <v>LUTRON</v>
      </c>
      <c r="S2679" s="17" t="str">
        <f t="shared" si="227"/>
        <v>LUTRON</v>
      </c>
      <c r="T2679" s="10" t="str">
        <f t="shared" si="228"/>
        <v>BALASTRO T8 PARA TUBO U_BEND, DE DOS LÁMPARAS.</v>
      </c>
    </row>
    <row r="2680" spans="1:20" ht="27" customHeight="1" x14ac:dyDescent="0.25">
      <c r="A2680" s="8" t="s">
        <v>5672</v>
      </c>
      <c r="B2680" s="9" t="s">
        <v>5666</v>
      </c>
      <c r="C2680" s="9"/>
      <c r="D2680" s="8" t="s">
        <v>184</v>
      </c>
      <c r="E2680" s="8">
        <v>33</v>
      </c>
      <c r="F2680" s="8" t="s">
        <v>22</v>
      </c>
      <c r="G2680" s="10" t="s">
        <v>5696</v>
      </c>
      <c r="H2680" s="8" t="s">
        <v>5700</v>
      </c>
      <c r="I2680" s="10" t="s">
        <v>5701</v>
      </c>
      <c r="J2680" s="11" t="s">
        <v>26</v>
      </c>
      <c r="K2680" s="57">
        <v>57.5</v>
      </c>
      <c r="L2680" s="12">
        <f t="shared" si="226"/>
        <v>115</v>
      </c>
      <c r="M2680" s="8">
        <v>3</v>
      </c>
      <c r="N2680" s="8" t="s">
        <v>27</v>
      </c>
      <c r="O2680" s="13"/>
      <c r="P2680" s="14">
        <v>0.2</v>
      </c>
      <c r="Q2680" s="15">
        <v>0.4</v>
      </c>
      <c r="R2680" s="16" t="str">
        <f t="shared" si="225"/>
        <v>LUTRON</v>
      </c>
      <c r="S2680" s="17" t="str">
        <f t="shared" si="227"/>
        <v>LUTRON</v>
      </c>
      <c r="T2680" s="10" t="str">
        <f t="shared" si="228"/>
        <v>BALASTRO T8 PARA TUBO U_BEND, DE DOS LÁMPARAS.</v>
      </c>
    </row>
    <row r="2681" spans="1:20" ht="27" customHeight="1" x14ac:dyDescent="0.25">
      <c r="A2681" s="8" t="s">
        <v>5672</v>
      </c>
      <c r="B2681" s="9" t="s">
        <v>5666</v>
      </c>
      <c r="C2681" s="9"/>
      <c r="D2681" s="8" t="s">
        <v>184</v>
      </c>
      <c r="E2681" s="8">
        <v>34</v>
      </c>
      <c r="F2681" s="8" t="s">
        <v>22</v>
      </c>
      <c r="G2681" s="10" t="s">
        <v>5696</v>
      </c>
      <c r="H2681" s="8" t="s">
        <v>5700</v>
      </c>
      <c r="I2681" s="10" t="s">
        <v>5701</v>
      </c>
      <c r="J2681" s="11" t="s">
        <v>26</v>
      </c>
      <c r="K2681" s="57">
        <v>57.5</v>
      </c>
      <c r="L2681" s="12">
        <f t="shared" si="226"/>
        <v>115</v>
      </c>
      <c r="M2681" s="8">
        <v>3</v>
      </c>
      <c r="N2681" s="8" t="s">
        <v>27</v>
      </c>
      <c r="O2681" s="13"/>
      <c r="P2681" s="14">
        <v>0.2</v>
      </c>
      <c r="Q2681" s="15">
        <v>0.4</v>
      </c>
      <c r="R2681" s="16" t="str">
        <f t="shared" si="225"/>
        <v>LUTRON</v>
      </c>
      <c r="S2681" s="17" t="str">
        <f t="shared" si="227"/>
        <v>LUTRON</v>
      </c>
      <c r="T2681" s="10" t="str">
        <f t="shared" si="228"/>
        <v>BALASTRO T8 PARA TUBO U_BEND, DE DOS LÁMPARAS.</v>
      </c>
    </row>
    <row r="2682" spans="1:20" ht="27" customHeight="1" x14ac:dyDescent="0.25">
      <c r="A2682" s="8" t="s">
        <v>5672</v>
      </c>
      <c r="B2682" s="9" t="s">
        <v>5666</v>
      </c>
      <c r="C2682" s="9"/>
      <c r="D2682" s="8" t="s">
        <v>184</v>
      </c>
      <c r="E2682" s="8">
        <v>35</v>
      </c>
      <c r="F2682" s="8" t="s">
        <v>22</v>
      </c>
      <c r="G2682" s="10" t="s">
        <v>5696</v>
      </c>
      <c r="H2682" s="8" t="s">
        <v>5700</v>
      </c>
      <c r="I2682" s="10" t="s">
        <v>5701</v>
      </c>
      <c r="J2682" s="11" t="s">
        <v>26</v>
      </c>
      <c r="K2682" s="57">
        <v>57.5</v>
      </c>
      <c r="L2682" s="12">
        <f t="shared" si="226"/>
        <v>115</v>
      </c>
      <c r="M2682" s="8">
        <v>3</v>
      </c>
      <c r="N2682" s="8" t="s">
        <v>27</v>
      </c>
      <c r="O2682" s="13"/>
      <c r="P2682" s="14">
        <v>0.2</v>
      </c>
      <c r="Q2682" s="15">
        <v>0.4</v>
      </c>
      <c r="R2682" s="16" t="str">
        <f t="shared" si="225"/>
        <v>LUTRON</v>
      </c>
      <c r="S2682" s="17" t="str">
        <f t="shared" si="227"/>
        <v>LUTRON</v>
      </c>
      <c r="T2682" s="10" t="str">
        <f t="shared" si="228"/>
        <v>BALASTRO T8 PARA TUBO U_BEND, DE DOS LÁMPARAS.</v>
      </c>
    </row>
    <row r="2683" spans="1:20" ht="27" customHeight="1" x14ac:dyDescent="0.25">
      <c r="A2683" s="8" t="s">
        <v>5672</v>
      </c>
      <c r="B2683" s="9" t="s">
        <v>5666</v>
      </c>
      <c r="C2683" s="9"/>
      <c r="D2683" s="8" t="s">
        <v>184</v>
      </c>
      <c r="E2683" s="8">
        <v>36</v>
      </c>
      <c r="F2683" s="8" t="s">
        <v>22</v>
      </c>
      <c r="G2683" s="10" t="s">
        <v>5696</v>
      </c>
      <c r="H2683" s="8" t="s">
        <v>5702</v>
      </c>
      <c r="I2683" s="10" t="s">
        <v>5703</v>
      </c>
      <c r="J2683" s="11" t="s">
        <v>26</v>
      </c>
      <c r="K2683" s="57">
        <v>57.5</v>
      </c>
      <c r="L2683" s="12">
        <f t="shared" si="226"/>
        <v>115</v>
      </c>
      <c r="M2683" s="8">
        <v>3</v>
      </c>
      <c r="N2683" s="8" t="s">
        <v>27</v>
      </c>
      <c r="O2683" s="13"/>
      <c r="P2683" s="14">
        <v>0.2</v>
      </c>
      <c r="Q2683" s="15">
        <v>0.4</v>
      </c>
      <c r="R2683" s="16" t="str">
        <f t="shared" si="225"/>
        <v>LUTRON</v>
      </c>
      <c r="S2683" s="17" t="str">
        <f t="shared" si="227"/>
        <v>LUTRON</v>
      </c>
      <c r="T2683" s="10" t="str">
        <f t="shared" si="228"/>
        <v>BALASTRO T8 PARA TUBO U_BEND, DE DOS LÁMPARAS.</v>
      </c>
    </row>
    <row r="2684" spans="1:20" ht="27" customHeight="1" x14ac:dyDescent="0.25">
      <c r="A2684" s="8" t="s">
        <v>5672</v>
      </c>
      <c r="B2684" s="9" t="s">
        <v>5666</v>
      </c>
      <c r="C2684" s="9"/>
      <c r="D2684" s="8" t="s">
        <v>184</v>
      </c>
      <c r="E2684" s="8">
        <v>37</v>
      </c>
      <c r="F2684" s="8" t="s">
        <v>22</v>
      </c>
      <c r="G2684" s="10" t="s">
        <v>5696</v>
      </c>
      <c r="H2684" s="8" t="s">
        <v>5704</v>
      </c>
      <c r="I2684" s="10" t="s">
        <v>5703</v>
      </c>
      <c r="J2684" s="11" t="s">
        <v>26</v>
      </c>
      <c r="K2684" s="57">
        <v>57.5</v>
      </c>
      <c r="L2684" s="12">
        <f t="shared" si="226"/>
        <v>115</v>
      </c>
      <c r="M2684" s="8">
        <v>3</v>
      </c>
      <c r="N2684" s="8" t="s">
        <v>27</v>
      </c>
      <c r="O2684" s="13"/>
      <c r="P2684" s="14">
        <v>0.2</v>
      </c>
      <c r="Q2684" s="15">
        <v>0.4</v>
      </c>
      <c r="R2684" s="16" t="str">
        <f t="shared" si="225"/>
        <v>LUTRON</v>
      </c>
      <c r="S2684" s="17" t="str">
        <f t="shared" si="227"/>
        <v>LUTRON</v>
      </c>
      <c r="T2684" s="10" t="str">
        <f t="shared" si="228"/>
        <v>BALASTRO T8 PARA TUBO U_BEND, DE DOS LÁMPARAS.</v>
      </c>
    </row>
    <row r="2685" spans="1:20" ht="27" customHeight="1" x14ac:dyDescent="0.25">
      <c r="A2685" s="8" t="s">
        <v>5672</v>
      </c>
      <c r="B2685" s="9" t="s">
        <v>5666</v>
      </c>
      <c r="C2685" s="9"/>
      <c r="D2685" s="8" t="s">
        <v>184</v>
      </c>
      <c r="E2685" s="8">
        <v>38</v>
      </c>
      <c r="F2685" s="8" t="s">
        <v>22</v>
      </c>
      <c r="G2685" s="10" t="s">
        <v>5696</v>
      </c>
      <c r="H2685" s="8" t="s">
        <v>5702</v>
      </c>
      <c r="I2685" s="10" t="s">
        <v>5703</v>
      </c>
      <c r="J2685" s="11" t="s">
        <v>26</v>
      </c>
      <c r="K2685" s="57">
        <v>57.5</v>
      </c>
      <c r="L2685" s="12">
        <f t="shared" si="226"/>
        <v>115</v>
      </c>
      <c r="M2685" s="8">
        <v>3</v>
      </c>
      <c r="N2685" s="8" t="s">
        <v>27</v>
      </c>
      <c r="O2685" s="13"/>
      <c r="P2685" s="14">
        <v>0.2</v>
      </c>
      <c r="Q2685" s="15">
        <v>0.4</v>
      </c>
      <c r="R2685" s="16" t="str">
        <f t="shared" si="225"/>
        <v>LUTRON</v>
      </c>
      <c r="S2685" s="17" t="str">
        <f t="shared" si="227"/>
        <v>LUTRON</v>
      </c>
      <c r="T2685" s="10" t="str">
        <f t="shared" si="228"/>
        <v>BALASTRO T8 PARA TUBO U_BEND, DE DOS LÁMPARAS.</v>
      </c>
    </row>
    <row r="2686" spans="1:20" ht="27" customHeight="1" x14ac:dyDescent="0.25">
      <c r="A2686" s="8" t="s">
        <v>5672</v>
      </c>
      <c r="B2686" s="9" t="s">
        <v>5666</v>
      </c>
      <c r="C2686" s="9"/>
      <c r="D2686" s="8" t="s">
        <v>184</v>
      </c>
      <c r="E2686" s="8">
        <v>39</v>
      </c>
      <c r="F2686" s="8" t="s">
        <v>22</v>
      </c>
      <c r="G2686" s="10" t="s">
        <v>5696</v>
      </c>
      <c r="H2686" s="8" t="s">
        <v>5705</v>
      </c>
      <c r="I2686" s="10" t="s">
        <v>5706</v>
      </c>
      <c r="J2686" s="11" t="s">
        <v>26</v>
      </c>
      <c r="K2686" s="57">
        <v>57.5</v>
      </c>
      <c r="L2686" s="12">
        <f t="shared" si="226"/>
        <v>115</v>
      </c>
      <c r="M2686" s="8">
        <v>3</v>
      </c>
      <c r="N2686" s="8" t="s">
        <v>27</v>
      </c>
      <c r="O2686" s="13"/>
      <c r="P2686" s="14">
        <v>0.2</v>
      </c>
      <c r="Q2686" s="15">
        <v>0.4</v>
      </c>
      <c r="R2686" s="16" t="str">
        <f t="shared" si="225"/>
        <v>LUTRON</v>
      </c>
      <c r="S2686" s="17" t="str">
        <f t="shared" si="227"/>
        <v>LUTRON</v>
      </c>
      <c r="T2686" s="10" t="str">
        <f t="shared" si="228"/>
        <v>BALASTRO T8 PARA TUBO U_BEND, DE DOS LÁMPARAS.</v>
      </c>
    </row>
    <row r="2687" spans="1:20" ht="27" customHeight="1" x14ac:dyDescent="0.25">
      <c r="A2687" s="8" t="s">
        <v>5672</v>
      </c>
      <c r="B2687" s="9" t="s">
        <v>5666</v>
      </c>
      <c r="C2687" s="9"/>
      <c r="D2687" s="8" t="s">
        <v>184</v>
      </c>
      <c r="E2687" s="8">
        <v>40</v>
      </c>
      <c r="F2687" s="8" t="s">
        <v>22</v>
      </c>
      <c r="G2687" s="10" t="s">
        <v>5696</v>
      </c>
      <c r="H2687" s="8" t="s">
        <v>5705</v>
      </c>
      <c r="I2687" s="10" t="s">
        <v>5706</v>
      </c>
      <c r="J2687" s="11" t="s">
        <v>26</v>
      </c>
      <c r="K2687" s="57">
        <v>57.5</v>
      </c>
      <c r="L2687" s="12">
        <f t="shared" si="226"/>
        <v>115</v>
      </c>
      <c r="M2687" s="8">
        <v>3</v>
      </c>
      <c r="N2687" s="8" t="s">
        <v>27</v>
      </c>
      <c r="O2687" s="13"/>
      <c r="P2687" s="14">
        <v>0.2</v>
      </c>
      <c r="Q2687" s="15">
        <v>0.4</v>
      </c>
      <c r="R2687" s="16" t="str">
        <f t="shared" si="225"/>
        <v>LUTRON</v>
      </c>
      <c r="S2687" s="17" t="str">
        <f t="shared" si="227"/>
        <v>LUTRON</v>
      </c>
      <c r="T2687" s="10" t="str">
        <f t="shared" si="228"/>
        <v>BALASTRO T8 PARA TUBO U_BEND, DE DOS LÁMPARAS.</v>
      </c>
    </row>
    <row r="2688" spans="1:20" ht="27" customHeight="1" x14ac:dyDescent="0.25">
      <c r="A2688" s="8" t="s">
        <v>5672</v>
      </c>
      <c r="B2688" s="9" t="s">
        <v>5666</v>
      </c>
      <c r="C2688" s="9"/>
      <c r="D2688" s="8" t="s">
        <v>184</v>
      </c>
      <c r="E2688" s="8">
        <v>41</v>
      </c>
      <c r="F2688" s="8" t="s">
        <v>22</v>
      </c>
      <c r="G2688" s="10" t="s">
        <v>5696</v>
      </c>
      <c r="H2688" s="8" t="s">
        <v>5705</v>
      </c>
      <c r="I2688" s="10" t="s">
        <v>5706</v>
      </c>
      <c r="J2688" s="11" t="s">
        <v>26</v>
      </c>
      <c r="K2688" s="57">
        <v>57.5</v>
      </c>
      <c r="L2688" s="12">
        <f t="shared" si="226"/>
        <v>115</v>
      </c>
      <c r="M2688" s="8">
        <v>3</v>
      </c>
      <c r="N2688" s="8" t="s">
        <v>27</v>
      </c>
      <c r="O2688" s="13"/>
      <c r="P2688" s="14">
        <v>0.2</v>
      </c>
      <c r="Q2688" s="15">
        <v>0.4</v>
      </c>
      <c r="R2688" s="16" t="str">
        <f t="shared" si="225"/>
        <v>LUTRON</v>
      </c>
      <c r="S2688" s="17" t="str">
        <f t="shared" si="227"/>
        <v>LUTRON</v>
      </c>
      <c r="T2688" s="10" t="str">
        <f t="shared" si="228"/>
        <v>BALASTRO T8 PARA TUBO U_BEND, DE DOS LÁMPARAS.</v>
      </c>
    </row>
    <row r="2689" spans="1:20" ht="27" customHeight="1" x14ac:dyDescent="0.25">
      <c r="A2689" s="8" t="s">
        <v>5672</v>
      </c>
      <c r="B2689" s="9" t="s">
        <v>5666</v>
      </c>
      <c r="C2689" s="9"/>
      <c r="D2689" s="8" t="s">
        <v>184</v>
      </c>
      <c r="E2689" s="8">
        <v>42</v>
      </c>
      <c r="F2689" s="8" t="s">
        <v>22</v>
      </c>
      <c r="G2689" s="10" t="s">
        <v>5707</v>
      </c>
      <c r="H2689" s="8" t="s">
        <v>5708</v>
      </c>
      <c r="I2689" s="10" t="s">
        <v>5709</v>
      </c>
      <c r="J2689" s="11" t="s">
        <v>26</v>
      </c>
      <c r="K2689" s="57">
        <v>57.5</v>
      </c>
      <c r="L2689" s="12">
        <f t="shared" si="226"/>
        <v>115</v>
      </c>
      <c r="M2689" s="8">
        <v>3</v>
      </c>
      <c r="N2689" s="8" t="s">
        <v>27</v>
      </c>
      <c r="O2689" s="13"/>
      <c r="P2689" s="14">
        <v>0.2</v>
      </c>
      <c r="Q2689" s="15">
        <v>0.4</v>
      </c>
      <c r="R2689" s="16" t="str">
        <f t="shared" ref="R2689:R2752" si="229">A2689</f>
        <v>LUTRON</v>
      </c>
      <c r="S2689" s="17" t="str">
        <f t="shared" si="227"/>
        <v>LUTRON</v>
      </c>
      <c r="T2689" s="10" t="str">
        <f t="shared" si="228"/>
        <v>BALASTRO T8 PARA TUBO U_BEND,  DE TRES LÁMPARAS.</v>
      </c>
    </row>
    <row r="2690" spans="1:20" ht="27" customHeight="1" x14ac:dyDescent="0.25">
      <c r="A2690" s="8" t="s">
        <v>5672</v>
      </c>
      <c r="B2690" s="9" t="s">
        <v>5666</v>
      </c>
      <c r="C2690" s="9"/>
      <c r="D2690" s="8" t="s">
        <v>184</v>
      </c>
      <c r="E2690" s="8">
        <v>43</v>
      </c>
      <c r="F2690" s="8" t="s">
        <v>22</v>
      </c>
      <c r="G2690" s="10" t="s">
        <v>5707</v>
      </c>
      <c r="H2690" s="8" t="s">
        <v>5708</v>
      </c>
      <c r="I2690" s="10" t="s">
        <v>5709</v>
      </c>
      <c r="J2690" s="11" t="s">
        <v>26</v>
      </c>
      <c r="K2690" s="57">
        <v>57.5</v>
      </c>
      <c r="L2690" s="12">
        <f t="shared" si="226"/>
        <v>115</v>
      </c>
      <c r="M2690" s="8">
        <v>3</v>
      </c>
      <c r="N2690" s="8" t="s">
        <v>27</v>
      </c>
      <c r="O2690" s="13"/>
      <c r="P2690" s="14">
        <v>0.2</v>
      </c>
      <c r="Q2690" s="15">
        <v>0.4</v>
      </c>
      <c r="R2690" s="16" t="str">
        <f t="shared" si="229"/>
        <v>LUTRON</v>
      </c>
      <c r="S2690" s="17" t="str">
        <f t="shared" si="227"/>
        <v>LUTRON</v>
      </c>
      <c r="T2690" s="10" t="str">
        <f t="shared" si="228"/>
        <v>BALASTRO T8 PARA TUBO U_BEND,  DE TRES LÁMPARAS.</v>
      </c>
    </row>
    <row r="2691" spans="1:20" ht="27" customHeight="1" x14ac:dyDescent="0.25">
      <c r="A2691" s="8" t="s">
        <v>5672</v>
      </c>
      <c r="B2691" s="9" t="s">
        <v>5666</v>
      </c>
      <c r="C2691" s="9"/>
      <c r="D2691" s="8" t="s">
        <v>184</v>
      </c>
      <c r="E2691" s="8">
        <v>44</v>
      </c>
      <c r="F2691" s="8" t="s">
        <v>22</v>
      </c>
      <c r="G2691" s="10" t="s">
        <v>5707</v>
      </c>
      <c r="H2691" s="8" t="s">
        <v>5708</v>
      </c>
      <c r="I2691" s="10" t="s">
        <v>5709</v>
      </c>
      <c r="J2691" s="11" t="s">
        <v>26</v>
      </c>
      <c r="K2691" s="57">
        <v>57.5</v>
      </c>
      <c r="L2691" s="12">
        <f t="shared" si="226"/>
        <v>115</v>
      </c>
      <c r="M2691" s="8">
        <v>3</v>
      </c>
      <c r="N2691" s="8" t="s">
        <v>27</v>
      </c>
      <c r="O2691" s="13"/>
      <c r="P2691" s="14">
        <v>0.2</v>
      </c>
      <c r="Q2691" s="15">
        <v>0.4</v>
      </c>
      <c r="R2691" s="16" t="str">
        <f t="shared" si="229"/>
        <v>LUTRON</v>
      </c>
      <c r="S2691" s="17" t="str">
        <f t="shared" si="227"/>
        <v>LUTRON</v>
      </c>
      <c r="T2691" s="10" t="str">
        <f t="shared" si="228"/>
        <v>BALASTRO T8 PARA TUBO U_BEND,  DE TRES LÁMPARAS.</v>
      </c>
    </row>
    <row r="2692" spans="1:20" ht="27" customHeight="1" x14ac:dyDescent="0.25">
      <c r="A2692" s="8" t="s">
        <v>5672</v>
      </c>
      <c r="B2692" s="9" t="s">
        <v>5666</v>
      </c>
      <c r="C2692" s="9"/>
      <c r="D2692" s="8" t="s">
        <v>184</v>
      </c>
      <c r="E2692" s="8">
        <v>45</v>
      </c>
      <c r="F2692" s="8" t="s">
        <v>22</v>
      </c>
      <c r="G2692" s="10" t="s">
        <v>5707</v>
      </c>
      <c r="H2692" s="8" t="s">
        <v>5710</v>
      </c>
      <c r="I2692" s="10" t="s">
        <v>5711</v>
      </c>
      <c r="J2692" s="11" t="s">
        <v>26</v>
      </c>
      <c r="K2692" s="57">
        <v>57.5</v>
      </c>
      <c r="L2692" s="12">
        <f t="shared" si="226"/>
        <v>115</v>
      </c>
      <c r="M2692" s="8">
        <v>3</v>
      </c>
      <c r="N2692" s="8" t="s">
        <v>27</v>
      </c>
      <c r="O2692" s="13"/>
      <c r="P2692" s="14">
        <v>0.2</v>
      </c>
      <c r="Q2692" s="15">
        <v>0.4</v>
      </c>
      <c r="R2692" s="16" t="str">
        <f t="shared" si="229"/>
        <v>LUTRON</v>
      </c>
      <c r="S2692" s="17" t="str">
        <f t="shared" si="227"/>
        <v>LUTRON</v>
      </c>
      <c r="T2692" s="10" t="str">
        <f t="shared" si="228"/>
        <v>BALASTRO T8 PARA TUBO U_BEND,  DE TRES LÁMPARAS.</v>
      </c>
    </row>
    <row r="2693" spans="1:20" ht="27" customHeight="1" x14ac:dyDescent="0.25">
      <c r="A2693" s="8" t="s">
        <v>5672</v>
      </c>
      <c r="B2693" s="9" t="s">
        <v>5666</v>
      </c>
      <c r="C2693" s="9"/>
      <c r="D2693" s="8" t="s">
        <v>184</v>
      </c>
      <c r="E2693" s="8">
        <v>46</v>
      </c>
      <c r="F2693" s="8" t="s">
        <v>22</v>
      </c>
      <c r="G2693" s="10" t="s">
        <v>5707</v>
      </c>
      <c r="H2693" s="8" t="s">
        <v>5710</v>
      </c>
      <c r="I2693" s="10" t="s">
        <v>5711</v>
      </c>
      <c r="J2693" s="11" t="s">
        <v>26</v>
      </c>
      <c r="K2693" s="57">
        <v>57.5</v>
      </c>
      <c r="L2693" s="12">
        <f t="shared" si="226"/>
        <v>115</v>
      </c>
      <c r="M2693" s="8">
        <v>3</v>
      </c>
      <c r="N2693" s="8" t="s">
        <v>27</v>
      </c>
      <c r="O2693" s="13"/>
      <c r="P2693" s="14">
        <v>0.2</v>
      </c>
      <c r="Q2693" s="15">
        <v>0.4</v>
      </c>
      <c r="R2693" s="16" t="str">
        <f t="shared" si="229"/>
        <v>LUTRON</v>
      </c>
      <c r="S2693" s="17" t="str">
        <f t="shared" si="227"/>
        <v>LUTRON</v>
      </c>
      <c r="T2693" s="10" t="str">
        <f t="shared" si="228"/>
        <v>BALASTRO T8 PARA TUBO U_BEND,  DE TRES LÁMPARAS.</v>
      </c>
    </row>
    <row r="2694" spans="1:20" ht="27" customHeight="1" x14ac:dyDescent="0.25">
      <c r="A2694" s="8" t="s">
        <v>5672</v>
      </c>
      <c r="B2694" s="9" t="s">
        <v>5666</v>
      </c>
      <c r="C2694" s="9"/>
      <c r="D2694" s="8" t="s">
        <v>184</v>
      </c>
      <c r="E2694" s="8">
        <v>47</v>
      </c>
      <c r="F2694" s="8" t="s">
        <v>22</v>
      </c>
      <c r="G2694" s="10" t="s">
        <v>5707</v>
      </c>
      <c r="H2694" s="8" t="s">
        <v>5710</v>
      </c>
      <c r="I2694" s="10" t="s">
        <v>5711</v>
      </c>
      <c r="J2694" s="11" t="s">
        <v>26</v>
      </c>
      <c r="K2694" s="57">
        <v>57.5</v>
      </c>
      <c r="L2694" s="12">
        <f t="shared" si="226"/>
        <v>115</v>
      </c>
      <c r="M2694" s="8">
        <v>3</v>
      </c>
      <c r="N2694" s="8" t="s">
        <v>27</v>
      </c>
      <c r="O2694" s="13"/>
      <c r="P2694" s="14">
        <v>0.2</v>
      </c>
      <c r="Q2694" s="15">
        <v>0.4</v>
      </c>
      <c r="R2694" s="16" t="str">
        <f t="shared" si="229"/>
        <v>LUTRON</v>
      </c>
      <c r="S2694" s="17" t="str">
        <f t="shared" si="227"/>
        <v>LUTRON</v>
      </c>
      <c r="T2694" s="10" t="str">
        <f t="shared" si="228"/>
        <v>BALASTRO T8 PARA TUBO U_BEND,  DE TRES LÁMPARAS.</v>
      </c>
    </row>
    <row r="2695" spans="1:20" ht="27" customHeight="1" x14ac:dyDescent="0.25">
      <c r="A2695" s="8" t="s">
        <v>5672</v>
      </c>
      <c r="B2695" s="9" t="s">
        <v>5666</v>
      </c>
      <c r="C2695" s="9"/>
      <c r="D2695" s="8" t="s">
        <v>184</v>
      </c>
      <c r="E2695" s="8">
        <v>48</v>
      </c>
      <c r="F2695" s="8" t="s">
        <v>22</v>
      </c>
      <c r="G2695" s="10" t="s">
        <v>5707</v>
      </c>
      <c r="H2695" s="8" t="s">
        <v>5712</v>
      </c>
      <c r="I2695" s="10" t="s">
        <v>5713</v>
      </c>
      <c r="J2695" s="11" t="s">
        <v>26</v>
      </c>
      <c r="K2695" s="57">
        <v>57.5</v>
      </c>
      <c r="L2695" s="12">
        <f t="shared" si="226"/>
        <v>115</v>
      </c>
      <c r="M2695" s="8">
        <v>3</v>
      </c>
      <c r="N2695" s="8" t="s">
        <v>27</v>
      </c>
      <c r="O2695" s="13"/>
      <c r="P2695" s="14">
        <v>0.2</v>
      </c>
      <c r="Q2695" s="15">
        <v>0.4</v>
      </c>
      <c r="R2695" s="16" t="str">
        <f t="shared" si="229"/>
        <v>LUTRON</v>
      </c>
      <c r="S2695" s="17" t="str">
        <f t="shared" si="227"/>
        <v>LUTRON</v>
      </c>
      <c r="T2695" s="10" t="str">
        <f t="shared" si="228"/>
        <v>BALASTRO T8 PARA TUBO U_BEND,  DE TRES LÁMPARAS.</v>
      </c>
    </row>
    <row r="2696" spans="1:20" ht="27" customHeight="1" x14ac:dyDescent="0.25">
      <c r="A2696" s="8" t="s">
        <v>5672</v>
      </c>
      <c r="B2696" s="9" t="s">
        <v>5666</v>
      </c>
      <c r="C2696" s="9"/>
      <c r="D2696" s="8" t="s">
        <v>184</v>
      </c>
      <c r="E2696" s="8">
        <v>49</v>
      </c>
      <c r="F2696" s="8" t="s">
        <v>22</v>
      </c>
      <c r="G2696" s="10" t="s">
        <v>5707</v>
      </c>
      <c r="H2696" s="8" t="s">
        <v>5712</v>
      </c>
      <c r="I2696" s="10" t="s">
        <v>5713</v>
      </c>
      <c r="J2696" s="11" t="s">
        <v>26</v>
      </c>
      <c r="K2696" s="57">
        <v>57.5</v>
      </c>
      <c r="L2696" s="12">
        <f t="shared" si="226"/>
        <v>115</v>
      </c>
      <c r="M2696" s="8">
        <v>3</v>
      </c>
      <c r="N2696" s="8" t="s">
        <v>27</v>
      </c>
      <c r="O2696" s="13"/>
      <c r="P2696" s="14">
        <v>0.2</v>
      </c>
      <c r="Q2696" s="15">
        <v>0.4</v>
      </c>
      <c r="R2696" s="16" t="str">
        <f t="shared" si="229"/>
        <v>LUTRON</v>
      </c>
      <c r="S2696" s="17" t="str">
        <f t="shared" si="227"/>
        <v>LUTRON</v>
      </c>
      <c r="T2696" s="10" t="str">
        <f t="shared" si="228"/>
        <v>BALASTRO T8 PARA TUBO U_BEND,  DE TRES LÁMPARAS.</v>
      </c>
    </row>
    <row r="2697" spans="1:20" ht="27" customHeight="1" x14ac:dyDescent="0.25">
      <c r="A2697" s="8" t="s">
        <v>5672</v>
      </c>
      <c r="B2697" s="9" t="s">
        <v>5666</v>
      </c>
      <c r="C2697" s="9"/>
      <c r="D2697" s="8" t="s">
        <v>184</v>
      </c>
      <c r="E2697" s="8">
        <v>50</v>
      </c>
      <c r="F2697" s="8" t="s">
        <v>22</v>
      </c>
      <c r="G2697" s="10" t="s">
        <v>5707</v>
      </c>
      <c r="H2697" s="8" t="s">
        <v>5712</v>
      </c>
      <c r="I2697" s="10" t="s">
        <v>5713</v>
      </c>
      <c r="J2697" s="11" t="s">
        <v>26</v>
      </c>
      <c r="K2697" s="57">
        <v>57.5</v>
      </c>
      <c r="L2697" s="12">
        <f t="shared" si="226"/>
        <v>115</v>
      </c>
      <c r="M2697" s="8">
        <v>3</v>
      </c>
      <c r="N2697" s="8" t="s">
        <v>27</v>
      </c>
      <c r="O2697" s="13"/>
      <c r="P2697" s="14">
        <v>0.2</v>
      </c>
      <c r="Q2697" s="15">
        <v>0.4</v>
      </c>
      <c r="R2697" s="16" t="str">
        <f t="shared" si="229"/>
        <v>LUTRON</v>
      </c>
      <c r="S2697" s="17" t="str">
        <f t="shared" si="227"/>
        <v>LUTRON</v>
      </c>
      <c r="T2697" s="10" t="str">
        <f t="shared" si="228"/>
        <v>BALASTRO T8 PARA TUBO U_BEND,  DE TRES LÁMPARAS.</v>
      </c>
    </row>
    <row r="2698" spans="1:20" ht="27" customHeight="1" x14ac:dyDescent="0.25">
      <c r="A2698" s="8" t="s">
        <v>5672</v>
      </c>
      <c r="B2698" s="9" t="s">
        <v>5666</v>
      </c>
      <c r="C2698" s="9"/>
      <c r="D2698" s="8" t="s">
        <v>184</v>
      </c>
      <c r="E2698" s="8">
        <v>51</v>
      </c>
      <c r="F2698" s="8" t="s">
        <v>22</v>
      </c>
      <c r="G2698" s="10" t="s">
        <v>5707</v>
      </c>
      <c r="H2698" s="8" t="s">
        <v>5714</v>
      </c>
      <c r="I2698" s="10" t="s">
        <v>5715</v>
      </c>
      <c r="J2698" s="11" t="s">
        <v>26</v>
      </c>
      <c r="K2698" s="57">
        <v>57.5</v>
      </c>
      <c r="L2698" s="12">
        <f t="shared" si="226"/>
        <v>115</v>
      </c>
      <c r="M2698" s="8">
        <v>3</v>
      </c>
      <c r="N2698" s="8" t="s">
        <v>27</v>
      </c>
      <c r="O2698" s="13"/>
      <c r="P2698" s="14">
        <v>0.2</v>
      </c>
      <c r="Q2698" s="15">
        <v>0.4</v>
      </c>
      <c r="R2698" s="16" t="str">
        <f t="shared" si="229"/>
        <v>LUTRON</v>
      </c>
      <c r="S2698" s="17" t="str">
        <f t="shared" si="227"/>
        <v>LUTRON</v>
      </c>
      <c r="T2698" s="10" t="str">
        <f t="shared" si="228"/>
        <v>BALASTRO T8 PARA TUBO U_BEND,  DE TRES LÁMPARAS.</v>
      </c>
    </row>
    <row r="2699" spans="1:20" ht="27" customHeight="1" x14ac:dyDescent="0.25">
      <c r="A2699" s="8" t="s">
        <v>5672</v>
      </c>
      <c r="B2699" s="9" t="s">
        <v>5666</v>
      </c>
      <c r="C2699" s="9"/>
      <c r="D2699" s="8" t="s">
        <v>184</v>
      </c>
      <c r="E2699" s="8">
        <v>52</v>
      </c>
      <c r="F2699" s="8" t="s">
        <v>22</v>
      </c>
      <c r="G2699" s="10" t="s">
        <v>5707</v>
      </c>
      <c r="H2699" s="8" t="s">
        <v>5714</v>
      </c>
      <c r="I2699" s="10" t="s">
        <v>5715</v>
      </c>
      <c r="J2699" s="11" t="s">
        <v>26</v>
      </c>
      <c r="K2699" s="57">
        <v>57.5</v>
      </c>
      <c r="L2699" s="12">
        <f t="shared" si="226"/>
        <v>115</v>
      </c>
      <c r="M2699" s="8">
        <v>3</v>
      </c>
      <c r="N2699" s="8" t="s">
        <v>27</v>
      </c>
      <c r="O2699" s="13"/>
      <c r="P2699" s="14">
        <v>0.2</v>
      </c>
      <c r="Q2699" s="15">
        <v>0.4</v>
      </c>
      <c r="R2699" s="16" t="str">
        <f t="shared" si="229"/>
        <v>LUTRON</v>
      </c>
      <c r="S2699" s="17" t="str">
        <f t="shared" si="227"/>
        <v>LUTRON</v>
      </c>
      <c r="T2699" s="10" t="str">
        <f t="shared" si="228"/>
        <v>BALASTRO T8 PARA TUBO U_BEND,  DE TRES LÁMPARAS.</v>
      </c>
    </row>
    <row r="2700" spans="1:20" ht="27" customHeight="1" x14ac:dyDescent="0.25">
      <c r="A2700" s="8" t="s">
        <v>5672</v>
      </c>
      <c r="B2700" s="9" t="s">
        <v>5666</v>
      </c>
      <c r="C2700" s="9"/>
      <c r="D2700" s="8" t="s">
        <v>184</v>
      </c>
      <c r="E2700" s="8">
        <v>53</v>
      </c>
      <c r="F2700" s="8" t="s">
        <v>22</v>
      </c>
      <c r="G2700" s="10" t="s">
        <v>5707</v>
      </c>
      <c r="H2700" s="8" t="s">
        <v>5714</v>
      </c>
      <c r="I2700" s="10" t="s">
        <v>5715</v>
      </c>
      <c r="J2700" s="11" t="s">
        <v>26</v>
      </c>
      <c r="K2700" s="57">
        <v>57.5</v>
      </c>
      <c r="L2700" s="12">
        <f t="shared" si="226"/>
        <v>115</v>
      </c>
      <c r="M2700" s="8">
        <v>3</v>
      </c>
      <c r="N2700" s="8" t="s">
        <v>27</v>
      </c>
      <c r="O2700" s="13"/>
      <c r="P2700" s="14">
        <v>0.2</v>
      </c>
      <c r="Q2700" s="15">
        <v>0.4</v>
      </c>
      <c r="R2700" s="16" t="str">
        <f t="shared" si="229"/>
        <v>LUTRON</v>
      </c>
      <c r="S2700" s="17" t="str">
        <f t="shared" si="227"/>
        <v>LUTRON</v>
      </c>
      <c r="T2700" s="10" t="str">
        <f t="shared" si="228"/>
        <v>BALASTRO T8 PARA TUBO U_BEND,  DE TRES LÁMPARAS.</v>
      </c>
    </row>
    <row r="2701" spans="1:20" ht="27" customHeight="1" x14ac:dyDescent="0.25">
      <c r="A2701" s="8" t="s">
        <v>5672</v>
      </c>
      <c r="B2701" s="9" t="s">
        <v>5666</v>
      </c>
      <c r="C2701" s="9"/>
      <c r="D2701" s="8" t="s">
        <v>184</v>
      </c>
      <c r="E2701" s="8">
        <v>54</v>
      </c>
      <c r="F2701" s="8" t="s">
        <v>22</v>
      </c>
      <c r="G2701" s="10" t="s">
        <v>5716</v>
      </c>
      <c r="H2701" s="8" t="s">
        <v>5717</v>
      </c>
      <c r="I2701" s="10" t="s">
        <v>5716</v>
      </c>
      <c r="J2701" s="11" t="s">
        <v>26</v>
      </c>
      <c r="K2701" s="57">
        <v>57.5</v>
      </c>
      <c r="L2701" s="12">
        <f t="shared" si="226"/>
        <v>115</v>
      </c>
      <c r="M2701" s="8">
        <v>3</v>
      </c>
      <c r="N2701" s="8" t="s">
        <v>27</v>
      </c>
      <c r="O2701" s="13"/>
      <c r="P2701" s="14">
        <v>0.2</v>
      </c>
      <c r="Q2701" s="15">
        <v>0.4</v>
      </c>
      <c r="R2701" s="16" t="str">
        <f t="shared" si="229"/>
        <v>LUTRON</v>
      </c>
      <c r="S2701" s="17" t="str">
        <f t="shared" si="227"/>
        <v>LUTRON</v>
      </c>
      <c r="T2701" s="10" t="str">
        <f t="shared" si="228"/>
        <v>BALASTRO T5 LINEAL, DE UNA LÁMPARA, ATENUACIÓN AL 1%, FACTOR DE BALASTRO  DE 1.0</v>
      </c>
    </row>
    <row r="2702" spans="1:20" ht="27" customHeight="1" x14ac:dyDescent="0.25">
      <c r="A2702" s="8" t="s">
        <v>5672</v>
      </c>
      <c r="B2702" s="9" t="s">
        <v>5666</v>
      </c>
      <c r="C2702" s="9"/>
      <c r="D2702" s="8" t="s">
        <v>184</v>
      </c>
      <c r="E2702" s="8">
        <v>55</v>
      </c>
      <c r="F2702" s="8" t="s">
        <v>22</v>
      </c>
      <c r="G2702" s="10" t="s">
        <v>5716</v>
      </c>
      <c r="H2702" s="8" t="s">
        <v>5717</v>
      </c>
      <c r="I2702" s="10" t="s">
        <v>5716</v>
      </c>
      <c r="J2702" s="11" t="s">
        <v>26</v>
      </c>
      <c r="K2702" s="57">
        <v>57.5</v>
      </c>
      <c r="L2702" s="12">
        <f t="shared" si="226"/>
        <v>115</v>
      </c>
      <c r="M2702" s="8">
        <v>3</v>
      </c>
      <c r="N2702" s="8" t="s">
        <v>27</v>
      </c>
      <c r="O2702" s="13"/>
      <c r="P2702" s="14">
        <v>0.2</v>
      </c>
      <c r="Q2702" s="15">
        <v>0.4</v>
      </c>
      <c r="R2702" s="16" t="str">
        <f t="shared" si="229"/>
        <v>LUTRON</v>
      </c>
      <c r="S2702" s="17" t="str">
        <f t="shared" si="227"/>
        <v>LUTRON</v>
      </c>
      <c r="T2702" s="10" t="str">
        <f t="shared" si="228"/>
        <v>BALASTRO T5 LINEAL, DE UNA LÁMPARA, ATENUACIÓN AL 1%, FACTOR DE BALASTRO  DE 1.0</v>
      </c>
    </row>
    <row r="2703" spans="1:20" ht="27" customHeight="1" x14ac:dyDescent="0.25">
      <c r="A2703" s="8" t="s">
        <v>5672</v>
      </c>
      <c r="B2703" s="9" t="s">
        <v>5666</v>
      </c>
      <c r="C2703" s="9"/>
      <c r="D2703" s="8" t="s">
        <v>184</v>
      </c>
      <c r="E2703" s="8">
        <v>56</v>
      </c>
      <c r="F2703" s="8" t="s">
        <v>22</v>
      </c>
      <c r="G2703" s="10" t="s">
        <v>5716</v>
      </c>
      <c r="H2703" s="8" t="s">
        <v>5717</v>
      </c>
      <c r="I2703" s="10" t="s">
        <v>5716</v>
      </c>
      <c r="J2703" s="11" t="s">
        <v>26</v>
      </c>
      <c r="K2703" s="57">
        <v>57.5</v>
      </c>
      <c r="L2703" s="12">
        <f t="shared" si="226"/>
        <v>115</v>
      </c>
      <c r="M2703" s="8">
        <v>3</v>
      </c>
      <c r="N2703" s="8" t="s">
        <v>27</v>
      </c>
      <c r="O2703" s="13"/>
      <c r="P2703" s="14">
        <v>0.2</v>
      </c>
      <c r="Q2703" s="15">
        <v>0.4</v>
      </c>
      <c r="R2703" s="16" t="str">
        <f t="shared" si="229"/>
        <v>LUTRON</v>
      </c>
      <c r="S2703" s="17" t="str">
        <f t="shared" si="227"/>
        <v>LUTRON</v>
      </c>
      <c r="T2703" s="10" t="str">
        <f t="shared" si="228"/>
        <v>BALASTRO T5 LINEAL, DE UNA LÁMPARA, ATENUACIÓN AL 1%, FACTOR DE BALASTRO  DE 1.0</v>
      </c>
    </row>
    <row r="2704" spans="1:20" ht="27" customHeight="1" x14ac:dyDescent="0.25">
      <c r="A2704" s="8" t="s">
        <v>5672</v>
      </c>
      <c r="B2704" s="9" t="s">
        <v>5666</v>
      </c>
      <c r="C2704" s="9"/>
      <c r="D2704" s="8" t="s">
        <v>184</v>
      </c>
      <c r="E2704" s="8">
        <v>57</v>
      </c>
      <c r="F2704" s="8" t="s">
        <v>22</v>
      </c>
      <c r="G2704" s="10" t="s">
        <v>5716</v>
      </c>
      <c r="H2704" s="8" t="s">
        <v>5718</v>
      </c>
      <c r="I2704" s="10" t="s">
        <v>5716</v>
      </c>
      <c r="J2704" s="11" t="s">
        <v>26</v>
      </c>
      <c r="K2704" s="57">
        <v>57.5</v>
      </c>
      <c r="L2704" s="12">
        <f t="shared" si="226"/>
        <v>115</v>
      </c>
      <c r="M2704" s="8">
        <v>3</v>
      </c>
      <c r="N2704" s="8" t="s">
        <v>27</v>
      </c>
      <c r="O2704" s="13"/>
      <c r="P2704" s="14">
        <v>0.2</v>
      </c>
      <c r="Q2704" s="15">
        <v>0.4</v>
      </c>
      <c r="R2704" s="16" t="str">
        <f t="shared" si="229"/>
        <v>LUTRON</v>
      </c>
      <c r="S2704" s="17" t="str">
        <f t="shared" si="227"/>
        <v>LUTRON</v>
      </c>
      <c r="T2704" s="10" t="str">
        <f t="shared" si="228"/>
        <v>BALASTRO T5 LINEAL, DE UNA LÁMPARA, ATENUACIÓN AL 1%, FACTOR DE BALASTRO  DE 1.0</v>
      </c>
    </row>
    <row r="2705" spans="1:20" ht="27" customHeight="1" x14ac:dyDescent="0.25">
      <c r="A2705" s="8" t="s">
        <v>5672</v>
      </c>
      <c r="B2705" s="9" t="s">
        <v>5666</v>
      </c>
      <c r="C2705" s="9"/>
      <c r="D2705" s="8" t="s">
        <v>184</v>
      </c>
      <c r="E2705" s="8">
        <v>58</v>
      </c>
      <c r="F2705" s="8" t="s">
        <v>22</v>
      </c>
      <c r="G2705" s="10" t="s">
        <v>5716</v>
      </c>
      <c r="H2705" s="8" t="s">
        <v>5718</v>
      </c>
      <c r="I2705" s="10" t="s">
        <v>5716</v>
      </c>
      <c r="J2705" s="11" t="s">
        <v>26</v>
      </c>
      <c r="K2705" s="57">
        <v>57.5</v>
      </c>
      <c r="L2705" s="12">
        <f t="shared" si="226"/>
        <v>115</v>
      </c>
      <c r="M2705" s="8">
        <v>3</v>
      </c>
      <c r="N2705" s="8" t="s">
        <v>27</v>
      </c>
      <c r="O2705" s="13"/>
      <c r="P2705" s="14">
        <v>0.2</v>
      </c>
      <c r="Q2705" s="15">
        <v>0.4</v>
      </c>
      <c r="R2705" s="16" t="str">
        <f t="shared" si="229"/>
        <v>LUTRON</v>
      </c>
      <c r="S2705" s="17" t="str">
        <f t="shared" si="227"/>
        <v>LUTRON</v>
      </c>
      <c r="T2705" s="10" t="str">
        <f t="shared" si="228"/>
        <v>BALASTRO T5 LINEAL, DE UNA LÁMPARA, ATENUACIÓN AL 1%, FACTOR DE BALASTRO  DE 1.0</v>
      </c>
    </row>
    <row r="2706" spans="1:20" ht="27" customHeight="1" x14ac:dyDescent="0.25">
      <c r="A2706" s="8" t="s">
        <v>5672</v>
      </c>
      <c r="B2706" s="9" t="s">
        <v>5666</v>
      </c>
      <c r="C2706" s="9"/>
      <c r="D2706" s="8" t="s">
        <v>184</v>
      </c>
      <c r="E2706" s="8">
        <v>59</v>
      </c>
      <c r="F2706" s="8" t="s">
        <v>22</v>
      </c>
      <c r="G2706" s="10" t="s">
        <v>5716</v>
      </c>
      <c r="H2706" s="8" t="s">
        <v>5718</v>
      </c>
      <c r="I2706" s="10" t="s">
        <v>5716</v>
      </c>
      <c r="J2706" s="11" t="s">
        <v>26</v>
      </c>
      <c r="K2706" s="57">
        <v>57.5</v>
      </c>
      <c r="L2706" s="12">
        <f t="shared" si="226"/>
        <v>115</v>
      </c>
      <c r="M2706" s="8">
        <v>3</v>
      </c>
      <c r="N2706" s="8" t="s">
        <v>27</v>
      </c>
      <c r="O2706" s="13"/>
      <c r="P2706" s="14">
        <v>0.2</v>
      </c>
      <c r="Q2706" s="15">
        <v>0.4</v>
      </c>
      <c r="R2706" s="16" t="str">
        <f t="shared" si="229"/>
        <v>LUTRON</v>
      </c>
      <c r="S2706" s="17" t="str">
        <f t="shared" si="227"/>
        <v>LUTRON</v>
      </c>
      <c r="T2706" s="10" t="str">
        <f t="shared" si="228"/>
        <v>BALASTRO T5 LINEAL, DE UNA LÁMPARA, ATENUACIÓN AL 1%, FACTOR DE BALASTRO  DE 1.0</v>
      </c>
    </row>
    <row r="2707" spans="1:20" ht="27" customHeight="1" x14ac:dyDescent="0.25">
      <c r="A2707" s="8" t="s">
        <v>5672</v>
      </c>
      <c r="B2707" s="9" t="s">
        <v>5666</v>
      </c>
      <c r="C2707" s="9"/>
      <c r="D2707" s="8" t="s">
        <v>184</v>
      </c>
      <c r="E2707" s="8">
        <v>60</v>
      </c>
      <c r="F2707" s="8" t="s">
        <v>22</v>
      </c>
      <c r="G2707" s="10" t="s">
        <v>5716</v>
      </c>
      <c r="H2707" s="8" t="s">
        <v>5719</v>
      </c>
      <c r="I2707" s="10" t="s">
        <v>5716</v>
      </c>
      <c r="J2707" s="11" t="s">
        <v>26</v>
      </c>
      <c r="K2707" s="57">
        <v>57.5</v>
      </c>
      <c r="L2707" s="12">
        <f t="shared" si="226"/>
        <v>115</v>
      </c>
      <c r="M2707" s="8">
        <v>3</v>
      </c>
      <c r="N2707" s="8" t="s">
        <v>27</v>
      </c>
      <c r="O2707" s="13"/>
      <c r="P2707" s="14">
        <v>0.2</v>
      </c>
      <c r="Q2707" s="15">
        <v>0.4</v>
      </c>
      <c r="R2707" s="16" t="str">
        <f t="shared" si="229"/>
        <v>LUTRON</v>
      </c>
      <c r="S2707" s="17" t="str">
        <f t="shared" si="227"/>
        <v>LUTRON</v>
      </c>
      <c r="T2707" s="10" t="str">
        <f t="shared" si="228"/>
        <v>BALASTRO T5 LINEAL, DE UNA LÁMPARA, ATENUACIÓN AL 1%, FACTOR DE BALASTRO  DE 1.0</v>
      </c>
    </row>
    <row r="2708" spans="1:20" ht="27" customHeight="1" x14ac:dyDescent="0.25">
      <c r="A2708" s="8" t="s">
        <v>5672</v>
      </c>
      <c r="B2708" s="9" t="s">
        <v>5666</v>
      </c>
      <c r="C2708" s="9"/>
      <c r="D2708" s="8" t="s">
        <v>184</v>
      </c>
      <c r="E2708" s="8">
        <v>61</v>
      </c>
      <c r="F2708" s="8" t="s">
        <v>22</v>
      </c>
      <c r="G2708" s="10" t="s">
        <v>5716</v>
      </c>
      <c r="H2708" s="8" t="s">
        <v>5719</v>
      </c>
      <c r="I2708" s="10" t="s">
        <v>5716</v>
      </c>
      <c r="J2708" s="11" t="s">
        <v>26</v>
      </c>
      <c r="K2708" s="57">
        <v>57.5</v>
      </c>
      <c r="L2708" s="12">
        <f t="shared" si="226"/>
        <v>115</v>
      </c>
      <c r="M2708" s="8">
        <v>3</v>
      </c>
      <c r="N2708" s="8" t="s">
        <v>27</v>
      </c>
      <c r="O2708" s="13"/>
      <c r="P2708" s="14">
        <v>0.2</v>
      </c>
      <c r="Q2708" s="15">
        <v>0.4</v>
      </c>
      <c r="R2708" s="16" t="str">
        <f t="shared" si="229"/>
        <v>LUTRON</v>
      </c>
      <c r="S2708" s="17" t="str">
        <f t="shared" si="227"/>
        <v>LUTRON</v>
      </c>
      <c r="T2708" s="10" t="str">
        <f t="shared" si="228"/>
        <v>BALASTRO T5 LINEAL, DE UNA LÁMPARA, ATENUACIÓN AL 1%, FACTOR DE BALASTRO  DE 1.0</v>
      </c>
    </row>
    <row r="2709" spans="1:20" ht="27" customHeight="1" x14ac:dyDescent="0.25">
      <c r="A2709" s="8" t="s">
        <v>5672</v>
      </c>
      <c r="B2709" s="9" t="s">
        <v>5666</v>
      </c>
      <c r="C2709" s="9"/>
      <c r="D2709" s="8" t="s">
        <v>184</v>
      </c>
      <c r="E2709" s="8">
        <v>62</v>
      </c>
      <c r="F2709" s="8" t="s">
        <v>22</v>
      </c>
      <c r="G2709" s="10" t="s">
        <v>5716</v>
      </c>
      <c r="H2709" s="8" t="s">
        <v>5719</v>
      </c>
      <c r="I2709" s="10" t="s">
        <v>5716</v>
      </c>
      <c r="J2709" s="11" t="s">
        <v>26</v>
      </c>
      <c r="K2709" s="57">
        <v>57.5</v>
      </c>
      <c r="L2709" s="12">
        <f t="shared" si="226"/>
        <v>115</v>
      </c>
      <c r="M2709" s="8">
        <v>3</v>
      </c>
      <c r="N2709" s="8" t="s">
        <v>27</v>
      </c>
      <c r="O2709" s="13"/>
      <c r="P2709" s="14">
        <v>0.2</v>
      </c>
      <c r="Q2709" s="15">
        <v>0.4</v>
      </c>
      <c r="R2709" s="16" t="str">
        <f t="shared" si="229"/>
        <v>LUTRON</v>
      </c>
      <c r="S2709" s="17" t="str">
        <f t="shared" si="227"/>
        <v>LUTRON</v>
      </c>
      <c r="T2709" s="10" t="str">
        <f t="shared" si="228"/>
        <v>BALASTRO T5 LINEAL, DE UNA LÁMPARA, ATENUACIÓN AL 1%, FACTOR DE BALASTRO  DE 1.0</v>
      </c>
    </row>
    <row r="2710" spans="1:20" ht="27" customHeight="1" x14ac:dyDescent="0.25">
      <c r="A2710" s="8" t="s">
        <v>5672</v>
      </c>
      <c r="B2710" s="9" t="s">
        <v>5666</v>
      </c>
      <c r="C2710" s="9"/>
      <c r="D2710" s="8" t="s">
        <v>184</v>
      </c>
      <c r="E2710" s="8">
        <v>63</v>
      </c>
      <c r="F2710" s="8" t="s">
        <v>22</v>
      </c>
      <c r="G2710" s="10" t="s">
        <v>5716</v>
      </c>
      <c r="H2710" s="8" t="s">
        <v>5720</v>
      </c>
      <c r="I2710" s="10" t="s">
        <v>5716</v>
      </c>
      <c r="J2710" s="11" t="s">
        <v>26</v>
      </c>
      <c r="K2710" s="57">
        <v>57.5</v>
      </c>
      <c r="L2710" s="12">
        <f t="shared" si="226"/>
        <v>115</v>
      </c>
      <c r="M2710" s="8">
        <v>3</v>
      </c>
      <c r="N2710" s="8" t="s">
        <v>27</v>
      </c>
      <c r="O2710" s="13"/>
      <c r="P2710" s="14">
        <v>0.2</v>
      </c>
      <c r="Q2710" s="15">
        <v>0.4</v>
      </c>
      <c r="R2710" s="16" t="str">
        <f t="shared" si="229"/>
        <v>LUTRON</v>
      </c>
      <c r="S2710" s="17" t="str">
        <f t="shared" si="227"/>
        <v>LUTRON</v>
      </c>
      <c r="T2710" s="10" t="str">
        <f t="shared" si="228"/>
        <v>BALASTRO T5 LINEAL, DE UNA LÁMPARA, ATENUACIÓN AL 1%, FACTOR DE BALASTRO  DE 1.0</v>
      </c>
    </row>
    <row r="2711" spans="1:20" ht="27" customHeight="1" x14ac:dyDescent="0.25">
      <c r="A2711" s="8" t="s">
        <v>5672</v>
      </c>
      <c r="B2711" s="9" t="s">
        <v>5666</v>
      </c>
      <c r="C2711" s="9"/>
      <c r="D2711" s="8" t="s">
        <v>184</v>
      </c>
      <c r="E2711" s="8">
        <v>64</v>
      </c>
      <c r="F2711" s="8" t="s">
        <v>22</v>
      </c>
      <c r="G2711" s="10" t="s">
        <v>5721</v>
      </c>
      <c r="H2711" s="8" t="s">
        <v>5722</v>
      </c>
      <c r="I2711" s="10" t="s">
        <v>5723</v>
      </c>
      <c r="J2711" s="11" t="s">
        <v>26</v>
      </c>
      <c r="K2711" s="57">
        <v>57.5</v>
      </c>
      <c r="L2711" s="12">
        <f t="shared" si="226"/>
        <v>115</v>
      </c>
      <c r="M2711" s="8">
        <v>3</v>
      </c>
      <c r="N2711" s="8" t="s">
        <v>27</v>
      </c>
      <c r="O2711" s="13"/>
      <c r="P2711" s="14">
        <v>0.2</v>
      </c>
      <c r="Q2711" s="15">
        <v>0.4</v>
      </c>
      <c r="R2711" s="16" t="str">
        <f t="shared" si="229"/>
        <v>LUTRON</v>
      </c>
      <c r="S2711" s="17" t="str">
        <f t="shared" si="227"/>
        <v>LUTRON</v>
      </c>
      <c r="T2711" s="10" t="str">
        <f t="shared" si="228"/>
        <v>BALASTRO T5 LINEAL, DE UNA LÁMPARA.</v>
      </c>
    </row>
    <row r="2712" spans="1:20" ht="27" customHeight="1" x14ac:dyDescent="0.25">
      <c r="A2712" s="8" t="s">
        <v>5672</v>
      </c>
      <c r="B2712" s="9" t="s">
        <v>5666</v>
      </c>
      <c r="C2712" s="9"/>
      <c r="D2712" s="8" t="s">
        <v>184</v>
      </c>
      <c r="E2712" s="8">
        <v>65</v>
      </c>
      <c r="F2712" s="8" t="s">
        <v>22</v>
      </c>
      <c r="G2712" s="10" t="s">
        <v>5721</v>
      </c>
      <c r="H2712" s="8" t="s">
        <v>5724</v>
      </c>
      <c r="I2712" s="10" t="s">
        <v>5723</v>
      </c>
      <c r="J2712" s="11" t="s">
        <v>26</v>
      </c>
      <c r="K2712" s="57">
        <v>57.5</v>
      </c>
      <c r="L2712" s="12">
        <f t="shared" ref="L2712:L2775" si="230">ROUNDUP(K2712*(1+P2712)/(1-Q2712),0)</f>
        <v>115</v>
      </c>
      <c r="M2712" s="8">
        <v>3</v>
      </c>
      <c r="N2712" s="8" t="s">
        <v>27</v>
      </c>
      <c r="O2712" s="13"/>
      <c r="P2712" s="14">
        <v>0.2</v>
      </c>
      <c r="Q2712" s="15">
        <v>0.4</v>
      </c>
      <c r="R2712" s="16" t="str">
        <f t="shared" si="229"/>
        <v>LUTRON</v>
      </c>
      <c r="S2712" s="17" t="str">
        <f t="shared" ref="S2712:S2775" si="231">A2712</f>
        <v>LUTRON</v>
      </c>
      <c r="T2712" s="10" t="str">
        <f t="shared" si="228"/>
        <v>BALASTRO T5 LINEAL, DE UNA LÁMPARA.</v>
      </c>
    </row>
    <row r="2713" spans="1:20" ht="27" customHeight="1" x14ac:dyDescent="0.25">
      <c r="A2713" s="8" t="s">
        <v>5672</v>
      </c>
      <c r="B2713" s="9" t="s">
        <v>5666</v>
      </c>
      <c r="C2713" s="9"/>
      <c r="D2713" s="8" t="s">
        <v>184</v>
      </c>
      <c r="E2713" s="8">
        <v>66</v>
      </c>
      <c r="F2713" s="8" t="s">
        <v>22</v>
      </c>
      <c r="G2713" s="10" t="s">
        <v>5721</v>
      </c>
      <c r="H2713" s="8" t="s">
        <v>5725</v>
      </c>
      <c r="I2713" s="10" t="s">
        <v>5726</v>
      </c>
      <c r="J2713" s="11" t="s">
        <v>26</v>
      </c>
      <c r="K2713" s="57">
        <v>57.5</v>
      </c>
      <c r="L2713" s="12">
        <f t="shared" si="230"/>
        <v>115</v>
      </c>
      <c r="M2713" s="8">
        <v>3</v>
      </c>
      <c r="N2713" s="8" t="s">
        <v>27</v>
      </c>
      <c r="O2713" s="13"/>
      <c r="P2713" s="14">
        <v>0.2</v>
      </c>
      <c r="Q2713" s="15">
        <v>0.4</v>
      </c>
      <c r="R2713" s="16" t="str">
        <f t="shared" si="229"/>
        <v>LUTRON</v>
      </c>
      <c r="S2713" s="17" t="str">
        <f t="shared" si="231"/>
        <v>LUTRON</v>
      </c>
      <c r="T2713" s="10" t="str">
        <f t="shared" si="228"/>
        <v>BALASTRO T5 LINEAL, DE UNA LÁMPARA.</v>
      </c>
    </row>
    <row r="2714" spans="1:20" ht="27" customHeight="1" x14ac:dyDescent="0.25">
      <c r="A2714" s="8" t="s">
        <v>5672</v>
      </c>
      <c r="B2714" s="9" t="s">
        <v>5666</v>
      </c>
      <c r="C2714" s="9"/>
      <c r="D2714" s="8" t="s">
        <v>184</v>
      </c>
      <c r="E2714" s="8">
        <v>67</v>
      </c>
      <c r="F2714" s="8" t="s">
        <v>22</v>
      </c>
      <c r="G2714" s="10" t="s">
        <v>5721</v>
      </c>
      <c r="H2714" s="8" t="s">
        <v>5727</v>
      </c>
      <c r="I2714" s="10" t="s">
        <v>5726</v>
      </c>
      <c r="J2714" s="11" t="s">
        <v>26</v>
      </c>
      <c r="K2714" s="57">
        <v>57.5</v>
      </c>
      <c r="L2714" s="12">
        <f t="shared" si="230"/>
        <v>115</v>
      </c>
      <c r="M2714" s="8">
        <v>3</v>
      </c>
      <c r="N2714" s="8" t="s">
        <v>27</v>
      </c>
      <c r="O2714" s="13"/>
      <c r="P2714" s="14">
        <v>0.2</v>
      </c>
      <c r="Q2714" s="15">
        <v>0.4</v>
      </c>
      <c r="R2714" s="16" t="str">
        <f t="shared" si="229"/>
        <v>LUTRON</v>
      </c>
      <c r="S2714" s="17" t="str">
        <f t="shared" si="231"/>
        <v>LUTRON</v>
      </c>
      <c r="T2714" s="10" t="str">
        <f t="shared" si="228"/>
        <v>BALASTRO T5 LINEAL, DE UNA LÁMPARA.</v>
      </c>
    </row>
    <row r="2715" spans="1:20" ht="27" customHeight="1" x14ac:dyDescent="0.25">
      <c r="A2715" s="8" t="s">
        <v>5672</v>
      </c>
      <c r="B2715" s="9" t="s">
        <v>5666</v>
      </c>
      <c r="C2715" s="9"/>
      <c r="D2715" s="8" t="s">
        <v>184</v>
      </c>
      <c r="E2715" s="8">
        <v>68</v>
      </c>
      <c r="F2715" s="8" t="s">
        <v>22</v>
      </c>
      <c r="G2715" s="10" t="s">
        <v>5721</v>
      </c>
      <c r="H2715" s="8" t="s">
        <v>5728</v>
      </c>
      <c r="I2715" s="10" t="s">
        <v>5729</v>
      </c>
      <c r="J2715" s="11" t="s">
        <v>26</v>
      </c>
      <c r="K2715" s="57">
        <v>57.5</v>
      </c>
      <c r="L2715" s="12">
        <f t="shared" si="230"/>
        <v>115</v>
      </c>
      <c r="M2715" s="8">
        <v>3</v>
      </c>
      <c r="N2715" s="8" t="s">
        <v>27</v>
      </c>
      <c r="O2715" s="13"/>
      <c r="P2715" s="14">
        <v>0.2</v>
      </c>
      <c r="Q2715" s="15">
        <v>0.4</v>
      </c>
      <c r="R2715" s="16" t="str">
        <f t="shared" si="229"/>
        <v>LUTRON</v>
      </c>
      <c r="S2715" s="17" t="str">
        <f t="shared" si="231"/>
        <v>LUTRON</v>
      </c>
      <c r="T2715" s="10" t="str">
        <f t="shared" si="228"/>
        <v>BALASTRO T5 LINEAL, DE UNA LÁMPARA.</v>
      </c>
    </row>
    <row r="2716" spans="1:20" ht="27" customHeight="1" x14ac:dyDescent="0.25">
      <c r="A2716" s="8" t="s">
        <v>5672</v>
      </c>
      <c r="B2716" s="9" t="s">
        <v>5666</v>
      </c>
      <c r="C2716" s="9"/>
      <c r="D2716" s="8" t="s">
        <v>184</v>
      </c>
      <c r="E2716" s="8">
        <v>69</v>
      </c>
      <c r="F2716" s="8" t="s">
        <v>22</v>
      </c>
      <c r="G2716" s="10" t="s">
        <v>5721</v>
      </c>
      <c r="H2716" s="8" t="s">
        <v>5730</v>
      </c>
      <c r="I2716" s="10" t="s">
        <v>5729</v>
      </c>
      <c r="J2716" s="11" t="s">
        <v>26</v>
      </c>
      <c r="K2716" s="57">
        <v>57.5</v>
      </c>
      <c r="L2716" s="12">
        <f t="shared" si="230"/>
        <v>115</v>
      </c>
      <c r="M2716" s="8">
        <v>3</v>
      </c>
      <c r="N2716" s="8" t="s">
        <v>27</v>
      </c>
      <c r="O2716" s="13"/>
      <c r="P2716" s="14">
        <v>0.2</v>
      </c>
      <c r="Q2716" s="15">
        <v>0.4</v>
      </c>
      <c r="R2716" s="16" t="str">
        <f t="shared" si="229"/>
        <v>LUTRON</v>
      </c>
      <c r="S2716" s="17" t="str">
        <f t="shared" si="231"/>
        <v>LUTRON</v>
      </c>
      <c r="T2716" s="10" t="str">
        <f t="shared" si="228"/>
        <v>BALASTRO T5 LINEAL, DE UNA LÁMPARA.</v>
      </c>
    </row>
    <row r="2717" spans="1:20" ht="27" customHeight="1" x14ac:dyDescent="0.25">
      <c r="A2717" s="8" t="s">
        <v>5672</v>
      </c>
      <c r="B2717" s="9" t="s">
        <v>5666</v>
      </c>
      <c r="C2717" s="9"/>
      <c r="D2717" s="8" t="s">
        <v>184</v>
      </c>
      <c r="E2717" s="8">
        <v>70</v>
      </c>
      <c r="F2717" s="8" t="s">
        <v>22</v>
      </c>
      <c r="G2717" s="10" t="s">
        <v>5731</v>
      </c>
      <c r="H2717" s="8" t="s">
        <v>5732</v>
      </c>
      <c r="I2717" s="10" t="s">
        <v>5731</v>
      </c>
      <c r="J2717" s="11" t="s">
        <v>26</v>
      </c>
      <c r="K2717" s="57">
        <v>57.5</v>
      </c>
      <c r="L2717" s="12">
        <f t="shared" si="230"/>
        <v>115</v>
      </c>
      <c r="M2717" s="8">
        <v>3</v>
      </c>
      <c r="N2717" s="8" t="s">
        <v>27</v>
      </c>
      <c r="O2717" s="13"/>
      <c r="P2717" s="14">
        <v>0.2</v>
      </c>
      <c r="Q2717" s="15">
        <v>0.4</v>
      </c>
      <c r="R2717" s="16" t="str">
        <f t="shared" si="229"/>
        <v>LUTRON</v>
      </c>
      <c r="S2717" s="17" t="str">
        <f t="shared" si="231"/>
        <v>LUTRON</v>
      </c>
      <c r="T2717" s="10" t="str">
        <f t="shared" si="228"/>
        <v>BALASTRO T5 LINEAL, 2 LÁMPARAS, ATENUACIÓN AL 1%, FACTOR DE BALASTRO  DE 1.0</v>
      </c>
    </row>
    <row r="2718" spans="1:20" ht="27" customHeight="1" x14ac:dyDescent="0.25">
      <c r="A2718" s="8" t="s">
        <v>5672</v>
      </c>
      <c r="B2718" s="9" t="s">
        <v>5666</v>
      </c>
      <c r="C2718" s="9"/>
      <c r="D2718" s="8" t="s">
        <v>184</v>
      </c>
      <c r="E2718" s="8">
        <v>71</v>
      </c>
      <c r="F2718" s="8" t="s">
        <v>22</v>
      </c>
      <c r="G2718" s="10" t="s">
        <v>5731</v>
      </c>
      <c r="H2718" s="8" t="s">
        <v>5732</v>
      </c>
      <c r="I2718" s="10" t="s">
        <v>5731</v>
      </c>
      <c r="J2718" s="11" t="s">
        <v>26</v>
      </c>
      <c r="K2718" s="57">
        <v>57.5</v>
      </c>
      <c r="L2718" s="12">
        <f t="shared" si="230"/>
        <v>115</v>
      </c>
      <c r="M2718" s="8">
        <v>3</v>
      </c>
      <c r="N2718" s="8" t="s">
        <v>27</v>
      </c>
      <c r="O2718" s="13"/>
      <c r="P2718" s="14">
        <v>0.2</v>
      </c>
      <c r="Q2718" s="15">
        <v>0.4</v>
      </c>
      <c r="R2718" s="16" t="str">
        <f t="shared" si="229"/>
        <v>LUTRON</v>
      </c>
      <c r="S2718" s="17" t="str">
        <f t="shared" si="231"/>
        <v>LUTRON</v>
      </c>
      <c r="T2718" s="10" t="str">
        <f t="shared" si="228"/>
        <v>BALASTRO T5 LINEAL, 2 LÁMPARAS, ATENUACIÓN AL 1%, FACTOR DE BALASTRO  DE 1.0</v>
      </c>
    </row>
    <row r="2719" spans="1:20" ht="27" customHeight="1" x14ac:dyDescent="0.25">
      <c r="A2719" s="8" t="s">
        <v>5672</v>
      </c>
      <c r="B2719" s="9" t="s">
        <v>5666</v>
      </c>
      <c r="C2719" s="9"/>
      <c r="D2719" s="8" t="s">
        <v>184</v>
      </c>
      <c r="E2719" s="8">
        <v>72</v>
      </c>
      <c r="F2719" s="8" t="s">
        <v>22</v>
      </c>
      <c r="G2719" s="10" t="s">
        <v>5731</v>
      </c>
      <c r="H2719" s="8" t="s">
        <v>5732</v>
      </c>
      <c r="I2719" s="10" t="s">
        <v>5731</v>
      </c>
      <c r="J2719" s="11" t="s">
        <v>26</v>
      </c>
      <c r="K2719" s="57">
        <v>57.5</v>
      </c>
      <c r="L2719" s="12">
        <f t="shared" si="230"/>
        <v>115</v>
      </c>
      <c r="M2719" s="8">
        <v>3</v>
      </c>
      <c r="N2719" s="8" t="s">
        <v>27</v>
      </c>
      <c r="O2719" s="13"/>
      <c r="P2719" s="14">
        <v>0.2</v>
      </c>
      <c r="Q2719" s="15">
        <v>0.4</v>
      </c>
      <c r="R2719" s="16" t="str">
        <f t="shared" si="229"/>
        <v>LUTRON</v>
      </c>
      <c r="S2719" s="17" t="str">
        <f t="shared" si="231"/>
        <v>LUTRON</v>
      </c>
      <c r="T2719" s="10" t="str">
        <f t="shared" si="228"/>
        <v>BALASTRO T5 LINEAL, 2 LÁMPARAS, ATENUACIÓN AL 1%, FACTOR DE BALASTRO  DE 1.0</v>
      </c>
    </row>
    <row r="2720" spans="1:20" ht="27" customHeight="1" x14ac:dyDescent="0.25">
      <c r="A2720" s="8" t="s">
        <v>5672</v>
      </c>
      <c r="B2720" s="9" t="s">
        <v>5666</v>
      </c>
      <c r="C2720" s="9"/>
      <c r="D2720" s="8" t="s">
        <v>184</v>
      </c>
      <c r="E2720" s="8">
        <v>73</v>
      </c>
      <c r="F2720" s="8" t="s">
        <v>22</v>
      </c>
      <c r="G2720" s="10" t="s">
        <v>5733</v>
      </c>
      <c r="H2720" s="8" t="s">
        <v>5734</v>
      </c>
      <c r="I2720" s="10" t="s">
        <v>5735</v>
      </c>
      <c r="J2720" s="11" t="s">
        <v>26</v>
      </c>
      <c r="K2720" s="57">
        <v>57.5</v>
      </c>
      <c r="L2720" s="12">
        <f t="shared" si="230"/>
        <v>115</v>
      </c>
      <c r="M2720" s="8">
        <v>3</v>
      </c>
      <c r="N2720" s="8" t="s">
        <v>27</v>
      </c>
      <c r="O2720" s="13"/>
      <c r="P2720" s="14">
        <v>0.2</v>
      </c>
      <c r="Q2720" s="15">
        <v>0.4</v>
      </c>
      <c r="R2720" s="16" t="str">
        <f t="shared" si="229"/>
        <v>LUTRON</v>
      </c>
      <c r="S2720" s="17" t="str">
        <f t="shared" si="231"/>
        <v>LUTRON</v>
      </c>
      <c r="T2720" s="10" t="str">
        <f t="shared" si="228"/>
        <v>BALASTRO T5 LINEAL, 2 LÁMPARAS.</v>
      </c>
    </row>
    <row r="2721" spans="1:20" ht="27" customHeight="1" x14ac:dyDescent="0.25">
      <c r="A2721" s="8" t="s">
        <v>5672</v>
      </c>
      <c r="B2721" s="9" t="s">
        <v>5666</v>
      </c>
      <c r="C2721" s="9"/>
      <c r="D2721" s="8" t="s">
        <v>184</v>
      </c>
      <c r="E2721" s="8">
        <v>74</v>
      </c>
      <c r="F2721" s="8" t="s">
        <v>22</v>
      </c>
      <c r="G2721" s="10" t="s">
        <v>5733</v>
      </c>
      <c r="H2721" s="8" t="s">
        <v>5736</v>
      </c>
      <c r="I2721" s="10" t="s">
        <v>5735</v>
      </c>
      <c r="J2721" s="11" t="s">
        <v>26</v>
      </c>
      <c r="K2721" s="57">
        <v>57.5</v>
      </c>
      <c r="L2721" s="12">
        <f t="shared" si="230"/>
        <v>115</v>
      </c>
      <c r="M2721" s="8">
        <v>3</v>
      </c>
      <c r="N2721" s="8" t="s">
        <v>27</v>
      </c>
      <c r="O2721" s="13"/>
      <c r="P2721" s="14">
        <v>0.2</v>
      </c>
      <c r="Q2721" s="15">
        <v>0.4</v>
      </c>
      <c r="R2721" s="16" t="str">
        <f t="shared" si="229"/>
        <v>LUTRON</v>
      </c>
      <c r="S2721" s="17" t="str">
        <f t="shared" si="231"/>
        <v>LUTRON</v>
      </c>
      <c r="T2721" s="10" t="str">
        <f t="shared" si="228"/>
        <v>BALASTRO T5 LINEAL, 2 LÁMPARAS.</v>
      </c>
    </row>
    <row r="2722" spans="1:20" ht="27" customHeight="1" x14ac:dyDescent="0.25">
      <c r="A2722" s="8" t="s">
        <v>5672</v>
      </c>
      <c r="B2722" s="9" t="s">
        <v>5666</v>
      </c>
      <c r="C2722" s="9"/>
      <c r="D2722" s="8" t="s">
        <v>184</v>
      </c>
      <c r="E2722" s="8">
        <v>75</v>
      </c>
      <c r="F2722" s="8" t="s">
        <v>22</v>
      </c>
      <c r="G2722" s="10" t="s">
        <v>5733</v>
      </c>
      <c r="H2722" s="8" t="s">
        <v>5737</v>
      </c>
      <c r="I2722" s="10" t="s">
        <v>5738</v>
      </c>
      <c r="J2722" s="11" t="s">
        <v>26</v>
      </c>
      <c r="K2722" s="57">
        <v>57.5</v>
      </c>
      <c r="L2722" s="12">
        <f t="shared" si="230"/>
        <v>115</v>
      </c>
      <c r="M2722" s="8">
        <v>3</v>
      </c>
      <c r="N2722" s="8" t="s">
        <v>27</v>
      </c>
      <c r="O2722" s="13"/>
      <c r="P2722" s="14">
        <v>0.2</v>
      </c>
      <c r="Q2722" s="15">
        <v>0.4</v>
      </c>
      <c r="R2722" s="16" t="str">
        <f t="shared" si="229"/>
        <v>LUTRON</v>
      </c>
      <c r="S2722" s="17" t="str">
        <f t="shared" si="231"/>
        <v>LUTRON</v>
      </c>
      <c r="T2722" s="10" t="str">
        <f t="shared" si="228"/>
        <v>BALASTRO T5 LINEAL, 2 LÁMPARAS.</v>
      </c>
    </row>
    <row r="2723" spans="1:20" ht="27" customHeight="1" x14ac:dyDescent="0.25">
      <c r="A2723" s="8" t="s">
        <v>5672</v>
      </c>
      <c r="B2723" s="9" t="s">
        <v>5666</v>
      </c>
      <c r="C2723" s="9"/>
      <c r="D2723" s="8" t="s">
        <v>184</v>
      </c>
      <c r="E2723" s="8">
        <v>76</v>
      </c>
      <c r="F2723" s="8" t="s">
        <v>22</v>
      </c>
      <c r="G2723" s="10" t="s">
        <v>5733</v>
      </c>
      <c r="H2723" s="8" t="s">
        <v>5739</v>
      </c>
      <c r="I2723" s="10" t="s">
        <v>5738</v>
      </c>
      <c r="J2723" s="11" t="s">
        <v>26</v>
      </c>
      <c r="K2723" s="57">
        <v>57.5</v>
      </c>
      <c r="L2723" s="12">
        <f t="shared" si="230"/>
        <v>115</v>
      </c>
      <c r="M2723" s="8">
        <v>3</v>
      </c>
      <c r="N2723" s="8" t="s">
        <v>27</v>
      </c>
      <c r="O2723" s="13"/>
      <c r="P2723" s="14">
        <v>0.2</v>
      </c>
      <c r="Q2723" s="15">
        <v>0.4</v>
      </c>
      <c r="R2723" s="16" t="str">
        <f t="shared" si="229"/>
        <v>LUTRON</v>
      </c>
      <c r="S2723" s="17" t="str">
        <f t="shared" si="231"/>
        <v>LUTRON</v>
      </c>
      <c r="T2723" s="10" t="str">
        <f t="shared" si="228"/>
        <v>BALASTRO T5 LINEAL, 2 LÁMPARAS.</v>
      </c>
    </row>
    <row r="2724" spans="1:20" ht="27" customHeight="1" x14ac:dyDescent="0.25">
      <c r="A2724" s="8" t="s">
        <v>5672</v>
      </c>
      <c r="B2724" s="9" t="s">
        <v>5666</v>
      </c>
      <c r="C2724" s="9"/>
      <c r="D2724" s="8" t="s">
        <v>184</v>
      </c>
      <c r="E2724" s="8">
        <v>77</v>
      </c>
      <c r="F2724" s="8" t="s">
        <v>22</v>
      </c>
      <c r="G2724" s="10" t="s">
        <v>5733</v>
      </c>
      <c r="H2724" s="8" t="s">
        <v>5740</v>
      </c>
      <c r="I2724" s="10" t="s">
        <v>5741</v>
      </c>
      <c r="J2724" s="11" t="s">
        <v>26</v>
      </c>
      <c r="K2724" s="57">
        <v>57.5</v>
      </c>
      <c r="L2724" s="12">
        <f t="shared" si="230"/>
        <v>115</v>
      </c>
      <c r="M2724" s="8">
        <v>3</v>
      </c>
      <c r="N2724" s="8" t="s">
        <v>27</v>
      </c>
      <c r="O2724" s="13"/>
      <c r="P2724" s="14">
        <v>0.2</v>
      </c>
      <c r="Q2724" s="15">
        <v>0.4</v>
      </c>
      <c r="R2724" s="16" t="str">
        <f t="shared" si="229"/>
        <v>LUTRON</v>
      </c>
      <c r="S2724" s="17" t="str">
        <f t="shared" si="231"/>
        <v>LUTRON</v>
      </c>
      <c r="T2724" s="10" t="str">
        <f t="shared" si="228"/>
        <v>BALASTRO T5 LINEAL, 2 LÁMPARAS.</v>
      </c>
    </row>
    <row r="2725" spans="1:20" ht="27" customHeight="1" x14ac:dyDescent="0.25">
      <c r="A2725" s="8" t="s">
        <v>5672</v>
      </c>
      <c r="B2725" s="9" t="s">
        <v>5666</v>
      </c>
      <c r="C2725" s="9"/>
      <c r="D2725" s="8" t="s">
        <v>184</v>
      </c>
      <c r="E2725" s="8">
        <v>78</v>
      </c>
      <c r="F2725" s="8" t="s">
        <v>22</v>
      </c>
      <c r="G2725" s="10" t="s">
        <v>5733</v>
      </c>
      <c r="H2725" s="8" t="s">
        <v>5742</v>
      </c>
      <c r="I2725" s="10" t="s">
        <v>5741</v>
      </c>
      <c r="J2725" s="11" t="s">
        <v>26</v>
      </c>
      <c r="K2725" s="57">
        <v>57.5</v>
      </c>
      <c r="L2725" s="12">
        <f t="shared" si="230"/>
        <v>115</v>
      </c>
      <c r="M2725" s="8">
        <v>3</v>
      </c>
      <c r="N2725" s="8" t="s">
        <v>27</v>
      </c>
      <c r="O2725" s="13"/>
      <c r="P2725" s="14">
        <v>0.2</v>
      </c>
      <c r="Q2725" s="15">
        <v>0.4</v>
      </c>
      <c r="R2725" s="16" t="str">
        <f t="shared" si="229"/>
        <v>LUTRON</v>
      </c>
      <c r="S2725" s="17" t="str">
        <f t="shared" si="231"/>
        <v>LUTRON</v>
      </c>
      <c r="T2725" s="10" t="str">
        <f t="shared" si="228"/>
        <v>BALASTRO T5 LINEAL, 2 LÁMPARAS.</v>
      </c>
    </row>
    <row r="2726" spans="1:20" ht="27" customHeight="1" x14ac:dyDescent="0.25">
      <c r="A2726" s="8" t="s">
        <v>5672</v>
      </c>
      <c r="B2726" s="9" t="s">
        <v>5666</v>
      </c>
      <c r="C2726" s="9"/>
      <c r="D2726" s="8" t="s">
        <v>184</v>
      </c>
      <c r="E2726" s="8">
        <v>79</v>
      </c>
      <c r="F2726" s="8" t="s">
        <v>22</v>
      </c>
      <c r="G2726" s="10" t="s">
        <v>5743</v>
      </c>
      <c r="H2726" s="8" t="s">
        <v>5744</v>
      </c>
      <c r="I2726" s="10" t="s">
        <v>5743</v>
      </c>
      <c r="J2726" s="11" t="s">
        <v>26</v>
      </c>
      <c r="K2726" s="57">
        <v>57.5</v>
      </c>
      <c r="L2726" s="12">
        <f t="shared" si="230"/>
        <v>115</v>
      </c>
      <c r="M2726" s="8">
        <v>3</v>
      </c>
      <c r="N2726" s="8" t="s">
        <v>27</v>
      </c>
      <c r="O2726" s="13"/>
      <c r="P2726" s="14">
        <v>0.2</v>
      </c>
      <c r="Q2726" s="15">
        <v>0.4</v>
      </c>
      <c r="R2726" s="16" t="str">
        <f t="shared" si="229"/>
        <v>LUTRON</v>
      </c>
      <c r="S2726" s="17" t="str">
        <f t="shared" si="231"/>
        <v>LUTRON</v>
      </c>
      <c r="T2726" s="10" t="str">
        <f t="shared" si="228"/>
        <v>BALASTRO T5 LINEAL, DE DOS LÁMPARAS ATENUACIÓN AL 1%, FACTOR DE BALASTRO  DE 1.0</v>
      </c>
    </row>
    <row r="2727" spans="1:20" ht="27" customHeight="1" x14ac:dyDescent="0.25">
      <c r="A2727" s="8" t="s">
        <v>5672</v>
      </c>
      <c r="B2727" s="9" t="s">
        <v>5666</v>
      </c>
      <c r="C2727" s="9"/>
      <c r="D2727" s="8" t="s">
        <v>184</v>
      </c>
      <c r="E2727" s="8">
        <v>80</v>
      </c>
      <c r="F2727" s="8" t="s">
        <v>22</v>
      </c>
      <c r="G2727" s="10" t="s">
        <v>5743</v>
      </c>
      <c r="H2727" s="8" t="s">
        <v>5744</v>
      </c>
      <c r="I2727" s="10" t="s">
        <v>5743</v>
      </c>
      <c r="J2727" s="11" t="s">
        <v>26</v>
      </c>
      <c r="K2727" s="57">
        <v>57.5</v>
      </c>
      <c r="L2727" s="12">
        <f t="shared" si="230"/>
        <v>115</v>
      </c>
      <c r="M2727" s="8">
        <v>3</v>
      </c>
      <c r="N2727" s="8" t="s">
        <v>27</v>
      </c>
      <c r="O2727" s="13"/>
      <c r="P2727" s="14">
        <v>0.2</v>
      </c>
      <c r="Q2727" s="15">
        <v>0.4</v>
      </c>
      <c r="R2727" s="16" t="str">
        <f t="shared" si="229"/>
        <v>LUTRON</v>
      </c>
      <c r="S2727" s="17" t="str">
        <f t="shared" si="231"/>
        <v>LUTRON</v>
      </c>
      <c r="T2727" s="10" t="str">
        <f t="shared" si="228"/>
        <v>BALASTRO T5 LINEAL, DE DOS LÁMPARAS ATENUACIÓN AL 1%, FACTOR DE BALASTRO  DE 1.0</v>
      </c>
    </row>
    <row r="2728" spans="1:20" ht="27" customHeight="1" x14ac:dyDescent="0.25">
      <c r="A2728" s="8" t="s">
        <v>5672</v>
      </c>
      <c r="B2728" s="9" t="s">
        <v>5666</v>
      </c>
      <c r="C2728" s="9"/>
      <c r="D2728" s="8" t="s">
        <v>184</v>
      </c>
      <c r="E2728" s="8">
        <v>81</v>
      </c>
      <c r="F2728" s="8" t="s">
        <v>22</v>
      </c>
      <c r="G2728" s="10" t="s">
        <v>5743</v>
      </c>
      <c r="H2728" s="8" t="s">
        <v>5744</v>
      </c>
      <c r="I2728" s="10" t="s">
        <v>5743</v>
      </c>
      <c r="J2728" s="11" t="s">
        <v>26</v>
      </c>
      <c r="K2728" s="57">
        <v>57.5</v>
      </c>
      <c r="L2728" s="12">
        <f t="shared" si="230"/>
        <v>115</v>
      </c>
      <c r="M2728" s="8">
        <v>3</v>
      </c>
      <c r="N2728" s="8" t="s">
        <v>27</v>
      </c>
      <c r="O2728" s="13"/>
      <c r="P2728" s="14">
        <v>0.2</v>
      </c>
      <c r="Q2728" s="15">
        <v>0.4</v>
      </c>
      <c r="R2728" s="16" t="str">
        <f t="shared" si="229"/>
        <v>LUTRON</v>
      </c>
      <c r="S2728" s="17" t="str">
        <f t="shared" si="231"/>
        <v>LUTRON</v>
      </c>
      <c r="T2728" s="10" t="str">
        <f t="shared" si="228"/>
        <v>BALASTRO T5 LINEAL, DE DOS LÁMPARAS ATENUACIÓN AL 1%, FACTOR DE BALASTRO  DE 1.0</v>
      </c>
    </row>
    <row r="2729" spans="1:20" ht="27" customHeight="1" x14ac:dyDescent="0.25">
      <c r="A2729" s="8" t="s">
        <v>5672</v>
      </c>
      <c r="B2729" s="9" t="s">
        <v>5666</v>
      </c>
      <c r="C2729" s="9"/>
      <c r="D2729" s="8" t="s">
        <v>184</v>
      </c>
      <c r="E2729" s="8">
        <v>82</v>
      </c>
      <c r="F2729" s="8" t="s">
        <v>22</v>
      </c>
      <c r="G2729" s="10" t="s">
        <v>5743</v>
      </c>
      <c r="H2729" s="8" t="s">
        <v>5745</v>
      </c>
      <c r="I2729" s="10" t="s">
        <v>5743</v>
      </c>
      <c r="J2729" s="11" t="s">
        <v>26</v>
      </c>
      <c r="K2729" s="57">
        <v>57.5</v>
      </c>
      <c r="L2729" s="12">
        <f t="shared" si="230"/>
        <v>115</v>
      </c>
      <c r="M2729" s="8">
        <v>3</v>
      </c>
      <c r="N2729" s="8" t="s">
        <v>27</v>
      </c>
      <c r="O2729" s="13"/>
      <c r="P2729" s="14">
        <v>0.2</v>
      </c>
      <c r="Q2729" s="15">
        <v>0.4</v>
      </c>
      <c r="R2729" s="16" t="str">
        <f t="shared" si="229"/>
        <v>LUTRON</v>
      </c>
      <c r="S2729" s="17" t="str">
        <f t="shared" si="231"/>
        <v>LUTRON</v>
      </c>
      <c r="T2729" s="10" t="str">
        <f t="shared" si="228"/>
        <v>BALASTRO T5 LINEAL, DE DOS LÁMPARAS ATENUACIÓN AL 1%, FACTOR DE BALASTRO  DE 1.0</v>
      </c>
    </row>
    <row r="2730" spans="1:20" ht="27" customHeight="1" x14ac:dyDescent="0.25">
      <c r="A2730" s="8" t="s">
        <v>5672</v>
      </c>
      <c r="B2730" s="9" t="s">
        <v>5666</v>
      </c>
      <c r="C2730" s="9"/>
      <c r="D2730" s="8" t="s">
        <v>184</v>
      </c>
      <c r="E2730" s="8">
        <v>83</v>
      </c>
      <c r="F2730" s="8" t="s">
        <v>22</v>
      </c>
      <c r="G2730" s="10" t="s">
        <v>5743</v>
      </c>
      <c r="H2730" s="8" t="s">
        <v>5745</v>
      </c>
      <c r="I2730" s="10" t="s">
        <v>5743</v>
      </c>
      <c r="J2730" s="11" t="s">
        <v>26</v>
      </c>
      <c r="K2730" s="57">
        <v>57.5</v>
      </c>
      <c r="L2730" s="12">
        <f t="shared" si="230"/>
        <v>115</v>
      </c>
      <c r="M2730" s="8">
        <v>3</v>
      </c>
      <c r="N2730" s="8" t="s">
        <v>27</v>
      </c>
      <c r="O2730" s="13"/>
      <c r="P2730" s="14">
        <v>0.2</v>
      </c>
      <c r="Q2730" s="15">
        <v>0.4</v>
      </c>
      <c r="R2730" s="16" t="str">
        <f t="shared" si="229"/>
        <v>LUTRON</v>
      </c>
      <c r="S2730" s="17" t="str">
        <f t="shared" si="231"/>
        <v>LUTRON</v>
      </c>
      <c r="T2730" s="10" t="str">
        <f t="shared" si="228"/>
        <v>BALASTRO T5 LINEAL, DE DOS LÁMPARAS ATENUACIÓN AL 1%, FACTOR DE BALASTRO  DE 1.0</v>
      </c>
    </row>
    <row r="2731" spans="1:20" ht="27" customHeight="1" x14ac:dyDescent="0.25">
      <c r="A2731" s="8" t="s">
        <v>5672</v>
      </c>
      <c r="B2731" s="9" t="s">
        <v>5666</v>
      </c>
      <c r="C2731" s="9"/>
      <c r="D2731" s="8" t="s">
        <v>184</v>
      </c>
      <c r="E2731" s="8">
        <v>84</v>
      </c>
      <c r="F2731" s="8" t="s">
        <v>22</v>
      </c>
      <c r="G2731" s="10" t="s">
        <v>5743</v>
      </c>
      <c r="H2731" s="8" t="s">
        <v>5745</v>
      </c>
      <c r="I2731" s="10" t="s">
        <v>5743</v>
      </c>
      <c r="J2731" s="11" t="s">
        <v>26</v>
      </c>
      <c r="K2731" s="57">
        <v>57.5</v>
      </c>
      <c r="L2731" s="12">
        <f t="shared" si="230"/>
        <v>115</v>
      </c>
      <c r="M2731" s="8">
        <v>3</v>
      </c>
      <c r="N2731" s="8" t="s">
        <v>27</v>
      </c>
      <c r="O2731" s="13"/>
      <c r="P2731" s="14">
        <v>0.2</v>
      </c>
      <c r="Q2731" s="15">
        <v>0.4</v>
      </c>
      <c r="R2731" s="16" t="str">
        <f t="shared" si="229"/>
        <v>LUTRON</v>
      </c>
      <c r="S2731" s="17" t="str">
        <f t="shared" si="231"/>
        <v>LUTRON</v>
      </c>
      <c r="T2731" s="10" t="str">
        <f t="shared" si="228"/>
        <v>BALASTRO T5 LINEAL, DE DOS LÁMPARAS ATENUACIÓN AL 1%, FACTOR DE BALASTRO  DE 1.0</v>
      </c>
    </row>
    <row r="2732" spans="1:20" ht="27" customHeight="1" x14ac:dyDescent="0.25">
      <c r="A2732" s="8" t="s">
        <v>5672</v>
      </c>
      <c r="B2732" s="9" t="s">
        <v>5666</v>
      </c>
      <c r="C2732" s="9"/>
      <c r="D2732" s="8" t="s">
        <v>184</v>
      </c>
      <c r="E2732" s="8">
        <v>85</v>
      </c>
      <c r="F2732" s="8" t="s">
        <v>22</v>
      </c>
      <c r="G2732" s="10" t="s">
        <v>5743</v>
      </c>
      <c r="H2732" s="8" t="s">
        <v>5746</v>
      </c>
      <c r="I2732" s="10" t="s">
        <v>5743</v>
      </c>
      <c r="J2732" s="11" t="s">
        <v>26</v>
      </c>
      <c r="K2732" s="57">
        <v>57.5</v>
      </c>
      <c r="L2732" s="12">
        <f t="shared" si="230"/>
        <v>115</v>
      </c>
      <c r="M2732" s="8">
        <v>3</v>
      </c>
      <c r="N2732" s="8" t="s">
        <v>27</v>
      </c>
      <c r="O2732" s="13"/>
      <c r="P2732" s="14">
        <v>0.2</v>
      </c>
      <c r="Q2732" s="15">
        <v>0.4</v>
      </c>
      <c r="R2732" s="16" t="str">
        <f t="shared" si="229"/>
        <v>LUTRON</v>
      </c>
      <c r="S2732" s="17" t="str">
        <f t="shared" si="231"/>
        <v>LUTRON</v>
      </c>
      <c r="T2732" s="10" t="str">
        <f t="shared" si="228"/>
        <v>BALASTRO T5 LINEAL, DE DOS LÁMPARAS ATENUACIÓN AL 1%, FACTOR DE BALASTRO  DE 1.0</v>
      </c>
    </row>
    <row r="2733" spans="1:20" ht="27" customHeight="1" x14ac:dyDescent="0.25">
      <c r="A2733" s="8" t="s">
        <v>5672</v>
      </c>
      <c r="B2733" s="9" t="s">
        <v>5666</v>
      </c>
      <c r="C2733" s="9"/>
      <c r="D2733" s="8" t="s">
        <v>184</v>
      </c>
      <c r="E2733" s="8">
        <v>86</v>
      </c>
      <c r="F2733" s="8" t="s">
        <v>22</v>
      </c>
      <c r="G2733" s="10" t="s">
        <v>5716</v>
      </c>
      <c r="H2733" s="8" t="s">
        <v>5747</v>
      </c>
      <c r="I2733" s="10" t="s">
        <v>5716</v>
      </c>
      <c r="J2733" s="11" t="s">
        <v>26</v>
      </c>
      <c r="K2733" s="57">
        <v>57.5</v>
      </c>
      <c r="L2733" s="12">
        <f t="shared" si="230"/>
        <v>115</v>
      </c>
      <c r="M2733" s="8">
        <v>3</v>
      </c>
      <c r="N2733" s="8" t="s">
        <v>27</v>
      </c>
      <c r="O2733" s="13"/>
      <c r="P2733" s="14">
        <v>0.2</v>
      </c>
      <c r="Q2733" s="15">
        <v>0.4</v>
      </c>
      <c r="R2733" s="16" t="str">
        <f t="shared" si="229"/>
        <v>LUTRON</v>
      </c>
      <c r="S2733" s="17" t="str">
        <f t="shared" si="231"/>
        <v>LUTRON</v>
      </c>
      <c r="T2733" s="10" t="str">
        <f t="shared" si="228"/>
        <v>BALASTRO T5 LINEAL, DE UNA LÁMPARA, ATENUACIÓN AL 1%, FACTOR DE BALASTRO  DE 1.0</v>
      </c>
    </row>
    <row r="2734" spans="1:20" ht="27" customHeight="1" x14ac:dyDescent="0.25">
      <c r="A2734" s="8" t="s">
        <v>5672</v>
      </c>
      <c r="B2734" s="9" t="s">
        <v>5666</v>
      </c>
      <c r="C2734" s="9"/>
      <c r="D2734" s="8" t="s">
        <v>184</v>
      </c>
      <c r="E2734" s="8">
        <v>87</v>
      </c>
      <c r="F2734" s="8" t="s">
        <v>22</v>
      </c>
      <c r="G2734" s="10" t="s">
        <v>5716</v>
      </c>
      <c r="H2734" s="8" t="s">
        <v>5747</v>
      </c>
      <c r="I2734" s="10" t="s">
        <v>5716</v>
      </c>
      <c r="J2734" s="11" t="s">
        <v>26</v>
      </c>
      <c r="K2734" s="57">
        <v>57.5</v>
      </c>
      <c r="L2734" s="12">
        <f t="shared" si="230"/>
        <v>115</v>
      </c>
      <c r="M2734" s="8">
        <v>3</v>
      </c>
      <c r="N2734" s="8" t="s">
        <v>27</v>
      </c>
      <c r="O2734" s="13"/>
      <c r="P2734" s="14">
        <v>0.2</v>
      </c>
      <c r="Q2734" s="15">
        <v>0.4</v>
      </c>
      <c r="R2734" s="16" t="str">
        <f t="shared" si="229"/>
        <v>LUTRON</v>
      </c>
      <c r="S2734" s="17" t="str">
        <f t="shared" si="231"/>
        <v>LUTRON</v>
      </c>
      <c r="T2734" s="10" t="str">
        <f t="shared" si="228"/>
        <v>BALASTRO T5 LINEAL, DE UNA LÁMPARA, ATENUACIÓN AL 1%, FACTOR DE BALASTRO  DE 1.0</v>
      </c>
    </row>
    <row r="2735" spans="1:20" ht="27" customHeight="1" x14ac:dyDescent="0.25">
      <c r="A2735" s="8" t="s">
        <v>5672</v>
      </c>
      <c r="B2735" s="9" t="s">
        <v>5666</v>
      </c>
      <c r="C2735" s="9"/>
      <c r="D2735" s="8" t="s">
        <v>184</v>
      </c>
      <c r="E2735" s="8">
        <v>88</v>
      </c>
      <c r="F2735" s="8" t="s">
        <v>22</v>
      </c>
      <c r="G2735" s="10" t="s">
        <v>5716</v>
      </c>
      <c r="H2735" s="8" t="s">
        <v>5747</v>
      </c>
      <c r="I2735" s="10" t="s">
        <v>5716</v>
      </c>
      <c r="J2735" s="11" t="s">
        <v>26</v>
      </c>
      <c r="K2735" s="57">
        <v>57.5</v>
      </c>
      <c r="L2735" s="12">
        <f t="shared" si="230"/>
        <v>115</v>
      </c>
      <c r="M2735" s="8">
        <v>3</v>
      </c>
      <c r="N2735" s="8" t="s">
        <v>27</v>
      </c>
      <c r="O2735" s="13"/>
      <c r="P2735" s="14">
        <v>0.2</v>
      </c>
      <c r="Q2735" s="15">
        <v>0.4</v>
      </c>
      <c r="R2735" s="16" t="str">
        <f t="shared" si="229"/>
        <v>LUTRON</v>
      </c>
      <c r="S2735" s="17" t="str">
        <f t="shared" si="231"/>
        <v>LUTRON</v>
      </c>
      <c r="T2735" s="10" t="str">
        <f t="shared" si="228"/>
        <v>BALASTRO T5 LINEAL, DE UNA LÁMPARA, ATENUACIÓN AL 1%, FACTOR DE BALASTRO  DE 1.0</v>
      </c>
    </row>
    <row r="2736" spans="1:20" ht="27" customHeight="1" x14ac:dyDescent="0.25">
      <c r="A2736" s="8" t="s">
        <v>5672</v>
      </c>
      <c r="B2736" s="9" t="s">
        <v>5666</v>
      </c>
      <c r="C2736" s="9"/>
      <c r="D2736" s="8" t="s">
        <v>184</v>
      </c>
      <c r="E2736" s="8">
        <v>89</v>
      </c>
      <c r="F2736" s="8" t="s">
        <v>22</v>
      </c>
      <c r="G2736" s="10" t="s">
        <v>5748</v>
      </c>
      <c r="H2736" s="8" t="s">
        <v>5749</v>
      </c>
      <c r="I2736" s="10" t="s">
        <v>5723</v>
      </c>
      <c r="J2736" s="11" t="s">
        <v>26</v>
      </c>
      <c r="K2736" s="57">
        <v>57.5</v>
      </c>
      <c r="L2736" s="12">
        <f t="shared" si="230"/>
        <v>115</v>
      </c>
      <c r="M2736" s="8">
        <v>3</v>
      </c>
      <c r="N2736" s="8" t="s">
        <v>27</v>
      </c>
      <c r="O2736" s="13"/>
      <c r="P2736" s="14">
        <v>0.2</v>
      </c>
      <c r="Q2736" s="15">
        <v>0.4</v>
      </c>
      <c r="R2736" s="16" t="str">
        <f t="shared" si="229"/>
        <v>LUTRON</v>
      </c>
      <c r="S2736" s="17" t="str">
        <f t="shared" si="231"/>
        <v>LUTRON</v>
      </c>
      <c r="T2736" s="10" t="str">
        <f t="shared" si="228"/>
        <v>BALASTRO T5 LINEAL, DE UNA LÁMPARA, ATENUACIÓN AL 1%.</v>
      </c>
    </row>
    <row r="2737" spans="1:20" ht="27" customHeight="1" x14ac:dyDescent="0.25">
      <c r="A2737" s="8" t="s">
        <v>5672</v>
      </c>
      <c r="B2737" s="9" t="s">
        <v>5666</v>
      </c>
      <c r="C2737" s="9"/>
      <c r="D2737" s="8" t="s">
        <v>184</v>
      </c>
      <c r="E2737" s="8">
        <v>90</v>
      </c>
      <c r="F2737" s="8" t="s">
        <v>22</v>
      </c>
      <c r="G2737" s="10" t="s">
        <v>5721</v>
      </c>
      <c r="H2737" s="8" t="s">
        <v>5750</v>
      </c>
      <c r="I2737" s="10" t="s">
        <v>5726</v>
      </c>
      <c r="J2737" s="11" t="s">
        <v>26</v>
      </c>
      <c r="K2737" s="57">
        <v>57.5</v>
      </c>
      <c r="L2737" s="12">
        <f t="shared" si="230"/>
        <v>115</v>
      </c>
      <c r="M2737" s="8">
        <v>3</v>
      </c>
      <c r="N2737" s="8" t="s">
        <v>27</v>
      </c>
      <c r="O2737" s="13"/>
      <c r="P2737" s="14">
        <v>0.2</v>
      </c>
      <c r="Q2737" s="15">
        <v>0.4</v>
      </c>
      <c r="R2737" s="16" t="str">
        <f t="shared" si="229"/>
        <v>LUTRON</v>
      </c>
      <c r="S2737" s="17" t="str">
        <f t="shared" si="231"/>
        <v>LUTRON</v>
      </c>
      <c r="T2737" s="10" t="str">
        <f t="shared" si="228"/>
        <v>BALASTRO T5 LINEAL, DE UNA LÁMPARA.</v>
      </c>
    </row>
    <row r="2738" spans="1:20" ht="27" customHeight="1" x14ac:dyDescent="0.25">
      <c r="A2738" s="8" t="s">
        <v>5672</v>
      </c>
      <c r="B2738" s="9" t="s">
        <v>5666</v>
      </c>
      <c r="C2738" s="9"/>
      <c r="D2738" s="8" t="s">
        <v>184</v>
      </c>
      <c r="E2738" s="8">
        <v>91</v>
      </c>
      <c r="F2738" s="8" t="s">
        <v>22</v>
      </c>
      <c r="G2738" s="10" t="s">
        <v>5721</v>
      </c>
      <c r="H2738" s="8" t="s">
        <v>5751</v>
      </c>
      <c r="I2738" s="10" t="s">
        <v>5729</v>
      </c>
      <c r="J2738" s="11" t="s">
        <v>26</v>
      </c>
      <c r="K2738" s="57">
        <v>57.5</v>
      </c>
      <c r="L2738" s="12">
        <f t="shared" si="230"/>
        <v>115</v>
      </c>
      <c r="M2738" s="8">
        <v>3</v>
      </c>
      <c r="N2738" s="8" t="s">
        <v>27</v>
      </c>
      <c r="O2738" s="13"/>
      <c r="P2738" s="14">
        <v>0.2</v>
      </c>
      <c r="Q2738" s="15">
        <v>0.4</v>
      </c>
      <c r="R2738" s="16" t="str">
        <f t="shared" si="229"/>
        <v>LUTRON</v>
      </c>
      <c r="S2738" s="17" t="str">
        <f t="shared" si="231"/>
        <v>LUTRON</v>
      </c>
      <c r="T2738" s="10" t="str">
        <f t="shared" si="228"/>
        <v>BALASTRO T5 LINEAL, DE UNA LÁMPARA.</v>
      </c>
    </row>
    <row r="2739" spans="1:20" ht="27" customHeight="1" x14ac:dyDescent="0.25">
      <c r="A2739" s="8" t="s">
        <v>5672</v>
      </c>
      <c r="B2739" s="9" t="s">
        <v>5666</v>
      </c>
      <c r="C2739" s="9"/>
      <c r="D2739" s="8" t="s">
        <v>184</v>
      </c>
      <c r="E2739" s="8">
        <v>92</v>
      </c>
      <c r="F2739" s="8" t="s">
        <v>22</v>
      </c>
      <c r="G2739" s="10" t="s">
        <v>5731</v>
      </c>
      <c r="H2739" s="8" t="s">
        <v>5752</v>
      </c>
      <c r="I2739" s="10" t="s">
        <v>5731</v>
      </c>
      <c r="J2739" s="11" t="s">
        <v>26</v>
      </c>
      <c r="K2739" s="57">
        <v>57.5</v>
      </c>
      <c r="L2739" s="12">
        <f t="shared" si="230"/>
        <v>115</v>
      </c>
      <c r="M2739" s="8">
        <v>3</v>
      </c>
      <c r="N2739" s="8" t="s">
        <v>27</v>
      </c>
      <c r="O2739" s="13"/>
      <c r="P2739" s="14">
        <v>0.2</v>
      </c>
      <c r="Q2739" s="15">
        <v>0.4</v>
      </c>
      <c r="R2739" s="16" t="str">
        <f t="shared" si="229"/>
        <v>LUTRON</v>
      </c>
      <c r="S2739" s="17" t="str">
        <f t="shared" si="231"/>
        <v>LUTRON</v>
      </c>
      <c r="T2739" s="10" t="str">
        <f t="shared" si="228"/>
        <v>BALASTRO T5 LINEAL, 2 LÁMPARAS, ATENUACIÓN AL 1%, FACTOR DE BALASTRO  DE 1.0</v>
      </c>
    </row>
    <row r="2740" spans="1:20" ht="27" customHeight="1" x14ac:dyDescent="0.25">
      <c r="A2740" s="8" t="s">
        <v>5672</v>
      </c>
      <c r="B2740" s="9" t="s">
        <v>5666</v>
      </c>
      <c r="C2740" s="9"/>
      <c r="D2740" s="8" t="s">
        <v>184</v>
      </c>
      <c r="E2740" s="8">
        <v>93</v>
      </c>
      <c r="F2740" s="8" t="s">
        <v>22</v>
      </c>
      <c r="G2740" s="10" t="s">
        <v>5731</v>
      </c>
      <c r="H2740" s="8" t="s">
        <v>5752</v>
      </c>
      <c r="I2740" s="10" t="s">
        <v>5731</v>
      </c>
      <c r="J2740" s="11" t="s">
        <v>26</v>
      </c>
      <c r="K2740" s="57">
        <v>57.5</v>
      </c>
      <c r="L2740" s="12">
        <f t="shared" si="230"/>
        <v>115</v>
      </c>
      <c r="M2740" s="8">
        <v>3</v>
      </c>
      <c r="N2740" s="8" t="s">
        <v>27</v>
      </c>
      <c r="O2740" s="13"/>
      <c r="P2740" s="14">
        <v>0.2</v>
      </c>
      <c r="Q2740" s="15">
        <v>0.4</v>
      </c>
      <c r="R2740" s="16" t="str">
        <f t="shared" si="229"/>
        <v>LUTRON</v>
      </c>
      <c r="S2740" s="17" t="str">
        <f t="shared" si="231"/>
        <v>LUTRON</v>
      </c>
      <c r="T2740" s="10" t="str">
        <f t="shared" si="228"/>
        <v>BALASTRO T5 LINEAL, 2 LÁMPARAS, ATENUACIÓN AL 1%, FACTOR DE BALASTRO  DE 1.0</v>
      </c>
    </row>
    <row r="2741" spans="1:20" ht="27" customHeight="1" x14ac:dyDescent="0.25">
      <c r="A2741" s="8" t="s">
        <v>5672</v>
      </c>
      <c r="B2741" s="9" t="s">
        <v>5666</v>
      </c>
      <c r="C2741" s="9"/>
      <c r="D2741" s="8" t="s">
        <v>184</v>
      </c>
      <c r="E2741" s="8">
        <v>94</v>
      </c>
      <c r="F2741" s="8" t="s">
        <v>22</v>
      </c>
      <c r="G2741" s="10" t="s">
        <v>5733</v>
      </c>
      <c r="H2741" s="8" t="s">
        <v>5753</v>
      </c>
      <c r="I2741" s="10" t="s">
        <v>5735</v>
      </c>
      <c r="J2741" s="11" t="s">
        <v>26</v>
      </c>
      <c r="K2741" s="57">
        <v>57.5</v>
      </c>
      <c r="L2741" s="12">
        <f t="shared" si="230"/>
        <v>115</v>
      </c>
      <c r="M2741" s="8">
        <v>3</v>
      </c>
      <c r="N2741" s="8" t="s">
        <v>27</v>
      </c>
      <c r="O2741" s="13"/>
      <c r="P2741" s="14">
        <v>0.2</v>
      </c>
      <c r="Q2741" s="15">
        <v>0.4</v>
      </c>
      <c r="R2741" s="16" t="str">
        <f t="shared" si="229"/>
        <v>LUTRON</v>
      </c>
      <c r="S2741" s="17" t="str">
        <f t="shared" si="231"/>
        <v>LUTRON</v>
      </c>
      <c r="T2741" s="10" t="str">
        <f t="shared" ref="T2741:T2804" si="232">G2741</f>
        <v>BALASTRO T5 LINEAL, 2 LÁMPARAS.</v>
      </c>
    </row>
    <row r="2742" spans="1:20" ht="27" customHeight="1" x14ac:dyDescent="0.25">
      <c r="A2742" s="8" t="s">
        <v>5672</v>
      </c>
      <c r="B2742" s="9" t="s">
        <v>5666</v>
      </c>
      <c r="C2742" s="9"/>
      <c r="D2742" s="8" t="s">
        <v>184</v>
      </c>
      <c r="E2742" s="8">
        <v>95</v>
      </c>
      <c r="F2742" s="8" t="s">
        <v>22</v>
      </c>
      <c r="G2742" s="10" t="s">
        <v>5733</v>
      </c>
      <c r="H2742" s="8" t="s">
        <v>5754</v>
      </c>
      <c r="I2742" s="10" t="s">
        <v>5738</v>
      </c>
      <c r="J2742" s="11" t="s">
        <v>26</v>
      </c>
      <c r="K2742" s="57">
        <v>57.5</v>
      </c>
      <c r="L2742" s="12">
        <f t="shared" si="230"/>
        <v>115</v>
      </c>
      <c r="M2742" s="8">
        <v>3</v>
      </c>
      <c r="N2742" s="8" t="s">
        <v>27</v>
      </c>
      <c r="O2742" s="13"/>
      <c r="P2742" s="14">
        <v>0.2</v>
      </c>
      <c r="Q2742" s="15">
        <v>0.4</v>
      </c>
      <c r="R2742" s="16" t="str">
        <f t="shared" si="229"/>
        <v>LUTRON</v>
      </c>
      <c r="S2742" s="17" t="str">
        <f t="shared" si="231"/>
        <v>LUTRON</v>
      </c>
      <c r="T2742" s="10" t="str">
        <f t="shared" si="232"/>
        <v>BALASTRO T5 LINEAL, 2 LÁMPARAS.</v>
      </c>
    </row>
    <row r="2743" spans="1:20" ht="27" customHeight="1" x14ac:dyDescent="0.25">
      <c r="A2743" s="8" t="s">
        <v>5672</v>
      </c>
      <c r="B2743" s="9" t="s">
        <v>5666</v>
      </c>
      <c r="C2743" s="9"/>
      <c r="D2743" s="8" t="s">
        <v>184</v>
      </c>
      <c r="E2743" s="8">
        <v>96</v>
      </c>
      <c r="F2743" s="8" t="s">
        <v>22</v>
      </c>
      <c r="G2743" s="10" t="s">
        <v>5733</v>
      </c>
      <c r="H2743" s="8" t="s">
        <v>5755</v>
      </c>
      <c r="I2743" s="10" t="s">
        <v>5741</v>
      </c>
      <c r="J2743" s="11" t="s">
        <v>26</v>
      </c>
      <c r="K2743" s="57">
        <v>57.5</v>
      </c>
      <c r="L2743" s="12">
        <f t="shared" si="230"/>
        <v>115</v>
      </c>
      <c r="M2743" s="8">
        <v>3</v>
      </c>
      <c r="N2743" s="8" t="s">
        <v>27</v>
      </c>
      <c r="O2743" s="13"/>
      <c r="P2743" s="14">
        <v>0.2</v>
      </c>
      <c r="Q2743" s="15">
        <v>0.4</v>
      </c>
      <c r="R2743" s="16" t="str">
        <f t="shared" si="229"/>
        <v>LUTRON</v>
      </c>
      <c r="S2743" s="17" t="str">
        <f t="shared" si="231"/>
        <v>LUTRON</v>
      </c>
      <c r="T2743" s="10" t="str">
        <f t="shared" si="232"/>
        <v>BALASTRO T5 LINEAL, 2 LÁMPARAS.</v>
      </c>
    </row>
    <row r="2744" spans="1:20" ht="27" customHeight="1" x14ac:dyDescent="0.25">
      <c r="A2744" s="8" t="s">
        <v>5672</v>
      </c>
      <c r="B2744" s="9" t="s">
        <v>5666</v>
      </c>
      <c r="C2744" s="9"/>
      <c r="D2744" s="8" t="s">
        <v>184</v>
      </c>
      <c r="E2744" s="8">
        <v>97</v>
      </c>
      <c r="F2744" s="8" t="s">
        <v>22</v>
      </c>
      <c r="G2744" s="10" t="s">
        <v>5756</v>
      </c>
      <c r="H2744" s="8" t="s">
        <v>5757</v>
      </c>
      <c r="I2744" s="10" t="s">
        <v>5758</v>
      </c>
      <c r="J2744" s="11" t="s">
        <v>26</v>
      </c>
      <c r="K2744" s="57">
        <v>57.5</v>
      </c>
      <c r="L2744" s="12">
        <f t="shared" si="230"/>
        <v>115</v>
      </c>
      <c r="M2744" s="8">
        <v>3</v>
      </c>
      <c r="N2744" s="8" t="s">
        <v>27</v>
      </c>
      <c r="O2744" s="13"/>
      <c r="P2744" s="14">
        <v>0.2</v>
      </c>
      <c r="Q2744" s="15">
        <v>0.4</v>
      </c>
      <c r="R2744" s="16" t="str">
        <f t="shared" si="229"/>
        <v>LUTRON</v>
      </c>
      <c r="S2744" s="17" t="str">
        <f t="shared" si="231"/>
        <v>LUTRON</v>
      </c>
      <c r="T2744" s="10" t="str">
        <f t="shared" si="232"/>
        <v>BALASTRO T5_HO LINEAL, DE UNA LÁMPARA.</v>
      </c>
    </row>
    <row r="2745" spans="1:20" ht="27" customHeight="1" x14ac:dyDescent="0.25">
      <c r="A2745" s="8" t="s">
        <v>5672</v>
      </c>
      <c r="B2745" s="9" t="s">
        <v>5666</v>
      </c>
      <c r="C2745" s="9"/>
      <c r="D2745" s="8" t="s">
        <v>184</v>
      </c>
      <c r="E2745" s="8">
        <v>98</v>
      </c>
      <c r="F2745" s="8" t="s">
        <v>22</v>
      </c>
      <c r="G2745" s="10" t="s">
        <v>5756</v>
      </c>
      <c r="H2745" s="8" t="s">
        <v>5757</v>
      </c>
      <c r="I2745" s="10" t="s">
        <v>5758</v>
      </c>
      <c r="J2745" s="11" t="s">
        <v>26</v>
      </c>
      <c r="K2745" s="57">
        <v>57.5</v>
      </c>
      <c r="L2745" s="12">
        <f t="shared" si="230"/>
        <v>115</v>
      </c>
      <c r="M2745" s="8">
        <v>3</v>
      </c>
      <c r="N2745" s="8" t="s">
        <v>27</v>
      </c>
      <c r="O2745" s="13"/>
      <c r="P2745" s="14">
        <v>0.2</v>
      </c>
      <c r="Q2745" s="15">
        <v>0.4</v>
      </c>
      <c r="R2745" s="16" t="str">
        <f t="shared" si="229"/>
        <v>LUTRON</v>
      </c>
      <c r="S2745" s="17" t="str">
        <f t="shared" si="231"/>
        <v>LUTRON</v>
      </c>
      <c r="T2745" s="10" t="str">
        <f t="shared" si="232"/>
        <v>BALASTRO T5_HO LINEAL, DE UNA LÁMPARA.</v>
      </c>
    </row>
    <row r="2746" spans="1:20" ht="27" customHeight="1" x14ac:dyDescent="0.25">
      <c r="A2746" s="8" t="s">
        <v>5672</v>
      </c>
      <c r="B2746" s="9" t="s">
        <v>5666</v>
      </c>
      <c r="C2746" s="9"/>
      <c r="D2746" s="8" t="s">
        <v>184</v>
      </c>
      <c r="E2746" s="8">
        <v>99</v>
      </c>
      <c r="F2746" s="8" t="s">
        <v>22</v>
      </c>
      <c r="G2746" s="10" t="s">
        <v>5756</v>
      </c>
      <c r="H2746" s="8" t="s">
        <v>5757</v>
      </c>
      <c r="I2746" s="10" t="s">
        <v>5758</v>
      </c>
      <c r="J2746" s="11" t="s">
        <v>26</v>
      </c>
      <c r="K2746" s="57">
        <v>57.5</v>
      </c>
      <c r="L2746" s="12">
        <f t="shared" si="230"/>
        <v>115</v>
      </c>
      <c r="M2746" s="8">
        <v>3</v>
      </c>
      <c r="N2746" s="8" t="s">
        <v>27</v>
      </c>
      <c r="O2746" s="13"/>
      <c r="P2746" s="14">
        <v>0.2</v>
      </c>
      <c r="Q2746" s="15">
        <v>0.4</v>
      </c>
      <c r="R2746" s="16" t="str">
        <f t="shared" si="229"/>
        <v>LUTRON</v>
      </c>
      <c r="S2746" s="17" t="str">
        <f t="shared" si="231"/>
        <v>LUTRON</v>
      </c>
      <c r="T2746" s="10" t="str">
        <f t="shared" si="232"/>
        <v>BALASTRO T5_HO LINEAL, DE UNA LÁMPARA.</v>
      </c>
    </row>
    <row r="2747" spans="1:20" ht="27" customHeight="1" x14ac:dyDescent="0.25">
      <c r="A2747" s="8" t="s">
        <v>5672</v>
      </c>
      <c r="B2747" s="9" t="s">
        <v>5666</v>
      </c>
      <c r="C2747" s="9"/>
      <c r="D2747" s="8" t="s">
        <v>184</v>
      </c>
      <c r="E2747" s="8">
        <v>100</v>
      </c>
      <c r="F2747" s="8" t="s">
        <v>22</v>
      </c>
      <c r="G2747" s="10" t="s">
        <v>5756</v>
      </c>
      <c r="H2747" s="8" t="s">
        <v>5759</v>
      </c>
      <c r="I2747" s="10" t="s">
        <v>5758</v>
      </c>
      <c r="J2747" s="11" t="s">
        <v>26</v>
      </c>
      <c r="K2747" s="57">
        <v>57.5</v>
      </c>
      <c r="L2747" s="12">
        <f t="shared" si="230"/>
        <v>115</v>
      </c>
      <c r="M2747" s="8">
        <v>3</v>
      </c>
      <c r="N2747" s="8" t="s">
        <v>27</v>
      </c>
      <c r="O2747" s="13"/>
      <c r="P2747" s="14">
        <v>0.2</v>
      </c>
      <c r="Q2747" s="15">
        <v>0.4</v>
      </c>
      <c r="R2747" s="16" t="str">
        <f t="shared" si="229"/>
        <v>LUTRON</v>
      </c>
      <c r="S2747" s="17" t="str">
        <f t="shared" si="231"/>
        <v>LUTRON</v>
      </c>
      <c r="T2747" s="10" t="str">
        <f t="shared" si="232"/>
        <v>BALASTRO T5_HO LINEAL, DE UNA LÁMPARA.</v>
      </c>
    </row>
    <row r="2748" spans="1:20" ht="27" customHeight="1" x14ac:dyDescent="0.25">
      <c r="A2748" s="8" t="s">
        <v>5672</v>
      </c>
      <c r="B2748" s="9" t="s">
        <v>5666</v>
      </c>
      <c r="C2748" s="9"/>
      <c r="D2748" s="8" t="s">
        <v>184</v>
      </c>
      <c r="E2748" s="8">
        <v>101</v>
      </c>
      <c r="F2748" s="8" t="s">
        <v>22</v>
      </c>
      <c r="G2748" s="10" t="s">
        <v>5756</v>
      </c>
      <c r="H2748" s="8" t="s">
        <v>5759</v>
      </c>
      <c r="I2748" s="10" t="s">
        <v>5758</v>
      </c>
      <c r="J2748" s="11" t="s">
        <v>26</v>
      </c>
      <c r="K2748" s="57">
        <v>57.5</v>
      </c>
      <c r="L2748" s="12">
        <f t="shared" si="230"/>
        <v>115</v>
      </c>
      <c r="M2748" s="8">
        <v>3</v>
      </c>
      <c r="N2748" s="8" t="s">
        <v>27</v>
      </c>
      <c r="O2748" s="13"/>
      <c r="P2748" s="14">
        <v>0.2</v>
      </c>
      <c r="Q2748" s="15">
        <v>0.4</v>
      </c>
      <c r="R2748" s="16" t="str">
        <f t="shared" si="229"/>
        <v>LUTRON</v>
      </c>
      <c r="S2748" s="17" t="str">
        <f t="shared" si="231"/>
        <v>LUTRON</v>
      </c>
      <c r="T2748" s="10" t="str">
        <f t="shared" si="232"/>
        <v>BALASTRO T5_HO LINEAL, DE UNA LÁMPARA.</v>
      </c>
    </row>
    <row r="2749" spans="1:20" ht="27" customHeight="1" x14ac:dyDescent="0.25">
      <c r="A2749" s="8" t="s">
        <v>5672</v>
      </c>
      <c r="B2749" s="9" t="s">
        <v>5666</v>
      </c>
      <c r="C2749" s="9"/>
      <c r="D2749" s="8" t="s">
        <v>184</v>
      </c>
      <c r="E2749" s="8">
        <v>102</v>
      </c>
      <c r="F2749" s="8" t="s">
        <v>22</v>
      </c>
      <c r="G2749" s="10" t="s">
        <v>5756</v>
      </c>
      <c r="H2749" s="8" t="s">
        <v>5759</v>
      </c>
      <c r="I2749" s="10" t="s">
        <v>5758</v>
      </c>
      <c r="J2749" s="11" t="s">
        <v>26</v>
      </c>
      <c r="K2749" s="57">
        <v>57.5</v>
      </c>
      <c r="L2749" s="12">
        <f t="shared" si="230"/>
        <v>115</v>
      </c>
      <c r="M2749" s="8">
        <v>3</v>
      </c>
      <c r="N2749" s="8" t="s">
        <v>27</v>
      </c>
      <c r="O2749" s="13"/>
      <c r="P2749" s="14">
        <v>0.2</v>
      </c>
      <c r="Q2749" s="15">
        <v>0.4</v>
      </c>
      <c r="R2749" s="16" t="str">
        <f t="shared" si="229"/>
        <v>LUTRON</v>
      </c>
      <c r="S2749" s="17" t="str">
        <f t="shared" si="231"/>
        <v>LUTRON</v>
      </c>
      <c r="T2749" s="10" t="str">
        <f t="shared" si="232"/>
        <v>BALASTRO T5_HO LINEAL, DE UNA LÁMPARA.</v>
      </c>
    </row>
    <row r="2750" spans="1:20" ht="27" customHeight="1" x14ac:dyDescent="0.25">
      <c r="A2750" s="8" t="s">
        <v>5672</v>
      </c>
      <c r="B2750" s="9" t="s">
        <v>5666</v>
      </c>
      <c r="C2750" s="9"/>
      <c r="D2750" s="8" t="s">
        <v>184</v>
      </c>
      <c r="E2750" s="8">
        <v>103</v>
      </c>
      <c r="F2750" s="8" t="s">
        <v>22</v>
      </c>
      <c r="G2750" s="10" t="s">
        <v>5756</v>
      </c>
      <c r="H2750" s="8" t="s">
        <v>5760</v>
      </c>
      <c r="I2750" s="10" t="s">
        <v>5758</v>
      </c>
      <c r="J2750" s="11" t="s">
        <v>26</v>
      </c>
      <c r="K2750" s="57">
        <v>57.5</v>
      </c>
      <c r="L2750" s="12">
        <f t="shared" si="230"/>
        <v>115</v>
      </c>
      <c r="M2750" s="8">
        <v>3</v>
      </c>
      <c r="N2750" s="8" t="s">
        <v>27</v>
      </c>
      <c r="O2750" s="13"/>
      <c r="P2750" s="14">
        <v>0.2</v>
      </c>
      <c r="Q2750" s="15">
        <v>0.4</v>
      </c>
      <c r="R2750" s="16" t="str">
        <f t="shared" si="229"/>
        <v>LUTRON</v>
      </c>
      <c r="S2750" s="17" t="str">
        <f t="shared" si="231"/>
        <v>LUTRON</v>
      </c>
      <c r="T2750" s="10" t="str">
        <f t="shared" si="232"/>
        <v>BALASTRO T5_HO LINEAL, DE UNA LÁMPARA.</v>
      </c>
    </row>
    <row r="2751" spans="1:20" ht="27" customHeight="1" x14ac:dyDescent="0.25">
      <c r="A2751" s="8" t="s">
        <v>5672</v>
      </c>
      <c r="B2751" s="9" t="s">
        <v>5666</v>
      </c>
      <c r="C2751" s="9"/>
      <c r="D2751" s="8" t="s">
        <v>184</v>
      </c>
      <c r="E2751" s="8">
        <v>104</v>
      </c>
      <c r="F2751" s="8" t="s">
        <v>22</v>
      </c>
      <c r="G2751" s="10" t="s">
        <v>5761</v>
      </c>
      <c r="H2751" s="8" t="s">
        <v>5762</v>
      </c>
      <c r="I2751" s="10" t="s">
        <v>5763</v>
      </c>
      <c r="J2751" s="11" t="s">
        <v>26</v>
      </c>
      <c r="K2751" s="57">
        <v>57.5</v>
      </c>
      <c r="L2751" s="12">
        <f t="shared" si="230"/>
        <v>115</v>
      </c>
      <c r="M2751" s="8">
        <v>3</v>
      </c>
      <c r="N2751" s="8" t="s">
        <v>27</v>
      </c>
      <c r="O2751" s="13"/>
      <c r="P2751" s="14">
        <v>0.2</v>
      </c>
      <c r="Q2751" s="15">
        <v>0.4</v>
      </c>
      <c r="R2751" s="16" t="str">
        <f t="shared" si="229"/>
        <v>LUTRON</v>
      </c>
      <c r="S2751" s="17" t="str">
        <f t="shared" si="231"/>
        <v>LUTRON</v>
      </c>
      <c r="T2751" s="10" t="str">
        <f t="shared" si="232"/>
        <v>BALASTRO T5_HO LINEAL, DE DOS LÁMPARAS.</v>
      </c>
    </row>
    <row r="2752" spans="1:20" ht="27" customHeight="1" x14ac:dyDescent="0.25">
      <c r="A2752" s="8" t="s">
        <v>5672</v>
      </c>
      <c r="B2752" s="9" t="s">
        <v>5666</v>
      </c>
      <c r="C2752" s="9"/>
      <c r="D2752" s="8" t="s">
        <v>184</v>
      </c>
      <c r="E2752" s="8">
        <v>105</v>
      </c>
      <c r="F2752" s="8" t="s">
        <v>22</v>
      </c>
      <c r="G2752" s="10" t="s">
        <v>5761</v>
      </c>
      <c r="H2752" s="8" t="s">
        <v>5764</v>
      </c>
      <c r="I2752" s="10" t="s">
        <v>5763</v>
      </c>
      <c r="J2752" s="11" t="s">
        <v>26</v>
      </c>
      <c r="K2752" s="57">
        <v>57.5</v>
      </c>
      <c r="L2752" s="12">
        <f t="shared" si="230"/>
        <v>115</v>
      </c>
      <c r="M2752" s="8">
        <v>3</v>
      </c>
      <c r="N2752" s="8" t="s">
        <v>27</v>
      </c>
      <c r="O2752" s="13"/>
      <c r="P2752" s="14">
        <v>0.2</v>
      </c>
      <c r="Q2752" s="15">
        <v>0.4</v>
      </c>
      <c r="R2752" s="16" t="str">
        <f t="shared" si="229"/>
        <v>LUTRON</v>
      </c>
      <c r="S2752" s="17" t="str">
        <f t="shared" si="231"/>
        <v>LUTRON</v>
      </c>
      <c r="T2752" s="10" t="str">
        <f t="shared" si="232"/>
        <v>BALASTRO T5_HO LINEAL, DE DOS LÁMPARAS.</v>
      </c>
    </row>
    <row r="2753" spans="1:20" ht="27" customHeight="1" x14ac:dyDescent="0.25">
      <c r="A2753" s="8" t="s">
        <v>5672</v>
      </c>
      <c r="B2753" s="9" t="s">
        <v>5666</v>
      </c>
      <c r="C2753" s="9"/>
      <c r="D2753" s="8" t="s">
        <v>184</v>
      </c>
      <c r="E2753" s="8">
        <v>106</v>
      </c>
      <c r="F2753" s="8" t="s">
        <v>22</v>
      </c>
      <c r="G2753" s="10" t="s">
        <v>5761</v>
      </c>
      <c r="H2753" s="8" t="s">
        <v>5764</v>
      </c>
      <c r="I2753" s="10" t="s">
        <v>5763</v>
      </c>
      <c r="J2753" s="11" t="s">
        <v>26</v>
      </c>
      <c r="K2753" s="57">
        <v>57.5</v>
      </c>
      <c r="L2753" s="12">
        <f t="shared" si="230"/>
        <v>115</v>
      </c>
      <c r="M2753" s="8">
        <v>3</v>
      </c>
      <c r="N2753" s="8" t="s">
        <v>27</v>
      </c>
      <c r="O2753" s="13"/>
      <c r="P2753" s="14">
        <v>0.2</v>
      </c>
      <c r="Q2753" s="15">
        <v>0.4</v>
      </c>
      <c r="R2753" s="16" t="str">
        <f t="shared" ref="R2753:R2816" si="233">A2753</f>
        <v>LUTRON</v>
      </c>
      <c r="S2753" s="17" t="str">
        <f t="shared" si="231"/>
        <v>LUTRON</v>
      </c>
      <c r="T2753" s="10" t="str">
        <f t="shared" si="232"/>
        <v>BALASTRO T5_HO LINEAL, DE DOS LÁMPARAS.</v>
      </c>
    </row>
    <row r="2754" spans="1:20" ht="27" customHeight="1" x14ac:dyDescent="0.25">
      <c r="A2754" s="8" t="s">
        <v>5672</v>
      </c>
      <c r="B2754" s="9" t="s">
        <v>5666</v>
      </c>
      <c r="C2754" s="9"/>
      <c r="D2754" s="8" t="s">
        <v>184</v>
      </c>
      <c r="E2754" s="8">
        <v>107</v>
      </c>
      <c r="F2754" s="8" t="s">
        <v>22</v>
      </c>
      <c r="G2754" s="10" t="s">
        <v>5761</v>
      </c>
      <c r="H2754" s="8" t="s">
        <v>5764</v>
      </c>
      <c r="I2754" s="10" t="s">
        <v>5763</v>
      </c>
      <c r="J2754" s="11" t="s">
        <v>26</v>
      </c>
      <c r="K2754" s="57">
        <v>57.5</v>
      </c>
      <c r="L2754" s="12">
        <f t="shared" si="230"/>
        <v>115</v>
      </c>
      <c r="M2754" s="8">
        <v>3</v>
      </c>
      <c r="N2754" s="8" t="s">
        <v>27</v>
      </c>
      <c r="O2754" s="13"/>
      <c r="P2754" s="14">
        <v>0.2</v>
      </c>
      <c r="Q2754" s="15">
        <v>0.4</v>
      </c>
      <c r="R2754" s="16" t="str">
        <f t="shared" si="233"/>
        <v>LUTRON</v>
      </c>
      <c r="S2754" s="17" t="str">
        <f t="shared" si="231"/>
        <v>LUTRON</v>
      </c>
      <c r="T2754" s="10" t="str">
        <f t="shared" si="232"/>
        <v>BALASTRO T5_HO LINEAL, DE DOS LÁMPARAS.</v>
      </c>
    </row>
    <row r="2755" spans="1:20" ht="27" customHeight="1" x14ac:dyDescent="0.25">
      <c r="A2755" s="8" t="s">
        <v>5672</v>
      </c>
      <c r="B2755" s="9" t="s">
        <v>5666</v>
      </c>
      <c r="C2755" s="9"/>
      <c r="D2755" s="8" t="s">
        <v>184</v>
      </c>
      <c r="E2755" s="8">
        <v>108</v>
      </c>
      <c r="F2755" s="8" t="s">
        <v>22</v>
      </c>
      <c r="G2755" s="10" t="s">
        <v>5761</v>
      </c>
      <c r="H2755" s="8" t="s">
        <v>5765</v>
      </c>
      <c r="I2755" s="10" t="s">
        <v>5763</v>
      </c>
      <c r="J2755" s="11" t="s">
        <v>26</v>
      </c>
      <c r="K2755" s="57">
        <v>57.5</v>
      </c>
      <c r="L2755" s="12">
        <f t="shared" si="230"/>
        <v>115</v>
      </c>
      <c r="M2755" s="8">
        <v>3</v>
      </c>
      <c r="N2755" s="8" t="s">
        <v>27</v>
      </c>
      <c r="O2755" s="13"/>
      <c r="P2755" s="14">
        <v>0.2</v>
      </c>
      <c r="Q2755" s="15">
        <v>0.4</v>
      </c>
      <c r="R2755" s="16" t="str">
        <f t="shared" si="233"/>
        <v>LUTRON</v>
      </c>
      <c r="S2755" s="17" t="str">
        <f t="shared" si="231"/>
        <v>LUTRON</v>
      </c>
      <c r="T2755" s="10" t="str">
        <f t="shared" si="232"/>
        <v>BALASTRO T5_HO LINEAL, DE DOS LÁMPARAS.</v>
      </c>
    </row>
    <row r="2756" spans="1:20" ht="27" customHeight="1" x14ac:dyDescent="0.25">
      <c r="A2756" s="8" t="s">
        <v>5672</v>
      </c>
      <c r="B2756" s="9" t="s">
        <v>5666</v>
      </c>
      <c r="C2756" s="9"/>
      <c r="D2756" s="8" t="s">
        <v>184</v>
      </c>
      <c r="E2756" s="8">
        <v>109</v>
      </c>
      <c r="F2756" s="8" t="s">
        <v>22</v>
      </c>
      <c r="G2756" s="10" t="s">
        <v>5761</v>
      </c>
      <c r="H2756" s="8" t="s">
        <v>5762</v>
      </c>
      <c r="I2756" s="10" t="s">
        <v>5763</v>
      </c>
      <c r="J2756" s="11" t="s">
        <v>26</v>
      </c>
      <c r="K2756" s="57">
        <v>57.5</v>
      </c>
      <c r="L2756" s="12">
        <f t="shared" si="230"/>
        <v>115</v>
      </c>
      <c r="M2756" s="8">
        <v>3</v>
      </c>
      <c r="N2756" s="8" t="s">
        <v>27</v>
      </c>
      <c r="O2756" s="13"/>
      <c r="P2756" s="14">
        <v>0.2</v>
      </c>
      <c r="Q2756" s="15">
        <v>0.4</v>
      </c>
      <c r="R2756" s="16" t="str">
        <f t="shared" si="233"/>
        <v>LUTRON</v>
      </c>
      <c r="S2756" s="17" t="str">
        <f t="shared" si="231"/>
        <v>LUTRON</v>
      </c>
      <c r="T2756" s="10" t="str">
        <f t="shared" si="232"/>
        <v>BALASTRO T5_HO LINEAL, DE DOS LÁMPARAS.</v>
      </c>
    </row>
    <row r="2757" spans="1:20" ht="27" customHeight="1" x14ac:dyDescent="0.25">
      <c r="A2757" s="8" t="s">
        <v>5672</v>
      </c>
      <c r="B2757" s="9" t="s">
        <v>5666</v>
      </c>
      <c r="C2757" s="9"/>
      <c r="D2757" s="8" t="s">
        <v>184</v>
      </c>
      <c r="E2757" s="8">
        <v>110</v>
      </c>
      <c r="F2757" s="8" t="s">
        <v>22</v>
      </c>
      <c r="G2757" s="10" t="s">
        <v>5761</v>
      </c>
      <c r="H2757" s="8" t="s">
        <v>5762</v>
      </c>
      <c r="I2757" s="10" t="s">
        <v>5763</v>
      </c>
      <c r="J2757" s="11" t="s">
        <v>26</v>
      </c>
      <c r="K2757" s="57">
        <v>57.5</v>
      </c>
      <c r="L2757" s="12">
        <f t="shared" si="230"/>
        <v>115</v>
      </c>
      <c r="M2757" s="8">
        <v>3</v>
      </c>
      <c r="N2757" s="8" t="s">
        <v>27</v>
      </c>
      <c r="O2757" s="13"/>
      <c r="P2757" s="14">
        <v>0.2</v>
      </c>
      <c r="Q2757" s="15">
        <v>0.4</v>
      </c>
      <c r="R2757" s="16" t="str">
        <f t="shared" si="233"/>
        <v>LUTRON</v>
      </c>
      <c r="S2757" s="17" t="str">
        <f t="shared" si="231"/>
        <v>LUTRON</v>
      </c>
      <c r="T2757" s="10" t="str">
        <f t="shared" si="232"/>
        <v>BALASTRO T5_HO LINEAL, DE DOS LÁMPARAS.</v>
      </c>
    </row>
    <row r="2758" spans="1:20" ht="27" customHeight="1" x14ac:dyDescent="0.25">
      <c r="A2758" s="8" t="s">
        <v>5672</v>
      </c>
      <c r="B2758" s="9" t="s">
        <v>5666</v>
      </c>
      <c r="C2758" s="9"/>
      <c r="D2758" s="8" t="s">
        <v>184</v>
      </c>
      <c r="E2758" s="8">
        <v>111</v>
      </c>
      <c r="F2758" s="8" t="s">
        <v>22</v>
      </c>
      <c r="G2758" s="10" t="s">
        <v>5766</v>
      </c>
      <c r="H2758" s="8" t="s">
        <v>5767</v>
      </c>
      <c r="I2758" s="10" t="s">
        <v>5768</v>
      </c>
      <c r="J2758" s="11" t="s">
        <v>26</v>
      </c>
      <c r="K2758" s="57">
        <v>57.5</v>
      </c>
      <c r="L2758" s="12">
        <f t="shared" si="230"/>
        <v>115</v>
      </c>
      <c r="M2758" s="8">
        <v>3</v>
      </c>
      <c r="N2758" s="8" t="s">
        <v>27</v>
      </c>
      <c r="O2758" s="13"/>
      <c r="P2758" s="14">
        <v>0.2</v>
      </c>
      <c r="Q2758" s="15">
        <v>0.4</v>
      </c>
      <c r="R2758" s="16" t="str">
        <f t="shared" si="233"/>
        <v>LUTRON</v>
      </c>
      <c r="S2758" s="17" t="str">
        <f t="shared" si="231"/>
        <v>LUTRON</v>
      </c>
      <c r="T2758" s="10" t="str">
        <f t="shared" si="232"/>
        <v>BALASTRO T5 LINEAL DE 25 VATIOS, UNA LÁMPARA.</v>
      </c>
    </row>
    <row r="2759" spans="1:20" ht="27" customHeight="1" x14ac:dyDescent="0.25">
      <c r="A2759" s="8" t="s">
        <v>5672</v>
      </c>
      <c r="B2759" s="9" t="s">
        <v>5666</v>
      </c>
      <c r="C2759" s="9"/>
      <c r="D2759" s="8" t="s">
        <v>184</v>
      </c>
      <c r="E2759" s="8">
        <v>112</v>
      </c>
      <c r="F2759" s="8" t="s">
        <v>22</v>
      </c>
      <c r="G2759" s="10" t="s">
        <v>5769</v>
      </c>
      <c r="H2759" s="8" t="s">
        <v>5770</v>
      </c>
      <c r="I2759" s="10" t="s">
        <v>5771</v>
      </c>
      <c r="J2759" s="11" t="s">
        <v>26</v>
      </c>
      <c r="K2759" s="57">
        <v>57.5</v>
      </c>
      <c r="L2759" s="12">
        <f t="shared" si="230"/>
        <v>115</v>
      </c>
      <c r="M2759" s="8">
        <v>3</v>
      </c>
      <c r="N2759" s="8" t="s">
        <v>27</v>
      </c>
      <c r="O2759" s="13"/>
      <c r="P2759" s="14">
        <v>0.2</v>
      </c>
      <c r="Q2759" s="15">
        <v>0.4</v>
      </c>
      <c r="R2759" s="16" t="str">
        <f t="shared" si="233"/>
        <v>LUTRON</v>
      </c>
      <c r="S2759" s="17" t="str">
        <f t="shared" si="231"/>
        <v>LUTRON</v>
      </c>
      <c r="T2759" s="10" t="str">
        <f t="shared" si="232"/>
        <v>BALASTRO T5 LINEAL DE VATIAJE REDUCIDO, DE UNA LÁMPARA.</v>
      </c>
    </row>
    <row r="2760" spans="1:20" ht="27" customHeight="1" x14ac:dyDescent="0.25">
      <c r="A2760" s="8" t="s">
        <v>5672</v>
      </c>
      <c r="B2760" s="9" t="s">
        <v>5666</v>
      </c>
      <c r="C2760" s="9"/>
      <c r="D2760" s="8" t="s">
        <v>184</v>
      </c>
      <c r="E2760" s="8">
        <v>113</v>
      </c>
      <c r="F2760" s="8" t="s">
        <v>22</v>
      </c>
      <c r="G2760" s="10" t="s">
        <v>5769</v>
      </c>
      <c r="H2760" s="8" t="s">
        <v>5772</v>
      </c>
      <c r="I2760" s="10" t="s">
        <v>5773</v>
      </c>
      <c r="J2760" s="11" t="s">
        <v>26</v>
      </c>
      <c r="K2760" s="57">
        <v>57.5</v>
      </c>
      <c r="L2760" s="12">
        <f t="shared" si="230"/>
        <v>115</v>
      </c>
      <c r="M2760" s="8">
        <v>3</v>
      </c>
      <c r="N2760" s="8" t="s">
        <v>27</v>
      </c>
      <c r="O2760" s="13"/>
      <c r="P2760" s="14">
        <v>0.2</v>
      </c>
      <c r="Q2760" s="15">
        <v>0.4</v>
      </c>
      <c r="R2760" s="16" t="str">
        <f t="shared" si="233"/>
        <v>LUTRON</v>
      </c>
      <c r="S2760" s="17" t="str">
        <f t="shared" si="231"/>
        <v>LUTRON</v>
      </c>
      <c r="T2760" s="10" t="str">
        <f t="shared" si="232"/>
        <v>BALASTRO T5 LINEAL DE VATIAJE REDUCIDO, DE UNA LÁMPARA.</v>
      </c>
    </row>
    <row r="2761" spans="1:20" ht="27" customHeight="1" x14ac:dyDescent="0.25">
      <c r="A2761" s="8" t="s">
        <v>5672</v>
      </c>
      <c r="B2761" s="9" t="s">
        <v>5666</v>
      </c>
      <c r="C2761" s="9"/>
      <c r="D2761" s="8" t="s">
        <v>184</v>
      </c>
      <c r="E2761" s="8">
        <v>114</v>
      </c>
      <c r="F2761" s="8" t="s">
        <v>22</v>
      </c>
      <c r="G2761" s="10" t="s">
        <v>5769</v>
      </c>
      <c r="H2761" s="8" t="s">
        <v>5774</v>
      </c>
      <c r="I2761" s="10" t="s">
        <v>5773</v>
      </c>
      <c r="J2761" s="11" t="s">
        <v>26</v>
      </c>
      <c r="K2761" s="57">
        <v>57.5</v>
      </c>
      <c r="L2761" s="12">
        <f t="shared" si="230"/>
        <v>115</v>
      </c>
      <c r="M2761" s="8">
        <v>3</v>
      </c>
      <c r="N2761" s="8" t="s">
        <v>27</v>
      </c>
      <c r="O2761" s="13"/>
      <c r="P2761" s="14">
        <v>0.2</v>
      </c>
      <c r="Q2761" s="15">
        <v>0.4</v>
      </c>
      <c r="R2761" s="16" t="str">
        <f t="shared" si="233"/>
        <v>LUTRON</v>
      </c>
      <c r="S2761" s="17" t="str">
        <f t="shared" si="231"/>
        <v>LUTRON</v>
      </c>
      <c r="T2761" s="10" t="str">
        <f t="shared" si="232"/>
        <v>BALASTRO T5 LINEAL DE VATIAJE REDUCIDO, DE UNA LÁMPARA.</v>
      </c>
    </row>
    <row r="2762" spans="1:20" ht="27" customHeight="1" x14ac:dyDescent="0.25">
      <c r="A2762" s="8" t="s">
        <v>5672</v>
      </c>
      <c r="B2762" s="9" t="s">
        <v>5666</v>
      </c>
      <c r="C2762" s="9"/>
      <c r="D2762" s="8" t="s">
        <v>184</v>
      </c>
      <c r="E2762" s="8">
        <v>115</v>
      </c>
      <c r="F2762" s="8" t="s">
        <v>22</v>
      </c>
      <c r="G2762" s="10" t="s">
        <v>5769</v>
      </c>
      <c r="H2762" s="8" t="s">
        <v>5775</v>
      </c>
      <c r="I2762" s="10" t="s">
        <v>5773</v>
      </c>
      <c r="J2762" s="11" t="s">
        <v>26</v>
      </c>
      <c r="K2762" s="57">
        <v>57.5</v>
      </c>
      <c r="L2762" s="12">
        <f t="shared" si="230"/>
        <v>115</v>
      </c>
      <c r="M2762" s="8">
        <v>3</v>
      </c>
      <c r="N2762" s="8" t="s">
        <v>27</v>
      </c>
      <c r="O2762" s="13"/>
      <c r="P2762" s="14">
        <v>0.2</v>
      </c>
      <c r="Q2762" s="15">
        <v>0.4</v>
      </c>
      <c r="R2762" s="16" t="str">
        <f t="shared" si="233"/>
        <v>LUTRON</v>
      </c>
      <c r="S2762" s="17" t="str">
        <f t="shared" si="231"/>
        <v>LUTRON</v>
      </c>
      <c r="T2762" s="10" t="str">
        <f t="shared" si="232"/>
        <v>BALASTRO T5 LINEAL DE VATIAJE REDUCIDO, DE UNA LÁMPARA.</v>
      </c>
    </row>
    <row r="2763" spans="1:20" ht="27" customHeight="1" x14ac:dyDescent="0.25">
      <c r="A2763" s="8" t="s">
        <v>5672</v>
      </c>
      <c r="B2763" s="9" t="s">
        <v>5666</v>
      </c>
      <c r="C2763" s="9"/>
      <c r="D2763" s="8" t="s">
        <v>184</v>
      </c>
      <c r="E2763" s="8">
        <v>116</v>
      </c>
      <c r="F2763" s="8" t="s">
        <v>22</v>
      </c>
      <c r="G2763" s="10" t="s">
        <v>5769</v>
      </c>
      <c r="H2763" s="8" t="s">
        <v>5776</v>
      </c>
      <c r="I2763" s="10" t="s">
        <v>5777</v>
      </c>
      <c r="J2763" s="11" t="s">
        <v>26</v>
      </c>
      <c r="K2763" s="57">
        <v>57.5</v>
      </c>
      <c r="L2763" s="12">
        <f t="shared" si="230"/>
        <v>115</v>
      </c>
      <c r="M2763" s="8">
        <v>3</v>
      </c>
      <c r="N2763" s="8" t="s">
        <v>27</v>
      </c>
      <c r="O2763" s="13"/>
      <c r="P2763" s="14">
        <v>0.2</v>
      </c>
      <c r="Q2763" s="15">
        <v>0.4</v>
      </c>
      <c r="R2763" s="16" t="str">
        <f t="shared" si="233"/>
        <v>LUTRON</v>
      </c>
      <c r="S2763" s="17" t="str">
        <f t="shared" si="231"/>
        <v>LUTRON</v>
      </c>
      <c r="T2763" s="10" t="str">
        <f t="shared" si="232"/>
        <v>BALASTRO T5 LINEAL DE VATIAJE REDUCIDO, DE UNA LÁMPARA.</v>
      </c>
    </row>
    <row r="2764" spans="1:20" ht="27" customHeight="1" x14ac:dyDescent="0.25">
      <c r="A2764" s="8" t="s">
        <v>5672</v>
      </c>
      <c r="B2764" s="9" t="s">
        <v>5666</v>
      </c>
      <c r="C2764" s="9"/>
      <c r="D2764" s="8" t="s">
        <v>184</v>
      </c>
      <c r="E2764" s="8">
        <v>117</v>
      </c>
      <c r="F2764" s="8" t="s">
        <v>22</v>
      </c>
      <c r="G2764" s="10" t="s">
        <v>5769</v>
      </c>
      <c r="H2764" s="8" t="s">
        <v>5778</v>
      </c>
      <c r="I2764" s="10" t="s">
        <v>5777</v>
      </c>
      <c r="J2764" s="11" t="s">
        <v>26</v>
      </c>
      <c r="K2764" s="57">
        <v>57.5</v>
      </c>
      <c r="L2764" s="12">
        <f t="shared" si="230"/>
        <v>115</v>
      </c>
      <c r="M2764" s="8">
        <v>3</v>
      </c>
      <c r="N2764" s="8" t="s">
        <v>27</v>
      </c>
      <c r="O2764" s="13"/>
      <c r="P2764" s="14">
        <v>0.2</v>
      </c>
      <c r="Q2764" s="15">
        <v>0.4</v>
      </c>
      <c r="R2764" s="16" t="str">
        <f t="shared" si="233"/>
        <v>LUTRON</v>
      </c>
      <c r="S2764" s="17" t="str">
        <f t="shared" si="231"/>
        <v>LUTRON</v>
      </c>
      <c r="T2764" s="10" t="str">
        <f t="shared" si="232"/>
        <v>BALASTRO T5 LINEAL DE VATIAJE REDUCIDO, DE UNA LÁMPARA.</v>
      </c>
    </row>
    <row r="2765" spans="1:20" ht="27" customHeight="1" x14ac:dyDescent="0.25">
      <c r="A2765" s="8" t="s">
        <v>5672</v>
      </c>
      <c r="B2765" s="9" t="s">
        <v>5666</v>
      </c>
      <c r="C2765" s="9"/>
      <c r="D2765" s="8" t="s">
        <v>184</v>
      </c>
      <c r="E2765" s="8">
        <v>118</v>
      </c>
      <c r="F2765" s="8" t="s">
        <v>22</v>
      </c>
      <c r="G2765" s="10" t="s">
        <v>5779</v>
      </c>
      <c r="H2765" s="8" t="s">
        <v>5780</v>
      </c>
      <c r="I2765" s="10" t="s">
        <v>5781</v>
      </c>
      <c r="J2765" s="11" t="s">
        <v>26</v>
      </c>
      <c r="K2765" s="57">
        <v>57.5</v>
      </c>
      <c r="L2765" s="12">
        <f t="shared" si="230"/>
        <v>115</v>
      </c>
      <c r="M2765" s="8">
        <v>3</v>
      </c>
      <c r="N2765" s="8" t="s">
        <v>27</v>
      </c>
      <c r="O2765" s="13"/>
      <c r="P2765" s="14">
        <v>0.2</v>
      </c>
      <c r="Q2765" s="15">
        <v>0.4</v>
      </c>
      <c r="R2765" s="16" t="str">
        <f t="shared" si="233"/>
        <v>LUTRON</v>
      </c>
      <c r="S2765" s="17" t="str">
        <f t="shared" si="231"/>
        <v>LUTRON</v>
      </c>
      <c r="T2765" s="10" t="str">
        <f t="shared" si="232"/>
        <v>BALASTRO T5 LINEAL DE VATIAJE REDUCIDO, 2 LÁMPARAS.</v>
      </c>
    </row>
    <row r="2766" spans="1:20" ht="27" customHeight="1" x14ac:dyDescent="0.25">
      <c r="A2766" s="8" t="s">
        <v>5672</v>
      </c>
      <c r="B2766" s="9" t="s">
        <v>5666</v>
      </c>
      <c r="C2766" s="9"/>
      <c r="D2766" s="8" t="s">
        <v>184</v>
      </c>
      <c r="E2766" s="8">
        <v>119</v>
      </c>
      <c r="F2766" s="8" t="s">
        <v>22</v>
      </c>
      <c r="G2766" s="10" t="s">
        <v>5779</v>
      </c>
      <c r="H2766" s="8" t="s">
        <v>5782</v>
      </c>
      <c r="I2766" s="10" t="s">
        <v>5781</v>
      </c>
      <c r="J2766" s="11" t="s">
        <v>26</v>
      </c>
      <c r="K2766" s="57">
        <v>57.5</v>
      </c>
      <c r="L2766" s="12">
        <f t="shared" si="230"/>
        <v>115</v>
      </c>
      <c r="M2766" s="8">
        <v>3</v>
      </c>
      <c r="N2766" s="8" t="s">
        <v>27</v>
      </c>
      <c r="O2766" s="13"/>
      <c r="P2766" s="14">
        <v>0.2</v>
      </c>
      <c r="Q2766" s="15">
        <v>0.4</v>
      </c>
      <c r="R2766" s="16" t="str">
        <f t="shared" si="233"/>
        <v>LUTRON</v>
      </c>
      <c r="S2766" s="17" t="str">
        <f t="shared" si="231"/>
        <v>LUTRON</v>
      </c>
      <c r="T2766" s="10" t="str">
        <f t="shared" si="232"/>
        <v>BALASTRO T5 LINEAL DE VATIAJE REDUCIDO, 2 LÁMPARAS.</v>
      </c>
    </row>
    <row r="2767" spans="1:20" ht="27" customHeight="1" x14ac:dyDescent="0.25">
      <c r="A2767" s="8" t="s">
        <v>5672</v>
      </c>
      <c r="B2767" s="9" t="s">
        <v>5666</v>
      </c>
      <c r="C2767" s="9"/>
      <c r="D2767" s="8" t="s">
        <v>184</v>
      </c>
      <c r="E2767" s="8">
        <v>120</v>
      </c>
      <c r="F2767" s="8" t="s">
        <v>22</v>
      </c>
      <c r="G2767" s="10" t="s">
        <v>5779</v>
      </c>
      <c r="H2767" s="8" t="s">
        <v>5783</v>
      </c>
      <c r="I2767" s="10" t="s">
        <v>5784</v>
      </c>
      <c r="J2767" s="11" t="s">
        <v>26</v>
      </c>
      <c r="K2767" s="57">
        <v>57.5</v>
      </c>
      <c r="L2767" s="12">
        <f t="shared" si="230"/>
        <v>115</v>
      </c>
      <c r="M2767" s="8">
        <v>3</v>
      </c>
      <c r="N2767" s="8" t="s">
        <v>27</v>
      </c>
      <c r="O2767" s="13"/>
      <c r="P2767" s="14">
        <v>0.2</v>
      </c>
      <c r="Q2767" s="15">
        <v>0.4</v>
      </c>
      <c r="R2767" s="16" t="str">
        <f t="shared" si="233"/>
        <v>LUTRON</v>
      </c>
      <c r="S2767" s="17" t="str">
        <f t="shared" si="231"/>
        <v>LUTRON</v>
      </c>
      <c r="T2767" s="10" t="str">
        <f t="shared" si="232"/>
        <v>BALASTRO T5 LINEAL DE VATIAJE REDUCIDO, 2 LÁMPARAS.</v>
      </c>
    </row>
    <row r="2768" spans="1:20" ht="27" customHeight="1" x14ac:dyDescent="0.25">
      <c r="A2768" s="8" t="s">
        <v>5672</v>
      </c>
      <c r="B2768" s="9" t="s">
        <v>5666</v>
      </c>
      <c r="C2768" s="9"/>
      <c r="D2768" s="8" t="s">
        <v>184</v>
      </c>
      <c r="E2768" s="8">
        <v>121</v>
      </c>
      <c r="F2768" s="8" t="s">
        <v>22</v>
      </c>
      <c r="G2768" s="10" t="s">
        <v>5779</v>
      </c>
      <c r="H2768" s="8" t="s">
        <v>5785</v>
      </c>
      <c r="I2768" s="10" t="s">
        <v>5786</v>
      </c>
      <c r="J2768" s="11" t="s">
        <v>26</v>
      </c>
      <c r="K2768" s="57">
        <v>57.5</v>
      </c>
      <c r="L2768" s="12">
        <f t="shared" si="230"/>
        <v>115</v>
      </c>
      <c r="M2768" s="8">
        <v>3</v>
      </c>
      <c r="N2768" s="8" t="s">
        <v>27</v>
      </c>
      <c r="O2768" s="13"/>
      <c r="P2768" s="14">
        <v>0.2</v>
      </c>
      <c r="Q2768" s="15">
        <v>0.4</v>
      </c>
      <c r="R2768" s="16" t="str">
        <f t="shared" si="233"/>
        <v>LUTRON</v>
      </c>
      <c r="S2768" s="17" t="str">
        <f t="shared" si="231"/>
        <v>LUTRON</v>
      </c>
      <c r="T2768" s="10" t="str">
        <f t="shared" si="232"/>
        <v>BALASTRO T5 LINEAL DE VATIAJE REDUCIDO, 2 LÁMPARAS.</v>
      </c>
    </row>
    <row r="2769" spans="1:20" ht="27" customHeight="1" x14ac:dyDescent="0.25">
      <c r="A2769" s="8" t="s">
        <v>5672</v>
      </c>
      <c r="B2769" s="9" t="s">
        <v>5666</v>
      </c>
      <c r="C2769" s="9"/>
      <c r="D2769" s="8" t="s">
        <v>184</v>
      </c>
      <c r="E2769" s="8">
        <v>122</v>
      </c>
      <c r="F2769" s="8" t="s">
        <v>22</v>
      </c>
      <c r="G2769" s="10" t="s">
        <v>5779</v>
      </c>
      <c r="H2769" s="8" t="s">
        <v>5787</v>
      </c>
      <c r="I2769" s="10" t="s">
        <v>5786</v>
      </c>
      <c r="J2769" s="11" t="s">
        <v>26</v>
      </c>
      <c r="K2769" s="57">
        <v>57.5</v>
      </c>
      <c r="L2769" s="12">
        <f t="shared" si="230"/>
        <v>115</v>
      </c>
      <c r="M2769" s="8">
        <v>3</v>
      </c>
      <c r="N2769" s="8" t="s">
        <v>27</v>
      </c>
      <c r="O2769" s="13"/>
      <c r="P2769" s="14">
        <v>0.2</v>
      </c>
      <c r="Q2769" s="15">
        <v>0.4</v>
      </c>
      <c r="R2769" s="16" t="str">
        <f t="shared" si="233"/>
        <v>LUTRON</v>
      </c>
      <c r="S2769" s="17" t="str">
        <f t="shared" si="231"/>
        <v>LUTRON</v>
      </c>
      <c r="T2769" s="10" t="str">
        <f t="shared" si="232"/>
        <v>BALASTRO T5 LINEAL DE VATIAJE REDUCIDO, 2 LÁMPARAS.</v>
      </c>
    </row>
    <row r="2770" spans="1:20" ht="27" customHeight="1" x14ac:dyDescent="0.25">
      <c r="A2770" s="8" t="s">
        <v>5672</v>
      </c>
      <c r="B2770" s="9" t="s">
        <v>5666</v>
      </c>
      <c r="C2770" s="9"/>
      <c r="D2770" s="8" t="s">
        <v>184</v>
      </c>
      <c r="E2770" s="8">
        <v>123</v>
      </c>
      <c r="F2770" s="8" t="s">
        <v>22</v>
      </c>
      <c r="G2770" s="10" t="s">
        <v>5788</v>
      </c>
      <c r="H2770" s="8" t="s">
        <v>5789</v>
      </c>
      <c r="I2770" s="10" t="s">
        <v>5790</v>
      </c>
      <c r="J2770" s="11" t="s">
        <v>26</v>
      </c>
      <c r="K2770" s="57">
        <v>57.5</v>
      </c>
      <c r="L2770" s="12">
        <f t="shared" si="230"/>
        <v>115</v>
      </c>
      <c r="M2770" s="8">
        <v>3</v>
      </c>
      <c r="N2770" s="8" t="s">
        <v>27</v>
      </c>
      <c r="O2770" s="13"/>
      <c r="P2770" s="14">
        <v>0.2</v>
      </c>
      <c r="Q2770" s="15">
        <v>0.4</v>
      </c>
      <c r="R2770" s="16" t="str">
        <f t="shared" si="233"/>
        <v>LUTRON</v>
      </c>
      <c r="S2770" s="17" t="str">
        <f t="shared" si="231"/>
        <v>LUTRON</v>
      </c>
      <c r="T2770" s="10" t="str">
        <f t="shared" si="232"/>
        <v>BALASTRO T5_HO LINEAL DE VATIAJE REDUCIDO, DE UNA LÁMPARA.</v>
      </c>
    </row>
    <row r="2771" spans="1:20" ht="27" customHeight="1" x14ac:dyDescent="0.25">
      <c r="A2771" s="8" t="s">
        <v>5672</v>
      </c>
      <c r="B2771" s="9" t="s">
        <v>5666</v>
      </c>
      <c r="C2771" s="9"/>
      <c r="D2771" s="8" t="s">
        <v>184</v>
      </c>
      <c r="E2771" s="8">
        <v>124</v>
      </c>
      <c r="F2771" s="8" t="s">
        <v>22</v>
      </c>
      <c r="G2771" s="10" t="s">
        <v>5788</v>
      </c>
      <c r="H2771" s="8" t="s">
        <v>5791</v>
      </c>
      <c r="I2771" s="10" t="s">
        <v>5792</v>
      </c>
      <c r="J2771" s="11" t="s">
        <v>26</v>
      </c>
      <c r="K2771" s="57">
        <v>57.5</v>
      </c>
      <c r="L2771" s="12">
        <f t="shared" si="230"/>
        <v>115</v>
      </c>
      <c r="M2771" s="8">
        <v>3</v>
      </c>
      <c r="N2771" s="8" t="s">
        <v>27</v>
      </c>
      <c r="O2771" s="13"/>
      <c r="P2771" s="14">
        <v>0.2</v>
      </c>
      <c r="Q2771" s="15">
        <v>0.4</v>
      </c>
      <c r="R2771" s="16" t="str">
        <f t="shared" si="233"/>
        <v>LUTRON</v>
      </c>
      <c r="S2771" s="17" t="str">
        <f t="shared" si="231"/>
        <v>LUTRON</v>
      </c>
      <c r="T2771" s="10" t="str">
        <f t="shared" si="232"/>
        <v>BALASTRO T5_HO LINEAL DE VATIAJE REDUCIDO, DE UNA LÁMPARA.</v>
      </c>
    </row>
    <row r="2772" spans="1:20" ht="27" customHeight="1" x14ac:dyDescent="0.25">
      <c r="A2772" s="8" t="s">
        <v>5672</v>
      </c>
      <c r="B2772" s="9" t="s">
        <v>5666</v>
      </c>
      <c r="C2772" s="9"/>
      <c r="D2772" s="8" t="s">
        <v>184</v>
      </c>
      <c r="E2772" s="8">
        <v>125</v>
      </c>
      <c r="F2772" s="8" t="s">
        <v>22</v>
      </c>
      <c r="G2772" s="10" t="s">
        <v>5788</v>
      </c>
      <c r="H2772" s="8" t="s">
        <v>5793</v>
      </c>
      <c r="I2772" s="10" t="s">
        <v>5794</v>
      </c>
      <c r="J2772" s="11" t="s">
        <v>26</v>
      </c>
      <c r="K2772" s="57">
        <v>57.5</v>
      </c>
      <c r="L2772" s="12">
        <f t="shared" si="230"/>
        <v>115</v>
      </c>
      <c r="M2772" s="8">
        <v>3</v>
      </c>
      <c r="N2772" s="8" t="s">
        <v>27</v>
      </c>
      <c r="O2772" s="13"/>
      <c r="P2772" s="14">
        <v>0.2</v>
      </c>
      <c r="Q2772" s="15">
        <v>0.4</v>
      </c>
      <c r="R2772" s="16" t="str">
        <f t="shared" si="233"/>
        <v>LUTRON</v>
      </c>
      <c r="S2772" s="17" t="str">
        <f t="shared" si="231"/>
        <v>LUTRON</v>
      </c>
      <c r="T2772" s="10" t="str">
        <f t="shared" si="232"/>
        <v>BALASTRO T5_HO LINEAL DE VATIAJE REDUCIDO, DE UNA LÁMPARA.</v>
      </c>
    </row>
    <row r="2773" spans="1:20" ht="27" customHeight="1" x14ac:dyDescent="0.25">
      <c r="A2773" s="8" t="s">
        <v>5672</v>
      </c>
      <c r="B2773" s="9" t="s">
        <v>5666</v>
      </c>
      <c r="C2773" s="9"/>
      <c r="D2773" s="8" t="s">
        <v>184</v>
      </c>
      <c r="E2773" s="8">
        <v>126</v>
      </c>
      <c r="F2773" s="8" t="s">
        <v>22</v>
      </c>
      <c r="G2773" s="10" t="s">
        <v>5795</v>
      </c>
      <c r="H2773" s="8" t="s">
        <v>5796</v>
      </c>
      <c r="I2773" s="10" t="s">
        <v>5797</v>
      </c>
      <c r="J2773" s="11" t="s">
        <v>26</v>
      </c>
      <c r="K2773" s="57">
        <v>57.5</v>
      </c>
      <c r="L2773" s="12">
        <f t="shared" si="230"/>
        <v>115</v>
      </c>
      <c r="M2773" s="8">
        <v>3</v>
      </c>
      <c r="N2773" s="8" t="s">
        <v>27</v>
      </c>
      <c r="O2773" s="13"/>
      <c r="P2773" s="14">
        <v>0.2</v>
      </c>
      <c r="Q2773" s="15">
        <v>0.4</v>
      </c>
      <c r="R2773" s="16" t="str">
        <f t="shared" si="233"/>
        <v>LUTRON</v>
      </c>
      <c r="S2773" s="17" t="str">
        <f t="shared" si="231"/>
        <v>LUTRON</v>
      </c>
      <c r="T2773" s="10" t="str">
        <f t="shared" si="232"/>
        <v>BALASTRO T5_HO LINEAL DE VATIAJE REDUCIDO, 2 LÁMPARAS.</v>
      </c>
    </row>
    <row r="2774" spans="1:20" ht="27" customHeight="1" x14ac:dyDescent="0.25">
      <c r="A2774" s="8" t="s">
        <v>5672</v>
      </c>
      <c r="B2774" s="9" t="s">
        <v>5666</v>
      </c>
      <c r="C2774" s="9"/>
      <c r="D2774" s="8" t="s">
        <v>184</v>
      </c>
      <c r="E2774" s="8">
        <v>127</v>
      </c>
      <c r="F2774" s="8" t="s">
        <v>22</v>
      </c>
      <c r="G2774" s="10" t="s">
        <v>5795</v>
      </c>
      <c r="H2774" s="8" t="s">
        <v>5798</v>
      </c>
      <c r="I2774" s="10" t="s">
        <v>5799</v>
      </c>
      <c r="J2774" s="11" t="s">
        <v>26</v>
      </c>
      <c r="K2774" s="57">
        <v>57.5</v>
      </c>
      <c r="L2774" s="12">
        <f t="shared" si="230"/>
        <v>115</v>
      </c>
      <c r="M2774" s="8">
        <v>3</v>
      </c>
      <c r="N2774" s="8" t="s">
        <v>27</v>
      </c>
      <c r="O2774" s="13"/>
      <c r="P2774" s="14">
        <v>0.2</v>
      </c>
      <c r="Q2774" s="15">
        <v>0.4</v>
      </c>
      <c r="R2774" s="16" t="str">
        <f t="shared" si="233"/>
        <v>LUTRON</v>
      </c>
      <c r="S2774" s="17" t="str">
        <f t="shared" si="231"/>
        <v>LUTRON</v>
      </c>
      <c r="T2774" s="10" t="str">
        <f t="shared" si="232"/>
        <v>BALASTRO T5_HO LINEAL DE VATIAJE REDUCIDO, 2 LÁMPARAS.</v>
      </c>
    </row>
    <row r="2775" spans="1:20" ht="27" customHeight="1" x14ac:dyDescent="0.25">
      <c r="A2775" s="8" t="s">
        <v>5672</v>
      </c>
      <c r="B2775" s="9" t="s">
        <v>5666</v>
      </c>
      <c r="C2775" s="9"/>
      <c r="D2775" s="8" t="s">
        <v>184</v>
      </c>
      <c r="E2775" s="8">
        <v>128</v>
      </c>
      <c r="F2775" s="8" t="s">
        <v>22</v>
      </c>
      <c r="G2775" s="10" t="s">
        <v>5795</v>
      </c>
      <c r="H2775" s="8" t="s">
        <v>5800</v>
      </c>
      <c r="I2775" s="10" t="s">
        <v>5801</v>
      </c>
      <c r="J2775" s="11" t="s">
        <v>26</v>
      </c>
      <c r="K2775" s="57">
        <v>57.5</v>
      </c>
      <c r="L2775" s="12">
        <f t="shared" si="230"/>
        <v>115</v>
      </c>
      <c r="M2775" s="8">
        <v>3</v>
      </c>
      <c r="N2775" s="8" t="s">
        <v>27</v>
      </c>
      <c r="O2775" s="13"/>
      <c r="P2775" s="14">
        <v>0.2</v>
      </c>
      <c r="Q2775" s="15">
        <v>0.4</v>
      </c>
      <c r="R2775" s="16" t="str">
        <f t="shared" si="233"/>
        <v>LUTRON</v>
      </c>
      <c r="S2775" s="17" t="str">
        <f t="shared" si="231"/>
        <v>LUTRON</v>
      </c>
      <c r="T2775" s="10" t="str">
        <f t="shared" si="232"/>
        <v>BALASTRO T5_HO LINEAL DE VATIAJE REDUCIDO, 2 LÁMPARAS.</v>
      </c>
    </row>
    <row r="2776" spans="1:20" ht="27" customHeight="1" x14ac:dyDescent="0.25">
      <c r="A2776" s="8" t="s">
        <v>5672</v>
      </c>
      <c r="B2776" s="9" t="s">
        <v>5666</v>
      </c>
      <c r="C2776" s="9"/>
      <c r="D2776" s="8" t="s">
        <v>184</v>
      </c>
      <c r="E2776" s="8">
        <v>129</v>
      </c>
      <c r="F2776" s="8" t="s">
        <v>22</v>
      </c>
      <c r="G2776" s="10" t="s">
        <v>5802</v>
      </c>
      <c r="H2776" s="8" t="s">
        <v>5803</v>
      </c>
      <c r="I2776" s="10" t="s">
        <v>5804</v>
      </c>
      <c r="J2776" s="11" t="s">
        <v>26</v>
      </c>
      <c r="K2776" s="57">
        <v>57.5</v>
      </c>
      <c r="L2776" s="12">
        <f t="shared" ref="L2776:L2839" si="234">ROUNDUP(K2776*(1+P2776)/(1-Q2776),0)</f>
        <v>115</v>
      </c>
      <c r="M2776" s="8">
        <v>3</v>
      </c>
      <c r="N2776" s="8" t="s">
        <v>27</v>
      </c>
      <c r="O2776" s="13"/>
      <c r="P2776" s="14">
        <v>0.2</v>
      </c>
      <c r="Q2776" s="15">
        <v>0.4</v>
      </c>
      <c r="R2776" s="16" t="str">
        <f t="shared" si="233"/>
        <v>LUTRON</v>
      </c>
      <c r="S2776" s="17" t="str">
        <f t="shared" ref="S2776:S2839" si="235">A2776</f>
        <v>LUTRON</v>
      </c>
      <c r="T2776" s="10" t="str">
        <f t="shared" si="232"/>
        <v>BALASTRO T8 LINEAL DE VATIAJE REDUCIDO, DE UNA LÁMPARA.</v>
      </c>
    </row>
    <row r="2777" spans="1:20" ht="27" customHeight="1" x14ac:dyDescent="0.25">
      <c r="A2777" s="8" t="s">
        <v>5672</v>
      </c>
      <c r="B2777" s="9" t="s">
        <v>5666</v>
      </c>
      <c r="C2777" s="9"/>
      <c r="D2777" s="8" t="s">
        <v>184</v>
      </c>
      <c r="E2777" s="8">
        <v>130</v>
      </c>
      <c r="F2777" s="8" t="s">
        <v>22</v>
      </c>
      <c r="G2777" s="10" t="s">
        <v>5802</v>
      </c>
      <c r="H2777" s="8" t="s">
        <v>5805</v>
      </c>
      <c r="I2777" s="10" t="s">
        <v>5806</v>
      </c>
      <c r="J2777" s="11" t="s">
        <v>26</v>
      </c>
      <c r="K2777" s="57">
        <v>57.5</v>
      </c>
      <c r="L2777" s="12">
        <f t="shared" si="234"/>
        <v>115</v>
      </c>
      <c r="M2777" s="8">
        <v>3</v>
      </c>
      <c r="N2777" s="8" t="s">
        <v>27</v>
      </c>
      <c r="O2777" s="13"/>
      <c r="P2777" s="14">
        <v>0.2</v>
      </c>
      <c r="Q2777" s="15">
        <v>0.4</v>
      </c>
      <c r="R2777" s="16" t="str">
        <f t="shared" si="233"/>
        <v>LUTRON</v>
      </c>
      <c r="S2777" s="17" t="str">
        <f t="shared" si="235"/>
        <v>LUTRON</v>
      </c>
      <c r="T2777" s="10" t="str">
        <f t="shared" si="232"/>
        <v>BALASTRO T8 LINEAL DE VATIAJE REDUCIDO, DE UNA LÁMPARA.</v>
      </c>
    </row>
    <row r="2778" spans="1:20" ht="27" customHeight="1" x14ac:dyDescent="0.25">
      <c r="A2778" s="8" t="s">
        <v>5672</v>
      </c>
      <c r="B2778" s="9" t="s">
        <v>5666</v>
      </c>
      <c r="C2778" s="9"/>
      <c r="D2778" s="8" t="s">
        <v>184</v>
      </c>
      <c r="E2778" s="8">
        <v>131</v>
      </c>
      <c r="F2778" s="8" t="s">
        <v>22</v>
      </c>
      <c r="G2778" s="10" t="s">
        <v>5807</v>
      </c>
      <c r="H2778" s="8" t="s">
        <v>5808</v>
      </c>
      <c r="I2778" s="10" t="s">
        <v>5809</v>
      </c>
      <c r="J2778" s="11" t="s">
        <v>26</v>
      </c>
      <c r="K2778" s="57">
        <v>57.5</v>
      </c>
      <c r="L2778" s="12">
        <f t="shared" si="234"/>
        <v>115</v>
      </c>
      <c r="M2778" s="8">
        <v>3</v>
      </c>
      <c r="N2778" s="8" t="s">
        <v>27</v>
      </c>
      <c r="O2778" s="13"/>
      <c r="P2778" s="14">
        <v>0.2</v>
      </c>
      <c r="Q2778" s="15">
        <v>0.4</v>
      </c>
      <c r="R2778" s="16" t="str">
        <f t="shared" si="233"/>
        <v>LUTRON</v>
      </c>
      <c r="S2778" s="17" t="str">
        <f t="shared" si="235"/>
        <v>LUTRON</v>
      </c>
      <c r="T2778" s="10" t="str">
        <f t="shared" si="232"/>
        <v>BALASTRO T8 LINEAL DE VATIAJE REDUCIDO, 2 LÁMPARAS.</v>
      </c>
    </row>
    <row r="2779" spans="1:20" ht="27" customHeight="1" x14ac:dyDescent="0.25">
      <c r="A2779" s="8" t="s">
        <v>5672</v>
      </c>
      <c r="B2779" s="9" t="s">
        <v>5666</v>
      </c>
      <c r="C2779" s="9"/>
      <c r="D2779" s="8" t="s">
        <v>184</v>
      </c>
      <c r="E2779" s="8">
        <v>132</v>
      </c>
      <c r="F2779" s="8" t="s">
        <v>22</v>
      </c>
      <c r="G2779" s="10" t="s">
        <v>5807</v>
      </c>
      <c r="H2779" s="8" t="s">
        <v>5810</v>
      </c>
      <c r="I2779" s="10" t="s">
        <v>5811</v>
      </c>
      <c r="J2779" s="11" t="s">
        <v>26</v>
      </c>
      <c r="K2779" s="57">
        <v>57.5</v>
      </c>
      <c r="L2779" s="12">
        <f t="shared" si="234"/>
        <v>115</v>
      </c>
      <c r="M2779" s="8">
        <v>3</v>
      </c>
      <c r="N2779" s="8" t="s">
        <v>27</v>
      </c>
      <c r="O2779" s="13"/>
      <c r="P2779" s="14">
        <v>0.2</v>
      </c>
      <c r="Q2779" s="15">
        <v>0.4</v>
      </c>
      <c r="R2779" s="16" t="str">
        <f t="shared" si="233"/>
        <v>LUTRON</v>
      </c>
      <c r="S2779" s="17" t="str">
        <f t="shared" si="235"/>
        <v>LUTRON</v>
      </c>
      <c r="T2779" s="10" t="str">
        <f t="shared" si="232"/>
        <v>BALASTRO T8 LINEAL DE VATIAJE REDUCIDO, 2 LÁMPARAS.</v>
      </c>
    </row>
    <row r="2780" spans="1:20" ht="27" customHeight="1" x14ac:dyDescent="0.25">
      <c r="A2780" s="8" t="s">
        <v>5672</v>
      </c>
      <c r="B2780" s="9" t="s">
        <v>5666</v>
      </c>
      <c r="C2780" s="9"/>
      <c r="D2780" s="8" t="s">
        <v>184</v>
      </c>
      <c r="E2780" s="8">
        <v>133</v>
      </c>
      <c r="F2780" s="8" t="s">
        <v>22</v>
      </c>
      <c r="G2780" s="10" t="s">
        <v>5812</v>
      </c>
      <c r="H2780" s="8" t="s">
        <v>5813</v>
      </c>
      <c r="I2780" s="10" t="s">
        <v>5812</v>
      </c>
      <c r="J2780" s="11" t="s">
        <v>26</v>
      </c>
      <c r="K2780" s="57">
        <v>107.5</v>
      </c>
      <c r="L2780" s="12">
        <f t="shared" si="234"/>
        <v>215</v>
      </c>
      <c r="M2780" s="8">
        <v>3</v>
      </c>
      <c r="N2780" s="8" t="s">
        <v>27</v>
      </c>
      <c r="O2780" s="13"/>
      <c r="P2780" s="14">
        <v>0.2</v>
      </c>
      <c r="Q2780" s="15">
        <v>0.4</v>
      </c>
      <c r="R2780" s="16" t="str">
        <f t="shared" si="233"/>
        <v>LUTRON</v>
      </c>
      <c r="S2780" s="17" t="str">
        <f t="shared" si="235"/>
        <v>LUTRON</v>
      </c>
      <c r="T2780" s="10" t="str">
        <f t="shared" si="232"/>
        <v>BALASTRO T8 LINEAL, DE UNA LÁMPARA, ATENUACIÓN AL 10%</v>
      </c>
    </row>
    <row r="2781" spans="1:20" ht="27" customHeight="1" x14ac:dyDescent="0.25">
      <c r="A2781" s="8" t="s">
        <v>5672</v>
      </c>
      <c r="B2781" s="9" t="s">
        <v>5666</v>
      </c>
      <c r="C2781" s="9"/>
      <c r="D2781" s="8" t="s">
        <v>184</v>
      </c>
      <c r="E2781" s="8">
        <v>134</v>
      </c>
      <c r="F2781" s="8" t="s">
        <v>22</v>
      </c>
      <c r="G2781" s="10" t="s">
        <v>5812</v>
      </c>
      <c r="H2781" s="8" t="s">
        <v>5813</v>
      </c>
      <c r="I2781" s="10" t="s">
        <v>5812</v>
      </c>
      <c r="J2781" s="11" t="s">
        <v>26</v>
      </c>
      <c r="K2781" s="57">
        <v>107.5</v>
      </c>
      <c r="L2781" s="12">
        <f t="shared" si="234"/>
        <v>215</v>
      </c>
      <c r="M2781" s="8">
        <v>3</v>
      </c>
      <c r="N2781" s="8" t="s">
        <v>27</v>
      </c>
      <c r="O2781" s="13"/>
      <c r="P2781" s="14">
        <v>0.2</v>
      </c>
      <c r="Q2781" s="15">
        <v>0.4</v>
      </c>
      <c r="R2781" s="16" t="str">
        <f t="shared" si="233"/>
        <v>LUTRON</v>
      </c>
      <c r="S2781" s="17" t="str">
        <f t="shared" si="235"/>
        <v>LUTRON</v>
      </c>
      <c r="T2781" s="10" t="str">
        <f t="shared" si="232"/>
        <v>BALASTRO T8 LINEAL, DE UNA LÁMPARA, ATENUACIÓN AL 10%</v>
      </c>
    </row>
    <row r="2782" spans="1:20" ht="27" customHeight="1" x14ac:dyDescent="0.25">
      <c r="A2782" s="8" t="s">
        <v>5672</v>
      </c>
      <c r="B2782" s="9" t="s">
        <v>5666</v>
      </c>
      <c r="C2782" s="9"/>
      <c r="D2782" s="8" t="s">
        <v>184</v>
      </c>
      <c r="E2782" s="8">
        <v>135</v>
      </c>
      <c r="F2782" s="8" t="s">
        <v>22</v>
      </c>
      <c r="G2782" s="10" t="s">
        <v>5812</v>
      </c>
      <c r="H2782" s="8" t="s">
        <v>5813</v>
      </c>
      <c r="I2782" s="10" t="s">
        <v>5812</v>
      </c>
      <c r="J2782" s="11" t="s">
        <v>26</v>
      </c>
      <c r="K2782" s="57">
        <v>107.5</v>
      </c>
      <c r="L2782" s="12">
        <f t="shared" si="234"/>
        <v>215</v>
      </c>
      <c r="M2782" s="8">
        <v>3</v>
      </c>
      <c r="N2782" s="8" t="s">
        <v>27</v>
      </c>
      <c r="O2782" s="13"/>
      <c r="P2782" s="14">
        <v>0.2</v>
      </c>
      <c r="Q2782" s="15">
        <v>0.4</v>
      </c>
      <c r="R2782" s="16" t="str">
        <f t="shared" si="233"/>
        <v>LUTRON</v>
      </c>
      <c r="S2782" s="17" t="str">
        <f t="shared" si="235"/>
        <v>LUTRON</v>
      </c>
      <c r="T2782" s="10" t="str">
        <f t="shared" si="232"/>
        <v>BALASTRO T8 LINEAL, DE UNA LÁMPARA, ATENUACIÓN AL 10%</v>
      </c>
    </row>
    <row r="2783" spans="1:20" ht="27" customHeight="1" x14ac:dyDescent="0.25">
      <c r="A2783" s="8" t="s">
        <v>5672</v>
      </c>
      <c r="B2783" s="9" t="s">
        <v>5666</v>
      </c>
      <c r="C2783" s="9"/>
      <c r="D2783" s="8" t="s">
        <v>184</v>
      </c>
      <c r="E2783" s="8">
        <v>136</v>
      </c>
      <c r="F2783" s="8" t="s">
        <v>22</v>
      </c>
      <c r="G2783" s="10" t="s">
        <v>5812</v>
      </c>
      <c r="H2783" s="8" t="s">
        <v>5814</v>
      </c>
      <c r="I2783" s="10" t="s">
        <v>5812</v>
      </c>
      <c r="J2783" s="11" t="s">
        <v>26</v>
      </c>
      <c r="K2783" s="57">
        <v>107.5</v>
      </c>
      <c r="L2783" s="12">
        <f t="shared" si="234"/>
        <v>215</v>
      </c>
      <c r="M2783" s="8">
        <v>3</v>
      </c>
      <c r="N2783" s="8" t="s">
        <v>27</v>
      </c>
      <c r="O2783" s="13"/>
      <c r="P2783" s="14">
        <v>0.2</v>
      </c>
      <c r="Q2783" s="15">
        <v>0.4</v>
      </c>
      <c r="R2783" s="16" t="str">
        <f t="shared" si="233"/>
        <v>LUTRON</v>
      </c>
      <c r="S2783" s="17" t="str">
        <f t="shared" si="235"/>
        <v>LUTRON</v>
      </c>
      <c r="T2783" s="10" t="str">
        <f t="shared" si="232"/>
        <v>BALASTRO T8 LINEAL, DE UNA LÁMPARA, ATENUACIÓN AL 10%</v>
      </c>
    </row>
    <row r="2784" spans="1:20" ht="27" customHeight="1" x14ac:dyDescent="0.25">
      <c r="A2784" s="8" t="s">
        <v>5672</v>
      </c>
      <c r="B2784" s="9" t="s">
        <v>5666</v>
      </c>
      <c r="C2784" s="9"/>
      <c r="D2784" s="8" t="s">
        <v>184</v>
      </c>
      <c r="E2784" s="8">
        <v>137</v>
      </c>
      <c r="F2784" s="8" t="s">
        <v>22</v>
      </c>
      <c r="G2784" s="10" t="s">
        <v>5812</v>
      </c>
      <c r="H2784" s="8" t="s">
        <v>5814</v>
      </c>
      <c r="I2784" s="10" t="s">
        <v>5812</v>
      </c>
      <c r="J2784" s="11" t="s">
        <v>26</v>
      </c>
      <c r="K2784" s="57">
        <v>107.5</v>
      </c>
      <c r="L2784" s="12">
        <f t="shared" si="234"/>
        <v>215</v>
      </c>
      <c r="M2784" s="8">
        <v>3</v>
      </c>
      <c r="N2784" s="8" t="s">
        <v>27</v>
      </c>
      <c r="O2784" s="13"/>
      <c r="P2784" s="14">
        <v>0.2</v>
      </c>
      <c r="Q2784" s="15">
        <v>0.4</v>
      </c>
      <c r="R2784" s="16" t="str">
        <f t="shared" si="233"/>
        <v>LUTRON</v>
      </c>
      <c r="S2784" s="17" t="str">
        <f t="shared" si="235"/>
        <v>LUTRON</v>
      </c>
      <c r="T2784" s="10" t="str">
        <f t="shared" si="232"/>
        <v>BALASTRO T8 LINEAL, DE UNA LÁMPARA, ATENUACIÓN AL 10%</v>
      </c>
    </row>
    <row r="2785" spans="1:20" ht="27" customHeight="1" x14ac:dyDescent="0.25">
      <c r="A2785" s="8" t="s">
        <v>5672</v>
      </c>
      <c r="B2785" s="9" t="s">
        <v>5666</v>
      </c>
      <c r="C2785" s="9"/>
      <c r="D2785" s="8" t="s">
        <v>184</v>
      </c>
      <c r="E2785" s="8">
        <v>138</v>
      </c>
      <c r="F2785" s="8" t="s">
        <v>22</v>
      </c>
      <c r="G2785" s="10" t="s">
        <v>5812</v>
      </c>
      <c r="H2785" s="8" t="s">
        <v>5814</v>
      </c>
      <c r="I2785" s="10" t="s">
        <v>5812</v>
      </c>
      <c r="J2785" s="11" t="s">
        <v>26</v>
      </c>
      <c r="K2785" s="57">
        <v>107.5</v>
      </c>
      <c r="L2785" s="12">
        <f t="shared" si="234"/>
        <v>215</v>
      </c>
      <c r="M2785" s="8">
        <v>3</v>
      </c>
      <c r="N2785" s="8" t="s">
        <v>27</v>
      </c>
      <c r="O2785" s="13"/>
      <c r="P2785" s="14">
        <v>0.2</v>
      </c>
      <c r="Q2785" s="15">
        <v>0.4</v>
      </c>
      <c r="R2785" s="16" t="str">
        <f t="shared" si="233"/>
        <v>LUTRON</v>
      </c>
      <c r="S2785" s="17" t="str">
        <f t="shared" si="235"/>
        <v>LUTRON</v>
      </c>
      <c r="T2785" s="10" t="str">
        <f t="shared" si="232"/>
        <v>BALASTRO T8 LINEAL, DE UNA LÁMPARA, ATENUACIÓN AL 10%</v>
      </c>
    </row>
    <row r="2786" spans="1:20" ht="27" customHeight="1" x14ac:dyDescent="0.25">
      <c r="A2786" s="8" t="s">
        <v>5672</v>
      </c>
      <c r="B2786" s="9" t="s">
        <v>5666</v>
      </c>
      <c r="C2786" s="9"/>
      <c r="D2786" s="8" t="s">
        <v>184</v>
      </c>
      <c r="E2786" s="8">
        <v>139</v>
      </c>
      <c r="F2786" s="8" t="s">
        <v>22</v>
      </c>
      <c r="G2786" s="10" t="s">
        <v>5815</v>
      </c>
      <c r="H2786" s="8" t="s">
        <v>5816</v>
      </c>
      <c r="I2786" s="10" t="s">
        <v>5815</v>
      </c>
      <c r="J2786" s="11" t="s">
        <v>26</v>
      </c>
      <c r="K2786" s="57">
        <v>107.5</v>
      </c>
      <c r="L2786" s="12">
        <f t="shared" si="234"/>
        <v>215</v>
      </c>
      <c r="M2786" s="8">
        <v>3</v>
      </c>
      <c r="N2786" s="8" t="s">
        <v>27</v>
      </c>
      <c r="O2786" s="13"/>
      <c r="P2786" s="14">
        <v>0.2</v>
      </c>
      <c r="Q2786" s="15">
        <v>0.4</v>
      </c>
      <c r="R2786" s="16" t="str">
        <f t="shared" si="233"/>
        <v>LUTRON</v>
      </c>
      <c r="S2786" s="17" t="str">
        <f t="shared" si="235"/>
        <v>LUTRON</v>
      </c>
      <c r="T2786" s="10" t="str">
        <f t="shared" si="232"/>
        <v>BALASTRO T8 LINEAL, DE DOS LÁMPARAS ATENUACIÓN AL 10%</v>
      </c>
    </row>
    <row r="2787" spans="1:20" ht="27" customHeight="1" x14ac:dyDescent="0.25">
      <c r="A2787" s="8" t="s">
        <v>5672</v>
      </c>
      <c r="B2787" s="9" t="s">
        <v>5666</v>
      </c>
      <c r="C2787" s="9"/>
      <c r="D2787" s="8" t="s">
        <v>184</v>
      </c>
      <c r="E2787" s="8">
        <v>140</v>
      </c>
      <c r="F2787" s="8" t="s">
        <v>22</v>
      </c>
      <c r="G2787" s="10" t="s">
        <v>5815</v>
      </c>
      <c r="H2787" s="8" t="s">
        <v>5816</v>
      </c>
      <c r="I2787" s="10" t="s">
        <v>5815</v>
      </c>
      <c r="J2787" s="11" t="s">
        <v>26</v>
      </c>
      <c r="K2787" s="57">
        <v>107.5</v>
      </c>
      <c r="L2787" s="12">
        <f t="shared" si="234"/>
        <v>215</v>
      </c>
      <c r="M2787" s="8">
        <v>3</v>
      </c>
      <c r="N2787" s="8" t="s">
        <v>27</v>
      </c>
      <c r="O2787" s="13"/>
      <c r="P2787" s="14">
        <v>0.2</v>
      </c>
      <c r="Q2787" s="15">
        <v>0.4</v>
      </c>
      <c r="R2787" s="16" t="str">
        <f t="shared" si="233"/>
        <v>LUTRON</v>
      </c>
      <c r="S2787" s="17" t="str">
        <f t="shared" si="235"/>
        <v>LUTRON</v>
      </c>
      <c r="T2787" s="10" t="str">
        <f t="shared" si="232"/>
        <v>BALASTRO T8 LINEAL, DE DOS LÁMPARAS ATENUACIÓN AL 10%</v>
      </c>
    </row>
    <row r="2788" spans="1:20" ht="27" customHeight="1" x14ac:dyDescent="0.25">
      <c r="A2788" s="8" t="s">
        <v>5672</v>
      </c>
      <c r="B2788" s="9" t="s">
        <v>5666</v>
      </c>
      <c r="C2788" s="9"/>
      <c r="D2788" s="8" t="s">
        <v>184</v>
      </c>
      <c r="E2788" s="8">
        <v>141</v>
      </c>
      <c r="F2788" s="8" t="s">
        <v>22</v>
      </c>
      <c r="G2788" s="10" t="s">
        <v>5815</v>
      </c>
      <c r="H2788" s="8" t="s">
        <v>5816</v>
      </c>
      <c r="I2788" s="10" t="s">
        <v>5815</v>
      </c>
      <c r="J2788" s="11" t="s">
        <v>26</v>
      </c>
      <c r="K2788" s="57">
        <v>107.5</v>
      </c>
      <c r="L2788" s="12">
        <f t="shared" si="234"/>
        <v>215</v>
      </c>
      <c r="M2788" s="8">
        <v>3</v>
      </c>
      <c r="N2788" s="8" t="s">
        <v>27</v>
      </c>
      <c r="O2788" s="13"/>
      <c r="P2788" s="14">
        <v>0.2</v>
      </c>
      <c r="Q2788" s="15">
        <v>0.4</v>
      </c>
      <c r="R2788" s="16" t="str">
        <f t="shared" si="233"/>
        <v>LUTRON</v>
      </c>
      <c r="S2788" s="17" t="str">
        <f t="shared" si="235"/>
        <v>LUTRON</v>
      </c>
      <c r="T2788" s="10" t="str">
        <f t="shared" si="232"/>
        <v>BALASTRO T8 LINEAL, DE DOS LÁMPARAS ATENUACIÓN AL 10%</v>
      </c>
    </row>
    <row r="2789" spans="1:20" ht="27" customHeight="1" x14ac:dyDescent="0.25">
      <c r="A2789" s="8" t="s">
        <v>5672</v>
      </c>
      <c r="B2789" s="9" t="s">
        <v>5666</v>
      </c>
      <c r="C2789" s="9"/>
      <c r="D2789" s="8" t="s">
        <v>184</v>
      </c>
      <c r="E2789" s="8">
        <v>142</v>
      </c>
      <c r="F2789" s="8" t="s">
        <v>22</v>
      </c>
      <c r="G2789" s="10" t="s">
        <v>5815</v>
      </c>
      <c r="H2789" s="8" t="s">
        <v>5817</v>
      </c>
      <c r="I2789" s="10" t="s">
        <v>5815</v>
      </c>
      <c r="J2789" s="11" t="s">
        <v>26</v>
      </c>
      <c r="K2789" s="57">
        <v>107.5</v>
      </c>
      <c r="L2789" s="12">
        <f t="shared" si="234"/>
        <v>215</v>
      </c>
      <c r="M2789" s="8">
        <v>3</v>
      </c>
      <c r="N2789" s="8" t="s">
        <v>27</v>
      </c>
      <c r="O2789" s="13"/>
      <c r="P2789" s="14">
        <v>0.2</v>
      </c>
      <c r="Q2789" s="15">
        <v>0.4</v>
      </c>
      <c r="R2789" s="16" t="str">
        <f t="shared" si="233"/>
        <v>LUTRON</v>
      </c>
      <c r="S2789" s="17" t="str">
        <f t="shared" si="235"/>
        <v>LUTRON</v>
      </c>
      <c r="T2789" s="10" t="str">
        <f t="shared" si="232"/>
        <v>BALASTRO T8 LINEAL, DE DOS LÁMPARAS ATENUACIÓN AL 10%</v>
      </c>
    </row>
    <row r="2790" spans="1:20" ht="27" customHeight="1" x14ac:dyDescent="0.25">
      <c r="A2790" s="8" t="s">
        <v>5672</v>
      </c>
      <c r="B2790" s="9" t="s">
        <v>5666</v>
      </c>
      <c r="C2790" s="9"/>
      <c r="D2790" s="8" t="s">
        <v>184</v>
      </c>
      <c r="E2790" s="8">
        <v>143</v>
      </c>
      <c r="F2790" s="8" t="s">
        <v>22</v>
      </c>
      <c r="G2790" s="10" t="s">
        <v>5815</v>
      </c>
      <c r="H2790" s="8" t="s">
        <v>5817</v>
      </c>
      <c r="I2790" s="10" t="s">
        <v>5815</v>
      </c>
      <c r="J2790" s="11" t="s">
        <v>26</v>
      </c>
      <c r="K2790" s="57">
        <v>107.5</v>
      </c>
      <c r="L2790" s="12">
        <f t="shared" si="234"/>
        <v>215</v>
      </c>
      <c r="M2790" s="8">
        <v>3</v>
      </c>
      <c r="N2790" s="8" t="s">
        <v>27</v>
      </c>
      <c r="O2790" s="13"/>
      <c r="P2790" s="14">
        <v>0.2</v>
      </c>
      <c r="Q2790" s="15">
        <v>0.4</v>
      </c>
      <c r="R2790" s="16" t="str">
        <f t="shared" si="233"/>
        <v>LUTRON</v>
      </c>
      <c r="S2790" s="17" t="str">
        <f t="shared" si="235"/>
        <v>LUTRON</v>
      </c>
      <c r="T2790" s="10" t="str">
        <f t="shared" si="232"/>
        <v>BALASTRO T8 LINEAL, DE DOS LÁMPARAS ATENUACIÓN AL 10%</v>
      </c>
    </row>
    <row r="2791" spans="1:20" ht="27" customHeight="1" x14ac:dyDescent="0.25">
      <c r="A2791" s="8" t="s">
        <v>5672</v>
      </c>
      <c r="B2791" s="9" t="s">
        <v>5666</v>
      </c>
      <c r="C2791" s="9"/>
      <c r="D2791" s="8" t="s">
        <v>184</v>
      </c>
      <c r="E2791" s="8">
        <v>144</v>
      </c>
      <c r="F2791" s="8" t="s">
        <v>22</v>
      </c>
      <c r="G2791" s="10" t="s">
        <v>5818</v>
      </c>
      <c r="H2791" s="8" t="s">
        <v>5819</v>
      </c>
      <c r="I2791" s="10" t="s">
        <v>5818</v>
      </c>
      <c r="J2791" s="11" t="s">
        <v>26</v>
      </c>
      <c r="K2791" s="57">
        <v>107.5</v>
      </c>
      <c r="L2791" s="12">
        <f t="shared" si="234"/>
        <v>215</v>
      </c>
      <c r="M2791" s="8">
        <v>3</v>
      </c>
      <c r="N2791" s="8" t="s">
        <v>27</v>
      </c>
      <c r="O2791" s="13"/>
      <c r="P2791" s="14">
        <v>0.2</v>
      </c>
      <c r="Q2791" s="15">
        <v>0.4</v>
      </c>
      <c r="R2791" s="16" t="str">
        <f t="shared" si="233"/>
        <v>LUTRON</v>
      </c>
      <c r="S2791" s="17" t="str">
        <f t="shared" si="235"/>
        <v>LUTRON</v>
      </c>
      <c r="T2791" s="10" t="str">
        <f t="shared" si="232"/>
        <v xml:space="preserve">BALASTRO T8 LINEAL, DE DOS LÁMPARAS ATENUACIÓN AL 10%;  </v>
      </c>
    </row>
    <row r="2792" spans="1:20" ht="27" customHeight="1" x14ac:dyDescent="0.25">
      <c r="A2792" s="8" t="s">
        <v>5672</v>
      </c>
      <c r="B2792" s="9" t="s">
        <v>5666</v>
      </c>
      <c r="C2792" s="9"/>
      <c r="D2792" s="8" t="s">
        <v>184</v>
      </c>
      <c r="E2792" s="8">
        <v>145</v>
      </c>
      <c r="F2792" s="8" t="s">
        <v>22</v>
      </c>
      <c r="G2792" s="10" t="s">
        <v>5818</v>
      </c>
      <c r="H2792" s="8" t="s">
        <v>5819</v>
      </c>
      <c r="I2792" s="10" t="s">
        <v>5818</v>
      </c>
      <c r="J2792" s="11" t="s">
        <v>26</v>
      </c>
      <c r="K2792" s="57">
        <v>107.5</v>
      </c>
      <c r="L2792" s="12">
        <f t="shared" si="234"/>
        <v>215</v>
      </c>
      <c r="M2792" s="8">
        <v>3</v>
      </c>
      <c r="N2792" s="8" t="s">
        <v>27</v>
      </c>
      <c r="O2792" s="13"/>
      <c r="P2792" s="14">
        <v>0.2</v>
      </c>
      <c r="Q2792" s="15">
        <v>0.4</v>
      </c>
      <c r="R2792" s="16" t="str">
        <f t="shared" si="233"/>
        <v>LUTRON</v>
      </c>
      <c r="S2792" s="17" t="str">
        <f t="shared" si="235"/>
        <v>LUTRON</v>
      </c>
      <c r="T2792" s="10" t="str">
        <f t="shared" si="232"/>
        <v xml:space="preserve">BALASTRO T8 LINEAL, DE DOS LÁMPARAS ATENUACIÓN AL 10%;  </v>
      </c>
    </row>
    <row r="2793" spans="1:20" ht="27" customHeight="1" x14ac:dyDescent="0.25">
      <c r="A2793" s="8" t="s">
        <v>5672</v>
      </c>
      <c r="B2793" s="9" t="s">
        <v>5666</v>
      </c>
      <c r="C2793" s="9"/>
      <c r="D2793" s="8" t="s">
        <v>184</v>
      </c>
      <c r="E2793" s="8">
        <v>146</v>
      </c>
      <c r="F2793" s="8" t="s">
        <v>22</v>
      </c>
      <c r="G2793" s="10" t="s">
        <v>5818</v>
      </c>
      <c r="H2793" s="8" t="s">
        <v>5819</v>
      </c>
      <c r="I2793" s="10" t="s">
        <v>5818</v>
      </c>
      <c r="J2793" s="11" t="s">
        <v>26</v>
      </c>
      <c r="K2793" s="57">
        <v>107.5</v>
      </c>
      <c r="L2793" s="12">
        <f t="shared" si="234"/>
        <v>215</v>
      </c>
      <c r="M2793" s="8">
        <v>3</v>
      </c>
      <c r="N2793" s="8" t="s">
        <v>27</v>
      </c>
      <c r="O2793" s="13"/>
      <c r="P2793" s="14">
        <v>0.2</v>
      </c>
      <c r="Q2793" s="15">
        <v>0.4</v>
      </c>
      <c r="R2793" s="16" t="str">
        <f t="shared" si="233"/>
        <v>LUTRON</v>
      </c>
      <c r="S2793" s="17" t="str">
        <f t="shared" si="235"/>
        <v>LUTRON</v>
      </c>
      <c r="T2793" s="10" t="str">
        <f t="shared" si="232"/>
        <v xml:space="preserve">BALASTRO T8 LINEAL, DE DOS LÁMPARAS ATENUACIÓN AL 10%;  </v>
      </c>
    </row>
    <row r="2794" spans="1:20" ht="27" customHeight="1" x14ac:dyDescent="0.25">
      <c r="A2794" s="8" t="s">
        <v>5672</v>
      </c>
      <c r="B2794" s="9" t="s">
        <v>5666</v>
      </c>
      <c r="C2794" s="9"/>
      <c r="D2794" s="8" t="s">
        <v>184</v>
      </c>
      <c r="E2794" s="8">
        <v>147</v>
      </c>
      <c r="F2794" s="8" t="s">
        <v>22</v>
      </c>
      <c r="G2794" s="10" t="s">
        <v>5820</v>
      </c>
      <c r="H2794" s="8" t="s">
        <v>5821</v>
      </c>
      <c r="I2794" s="10" t="s">
        <v>5820</v>
      </c>
      <c r="J2794" s="11" t="s">
        <v>26</v>
      </c>
      <c r="K2794" s="57">
        <v>107.5</v>
      </c>
      <c r="L2794" s="12">
        <f t="shared" si="234"/>
        <v>215</v>
      </c>
      <c r="M2794" s="8">
        <v>3</v>
      </c>
      <c r="N2794" s="8" t="s">
        <v>27</v>
      </c>
      <c r="O2794" s="13"/>
      <c r="P2794" s="14">
        <v>0.2</v>
      </c>
      <c r="Q2794" s="15">
        <v>0.4</v>
      </c>
      <c r="R2794" s="16" t="str">
        <f t="shared" si="233"/>
        <v>LUTRON</v>
      </c>
      <c r="S2794" s="17" t="str">
        <f t="shared" si="235"/>
        <v>LUTRON</v>
      </c>
      <c r="T2794" s="10" t="str">
        <f t="shared" si="232"/>
        <v>BALASTRO T8 PARA TUBO U_BEND, DE UNA LÁMPARA, ATENUACIÓN AL 10%</v>
      </c>
    </row>
    <row r="2795" spans="1:20" ht="27" customHeight="1" x14ac:dyDescent="0.25">
      <c r="A2795" s="8" t="s">
        <v>5672</v>
      </c>
      <c r="B2795" s="9" t="s">
        <v>5666</v>
      </c>
      <c r="C2795" s="9"/>
      <c r="D2795" s="8" t="s">
        <v>184</v>
      </c>
      <c r="E2795" s="8">
        <v>148</v>
      </c>
      <c r="F2795" s="8" t="s">
        <v>22</v>
      </c>
      <c r="G2795" s="10" t="s">
        <v>5820</v>
      </c>
      <c r="H2795" s="8" t="s">
        <v>5821</v>
      </c>
      <c r="I2795" s="10" t="s">
        <v>5820</v>
      </c>
      <c r="J2795" s="11" t="s">
        <v>26</v>
      </c>
      <c r="K2795" s="57">
        <v>107.5</v>
      </c>
      <c r="L2795" s="12">
        <f t="shared" si="234"/>
        <v>215</v>
      </c>
      <c r="M2795" s="8">
        <v>3</v>
      </c>
      <c r="N2795" s="8" t="s">
        <v>27</v>
      </c>
      <c r="O2795" s="13"/>
      <c r="P2795" s="14">
        <v>0.2</v>
      </c>
      <c r="Q2795" s="15">
        <v>0.4</v>
      </c>
      <c r="R2795" s="16" t="str">
        <f t="shared" si="233"/>
        <v>LUTRON</v>
      </c>
      <c r="S2795" s="17" t="str">
        <f t="shared" si="235"/>
        <v>LUTRON</v>
      </c>
      <c r="T2795" s="10" t="str">
        <f t="shared" si="232"/>
        <v>BALASTRO T8 PARA TUBO U_BEND, DE UNA LÁMPARA, ATENUACIÓN AL 10%</v>
      </c>
    </row>
    <row r="2796" spans="1:20" ht="27" customHeight="1" x14ac:dyDescent="0.25">
      <c r="A2796" s="8" t="s">
        <v>5672</v>
      </c>
      <c r="B2796" s="9" t="s">
        <v>5666</v>
      </c>
      <c r="C2796" s="9"/>
      <c r="D2796" s="8" t="s">
        <v>184</v>
      </c>
      <c r="E2796" s="8">
        <v>149</v>
      </c>
      <c r="F2796" s="8" t="s">
        <v>22</v>
      </c>
      <c r="G2796" s="10" t="s">
        <v>5820</v>
      </c>
      <c r="H2796" s="8" t="s">
        <v>5821</v>
      </c>
      <c r="I2796" s="10" t="s">
        <v>5820</v>
      </c>
      <c r="J2796" s="11" t="s">
        <v>26</v>
      </c>
      <c r="K2796" s="57">
        <v>107.5</v>
      </c>
      <c r="L2796" s="12">
        <f t="shared" si="234"/>
        <v>215</v>
      </c>
      <c r="M2796" s="8">
        <v>3</v>
      </c>
      <c r="N2796" s="8" t="s">
        <v>27</v>
      </c>
      <c r="O2796" s="13"/>
      <c r="P2796" s="14">
        <v>0.2</v>
      </c>
      <c r="Q2796" s="15">
        <v>0.4</v>
      </c>
      <c r="R2796" s="16" t="str">
        <f t="shared" si="233"/>
        <v>LUTRON</v>
      </c>
      <c r="S2796" s="17" t="str">
        <f t="shared" si="235"/>
        <v>LUTRON</v>
      </c>
      <c r="T2796" s="10" t="str">
        <f t="shared" si="232"/>
        <v>BALASTRO T8 PARA TUBO U_BEND, DE UNA LÁMPARA, ATENUACIÓN AL 10%</v>
      </c>
    </row>
    <row r="2797" spans="1:20" ht="27" customHeight="1" x14ac:dyDescent="0.25">
      <c r="A2797" s="8" t="s">
        <v>5672</v>
      </c>
      <c r="B2797" s="9" t="s">
        <v>5666</v>
      </c>
      <c r="C2797" s="9"/>
      <c r="D2797" s="8" t="s">
        <v>184</v>
      </c>
      <c r="E2797" s="8">
        <v>150</v>
      </c>
      <c r="F2797" s="8" t="s">
        <v>22</v>
      </c>
      <c r="G2797" s="10" t="s">
        <v>5822</v>
      </c>
      <c r="H2797" s="8" t="s">
        <v>5823</v>
      </c>
      <c r="I2797" s="10" t="s">
        <v>5822</v>
      </c>
      <c r="J2797" s="11" t="s">
        <v>26</v>
      </c>
      <c r="K2797" s="57">
        <v>107.5</v>
      </c>
      <c r="L2797" s="12">
        <f t="shared" si="234"/>
        <v>215</v>
      </c>
      <c r="M2797" s="8">
        <v>3</v>
      </c>
      <c r="N2797" s="8" t="s">
        <v>27</v>
      </c>
      <c r="O2797" s="13"/>
      <c r="P2797" s="14">
        <v>0.2</v>
      </c>
      <c r="Q2797" s="15">
        <v>0.4</v>
      </c>
      <c r="R2797" s="16" t="str">
        <f t="shared" si="233"/>
        <v>LUTRON</v>
      </c>
      <c r="S2797" s="17" t="str">
        <f t="shared" si="235"/>
        <v>LUTRON</v>
      </c>
      <c r="T2797" s="10" t="str">
        <f t="shared" si="232"/>
        <v>BALASTRO T8 PARA TUBO U_BEND, DE DOS LÁMPARAS ATENUACIÓN AL 10%</v>
      </c>
    </row>
    <row r="2798" spans="1:20" ht="27" customHeight="1" x14ac:dyDescent="0.25">
      <c r="A2798" s="8" t="s">
        <v>5672</v>
      </c>
      <c r="B2798" s="9" t="s">
        <v>5666</v>
      </c>
      <c r="C2798" s="9"/>
      <c r="D2798" s="8" t="s">
        <v>184</v>
      </c>
      <c r="E2798" s="8">
        <v>151</v>
      </c>
      <c r="F2798" s="8" t="s">
        <v>22</v>
      </c>
      <c r="G2798" s="10" t="s">
        <v>5822</v>
      </c>
      <c r="H2798" s="8" t="s">
        <v>5823</v>
      </c>
      <c r="I2798" s="10" t="s">
        <v>5822</v>
      </c>
      <c r="J2798" s="11" t="s">
        <v>26</v>
      </c>
      <c r="K2798" s="57">
        <v>107.5</v>
      </c>
      <c r="L2798" s="12">
        <f t="shared" si="234"/>
        <v>215</v>
      </c>
      <c r="M2798" s="8">
        <v>3</v>
      </c>
      <c r="N2798" s="8" t="s">
        <v>27</v>
      </c>
      <c r="O2798" s="13"/>
      <c r="P2798" s="14">
        <v>0.2</v>
      </c>
      <c r="Q2798" s="15">
        <v>0.4</v>
      </c>
      <c r="R2798" s="16" t="str">
        <f t="shared" si="233"/>
        <v>LUTRON</v>
      </c>
      <c r="S2798" s="17" t="str">
        <f t="shared" si="235"/>
        <v>LUTRON</v>
      </c>
      <c r="T2798" s="10" t="str">
        <f t="shared" si="232"/>
        <v>BALASTRO T8 PARA TUBO U_BEND, DE DOS LÁMPARAS ATENUACIÓN AL 10%</v>
      </c>
    </row>
    <row r="2799" spans="1:20" ht="27" customHeight="1" x14ac:dyDescent="0.25">
      <c r="A2799" s="8" t="s">
        <v>5672</v>
      </c>
      <c r="B2799" s="9" t="s">
        <v>5666</v>
      </c>
      <c r="C2799" s="9"/>
      <c r="D2799" s="8" t="s">
        <v>184</v>
      </c>
      <c r="E2799" s="8">
        <v>152</v>
      </c>
      <c r="F2799" s="8" t="s">
        <v>22</v>
      </c>
      <c r="G2799" s="10" t="s">
        <v>5822</v>
      </c>
      <c r="H2799" s="8" t="s">
        <v>5823</v>
      </c>
      <c r="I2799" s="10" t="s">
        <v>5822</v>
      </c>
      <c r="J2799" s="11" t="s">
        <v>26</v>
      </c>
      <c r="K2799" s="57">
        <v>107.5</v>
      </c>
      <c r="L2799" s="12">
        <f t="shared" si="234"/>
        <v>215</v>
      </c>
      <c r="M2799" s="8">
        <v>3</v>
      </c>
      <c r="N2799" s="8" t="s">
        <v>27</v>
      </c>
      <c r="O2799" s="13"/>
      <c r="P2799" s="14">
        <v>0.2</v>
      </c>
      <c r="Q2799" s="15">
        <v>0.4</v>
      </c>
      <c r="R2799" s="16" t="str">
        <f t="shared" si="233"/>
        <v>LUTRON</v>
      </c>
      <c r="S2799" s="17" t="str">
        <f t="shared" si="235"/>
        <v>LUTRON</v>
      </c>
      <c r="T2799" s="10" t="str">
        <f t="shared" si="232"/>
        <v>BALASTRO T8 PARA TUBO U_BEND, DE DOS LÁMPARAS ATENUACIÓN AL 10%</v>
      </c>
    </row>
    <row r="2800" spans="1:20" ht="27" customHeight="1" x14ac:dyDescent="0.25">
      <c r="A2800" s="8" t="s">
        <v>5672</v>
      </c>
      <c r="B2800" s="9" t="s">
        <v>5666</v>
      </c>
      <c r="C2800" s="9"/>
      <c r="D2800" s="8" t="s">
        <v>184</v>
      </c>
      <c r="E2800" s="8">
        <v>153</v>
      </c>
      <c r="F2800" s="8" t="s">
        <v>22</v>
      </c>
      <c r="G2800" s="10" t="s">
        <v>5822</v>
      </c>
      <c r="H2800" s="8" t="s">
        <v>5824</v>
      </c>
      <c r="I2800" s="10" t="s">
        <v>5822</v>
      </c>
      <c r="J2800" s="11" t="s">
        <v>26</v>
      </c>
      <c r="K2800" s="57">
        <v>107.5</v>
      </c>
      <c r="L2800" s="12">
        <f t="shared" si="234"/>
        <v>215</v>
      </c>
      <c r="M2800" s="8">
        <v>3</v>
      </c>
      <c r="N2800" s="8" t="s">
        <v>27</v>
      </c>
      <c r="O2800" s="13"/>
      <c r="P2800" s="14">
        <v>0.2</v>
      </c>
      <c r="Q2800" s="15">
        <v>0.4</v>
      </c>
      <c r="R2800" s="16" t="str">
        <f t="shared" si="233"/>
        <v>LUTRON</v>
      </c>
      <c r="S2800" s="17" t="str">
        <f t="shared" si="235"/>
        <v>LUTRON</v>
      </c>
      <c r="T2800" s="10" t="str">
        <f t="shared" si="232"/>
        <v>BALASTRO T8 PARA TUBO U_BEND, DE DOS LÁMPARAS ATENUACIÓN AL 10%</v>
      </c>
    </row>
    <row r="2801" spans="1:20" ht="27" customHeight="1" x14ac:dyDescent="0.25">
      <c r="A2801" s="8" t="s">
        <v>5672</v>
      </c>
      <c r="B2801" s="9" t="s">
        <v>5666</v>
      </c>
      <c r="C2801" s="9"/>
      <c r="D2801" s="8" t="s">
        <v>184</v>
      </c>
      <c r="E2801" s="8">
        <v>154</v>
      </c>
      <c r="F2801" s="8" t="s">
        <v>22</v>
      </c>
      <c r="G2801" s="10" t="s">
        <v>5822</v>
      </c>
      <c r="H2801" s="8" t="s">
        <v>5824</v>
      </c>
      <c r="I2801" s="10" t="s">
        <v>5822</v>
      </c>
      <c r="J2801" s="11" t="s">
        <v>26</v>
      </c>
      <c r="K2801" s="57">
        <v>107.5</v>
      </c>
      <c r="L2801" s="12">
        <f t="shared" si="234"/>
        <v>215</v>
      </c>
      <c r="M2801" s="8">
        <v>3</v>
      </c>
      <c r="N2801" s="8" t="s">
        <v>27</v>
      </c>
      <c r="O2801" s="13"/>
      <c r="P2801" s="14">
        <v>0.2</v>
      </c>
      <c r="Q2801" s="15">
        <v>0.4</v>
      </c>
      <c r="R2801" s="16" t="str">
        <f t="shared" si="233"/>
        <v>LUTRON</v>
      </c>
      <c r="S2801" s="17" t="str">
        <f t="shared" si="235"/>
        <v>LUTRON</v>
      </c>
      <c r="T2801" s="10" t="str">
        <f t="shared" si="232"/>
        <v>BALASTRO T8 PARA TUBO U_BEND, DE DOS LÁMPARAS ATENUACIÓN AL 10%</v>
      </c>
    </row>
    <row r="2802" spans="1:20" ht="27" customHeight="1" x14ac:dyDescent="0.25">
      <c r="A2802" s="8" t="s">
        <v>5672</v>
      </c>
      <c r="B2802" s="9" t="s">
        <v>5666</v>
      </c>
      <c r="C2802" s="9"/>
      <c r="D2802" s="8" t="s">
        <v>184</v>
      </c>
      <c r="E2802" s="8">
        <v>155</v>
      </c>
      <c r="F2802" s="8" t="s">
        <v>22</v>
      </c>
      <c r="G2802" s="10" t="s">
        <v>5822</v>
      </c>
      <c r="H2802" s="8" t="s">
        <v>5824</v>
      </c>
      <c r="I2802" s="10" t="s">
        <v>5822</v>
      </c>
      <c r="J2802" s="11" t="s">
        <v>26</v>
      </c>
      <c r="K2802" s="57">
        <v>107.5</v>
      </c>
      <c r="L2802" s="12">
        <f t="shared" si="234"/>
        <v>215</v>
      </c>
      <c r="M2802" s="8">
        <v>3</v>
      </c>
      <c r="N2802" s="8" t="s">
        <v>27</v>
      </c>
      <c r="O2802" s="13"/>
      <c r="P2802" s="14">
        <v>0.2</v>
      </c>
      <c r="Q2802" s="15">
        <v>0.4</v>
      </c>
      <c r="R2802" s="16" t="str">
        <f t="shared" si="233"/>
        <v>LUTRON</v>
      </c>
      <c r="S2802" s="17" t="str">
        <f t="shared" si="235"/>
        <v>LUTRON</v>
      </c>
      <c r="T2802" s="10" t="str">
        <f t="shared" si="232"/>
        <v>BALASTRO T8 PARA TUBO U_BEND, DE DOS LÁMPARAS ATENUACIÓN AL 10%</v>
      </c>
    </row>
    <row r="2803" spans="1:20" ht="27" customHeight="1" x14ac:dyDescent="0.25">
      <c r="A2803" s="8" t="s">
        <v>5672</v>
      </c>
      <c r="B2803" s="9" t="s">
        <v>5666</v>
      </c>
      <c r="C2803" s="9"/>
      <c r="D2803" s="8" t="s">
        <v>184</v>
      </c>
      <c r="E2803" s="8">
        <v>156</v>
      </c>
      <c r="F2803" s="8" t="s">
        <v>22</v>
      </c>
      <c r="G2803" s="10" t="s">
        <v>5822</v>
      </c>
      <c r="H2803" s="8" t="s">
        <v>5817</v>
      </c>
      <c r="I2803" s="10" t="s">
        <v>5822</v>
      </c>
      <c r="J2803" s="11" t="s">
        <v>26</v>
      </c>
      <c r="K2803" s="57">
        <v>107.5</v>
      </c>
      <c r="L2803" s="12">
        <f t="shared" si="234"/>
        <v>215</v>
      </c>
      <c r="M2803" s="8">
        <v>3</v>
      </c>
      <c r="N2803" s="8" t="s">
        <v>27</v>
      </c>
      <c r="O2803" s="13"/>
      <c r="P2803" s="14">
        <v>0.2</v>
      </c>
      <c r="Q2803" s="15">
        <v>0.4</v>
      </c>
      <c r="R2803" s="16" t="str">
        <f t="shared" si="233"/>
        <v>LUTRON</v>
      </c>
      <c r="S2803" s="17" t="str">
        <f t="shared" si="235"/>
        <v>LUTRON</v>
      </c>
      <c r="T2803" s="10" t="str">
        <f t="shared" si="232"/>
        <v>BALASTRO T8 PARA TUBO U_BEND, DE DOS LÁMPARAS ATENUACIÓN AL 10%</v>
      </c>
    </row>
    <row r="2804" spans="1:20" ht="27" customHeight="1" x14ac:dyDescent="0.25">
      <c r="A2804" s="8" t="s">
        <v>5672</v>
      </c>
      <c r="B2804" s="9" t="s">
        <v>5666</v>
      </c>
      <c r="C2804" s="9"/>
      <c r="D2804" s="8" t="s">
        <v>184</v>
      </c>
      <c r="E2804" s="8">
        <v>157</v>
      </c>
      <c r="F2804" s="8" t="s">
        <v>22</v>
      </c>
      <c r="G2804" s="10" t="s">
        <v>5825</v>
      </c>
      <c r="H2804" s="8" t="s">
        <v>5826</v>
      </c>
      <c r="I2804" s="10" t="s">
        <v>5825</v>
      </c>
      <c r="J2804" s="11" t="s">
        <v>26</v>
      </c>
      <c r="K2804" s="57">
        <v>107.5</v>
      </c>
      <c r="L2804" s="12">
        <f t="shared" si="234"/>
        <v>215</v>
      </c>
      <c r="M2804" s="8">
        <v>3</v>
      </c>
      <c r="N2804" s="8" t="s">
        <v>27</v>
      </c>
      <c r="O2804" s="13"/>
      <c r="P2804" s="14">
        <v>0.2</v>
      </c>
      <c r="Q2804" s="15">
        <v>0.4</v>
      </c>
      <c r="R2804" s="16" t="str">
        <f t="shared" si="233"/>
        <v>LUTRON</v>
      </c>
      <c r="S2804" s="17" t="str">
        <f t="shared" si="235"/>
        <v>LUTRON</v>
      </c>
      <c r="T2804" s="10" t="str">
        <f t="shared" si="232"/>
        <v>BALASTRO T8 PARA TUBO U_BEND,  DE TRES LÁMPARAS, ATENUACIÓN AL 10%</v>
      </c>
    </row>
    <row r="2805" spans="1:20" ht="27" customHeight="1" x14ac:dyDescent="0.25">
      <c r="A2805" s="8" t="s">
        <v>5672</v>
      </c>
      <c r="B2805" s="9" t="s">
        <v>5666</v>
      </c>
      <c r="C2805" s="9"/>
      <c r="D2805" s="8" t="s">
        <v>184</v>
      </c>
      <c r="E2805" s="8">
        <v>158</v>
      </c>
      <c r="F2805" s="8" t="s">
        <v>22</v>
      </c>
      <c r="G2805" s="10" t="s">
        <v>5825</v>
      </c>
      <c r="H2805" s="8" t="s">
        <v>5826</v>
      </c>
      <c r="I2805" s="10" t="s">
        <v>5825</v>
      </c>
      <c r="J2805" s="11" t="s">
        <v>26</v>
      </c>
      <c r="K2805" s="57">
        <v>107.5</v>
      </c>
      <c r="L2805" s="12">
        <f t="shared" si="234"/>
        <v>215</v>
      </c>
      <c r="M2805" s="8">
        <v>3</v>
      </c>
      <c r="N2805" s="8" t="s">
        <v>27</v>
      </c>
      <c r="O2805" s="13"/>
      <c r="P2805" s="14">
        <v>0.2</v>
      </c>
      <c r="Q2805" s="15">
        <v>0.4</v>
      </c>
      <c r="R2805" s="16" t="str">
        <f t="shared" si="233"/>
        <v>LUTRON</v>
      </c>
      <c r="S2805" s="17" t="str">
        <f t="shared" si="235"/>
        <v>LUTRON</v>
      </c>
      <c r="T2805" s="10" t="str">
        <f t="shared" ref="T2805:T2868" si="236">G2805</f>
        <v>BALASTRO T8 PARA TUBO U_BEND,  DE TRES LÁMPARAS, ATENUACIÓN AL 10%</v>
      </c>
    </row>
    <row r="2806" spans="1:20" ht="27" customHeight="1" x14ac:dyDescent="0.25">
      <c r="A2806" s="8" t="s">
        <v>5672</v>
      </c>
      <c r="B2806" s="9" t="s">
        <v>5666</v>
      </c>
      <c r="C2806" s="9"/>
      <c r="D2806" s="8" t="s">
        <v>184</v>
      </c>
      <c r="E2806" s="8">
        <v>159</v>
      </c>
      <c r="F2806" s="8" t="s">
        <v>22</v>
      </c>
      <c r="G2806" s="10" t="s">
        <v>5825</v>
      </c>
      <c r="H2806" s="8" t="s">
        <v>5826</v>
      </c>
      <c r="I2806" s="10" t="s">
        <v>5825</v>
      </c>
      <c r="J2806" s="11" t="s">
        <v>26</v>
      </c>
      <c r="K2806" s="57">
        <v>107.5</v>
      </c>
      <c r="L2806" s="12">
        <f t="shared" si="234"/>
        <v>215</v>
      </c>
      <c r="M2806" s="8">
        <v>3</v>
      </c>
      <c r="N2806" s="8" t="s">
        <v>27</v>
      </c>
      <c r="O2806" s="13"/>
      <c r="P2806" s="14">
        <v>0.2</v>
      </c>
      <c r="Q2806" s="15">
        <v>0.4</v>
      </c>
      <c r="R2806" s="16" t="str">
        <f t="shared" si="233"/>
        <v>LUTRON</v>
      </c>
      <c r="S2806" s="17" t="str">
        <f t="shared" si="235"/>
        <v>LUTRON</v>
      </c>
      <c r="T2806" s="10" t="str">
        <f t="shared" si="236"/>
        <v>BALASTRO T8 PARA TUBO U_BEND,  DE TRES LÁMPARAS, ATENUACIÓN AL 10%</v>
      </c>
    </row>
    <row r="2807" spans="1:20" ht="27" customHeight="1" x14ac:dyDescent="0.25">
      <c r="A2807" s="8" t="s">
        <v>5672</v>
      </c>
      <c r="B2807" s="9" t="s">
        <v>5666</v>
      </c>
      <c r="C2807" s="9"/>
      <c r="D2807" s="8" t="s">
        <v>184</v>
      </c>
      <c r="E2807" s="8">
        <v>160</v>
      </c>
      <c r="F2807" s="8" t="s">
        <v>22</v>
      </c>
      <c r="G2807" s="10" t="s">
        <v>5825</v>
      </c>
      <c r="H2807" s="8" t="s">
        <v>5827</v>
      </c>
      <c r="I2807" s="10" t="s">
        <v>5825</v>
      </c>
      <c r="J2807" s="11" t="s">
        <v>26</v>
      </c>
      <c r="K2807" s="57">
        <v>107.5</v>
      </c>
      <c r="L2807" s="12">
        <f t="shared" si="234"/>
        <v>215</v>
      </c>
      <c r="M2807" s="8">
        <v>3</v>
      </c>
      <c r="N2807" s="8" t="s">
        <v>27</v>
      </c>
      <c r="O2807" s="13"/>
      <c r="P2807" s="14">
        <v>0.2</v>
      </c>
      <c r="Q2807" s="15">
        <v>0.4</v>
      </c>
      <c r="R2807" s="16" t="str">
        <f t="shared" si="233"/>
        <v>LUTRON</v>
      </c>
      <c r="S2807" s="17" t="str">
        <f t="shared" si="235"/>
        <v>LUTRON</v>
      </c>
      <c r="T2807" s="10" t="str">
        <f t="shared" si="236"/>
        <v>BALASTRO T8 PARA TUBO U_BEND,  DE TRES LÁMPARAS, ATENUACIÓN AL 10%</v>
      </c>
    </row>
    <row r="2808" spans="1:20" ht="27" customHeight="1" x14ac:dyDescent="0.25">
      <c r="A2808" s="8" t="s">
        <v>5672</v>
      </c>
      <c r="B2808" s="9" t="s">
        <v>5666</v>
      </c>
      <c r="C2808" s="9"/>
      <c r="D2808" s="8" t="s">
        <v>184</v>
      </c>
      <c r="E2808" s="8">
        <v>161</v>
      </c>
      <c r="F2808" s="8" t="s">
        <v>22</v>
      </c>
      <c r="G2808" s="10" t="s">
        <v>5825</v>
      </c>
      <c r="H2808" s="8" t="s">
        <v>5827</v>
      </c>
      <c r="I2808" s="10" t="s">
        <v>5825</v>
      </c>
      <c r="J2808" s="11" t="s">
        <v>26</v>
      </c>
      <c r="K2808" s="57">
        <v>107.5</v>
      </c>
      <c r="L2808" s="12">
        <f t="shared" si="234"/>
        <v>215</v>
      </c>
      <c r="M2808" s="8">
        <v>3</v>
      </c>
      <c r="N2808" s="8" t="s">
        <v>27</v>
      </c>
      <c r="O2808" s="13"/>
      <c r="P2808" s="14">
        <v>0.2</v>
      </c>
      <c r="Q2808" s="15">
        <v>0.4</v>
      </c>
      <c r="R2808" s="16" t="str">
        <f t="shared" si="233"/>
        <v>LUTRON</v>
      </c>
      <c r="S2808" s="17" t="str">
        <f t="shared" si="235"/>
        <v>LUTRON</v>
      </c>
      <c r="T2808" s="10" t="str">
        <f t="shared" si="236"/>
        <v>BALASTRO T8 PARA TUBO U_BEND,  DE TRES LÁMPARAS, ATENUACIÓN AL 10%</v>
      </c>
    </row>
    <row r="2809" spans="1:20" ht="27" customHeight="1" x14ac:dyDescent="0.25">
      <c r="A2809" s="8" t="s">
        <v>5672</v>
      </c>
      <c r="B2809" s="9" t="s">
        <v>5666</v>
      </c>
      <c r="C2809" s="9"/>
      <c r="D2809" s="8" t="s">
        <v>184</v>
      </c>
      <c r="E2809" s="8">
        <v>162</v>
      </c>
      <c r="F2809" s="8" t="s">
        <v>22</v>
      </c>
      <c r="G2809" s="10" t="s">
        <v>5825</v>
      </c>
      <c r="H2809" s="8" t="s">
        <v>5827</v>
      </c>
      <c r="I2809" s="10" t="s">
        <v>5825</v>
      </c>
      <c r="J2809" s="11" t="s">
        <v>26</v>
      </c>
      <c r="K2809" s="57">
        <v>107.5</v>
      </c>
      <c r="L2809" s="12">
        <f t="shared" si="234"/>
        <v>215</v>
      </c>
      <c r="M2809" s="8">
        <v>3</v>
      </c>
      <c r="N2809" s="8" t="s">
        <v>27</v>
      </c>
      <c r="O2809" s="13"/>
      <c r="P2809" s="14">
        <v>0.2</v>
      </c>
      <c r="Q2809" s="15">
        <v>0.4</v>
      </c>
      <c r="R2809" s="16" t="str">
        <f t="shared" si="233"/>
        <v>LUTRON</v>
      </c>
      <c r="S2809" s="17" t="str">
        <f t="shared" si="235"/>
        <v>LUTRON</v>
      </c>
      <c r="T2809" s="10" t="str">
        <f t="shared" si="236"/>
        <v>BALASTRO T8 PARA TUBO U_BEND,  DE TRES LÁMPARAS, ATENUACIÓN AL 10%</v>
      </c>
    </row>
    <row r="2810" spans="1:20" ht="27" customHeight="1" x14ac:dyDescent="0.25">
      <c r="A2810" s="8" t="s">
        <v>5672</v>
      </c>
      <c r="B2810" s="9" t="s">
        <v>5666</v>
      </c>
      <c r="C2810" s="9"/>
      <c r="D2810" s="8" t="s">
        <v>184</v>
      </c>
      <c r="E2810" s="8">
        <v>163</v>
      </c>
      <c r="F2810" s="8" t="s">
        <v>22</v>
      </c>
      <c r="G2810" s="10" t="s">
        <v>5828</v>
      </c>
      <c r="H2810" s="8" t="s">
        <v>5829</v>
      </c>
      <c r="I2810" s="10" t="s">
        <v>5828</v>
      </c>
      <c r="J2810" s="11" t="s">
        <v>26</v>
      </c>
      <c r="K2810" s="57">
        <v>107.5</v>
      </c>
      <c r="L2810" s="12">
        <f t="shared" si="234"/>
        <v>215</v>
      </c>
      <c r="M2810" s="8">
        <v>3</v>
      </c>
      <c r="N2810" s="8" t="s">
        <v>27</v>
      </c>
      <c r="O2810" s="13"/>
      <c r="P2810" s="14">
        <v>0.2</v>
      </c>
      <c r="Q2810" s="15">
        <v>0.4</v>
      </c>
      <c r="R2810" s="16" t="str">
        <f t="shared" si="233"/>
        <v>LUTRON</v>
      </c>
      <c r="S2810" s="17" t="str">
        <f t="shared" si="235"/>
        <v>LUTRON</v>
      </c>
      <c r="T2810" s="10" t="str">
        <f t="shared" si="236"/>
        <v xml:space="preserve">BALASTRO T8 PARA TUBO U_BEND,  DE TRES LÁMPARAS, ATENUACIÓN AL 10%;  </v>
      </c>
    </row>
    <row r="2811" spans="1:20" ht="27" customHeight="1" x14ac:dyDescent="0.25">
      <c r="A2811" s="8" t="s">
        <v>5672</v>
      </c>
      <c r="B2811" s="9" t="s">
        <v>5666</v>
      </c>
      <c r="C2811" s="9"/>
      <c r="D2811" s="8" t="s">
        <v>184</v>
      </c>
      <c r="E2811" s="8">
        <v>164</v>
      </c>
      <c r="F2811" s="8" t="s">
        <v>22</v>
      </c>
      <c r="G2811" s="10" t="s">
        <v>5828</v>
      </c>
      <c r="H2811" s="8" t="s">
        <v>5829</v>
      </c>
      <c r="I2811" s="10" t="s">
        <v>5828</v>
      </c>
      <c r="J2811" s="11" t="s">
        <v>26</v>
      </c>
      <c r="K2811" s="57">
        <v>107.5</v>
      </c>
      <c r="L2811" s="12">
        <f t="shared" si="234"/>
        <v>215</v>
      </c>
      <c r="M2811" s="8">
        <v>3</v>
      </c>
      <c r="N2811" s="8" t="s">
        <v>27</v>
      </c>
      <c r="O2811" s="13"/>
      <c r="P2811" s="14">
        <v>0.2</v>
      </c>
      <c r="Q2811" s="15">
        <v>0.4</v>
      </c>
      <c r="R2811" s="16" t="str">
        <f t="shared" si="233"/>
        <v>LUTRON</v>
      </c>
      <c r="S2811" s="17" t="str">
        <f t="shared" si="235"/>
        <v>LUTRON</v>
      </c>
      <c r="T2811" s="10" t="str">
        <f t="shared" si="236"/>
        <v xml:space="preserve">BALASTRO T8 PARA TUBO U_BEND,  DE TRES LÁMPARAS, ATENUACIÓN AL 10%;  </v>
      </c>
    </row>
    <row r="2812" spans="1:20" ht="27" customHeight="1" x14ac:dyDescent="0.25">
      <c r="A2812" s="8" t="s">
        <v>5672</v>
      </c>
      <c r="B2812" s="9" t="s">
        <v>5666</v>
      </c>
      <c r="C2812" s="9"/>
      <c r="D2812" s="8" t="s">
        <v>184</v>
      </c>
      <c r="E2812" s="8">
        <v>165</v>
      </c>
      <c r="F2812" s="8" t="s">
        <v>22</v>
      </c>
      <c r="G2812" s="10" t="s">
        <v>5828</v>
      </c>
      <c r="H2812" s="8" t="s">
        <v>5829</v>
      </c>
      <c r="I2812" s="10" t="s">
        <v>5828</v>
      </c>
      <c r="J2812" s="11" t="s">
        <v>26</v>
      </c>
      <c r="K2812" s="57">
        <v>107.5</v>
      </c>
      <c r="L2812" s="12">
        <f t="shared" si="234"/>
        <v>215</v>
      </c>
      <c r="M2812" s="8">
        <v>3</v>
      </c>
      <c r="N2812" s="8" t="s">
        <v>27</v>
      </c>
      <c r="O2812" s="13"/>
      <c r="P2812" s="14">
        <v>0.2</v>
      </c>
      <c r="Q2812" s="15">
        <v>0.4</v>
      </c>
      <c r="R2812" s="16" t="str">
        <f t="shared" si="233"/>
        <v>LUTRON</v>
      </c>
      <c r="S2812" s="17" t="str">
        <f t="shared" si="235"/>
        <v>LUTRON</v>
      </c>
      <c r="T2812" s="10" t="str">
        <f t="shared" si="236"/>
        <v xml:space="preserve">BALASTRO T8 PARA TUBO U_BEND,  DE TRES LÁMPARAS, ATENUACIÓN AL 10%;  </v>
      </c>
    </row>
    <row r="2813" spans="1:20" ht="27" customHeight="1" x14ac:dyDescent="0.25">
      <c r="A2813" s="8" t="s">
        <v>5672</v>
      </c>
      <c r="B2813" s="9" t="s">
        <v>5666</v>
      </c>
      <c r="C2813" s="9"/>
      <c r="D2813" s="8" t="s">
        <v>184</v>
      </c>
      <c r="E2813" s="8">
        <v>166</v>
      </c>
      <c r="F2813" s="8" t="s">
        <v>22</v>
      </c>
      <c r="G2813" s="10" t="s">
        <v>5830</v>
      </c>
      <c r="H2813" s="8" t="s">
        <v>5831</v>
      </c>
      <c r="I2813" s="10" t="s">
        <v>5830</v>
      </c>
      <c r="J2813" s="11" t="s">
        <v>26</v>
      </c>
      <c r="K2813" s="57">
        <v>107.5</v>
      </c>
      <c r="L2813" s="12">
        <f t="shared" si="234"/>
        <v>215</v>
      </c>
      <c r="M2813" s="8">
        <v>3</v>
      </c>
      <c r="N2813" s="8" t="s">
        <v>27</v>
      </c>
      <c r="O2813" s="13"/>
      <c r="P2813" s="14">
        <v>0.2</v>
      </c>
      <c r="Q2813" s="15">
        <v>0.4</v>
      </c>
      <c r="R2813" s="16" t="str">
        <f t="shared" si="233"/>
        <v>LUTRON</v>
      </c>
      <c r="S2813" s="17" t="str">
        <f t="shared" si="235"/>
        <v>LUTRON</v>
      </c>
      <c r="T2813" s="10" t="str">
        <f t="shared" si="236"/>
        <v>BALASTRO T8 DE VATIAJE REDUCIDO 4ft, DE UNA LÁMPARA, ATENUACIÓN AL 10%</v>
      </c>
    </row>
    <row r="2814" spans="1:20" ht="27" customHeight="1" x14ac:dyDescent="0.25">
      <c r="A2814" s="8" t="s">
        <v>5672</v>
      </c>
      <c r="B2814" s="9" t="s">
        <v>5666</v>
      </c>
      <c r="C2814" s="9"/>
      <c r="D2814" s="8" t="s">
        <v>184</v>
      </c>
      <c r="E2814" s="8">
        <v>167</v>
      </c>
      <c r="F2814" s="8" t="s">
        <v>22</v>
      </c>
      <c r="G2814" s="10" t="s">
        <v>5830</v>
      </c>
      <c r="H2814" s="8" t="s">
        <v>5831</v>
      </c>
      <c r="I2814" s="10" t="s">
        <v>5830</v>
      </c>
      <c r="J2814" s="11" t="s">
        <v>26</v>
      </c>
      <c r="K2814" s="57">
        <v>107.5</v>
      </c>
      <c r="L2814" s="12">
        <f t="shared" si="234"/>
        <v>215</v>
      </c>
      <c r="M2814" s="8">
        <v>3</v>
      </c>
      <c r="N2814" s="8" t="s">
        <v>27</v>
      </c>
      <c r="O2814" s="13"/>
      <c r="P2814" s="14">
        <v>0.2</v>
      </c>
      <c r="Q2814" s="15">
        <v>0.4</v>
      </c>
      <c r="R2814" s="16" t="str">
        <f t="shared" si="233"/>
        <v>LUTRON</v>
      </c>
      <c r="S2814" s="17" t="str">
        <f t="shared" si="235"/>
        <v>LUTRON</v>
      </c>
      <c r="T2814" s="10" t="str">
        <f t="shared" si="236"/>
        <v>BALASTRO T8 DE VATIAJE REDUCIDO 4ft, DE UNA LÁMPARA, ATENUACIÓN AL 10%</v>
      </c>
    </row>
    <row r="2815" spans="1:20" ht="27" customHeight="1" x14ac:dyDescent="0.25">
      <c r="A2815" s="8" t="s">
        <v>5672</v>
      </c>
      <c r="B2815" s="9" t="s">
        <v>5666</v>
      </c>
      <c r="C2815" s="9"/>
      <c r="D2815" s="8" t="s">
        <v>184</v>
      </c>
      <c r="E2815" s="8">
        <v>168</v>
      </c>
      <c r="F2815" s="8" t="s">
        <v>22</v>
      </c>
      <c r="G2815" s="10" t="s">
        <v>5830</v>
      </c>
      <c r="H2815" s="8" t="s">
        <v>5831</v>
      </c>
      <c r="I2815" s="10" t="s">
        <v>5830</v>
      </c>
      <c r="J2815" s="11" t="s">
        <v>26</v>
      </c>
      <c r="K2815" s="57">
        <v>107.5</v>
      </c>
      <c r="L2815" s="12">
        <f t="shared" si="234"/>
        <v>215</v>
      </c>
      <c r="M2815" s="8">
        <v>3</v>
      </c>
      <c r="N2815" s="8" t="s">
        <v>27</v>
      </c>
      <c r="O2815" s="13"/>
      <c r="P2815" s="14">
        <v>0.2</v>
      </c>
      <c r="Q2815" s="15">
        <v>0.4</v>
      </c>
      <c r="R2815" s="16" t="str">
        <f t="shared" si="233"/>
        <v>LUTRON</v>
      </c>
      <c r="S2815" s="17" t="str">
        <f t="shared" si="235"/>
        <v>LUTRON</v>
      </c>
      <c r="T2815" s="10" t="str">
        <f t="shared" si="236"/>
        <v>BALASTRO T8 DE VATIAJE REDUCIDO 4ft, DE UNA LÁMPARA, ATENUACIÓN AL 10%</v>
      </c>
    </row>
    <row r="2816" spans="1:20" ht="27" customHeight="1" x14ac:dyDescent="0.25">
      <c r="A2816" s="8" t="s">
        <v>5672</v>
      </c>
      <c r="B2816" s="9" t="s">
        <v>5666</v>
      </c>
      <c r="C2816" s="9"/>
      <c r="D2816" s="8" t="s">
        <v>184</v>
      </c>
      <c r="E2816" s="8">
        <v>169</v>
      </c>
      <c r="F2816" s="8" t="s">
        <v>22</v>
      </c>
      <c r="G2816" s="10" t="s">
        <v>5830</v>
      </c>
      <c r="H2816" s="8" t="s">
        <v>5831</v>
      </c>
      <c r="I2816" s="10" t="s">
        <v>5830</v>
      </c>
      <c r="J2816" s="11" t="s">
        <v>26</v>
      </c>
      <c r="K2816" s="57">
        <v>107.5</v>
      </c>
      <c r="L2816" s="12">
        <f t="shared" si="234"/>
        <v>215</v>
      </c>
      <c r="M2816" s="8">
        <v>3</v>
      </c>
      <c r="N2816" s="8" t="s">
        <v>27</v>
      </c>
      <c r="O2816" s="13"/>
      <c r="P2816" s="14">
        <v>0.2</v>
      </c>
      <c r="Q2816" s="15">
        <v>0.4</v>
      </c>
      <c r="R2816" s="16" t="str">
        <f t="shared" si="233"/>
        <v>LUTRON</v>
      </c>
      <c r="S2816" s="17" t="str">
        <f t="shared" si="235"/>
        <v>LUTRON</v>
      </c>
      <c r="T2816" s="10" t="str">
        <f t="shared" si="236"/>
        <v>BALASTRO T8 DE VATIAJE REDUCIDO 4ft, DE UNA LÁMPARA, ATENUACIÓN AL 10%</v>
      </c>
    </row>
    <row r="2817" spans="1:20" ht="27" customHeight="1" x14ac:dyDescent="0.25">
      <c r="A2817" s="8" t="s">
        <v>5672</v>
      </c>
      <c r="B2817" s="9" t="s">
        <v>5666</v>
      </c>
      <c r="C2817" s="9"/>
      <c r="D2817" s="8" t="s">
        <v>184</v>
      </c>
      <c r="E2817" s="8">
        <v>170</v>
      </c>
      <c r="F2817" s="8" t="s">
        <v>22</v>
      </c>
      <c r="G2817" s="10" t="s">
        <v>5830</v>
      </c>
      <c r="H2817" s="8" t="s">
        <v>5831</v>
      </c>
      <c r="I2817" s="10" t="s">
        <v>5830</v>
      </c>
      <c r="J2817" s="11" t="s">
        <v>26</v>
      </c>
      <c r="K2817" s="57">
        <v>107.5</v>
      </c>
      <c r="L2817" s="12">
        <f t="shared" si="234"/>
        <v>215</v>
      </c>
      <c r="M2817" s="8">
        <v>3</v>
      </c>
      <c r="N2817" s="8" t="s">
        <v>27</v>
      </c>
      <c r="O2817" s="13"/>
      <c r="P2817" s="14">
        <v>0.2</v>
      </c>
      <c r="Q2817" s="15">
        <v>0.4</v>
      </c>
      <c r="R2817" s="16" t="str">
        <f t="shared" ref="R2817:R2880" si="237">A2817</f>
        <v>LUTRON</v>
      </c>
      <c r="S2817" s="17" t="str">
        <f t="shared" si="235"/>
        <v>LUTRON</v>
      </c>
      <c r="T2817" s="10" t="str">
        <f t="shared" si="236"/>
        <v>BALASTRO T8 DE VATIAJE REDUCIDO 4ft, DE UNA LÁMPARA, ATENUACIÓN AL 10%</v>
      </c>
    </row>
    <row r="2818" spans="1:20" ht="27" customHeight="1" x14ac:dyDescent="0.25">
      <c r="A2818" s="8" t="s">
        <v>5672</v>
      </c>
      <c r="B2818" s="9" t="s">
        <v>5666</v>
      </c>
      <c r="C2818" s="9"/>
      <c r="D2818" s="8" t="s">
        <v>184</v>
      </c>
      <c r="E2818" s="8">
        <v>171</v>
      </c>
      <c r="F2818" s="8" t="s">
        <v>22</v>
      </c>
      <c r="G2818" s="10" t="s">
        <v>5830</v>
      </c>
      <c r="H2818" s="8" t="s">
        <v>5831</v>
      </c>
      <c r="I2818" s="10" t="s">
        <v>5830</v>
      </c>
      <c r="J2818" s="11" t="s">
        <v>26</v>
      </c>
      <c r="K2818" s="57">
        <v>107.5</v>
      </c>
      <c r="L2818" s="12">
        <f t="shared" si="234"/>
        <v>215</v>
      </c>
      <c r="M2818" s="8">
        <v>3</v>
      </c>
      <c r="N2818" s="8" t="s">
        <v>27</v>
      </c>
      <c r="O2818" s="13"/>
      <c r="P2818" s="14">
        <v>0.2</v>
      </c>
      <c r="Q2818" s="15">
        <v>0.4</v>
      </c>
      <c r="R2818" s="16" t="str">
        <f t="shared" si="237"/>
        <v>LUTRON</v>
      </c>
      <c r="S2818" s="17" t="str">
        <f t="shared" si="235"/>
        <v>LUTRON</v>
      </c>
      <c r="T2818" s="10" t="str">
        <f t="shared" si="236"/>
        <v>BALASTRO T8 DE VATIAJE REDUCIDO 4ft, DE UNA LÁMPARA, ATENUACIÓN AL 10%</v>
      </c>
    </row>
    <row r="2819" spans="1:20" ht="27" customHeight="1" x14ac:dyDescent="0.25">
      <c r="A2819" s="8" t="s">
        <v>5672</v>
      </c>
      <c r="B2819" s="9" t="s">
        <v>5666</v>
      </c>
      <c r="C2819" s="9"/>
      <c r="D2819" s="8" t="s">
        <v>184</v>
      </c>
      <c r="E2819" s="8">
        <v>172</v>
      </c>
      <c r="F2819" s="8" t="s">
        <v>22</v>
      </c>
      <c r="G2819" s="10" t="s">
        <v>5830</v>
      </c>
      <c r="H2819" s="8" t="s">
        <v>5831</v>
      </c>
      <c r="I2819" s="10" t="s">
        <v>5830</v>
      </c>
      <c r="J2819" s="11" t="s">
        <v>26</v>
      </c>
      <c r="K2819" s="57">
        <v>107.5</v>
      </c>
      <c r="L2819" s="12">
        <f t="shared" si="234"/>
        <v>215</v>
      </c>
      <c r="M2819" s="8">
        <v>3</v>
      </c>
      <c r="N2819" s="8" t="s">
        <v>27</v>
      </c>
      <c r="O2819" s="13"/>
      <c r="P2819" s="14">
        <v>0.2</v>
      </c>
      <c r="Q2819" s="15">
        <v>0.4</v>
      </c>
      <c r="R2819" s="16" t="str">
        <f t="shared" si="237"/>
        <v>LUTRON</v>
      </c>
      <c r="S2819" s="17" t="str">
        <f t="shared" si="235"/>
        <v>LUTRON</v>
      </c>
      <c r="T2819" s="10" t="str">
        <f t="shared" si="236"/>
        <v>BALASTRO T8 DE VATIAJE REDUCIDO 4ft, DE UNA LÁMPARA, ATENUACIÓN AL 10%</v>
      </c>
    </row>
    <row r="2820" spans="1:20" ht="27" customHeight="1" x14ac:dyDescent="0.25">
      <c r="A2820" s="8" t="s">
        <v>5672</v>
      </c>
      <c r="B2820" s="9" t="s">
        <v>5666</v>
      </c>
      <c r="C2820" s="9"/>
      <c r="D2820" s="8" t="s">
        <v>184</v>
      </c>
      <c r="E2820" s="8">
        <v>173</v>
      </c>
      <c r="F2820" s="8" t="s">
        <v>22</v>
      </c>
      <c r="G2820" s="10" t="s">
        <v>5830</v>
      </c>
      <c r="H2820" s="8" t="s">
        <v>5831</v>
      </c>
      <c r="I2820" s="10" t="s">
        <v>5830</v>
      </c>
      <c r="J2820" s="11" t="s">
        <v>26</v>
      </c>
      <c r="K2820" s="57">
        <v>107.5</v>
      </c>
      <c r="L2820" s="12">
        <f t="shared" si="234"/>
        <v>215</v>
      </c>
      <c r="M2820" s="8">
        <v>3</v>
      </c>
      <c r="N2820" s="8" t="s">
        <v>27</v>
      </c>
      <c r="O2820" s="13"/>
      <c r="P2820" s="14">
        <v>0.2</v>
      </c>
      <c r="Q2820" s="15">
        <v>0.4</v>
      </c>
      <c r="R2820" s="16" t="str">
        <f t="shared" si="237"/>
        <v>LUTRON</v>
      </c>
      <c r="S2820" s="17" t="str">
        <f t="shared" si="235"/>
        <v>LUTRON</v>
      </c>
      <c r="T2820" s="10" t="str">
        <f t="shared" si="236"/>
        <v>BALASTRO T8 DE VATIAJE REDUCIDO 4ft, DE UNA LÁMPARA, ATENUACIÓN AL 10%</v>
      </c>
    </row>
    <row r="2821" spans="1:20" ht="27" customHeight="1" x14ac:dyDescent="0.25">
      <c r="A2821" s="8" t="s">
        <v>5672</v>
      </c>
      <c r="B2821" s="9" t="s">
        <v>5666</v>
      </c>
      <c r="C2821" s="9"/>
      <c r="D2821" s="8" t="s">
        <v>184</v>
      </c>
      <c r="E2821" s="8">
        <v>174</v>
      </c>
      <c r="F2821" s="8" t="s">
        <v>22</v>
      </c>
      <c r="G2821" s="10" t="s">
        <v>5830</v>
      </c>
      <c r="H2821" s="8" t="s">
        <v>5831</v>
      </c>
      <c r="I2821" s="10" t="s">
        <v>5830</v>
      </c>
      <c r="J2821" s="11" t="s">
        <v>26</v>
      </c>
      <c r="K2821" s="57">
        <v>107.5</v>
      </c>
      <c r="L2821" s="12">
        <f t="shared" si="234"/>
        <v>215</v>
      </c>
      <c r="M2821" s="8">
        <v>3</v>
      </c>
      <c r="N2821" s="8" t="s">
        <v>27</v>
      </c>
      <c r="O2821" s="13"/>
      <c r="P2821" s="14">
        <v>0.2</v>
      </c>
      <c r="Q2821" s="15">
        <v>0.4</v>
      </c>
      <c r="R2821" s="16" t="str">
        <f t="shared" si="237"/>
        <v>LUTRON</v>
      </c>
      <c r="S2821" s="17" t="str">
        <f t="shared" si="235"/>
        <v>LUTRON</v>
      </c>
      <c r="T2821" s="10" t="str">
        <f t="shared" si="236"/>
        <v>BALASTRO T8 DE VATIAJE REDUCIDO 4ft, DE UNA LÁMPARA, ATENUACIÓN AL 10%</v>
      </c>
    </row>
    <row r="2822" spans="1:20" ht="27" customHeight="1" x14ac:dyDescent="0.25">
      <c r="A2822" s="8" t="s">
        <v>5672</v>
      </c>
      <c r="B2822" s="9" t="s">
        <v>5666</v>
      </c>
      <c r="C2822" s="9"/>
      <c r="D2822" s="8" t="s">
        <v>184</v>
      </c>
      <c r="E2822" s="8">
        <v>175</v>
      </c>
      <c r="F2822" s="8" t="s">
        <v>22</v>
      </c>
      <c r="G2822" s="10" t="s">
        <v>5832</v>
      </c>
      <c r="H2822" s="8" t="s">
        <v>5833</v>
      </c>
      <c r="I2822" s="10" t="s">
        <v>5832</v>
      </c>
      <c r="J2822" s="11" t="s">
        <v>26</v>
      </c>
      <c r="K2822" s="57">
        <v>107.5</v>
      </c>
      <c r="L2822" s="12">
        <f t="shared" si="234"/>
        <v>215</v>
      </c>
      <c r="M2822" s="8">
        <v>3</v>
      </c>
      <c r="N2822" s="8" t="s">
        <v>27</v>
      </c>
      <c r="O2822" s="13"/>
      <c r="P2822" s="14">
        <v>0.2</v>
      </c>
      <c r="Q2822" s="15">
        <v>0.4</v>
      </c>
      <c r="R2822" s="16" t="str">
        <f t="shared" si="237"/>
        <v>LUTRON</v>
      </c>
      <c r="S2822" s="17" t="str">
        <f t="shared" si="235"/>
        <v>LUTRON</v>
      </c>
      <c r="T2822" s="10" t="str">
        <f t="shared" si="236"/>
        <v>BALASTRO T8 DE VATIAJE REDUCIDO 4ft, DE DOS LÁMPARAS ATENUACIÓN AL 10%</v>
      </c>
    </row>
    <row r="2823" spans="1:20" ht="27" customHeight="1" x14ac:dyDescent="0.25">
      <c r="A2823" s="8" t="s">
        <v>5672</v>
      </c>
      <c r="B2823" s="9" t="s">
        <v>5666</v>
      </c>
      <c r="C2823" s="9"/>
      <c r="D2823" s="8" t="s">
        <v>184</v>
      </c>
      <c r="E2823" s="8">
        <v>176</v>
      </c>
      <c r="F2823" s="8" t="s">
        <v>22</v>
      </c>
      <c r="G2823" s="10" t="s">
        <v>5832</v>
      </c>
      <c r="H2823" s="8" t="s">
        <v>5833</v>
      </c>
      <c r="I2823" s="10" t="s">
        <v>5832</v>
      </c>
      <c r="J2823" s="11" t="s">
        <v>26</v>
      </c>
      <c r="K2823" s="57">
        <v>107.5</v>
      </c>
      <c r="L2823" s="12">
        <f t="shared" si="234"/>
        <v>215</v>
      </c>
      <c r="M2823" s="8">
        <v>3</v>
      </c>
      <c r="N2823" s="8" t="s">
        <v>27</v>
      </c>
      <c r="O2823" s="13"/>
      <c r="P2823" s="14">
        <v>0.2</v>
      </c>
      <c r="Q2823" s="15">
        <v>0.4</v>
      </c>
      <c r="R2823" s="16" t="str">
        <f t="shared" si="237"/>
        <v>LUTRON</v>
      </c>
      <c r="S2823" s="17" t="str">
        <f t="shared" si="235"/>
        <v>LUTRON</v>
      </c>
      <c r="T2823" s="10" t="str">
        <f t="shared" si="236"/>
        <v>BALASTRO T8 DE VATIAJE REDUCIDO 4ft, DE DOS LÁMPARAS ATENUACIÓN AL 10%</v>
      </c>
    </row>
    <row r="2824" spans="1:20" ht="27" customHeight="1" x14ac:dyDescent="0.25">
      <c r="A2824" s="8" t="s">
        <v>5672</v>
      </c>
      <c r="B2824" s="9" t="s">
        <v>5666</v>
      </c>
      <c r="C2824" s="9"/>
      <c r="D2824" s="8" t="s">
        <v>184</v>
      </c>
      <c r="E2824" s="8">
        <v>177</v>
      </c>
      <c r="F2824" s="8" t="s">
        <v>22</v>
      </c>
      <c r="G2824" s="10" t="s">
        <v>5832</v>
      </c>
      <c r="H2824" s="8" t="s">
        <v>5833</v>
      </c>
      <c r="I2824" s="10" t="s">
        <v>5832</v>
      </c>
      <c r="J2824" s="11" t="s">
        <v>26</v>
      </c>
      <c r="K2824" s="57">
        <v>107.5</v>
      </c>
      <c r="L2824" s="12">
        <f t="shared" si="234"/>
        <v>215</v>
      </c>
      <c r="M2824" s="8">
        <v>3</v>
      </c>
      <c r="N2824" s="8" t="s">
        <v>27</v>
      </c>
      <c r="O2824" s="13"/>
      <c r="P2824" s="14">
        <v>0.2</v>
      </c>
      <c r="Q2824" s="15">
        <v>0.4</v>
      </c>
      <c r="R2824" s="16" t="str">
        <f t="shared" si="237"/>
        <v>LUTRON</v>
      </c>
      <c r="S2824" s="17" t="str">
        <f t="shared" si="235"/>
        <v>LUTRON</v>
      </c>
      <c r="T2824" s="10" t="str">
        <f t="shared" si="236"/>
        <v>BALASTRO T8 DE VATIAJE REDUCIDO 4ft, DE DOS LÁMPARAS ATENUACIÓN AL 10%</v>
      </c>
    </row>
    <row r="2825" spans="1:20" ht="27" customHeight="1" x14ac:dyDescent="0.25">
      <c r="A2825" s="8" t="s">
        <v>5672</v>
      </c>
      <c r="B2825" s="9" t="s">
        <v>5666</v>
      </c>
      <c r="C2825" s="9"/>
      <c r="D2825" s="8" t="s">
        <v>184</v>
      </c>
      <c r="E2825" s="8">
        <v>178</v>
      </c>
      <c r="F2825" s="8" t="s">
        <v>22</v>
      </c>
      <c r="G2825" s="10" t="s">
        <v>5832</v>
      </c>
      <c r="H2825" s="8" t="s">
        <v>5833</v>
      </c>
      <c r="I2825" s="10" t="s">
        <v>5832</v>
      </c>
      <c r="J2825" s="11" t="s">
        <v>26</v>
      </c>
      <c r="K2825" s="57">
        <v>107.5</v>
      </c>
      <c r="L2825" s="12">
        <f t="shared" si="234"/>
        <v>215</v>
      </c>
      <c r="M2825" s="8">
        <v>3</v>
      </c>
      <c r="N2825" s="8" t="s">
        <v>27</v>
      </c>
      <c r="O2825" s="13"/>
      <c r="P2825" s="14">
        <v>0.2</v>
      </c>
      <c r="Q2825" s="15">
        <v>0.4</v>
      </c>
      <c r="R2825" s="16" t="str">
        <f t="shared" si="237"/>
        <v>LUTRON</v>
      </c>
      <c r="S2825" s="17" t="str">
        <f t="shared" si="235"/>
        <v>LUTRON</v>
      </c>
      <c r="T2825" s="10" t="str">
        <f t="shared" si="236"/>
        <v>BALASTRO T8 DE VATIAJE REDUCIDO 4ft, DE DOS LÁMPARAS ATENUACIÓN AL 10%</v>
      </c>
    </row>
    <row r="2826" spans="1:20" ht="27" customHeight="1" x14ac:dyDescent="0.25">
      <c r="A2826" s="8" t="s">
        <v>5672</v>
      </c>
      <c r="B2826" s="9" t="s">
        <v>5666</v>
      </c>
      <c r="C2826" s="9"/>
      <c r="D2826" s="8" t="s">
        <v>184</v>
      </c>
      <c r="E2826" s="8">
        <v>179</v>
      </c>
      <c r="F2826" s="8" t="s">
        <v>22</v>
      </c>
      <c r="G2826" s="10" t="s">
        <v>5832</v>
      </c>
      <c r="H2826" s="8" t="s">
        <v>5833</v>
      </c>
      <c r="I2826" s="10" t="s">
        <v>5832</v>
      </c>
      <c r="J2826" s="11" t="s">
        <v>26</v>
      </c>
      <c r="K2826" s="57">
        <v>107.5</v>
      </c>
      <c r="L2826" s="12">
        <f t="shared" si="234"/>
        <v>215</v>
      </c>
      <c r="M2826" s="8">
        <v>3</v>
      </c>
      <c r="N2826" s="8" t="s">
        <v>27</v>
      </c>
      <c r="O2826" s="13"/>
      <c r="P2826" s="14">
        <v>0.2</v>
      </c>
      <c r="Q2826" s="15">
        <v>0.4</v>
      </c>
      <c r="R2826" s="16" t="str">
        <f t="shared" si="237"/>
        <v>LUTRON</v>
      </c>
      <c r="S2826" s="17" t="str">
        <f t="shared" si="235"/>
        <v>LUTRON</v>
      </c>
      <c r="T2826" s="10" t="str">
        <f t="shared" si="236"/>
        <v>BALASTRO T8 DE VATIAJE REDUCIDO 4ft, DE DOS LÁMPARAS ATENUACIÓN AL 10%</v>
      </c>
    </row>
    <row r="2827" spans="1:20" ht="27" customHeight="1" x14ac:dyDescent="0.25">
      <c r="A2827" s="8" t="s">
        <v>5672</v>
      </c>
      <c r="B2827" s="9" t="s">
        <v>5666</v>
      </c>
      <c r="C2827" s="9"/>
      <c r="D2827" s="8" t="s">
        <v>184</v>
      </c>
      <c r="E2827" s="8">
        <v>180</v>
      </c>
      <c r="F2827" s="8" t="s">
        <v>22</v>
      </c>
      <c r="G2827" s="10" t="s">
        <v>5832</v>
      </c>
      <c r="H2827" s="8" t="s">
        <v>5833</v>
      </c>
      <c r="I2827" s="10" t="s">
        <v>5832</v>
      </c>
      <c r="J2827" s="11" t="s">
        <v>26</v>
      </c>
      <c r="K2827" s="57">
        <v>107.5</v>
      </c>
      <c r="L2827" s="12">
        <f t="shared" si="234"/>
        <v>215</v>
      </c>
      <c r="M2827" s="8">
        <v>3</v>
      </c>
      <c r="N2827" s="8" t="s">
        <v>27</v>
      </c>
      <c r="O2827" s="13"/>
      <c r="P2827" s="14">
        <v>0.2</v>
      </c>
      <c r="Q2827" s="15">
        <v>0.4</v>
      </c>
      <c r="R2827" s="16" t="str">
        <f t="shared" si="237"/>
        <v>LUTRON</v>
      </c>
      <c r="S2827" s="17" t="str">
        <f t="shared" si="235"/>
        <v>LUTRON</v>
      </c>
      <c r="T2827" s="10" t="str">
        <f t="shared" si="236"/>
        <v>BALASTRO T8 DE VATIAJE REDUCIDO 4ft, DE DOS LÁMPARAS ATENUACIÓN AL 10%</v>
      </c>
    </row>
    <row r="2828" spans="1:20" ht="27" customHeight="1" x14ac:dyDescent="0.25">
      <c r="A2828" s="8" t="s">
        <v>5672</v>
      </c>
      <c r="B2828" s="9" t="s">
        <v>5666</v>
      </c>
      <c r="C2828" s="9"/>
      <c r="D2828" s="8" t="s">
        <v>184</v>
      </c>
      <c r="E2828" s="8">
        <v>181</v>
      </c>
      <c r="F2828" s="8" t="s">
        <v>22</v>
      </c>
      <c r="G2828" s="10" t="s">
        <v>5832</v>
      </c>
      <c r="H2828" s="8" t="s">
        <v>5833</v>
      </c>
      <c r="I2828" s="10" t="s">
        <v>5832</v>
      </c>
      <c r="J2828" s="11" t="s">
        <v>26</v>
      </c>
      <c r="K2828" s="57">
        <v>107.5</v>
      </c>
      <c r="L2828" s="12">
        <f t="shared" si="234"/>
        <v>215</v>
      </c>
      <c r="M2828" s="8">
        <v>3</v>
      </c>
      <c r="N2828" s="8" t="s">
        <v>27</v>
      </c>
      <c r="O2828" s="13"/>
      <c r="P2828" s="14">
        <v>0.2</v>
      </c>
      <c r="Q2828" s="15">
        <v>0.4</v>
      </c>
      <c r="R2828" s="16" t="str">
        <f t="shared" si="237"/>
        <v>LUTRON</v>
      </c>
      <c r="S2828" s="17" t="str">
        <f t="shared" si="235"/>
        <v>LUTRON</v>
      </c>
      <c r="T2828" s="10" t="str">
        <f t="shared" si="236"/>
        <v>BALASTRO T8 DE VATIAJE REDUCIDO 4ft, DE DOS LÁMPARAS ATENUACIÓN AL 10%</v>
      </c>
    </row>
    <row r="2829" spans="1:20" ht="27" customHeight="1" x14ac:dyDescent="0.25">
      <c r="A2829" s="8" t="s">
        <v>5672</v>
      </c>
      <c r="B2829" s="9" t="s">
        <v>5666</v>
      </c>
      <c r="C2829" s="9"/>
      <c r="D2829" s="8" t="s">
        <v>184</v>
      </c>
      <c r="E2829" s="8">
        <v>182</v>
      </c>
      <c r="F2829" s="8" t="s">
        <v>22</v>
      </c>
      <c r="G2829" s="10" t="s">
        <v>5832</v>
      </c>
      <c r="H2829" s="8" t="s">
        <v>5833</v>
      </c>
      <c r="I2829" s="10" t="s">
        <v>5832</v>
      </c>
      <c r="J2829" s="11" t="s">
        <v>26</v>
      </c>
      <c r="K2829" s="57">
        <v>107.5</v>
      </c>
      <c r="L2829" s="12">
        <f t="shared" si="234"/>
        <v>215</v>
      </c>
      <c r="M2829" s="8">
        <v>3</v>
      </c>
      <c r="N2829" s="8" t="s">
        <v>27</v>
      </c>
      <c r="O2829" s="13"/>
      <c r="P2829" s="14">
        <v>0.2</v>
      </c>
      <c r="Q2829" s="15">
        <v>0.4</v>
      </c>
      <c r="R2829" s="16" t="str">
        <f t="shared" si="237"/>
        <v>LUTRON</v>
      </c>
      <c r="S2829" s="17" t="str">
        <f t="shared" si="235"/>
        <v>LUTRON</v>
      </c>
      <c r="T2829" s="10" t="str">
        <f t="shared" si="236"/>
        <v>BALASTRO T8 DE VATIAJE REDUCIDO 4ft, DE DOS LÁMPARAS ATENUACIÓN AL 10%</v>
      </c>
    </row>
    <row r="2830" spans="1:20" ht="27" customHeight="1" x14ac:dyDescent="0.25">
      <c r="A2830" s="8" t="s">
        <v>5672</v>
      </c>
      <c r="B2830" s="9" t="s">
        <v>5666</v>
      </c>
      <c r="C2830" s="9"/>
      <c r="D2830" s="8" t="s">
        <v>184</v>
      </c>
      <c r="E2830" s="8">
        <v>183</v>
      </c>
      <c r="F2830" s="8" t="s">
        <v>22</v>
      </c>
      <c r="G2830" s="10" t="s">
        <v>5834</v>
      </c>
      <c r="H2830" s="8" t="s">
        <v>5835</v>
      </c>
      <c r="I2830" s="10" t="s">
        <v>5834</v>
      </c>
      <c r="J2830" s="11" t="s">
        <v>26</v>
      </c>
      <c r="K2830" s="57">
        <v>107.5</v>
      </c>
      <c r="L2830" s="12">
        <f t="shared" si="234"/>
        <v>215</v>
      </c>
      <c r="M2830" s="8">
        <v>3</v>
      </c>
      <c r="N2830" s="8" t="s">
        <v>27</v>
      </c>
      <c r="O2830" s="13"/>
      <c r="P2830" s="14">
        <v>0.2</v>
      </c>
      <c r="Q2830" s="15">
        <v>0.4</v>
      </c>
      <c r="R2830" s="16" t="str">
        <f t="shared" si="237"/>
        <v>LUTRON</v>
      </c>
      <c r="S2830" s="17" t="str">
        <f t="shared" si="235"/>
        <v>LUTRON</v>
      </c>
      <c r="T2830" s="10" t="str">
        <f t="shared" si="236"/>
        <v>BALASTRO T8 DE VATIAJE REDUCIDO 4ft,  DE TRES LÁMPARAS, ATENUACIÓN AL 10%</v>
      </c>
    </row>
    <row r="2831" spans="1:20" ht="27" customHeight="1" x14ac:dyDescent="0.25">
      <c r="A2831" s="8" t="s">
        <v>5672</v>
      </c>
      <c r="B2831" s="9" t="s">
        <v>5666</v>
      </c>
      <c r="C2831" s="9"/>
      <c r="D2831" s="8" t="s">
        <v>184</v>
      </c>
      <c r="E2831" s="8">
        <v>184</v>
      </c>
      <c r="F2831" s="8" t="s">
        <v>22</v>
      </c>
      <c r="G2831" s="10" t="s">
        <v>5834</v>
      </c>
      <c r="H2831" s="8" t="s">
        <v>5835</v>
      </c>
      <c r="I2831" s="10" t="s">
        <v>5834</v>
      </c>
      <c r="J2831" s="11" t="s">
        <v>26</v>
      </c>
      <c r="K2831" s="57">
        <v>107.5</v>
      </c>
      <c r="L2831" s="12">
        <f t="shared" si="234"/>
        <v>215</v>
      </c>
      <c r="M2831" s="8">
        <v>3</v>
      </c>
      <c r="N2831" s="8" t="s">
        <v>27</v>
      </c>
      <c r="O2831" s="13"/>
      <c r="P2831" s="14">
        <v>0.2</v>
      </c>
      <c r="Q2831" s="15">
        <v>0.4</v>
      </c>
      <c r="R2831" s="16" t="str">
        <f t="shared" si="237"/>
        <v>LUTRON</v>
      </c>
      <c r="S2831" s="17" t="str">
        <f t="shared" si="235"/>
        <v>LUTRON</v>
      </c>
      <c r="T2831" s="10" t="str">
        <f t="shared" si="236"/>
        <v>BALASTRO T8 DE VATIAJE REDUCIDO 4ft,  DE TRES LÁMPARAS, ATENUACIÓN AL 10%</v>
      </c>
    </row>
    <row r="2832" spans="1:20" ht="27" customHeight="1" x14ac:dyDescent="0.25">
      <c r="A2832" s="8" t="s">
        <v>5672</v>
      </c>
      <c r="B2832" s="9" t="s">
        <v>5666</v>
      </c>
      <c r="C2832" s="9"/>
      <c r="D2832" s="8" t="s">
        <v>184</v>
      </c>
      <c r="E2832" s="8">
        <v>185</v>
      </c>
      <c r="F2832" s="8" t="s">
        <v>22</v>
      </c>
      <c r="G2832" s="10" t="s">
        <v>5834</v>
      </c>
      <c r="H2832" s="8" t="s">
        <v>5835</v>
      </c>
      <c r="I2832" s="10" t="s">
        <v>5834</v>
      </c>
      <c r="J2832" s="11" t="s">
        <v>26</v>
      </c>
      <c r="K2832" s="57">
        <v>107.5</v>
      </c>
      <c r="L2832" s="12">
        <f t="shared" si="234"/>
        <v>215</v>
      </c>
      <c r="M2832" s="8">
        <v>3</v>
      </c>
      <c r="N2832" s="8" t="s">
        <v>27</v>
      </c>
      <c r="O2832" s="13"/>
      <c r="P2832" s="14">
        <v>0.2</v>
      </c>
      <c r="Q2832" s="15">
        <v>0.4</v>
      </c>
      <c r="R2832" s="16" t="str">
        <f t="shared" si="237"/>
        <v>LUTRON</v>
      </c>
      <c r="S2832" s="17" t="str">
        <f t="shared" si="235"/>
        <v>LUTRON</v>
      </c>
      <c r="T2832" s="10" t="str">
        <f t="shared" si="236"/>
        <v>BALASTRO T8 DE VATIAJE REDUCIDO 4ft,  DE TRES LÁMPARAS, ATENUACIÓN AL 10%</v>
      </c>
    </row>
    <row r="2833" spans="1:20" ht="27" customHeight="1" x14ac:dyDescent="0.25">
      <c r="A2833" s="8" t="s">
        <v>5672</v>
      </c>
      <c r="B2833" s="9" t="s">
        <v>5666</v>
      </c>
      <c r="C2833" s="9"/>
      <c r="D2833" s="8" t="s">
        <v>184</v>
      </c>
      <c r="E2833" s="8">
        <v>186</v>
      </c>
      <c r="F2833" s="8" t="s">
        <v>22</v>
      </c>
      <c r="G2833" s="10" t="s">
        <v>5834</v>
      </c>
      <c r="H2833" s="8" t="s">
        <v>5835</v>
      </c>
      <c r="I2833" s="10" t="s">
        <v>5834</v>
      </c>
      <c r="J2833" s="11" t="s">
        <v>26</v>
      </c>
      <c r="K2833" s="57">
        <v>107.5</v>
      </c>
      <c r="L2833" s="12">
        <f t="shared" si="234"/>
        <v>215</v>
      </c>
      <c r="M2833" s="8">
        <v>3</v>
      </c>
      <c r="N2833" s="8" t="s">
        <v>27</v>
      </c>
      <c r="O2833" s="13"/>
      <c r="P2833" s="14">
        <v>0.2</v>
      </c>
      <c r="Q2833" s="15">
        <v>0.4</v>
      </c>
      <c r="R2833" s="16" t="str">
        <f t="shared" si="237"/>
        <v>LUTRON</v>
      </c>
      <c r="S2833" s="17" t="str">
        <f t="shared" si="235"/>
        <v>LUTRON</v>
      </c>
      <c r="T2833" s="10" t="str">
        <f t="shared" si="236"/>
        <v>BALASTRO T8 DE VATIAJE REDUCIDO 4ft,  DE TRES LÁMPARAS, ATENUACIÓN AL 10%</v>
      </c>
    </row>
    <row r="2834" spans="1:20" ht="27" customHeight="1" x14ac:dyDescent="0.25">
      <c r="A2834" s="8" t="s">
        <v>5672</v>
      </c>
      <c r="B2834" s="9" t="s">
        <v>5666</v>
      </c>
      <c r="C2834" s="9"/>
      <c r="D2834" s="8" t="s">
        <v>184</v>
      </c>
      <c r="E2834" s="8">
        <v>187</v>
      </c>
      <c r="F2834" s="8" t="s">
        <v>22</v>
      </c>
      <c r="G2834" s="10" t="s">
        <v>5834</v>
      </c>
      <c r="H2834" s="8" t="s">
        <v>5835</v>
      </c>
      <c r="I2834" s="10" t="s">
        <v>5834</v>
      </c>
      <c r="J2834" s="11" t="s">
        <v>26</v>
      </c>
      <c r="K2834" s="57">
        <v>107.5</v>
      </c>
      <c r="L2834" s="12">
        <f t="shared" si="234"/>
        <v>215</v>
      </c>
      <c r="M2834" s="8">
        <v>3</v>
      </c>
      <c r="N2834" s="8" t="s">
        <v>27</v>
      </c>
      <c r="O2834" s="13"/>
      <c r="P2834" s="14">
        <v>0.2</v>
      </c>
      <c r="Q2834" s="15">
        <v>0.4</v>
      </c>
      <c r="R2834" s="16" t="str">
        <f t="shared" si="237"/>
        <v>LUTRON</v>
      </c>
      <c r="S2834" s="17" t="str">
        <f t="shared" si="235"/>
        <v>LUTRON</v>
      </c>
      <c r="T2834" s="10" t="str">
        <f t="shared" si="236"/>
        <v>BALASTRO T8 DE VATIAJE REDUCIDO 4ft,  DE TRES LÁMPARAS, ATENUACIÓN AL 10%</v>
      </c>
    </row>
    <row r="2835" spans="1:20" ht="27" customHeight="1" x14ac:dyDescent="0.25">
      <c r="A2835" s="8" t="s">
        <v>5672</v>
      </c>
      <c r="B2835" s="9" t="s">
        <v>5666</v>
      </c>
      <c r="C2835" s="9"/>
      <c r="D2835" s="8" t="s">
        <v>184</v>
      </c>
      <c r="E2835" s="8">
        <v>188</v>
      </c>
      <c r="F2835" s="8" t="s">
        <v>22</v>
      </c>
      <c r="G2835" s="10" t="s">
        <v>5834</v>
      </c>
      <c r="H2835" s="8" t="s">
        <v>5835</v>
      </c>
      <c r="I2835" s="10" t="s">
        <v>5834</v>
      </c>
      <c r="J2835" s="11" t="s">
        <v>26</v>
      </c>
      <c r="K2835" s="57">
        <v>107.5</v>
      </c>
      <c r="L2835" s="12">
        <f t="shared" si="234"/>
        <v>215</v>
      </c>
      <c r="M2835" s="8">
        <v>3</v>
      </c>
      <c r="N2835" s="8" t="s">
        <v>27</v>
      </c>
      <c r="O2835" s="13"/>
      <c r="P2835" s="14">
        <v>0.2</v>
      </c>
      <c r="Q2835" s="15">
        <v>0.4</v>
      </c>
      <c r="R2835" s="16" t="str">
        <f t="shared" si="237"/>
        <v>LUTRON</v>
      </c>
      <c r="S2835" s="17" t="str">
        <f t="shared" si="235"/>
        <v>LUTRON</v>
      </c>
      <c r="T2835" s="10" t="str">
        <f t="shared" si="236"/>
        <v>BALASTRO T8 DE VATIAJE REDUCIDO 4ft,  DE TRES LÁMPARAS, ATENUACIÓN AL 10%</v>
      </c>
    </row>
    <row r="2836" spans="1:20" ht="27" customHeight="1" x14ac:dyDescent="0.25">
      <c r="A2836" s="8" t="s">
        <v>5672</v>
      </c>
      <c r="B2836" s="9" t="s">
        <v>5666</v>
      </c>
      <c r="C2836" s="9"/>
      <c r="D2836" s="8" t="s">
        <v>184</v>
      </c>
      <c r="E2836" s="8">
        <v>189</v>
      </c>
      <c r="F2836" s="8" t="s">
        <v>22</v>
      </c>
      <c r="G2836" s="10" t="s">
        <v>5834</v>
      </c>
      <c r="H2836" s="8" t="s">
        <v>5835</v>
      </c>
      <c r="I2836" s="10" t="s">
        <v>5834</v>
      </c>
      <c r="J2836" s="11" t="s">
        <v>26</v>
      </c>
      <c r="K2836" s="57">
        <v>107.5</v>
      </c>
      <c r="L2836" s="12">
        <f t="shared" si="234"/>
        <v>215</v>
      </c>
      <c r="M2836" s="8">
        <v>3</v>
      </c>
      <c r="N2836" s="8" t="s">
        <v>27</v>
      </c>
      <c r="O2836" s="13"/>
      <c r="P2836" s="14">
        <v>0.2</v>
      </c>
      <c r="Q2836" s="15">
        <v>0.4</v>
      </c>
      <c r="R2836" s="16" t="str">
        <f t="shared" si="237"/>
        <v>LUTRON</v>
      </c>
      <c r="S2836" s="17" t="str">
        <f t="shared" si="235"/>
        <v>LUTRON</v>
      </c>
      <c r="T2836" s="10" t="str">
        <f t="shared" si="236"/>
        <v>BALASTRO T8 DE VATIAJE REDUCIDO 4ft,  DE TRES LÁMPARAS, ATENUACIÓN AL 10%</v>
      </c>
    </row>
    <row r="2837" spans="1:20" ht="27" customHeight="1" x14ac:dyDescent="0.25">
      <c r="A2837" s="8" t="s">
        <v>5672</v>
      </c>
      <c r="B2837" s="9" t="s">
        <v>5666</v>
      </c>
      <c r="C2837" s="9"/>
      <c r="D2837" s="8" t="s">
        <v>184</v>
      </c>
      <c r="E2837" s="8">
        <v>190</v>
      </c>
      <c r="F2837" s="8" t="s">
        <v>22</v>
      </c>
      <c r="G2837" s="10" t="s">
        <v>5834</v>
      </c>
      <c r="H2837" s="8" t="s">
        <v>5835</v>
      </c>
      <c r="I2837" s="10" t="s">
        <v>5834</v>
      </c>
      <c r="J2837" s="11" t="s">
        <v>26</v>
      </c>
      <c r="K2837" s="57">
        <v>107.5</v>
      </c>
      <c r="L2837" s="12">
        <f t="shared" si="234"/>
        <v>215</v>
      </c>
      <c r="M2837" s="8">
        <v>3</v>
      </c>
      <c r="N2837" s="8" t="s">
        <v>27</v>
      </c>
      <c r="O2837" s="13"/>
      <c r="P2837" s="14">
        <v>0.2</v>
      </c>
      <c r="Q2837" s="15">
        <v>0.4</v>
      </c>
      <c r="R2837" s="16" t="str">
        <f t="shared" si="237"/>
        <v>LUTRON</v>
      </c>
      <c r="S2837" s="17" t="str">
        <f t="shared" si="235"/>
        <v>LUTRON</v>
      </c>
      <c r="T2837" s="10" t="str">
        <f t="shared" si="236"/>
        <v>BALASTRO T8 DE VATIAJE REDUCIDO 4ft,  DE TRES LÁMPARAS, ATENUACIÓN AL 10%</v>
      </c>
    </row>
    <row r="2838" spans="1:20" ht="27" customHeight="1" x14ac:dyDescent="0.25">
      <c r="A2838" s="8" t="s">
        <v>5672</v>
      </c>
      <c r="B2838" s="9" t="s">
        <v>5666</v>
      </c>
      <c r="C2838" s="9"/>
      <c r="D2838" s="8" t="s">
        <v>184</v>
      </c>
      <c r="E2838" s="8">
        <v>191</v>
      </c>
      <c r="F2838" s="8" t="s">
        <v>22</v>
      </c>
      <c r="G2838" s="10" t="s">
        <v>5834</v>
      </c>
      <c r="H2838" s="8" t="s">
        <v>5835</v>
      </c>
      <c r="I2838" s="10" t="s">
        <v>5834</v>
      </c>
      <c r="J2838" s="11" t="s">
        <v>26</v>
      </c>
      <c r="K2838" s="57">
        <v>107.5</v>
      </c>
      <c r="L2838" s="12">
        <f t="shared" si="234"/>
        <v>215</v>
      </c>
      <c r="M2838" s="8">
        <v>3</v>
      </c>
      <c r="N2838" s="8" t="s">
        <v>27</v>
      </c>
      <c r="O2838" s="13"/>
      <c r="P2838" s="14">
        <v>0.2</v>
      </c>
      <c r="Q2838" s="15">
        <v>0.4</v>
      </c>
      <c r="R2838" s="16" t="str">
        <f t="shared" si="237"/>
        <v>LUTRON</v>
      </c>
      <c r="S2838" s="17" t="str">
        <f t="shared" si="235"/>
        <v>LUTRON</v>
      </c>
      <c r="T2838" s="10" t="str">
        <f t="shared" si="236"/>
        <v>BALASTRO T8 DE VATIAJE REDUCIDO 4ft,  DE TRES LÁMPARAS, ATENUACIÓN AL 10%</v>
      </c>
    </row>
    <row r="2839" spans="1:20" ht="27" customHeight="1" x14ac:dyDescent="0.25">
      <c r="A2839" s="8" t="s">
        <v>5672</v>
      </c>
      <c r="B2839" s="9" t="s">
        <v>5666</v>
      </c>
      <c r="C2839" s="9"/>
      <c r="D2839" s="8" t="s">
        <v>184</v>
      </c>
      <c r="E2839" s="8">
        <v>192</v>
      </c>
      <c r="F2839" s="8" t="s">
        <v>22</v>
      </c>
      <c r="G2839" s="10" t="s">
        <v>5836</v>
      </c>
      <c r="H2839" s="8" t="s">
        <v>5837</v>
      </c>
      <c r="I2839" s="10" t="s">
        <v>5836</v>
      </c>
      <c r="J2839" s="11" t="s">
        <v>26</v>
      </c>
      <c r="K2839" s="57">
        <v>107.5</v>
      </c>
      <c r="L2839" s="12">
        <f t="shared" si="234"/>
        <v>215</v>
      </c>
      <c r="M2839" s="8">
        <v>3</v>
      </c>
      <c r="N2839" s="8" t="s">
        <v>27</v>
      </c>
      <c r="O2839" s="13"/>
      <c r="P2839" s="14">
        <v>0.2</v>
      </c>
      <c r="Q2839" s="15">
        <v>0.4</v>
      </c>
      <c r="R2839" s="16" t="str">
        <f t="shared" si="237"/>
        <v>LUTRON</v>
      </c>
      <c r="S2839" s="17" t="str">
        <f t="shared" si="235"/>
        <v>LUTRON</v>
      </c>
      <c r="T2839" s="10" t="str">
        <f t="shared" si="236"/>
        <v>BALASTRO T5 LINEAL, DE UNA LÁMPARA, ATENUACIÓN AL 10%</v>
      </c>
    </row>
    <row r="2840" spans="1:20" ht="27" customHeight="1" x14ac:dyDescent="0.25">
      <c r="A2840" s="8" t="s">
        <v>5672</v>
      </c>
      <c r="B2840" s="9" t="s">
        <v>5666</v>
      </c>
      <c r="C2840" s="9"/>
      <c r="D2840" s="8" t="s">
        <v>184</v>
      </c>
      <c r="E2840" s="8">
        <v>193</v>
      </c>
      <c r="F2840" s="8" t="s">
        <v>22</v>
      </c>
      <c r="G2840" s="10" t="s">
        <v>5836</v>
      </c>
      <c r="H2840" s="8" t="s">
        <v>5837</v>
      </c>
      <c r="I2840" s="10" t="s">
        <v>5836</v>
      </c>
      <c r="J2840" s="11" t="s">
        <v>26</v>
      </c>
      <c r="K2840" s="57">
        <v>107.5</v>
      </c>
      <c r="L2840" s="12">
        <f t="shared" ref="L2840:L2903" si="238">ROUNDUP(K2840*(1+P2840)/(1-Q2840),0)</f>
        <v>215</v>
      </c>
      <c r="M2840" s="8">
        <v>3</v>
      </c>
      <c r="N2840" s="8" t="s">
        <v>27</v>
      </c>
      <c r="O2840" s="13"/>
      <c r="P2840" s="14">
        <v>0.2</v>
      </c>
      <c r="Q2840" s="15">
        <v>0.4</v>
      </c>
      <c r="R2840" s="16" t="str">
        <f t="shared" si="237"/>
        <v>LUTRON</v>
      </c>
      <c r="S2840" s="17" t="str">
        <f t="shared" ref="S2840:S2903" si="239">A2840</f>
        <v>LUTRON</v>
      </c>
      <c r="T2840" s="10" t="str">
        <f t="shared" si="236"/>
        <v>BALASTRO T5 LINEAL, DE UNA LÁMPARA, ATENUACIÓN AL 10%</v>
      </c>
    </row>
    <row r="2841" spans="1:20" ht="27" customHeight="1" x14ac:dyDescent="0.25">
      <c r="A2841" s="8" t="s">
        <v>5672</v>
      </c>
      <c r="B2841" s="9" t="s">
        <v>5666</v>
      </c>
      <c r="C2841" s="9"/>
      <c r="D2841" s="8" t="s">
        <v>184</v>
      </c>
      <c r="E2841" s="8">
        <v>194</v>
      </c>
      <c r="F2841" s="8" t="s">
        <v>22</v>
      </c>
      <c r="G2841" s="10" t="s">
        <v>5836</v>
      </c>
      <c r="H2841" s="8" t="s">
        <v>5837</v>
      </c>
      <c r="I2841" s="10" t="s">
        <v>5836</v>
      </c>
      <c r="J2841" s="11" t="s">
        <v>26</v>
      </c>
      <c r="K2841" s="57">
        <v>107.5</v>
      </c>
      <c r="L2841" s="12">
        <f t="shared" si="238"/>
        <v>215</v>
      </c>
      <c r="M2841" s="8">
        <v>3</v>
      </c>
      <c r="N2841" s="8" t="s">
        <v>27</v>
      </c>
      <c r="O2841" s="13"/>
      <c r="P2841" s="14">
        <v>0.2</v>
      </c>
      <c r="Q2841" s="15">
        <v>0.4</v>
      </c>
      <c r="R2841" s="16" t="str">
        <f t="shared" si="237"/>
        <v>LUTRON</v>
      </c>
      <c r="S2841" s="17" t="str">
        <f t="shared" si="239"/>
        <v>LUTRON</v>
      </c>
      <c r="T2841" s="10" t="str">
        <f t="shared" si="236"/>
        <v>BALASTRO T5 LINEAL, DE UNA LÁMPARA, ATENUACIÓN AL 10%</v>
      </c>
    </row>
    <row r="2842" spans="1:20" ht="27" customHeight="1" x14ac:dyDescent="0.25">
      <c r="A2842" s="8" t="s">
        <v>5672</v>
      </c>
      <c r="B2842" s="9" t="s">
        <v>5666</v>
      </c>
      <c r="C2842" s="9"/>
      <c r="D2842" s="8" t="s">
        <v>184</v>
      </c>
      <c r="E2842" s="8">
        <v>195</v>
      </c>
      <c r="F2842" s="8" t="s">
        <v>22</v>
      </c>
      <c r="G2842" s="10" t="s">
        <v>5836</v>
      </c>
      <c r="H2842" s="8" t="s">
        <v>5838</v>
      </c>
      <c r="I2842" s="10" t="s">
        <v>5836</v>
      </c>
      <c r="J2842" s="11" t="s">
        <v>26</v>
      </c>
      <c r="K2842" s="57">
        <v>107.5</v>
      </c>
      <c r="L2842" s="12">
        <f t="shared" si="238"/>
        <v>215</v>
      </c>
      <c r="M2842" s="8">
        <v>3</v>
      </c>
      <c r="N2842" s="8" t="s">
        <v>27</v>
      </c>
      <c r="O2842" s="13"/>
      <c r="P2842" s="14">
        <v>0.2</v>
      </c>
      <c r="Q2842" s="15">
        <v>0.4</v>
      </c>
      <c r="R2842" s="16" t="str">
        <f t="shared" si="237"/>
        <v>LUTRON</v>
      </c>
      <c r="S2842" s="17" t="str">
        <f t="shared" si="239"/>
        <v>LUTRON</v>
      </c>
      <c r="T2842" s="10" t="str">
        <f t="shared" si="236"/>
        <v>BALASTRO T5 LINEAL, DE UNA LÁMPARA, ATENUACIÓN AL 10%</v>
      </c>
    </row>
    <row r="2843" spans="1:20" ht="27" customHeight="1" x14ac:dyDescent="0.25">
      <c r="A2843" s="8" t="s">
        <v>5672</v>
      </c>
      <c r="B2843" s="9" t="s">
        <v>5666</v>
      </c>
      <c r="C2843" s="9"/>
      <c r="D2843" s="8" t="s">
        <v>184</v>
      </c>
      <c r="E2843" s="8">
        <v>196</v>
      </c>
      <c r="F2843" s="8" t="s">
        <v>22</v>
      </c>
      <c r="G2843" s="10" t="s">
        <v>5836</v>
      </c>
      <c r="H2843" s="8" t="s">
        <v>5838</v>
      </c>
      <c r="I2843" s="10" t="s">
        <v>5836</v>
      </c>
      <c r="J2843" s="11" t="s">
        <v>26</v>
      </c>
      <c r="K2843" s="57">
        <v>107.5</v>
      </c>
      <c r="L2843" s="12">
        <f t="shared" si="238"/>
        <v>215</v>
      </c>
      <c r="M2843" s="8">
        <v>3</v>
      </c>
      <c r="N2843" s="8" t="s">
        <v>27</v>
      </c>
      <c r="O2843" s="13"/>
      <c r="P2843" s="14">
        <v>0.2</v>
      </c>
      <c r="Q2843" s="15">
        <v>0.4</v>
      </c>
      <c r="R2843" s="16" t="str">
        <f t="shared" si="237"/>
        <v>LUTRON</v>
      </c>
      <c r="S2843" s="17" t="str">
        <f t="shared" si="239"/>
        <v>LUTRON</v>
      </c>
      <c r="T2843" s="10" t="str">
        <f t="shared" si="236"/>
        <v>BALASTRO T5 LINEAL, DE UNA LÁMPARA, ATENUACIÓN AL 10%</v>
      </c>
    </row>
    <row r="2844" spans="1:20" ht="27" customHeight="1" x14ac:dyDescent="0.25">
      <c r="A2844" s="8" t="s">
        <v>5672</v>
      </c>
      <c r="B2844" s="9" t="s">
        <v>5666</v>
      </c>
      <c r="C2844" s="9"/>
      <c r="D2844" s="8" t="s">
        <v>184</v>
      </c>
      <c r="E2844" s="8">
        <v>197</v>
      </c>
      <c r="F2844" s="8" t="s">
        <v>22</v>
      </c>
      <c r="G2844" s="10" t="s">
        <v>5836</v>
      </c>
      <c r="H2844" s="8" t="s">
        <v>5838</v>
      </c>
      <c r="I2844" s="10" t="s">
        <v>5836</v>
      </c>
      <c r="J2844" s="11" t="s">
        <v>26</v>
      </c>
      <c r="K2844" s="57">
        <v>107.5</v>
      </c>
      <c r="L2844" s="12">
        <f t="shared" si="238"/>
        <v>215</v>
      </c>
      <c r="M2844" s="8">
        <v>3</v>
      </c>
      <c r="N2844" s="8" t="s">
        <v>27</v>
      </c>
      <c r="O2844" s="13"/>
      <c r="P2844" s="14">
        <v>0.2</v>
      </c>
      <c r="Q2844" s="15">
        <v>0.4</v>
      </c>
      <c r="R2844" s="16" t="str">
        <f t="shared" si="237"/>
        <v>LUTRON</v>
      </c>
      <c r="S2844" s="17" t="str">
        <f t="shared" si="239"/>
        <v>LUTRON</v>
      </c>
      <c r="T2844" s="10" t="str">
        <f t="shared" si="236"/>
        <v>BALASTRO T5 LINEAL, DE UNA LÁMPARA, ATENUACIÓN AL 10%</v>
      </c>
    </row>
    <row r="2845" spans="1:20" ht="27" customHeight="1" x14ac:dyDescent="0.25">
      <c r="A2845" s="8" t="s">
        <v>5672</v>
      </c>
      <c r="B2845" s="9" t="s">
        <v>5666</v>
      </c>
      <c r="C2845" s="9"/>
      <c r="D2845" s="8" t="s">
        <v>184</v>
      </c>
      <c r="E2845" s="8">
        <v>198</v>
      </c>
      <c r="F2845" s="8" t="s">
        <v>22</v>
      </c>
      <c r="G2845" s="10" t="s">
        <v>5836</v>
      </c>
      <c r="H2845" s="8" t="s">
        <v>5839</v>
      </c>
      <c r="I2845" s="10" t="s">
        <v>5836</v>
      </c>
      <c r="J2845" s="11" t="s">
        <v>26</v>
      </c>
      <c r="K2845" s="57">
        <v>107.5</v>
      </c>
      <c r="L2845" s="12">
        <f t="shared" si="238"/>
        <v>215</v>
      </c>
      <c r="M2845" s="8">
        <v>3</v>
      </c>
      <c r="N2845" s="8" t="s">
        <v>27</v>
      </c>
      <c r="O2845" s="13"/>
      <c r="P2845" s="14">
        <v>0.2</v>
      </c>
      <c r="Q2845" s="15">
        <v>0.4</v>
      </c>
      <c r="R2845" s="16" t="str">
        <f t="shared" si="237"/>
        <v>LUTRON</v>
      </c>
      <c r="S2845" s="17" t="str">
        <f t="shared" si="239"/>
        <v>LUTRON</v>
      </c>
      <c r="T2845" s="10" t="str">
        <f t="shared" si="236"/>
        <v>BALASTRO T5 LINEAL, DE UNA LÁMPARA, ATENUACIÓN AL 10%</v>
      </c>
    </row>
    <row r="2846" spans="1:20" ht="27" customHeight="1" x14ac:dyDescent="0.25">
      <c r="A2846" s="8" t="s">
        <v>5672</v>
      </c>
      <c r="B2846" s="9" t="s">
        <v>5666</v>
      </c>
      <c r="C2846" s="9"/>
      <c r="D2846" s="8" t="s">
        <v>184</v>
      </c>
      <c r="E2846" s="8">
        <v>199</v>
      </c>
      <c r="F2846" s="8" t="s">
        <v>22</v>
      </c>
      <c r="G2846" s="10" t="s">
        <v>5836</v>
      </c>
      <c r="H2846" s="8" t="s">
        <v>5839</v>
      </c>
      <c r="I2846" s="10" t="s">
        <v>5836</v>
      </c>
      <c r="J2846" s="11" t="s">
        <v>26</v>
      </c>
      <c r="K2846" s="57">
        <v>107.5</v>
      </c>
      <c r="L2846" s="12">
        <f t="shared" si="238"/>
        <v>215</v>
      </c>
      <c r="M2846" s="8">
        <v>3</v>
      </c>
      <c r="N2846" s="8" t="s">
        <v>27</v>
      </c>
      <c r="O2846" s="13"/>
      <c r="P2846" s="14">
        <v>0.2</v>
      </c>
      <c r="Q2846" s="15">
        <v>0.4</v>
      </c>
      <c r="R2846" s="16" t="str">
        <f t="shared" si="237"/>
        <v>LUTRON</v>
      </c>
      <c r="S2846" s="17" t="str">
        <f t="shared" si="239"/>
        <v>LUTRON</v>
      </c>
      <c r="T2846" s="10" t="str">
        <f t="shared" si="236"/>
        <v>BALASTRO T5 LINEAL, DE UNA LÁMPARA, ATENUACIÓN AL 10%</v>
      </c>
    </row>
    <row r="2847" spans="1:20" ht="27" customHeight="1" x14ac:dyDescent="0.25">
      <c r="A2847" s="8" t="s">
        <v>5672</v>
      </c>
      <c r="B2847" s="9" t="s">
        <v>5666</v>
      </c>
      <c r="C2847" s="9"/>
      <c r="D2847" s="8" t="s">
        <v>184</v>
      </c>
      <c r="E2847" s="8">
        <v>200</v>
      </c>
      <c r="F2847" s="8" t="s">
        <v>22</v>
      </c>
      <c r="G2847" s="10" t="s">
        <v>5836</v>
      </c>
      <c r="H2847" s="8" t="s">
        <v>5839</v>
      </c>
      <c r="I2847" s="10" t="s">
        <v>5836</v>
      </c>
      <c r="J2847" s="11" t="s">
        <v>26</v>
      </c>
      <c r="K2847" s="57">
        <v>107.5</v>
      </c>
      <c r="L2847" s="12">
        <f t="shared" si="238"/>
        <v>215</v>
      </c>
      <c r="M2847" s="8">
        <v>3</v>
      </c>
      <c r="N2847" s="8" t="s">
        <v>27</v>
      </c>
      <c r="O2847" s="13"/>
      <c r="P2847" s="14">
        <v>0.2</v>
      </c>
      <c r="Q2847" s="15">
        <v>0.4</v>
      </c>
      <c r="R2847" s="16" t="str">
        <f t="shared" si="237"/>
        <v>LUTRON</v>
      </c>
      <c r="S2847" s="17" t="str">
        <f t="shared" si="239"/>
        <v>LUTRON</v>
      </c>
      <c r="T2847" s="10" t="str">
        <f t="shared" si="236"/>
        <v>BALASTRO T5 LINEAL, DE UNA LÁMPARA, ATENUACIÓN AL 10%</v>
      </c>
    </row>
    <row r="2848" spans="1:20" ht="27" customHeight="1" x14ac:dyDescent="0.25">
      <c r="A2848" s="8" t="s">
        <v>5672</v>
      </c>
      <c r="B2848" s="9" t="s">
        <v>5666</v>
      </c>
      <c r="C2848" s="9"/>
      <c r="D2848" s="8" t="s">
        <v>184</v>
      </c>
      <c r="E2848" s="8">
        <v>201</v>
      </c>
      <c r="F2848" s="8" t="s">
        <v>22</v>
      </c>
      <c r="G2848" s="10" t="s">
        <v>5836</v>
      </c>
      <c r="H2848" s="8" t="s">
        <v>5840</v>
      </c>
      <c r="I2848" s="10" t="s">
        <v>5836</v>
      </c>
      <c r="J2848" s="11" t="s">
        <v>26</v>
      </c>
      <c r="K2848" s="57">
        <v>107.5</v>
      </c>
      <c r="L2848" s="12">
        <f t="shared" si="238"/>
        <v>215</v>
      </c>
      <c r="M2848" s="8">
        <v>3</v>
      </c>
      <c r="N2848" s="8" t="s">
        <v>27</v>
      </c>
      <c r="O2848" s="13"/>
      <c r="P2848" s="14">
        <v>0.2</v>
      </c>
      <c r="Q2848" s="15">
        <v>0.4</v>
      </c>
      <c r="R2848" s="16" t="str">
        <f t="shared" si="237"/>
        <v>LUTRON</v>
      </c>
      <c r="S2848" s="17" t="str">
        <f t="shared" si="239"/>
        <v>LUTRON</v>
      </c>
      <c r="T2848" s="10" t="str">
        <f t="shared" si="236"/>
        <v>BALASTRO T5 LINEAL, DE UNA LÁMPARA, ATENUACIÓN AL 10%</v>
      </c>
    </row>
    <row r="2849" spans="1:20" ht="27" customHeight="1" x14ac:dyDescent="0.25">
      <c r="A2849" s="8" t="s">
        <v>5672</v>
      </c>
      <c r="B2849" s="9" t="s">
        <v>5666</v>
      </c>
      <c r="C2849" s="9"/>
      <c r="D2849" s="8" t="s">
        <v>184</v>
      </c>
      <c r="E2849" s="8">
        <v>202</v>
      </c>
      <c r="F2849" s="8" t="s">
        <v>22</v>
      </c>
      <c r="G2849" s="10" t="s">
        <v>5836</v>
      </c>
      <c r="H2849" s="8" t="s">
        <v>5840</v>
      </c>
      <c r="I2849" s="10" t="s">
        <v>5836</v>
      </c>
      <c r="J2849" s="11" t="s">
        <v>26</v>
      </c>
      <c r="K2849" s="57">
        <v>107.5</v>
      </c>
      <c r="L2849" s="12">
        <f t="shared" si="238"/>
        <v>215</v>
      </c>
      <c r="M2849" s="8">
        <v>3</v>
      </c>
      <c r="N2849" s="8" t="s">
        <v>27</v>
      </c>
      <c r="O2849" s="13"/>
      <c r="P2849" s="14">
        <v>0.2</v>
      </c>
      <c r="Q2849" s="15">
        <v>0.4</v>
      </c>
      <c r="R2849" s="16" t="str">
        <f t="shared" si="237"/>
        <v>LUTRON</v>
      </c>
      <c r="S2849" s="17" t="str">
        <f t="shared" si="239"/>
        <v>LUTRON</v>
      </c>
      <c r="T2849" s="10" t="str">
        <f t="shared" si="236"/>
        <v>BALASTRO T5 LINEAL, DE UNA LÁMPARA, ATENUACIÓN AL 10%</v>
      </c>
    </row>
    <row r="2850" spans="1:20" ht="27" customHeight="1" x14ac:dyDescent="0.25">
      <c r="A2850" s="8" t="s">
        <v>5672</v>
      </c>
      <c r="B2850" s="9" t="s">
        <v>5666</v>
      </c>
      <c r="C2850" s="9"/>
      <c r="D2850" s="8" t="s">
        <v>184</v>
      </c>
      <c r="E2850" s="8">
        <v>203</v>
      </c>
      <c r="F2850" s="8" t="s">
        <v>22</v>
      </c>
      <c r="G2850" s="10" t="s">
        <v>5836</v>
      </c>
      <c r="H2850" s="8" t="s">
        <v>5840</v>
      </c>
      <c r="I2850" s="10" t="s">
        <v>5836</v>
      </c>
      <c r="J2850" s="11" t="s">
        <v>26</v>
      </c>
      <c r="K2850" s="57">
        <v>107.5</v>
      </c>
      <c r="L2850" s="12">
        <f t="shared" si="238"/>
        <v>215</v>
      </c>
      <c r="M2850" s="8">
        <v>3</v>
      </c>
      <c r="N2850" s="8" t="s">
        <v>27</v>
      </c>
      <c r="O2850" s="13"/>
      <c r="P2850" s="14">
        <v>0.2</v>
      </c>
      <c r="Q2850" s="15">
        <v>0.4</v>
      </c>
      <c r="R2850" s="16" t="str">
        <f t="shared" si="237"/>
        <v>LUTRON</v>
      </c>
      <c r="S2850" s="17" t="str">
        <f t="shared" si="239"/>
        <v>LUTRON</v>
      </c>
      <c r="T2850" s="10" t="str">
        <f t="shared" si="236"/>
        <v>BALASTRO T5 LINEAL, DE UNA LÁMPARA, ATENUACIÓN AL 10%</v>
      </c>
    </row>
    <row r="2851" spans="1:20" ht="27" customHeight="1" x14ac:dyDescent="0.25">
      <c r="A2851" s="8" t="s">
        <v>5672</v>
      </c>
      <c r="B2851" s="9" t="s">
        <v>5666</v>
      </c>
      <c r="C2851" s="9"/>
      <c r="D2851" s="8" t="s">
        <v>184</v>
      </c>
      <c r="E2851" s="8">
        <v>204</v>
      </c>
      <c r="F2851" s="8" t="s">
        <v>22</v>
      </c>
      <c r="G2851" s="10" t="s">
        <v>5841</v>
      </c>
      <c r="H2851" s="8" t="s">
        <v>5842</v>
      </c>
      <c r="I2851" s="10" t="s">
        <v>5841</v>
      </c>
      <c r="J2851" s="11" t="s">
        <v>26</v>
      </c>
      <c r="K2851" s="57">
        <v>107.5</v>
      </c>
      <c r="L2851" s="12">
        <f t="shared" si="238"/>
        <v>215</v>
      </c>
      <c r="M2851" s="8">
        <v>3</v>
      </c>
      <c r="N2851" s="8" t="s">
        <v>27</v>
      </c>
      <c r="O2851" s="13"/>
      <c r="P2851" s="14">
        <v>0.2</v>
      </c>
      <c r="Q2851" s="15">
        <v>0.4</v>
      </c>
      <c r="R2851" s="16" t="str">
        <f t="shared" si="237"/>
        <v>LUTRON</v>
      </c>
      <c r="S2851" s="17" t="str">
        <f t="shared" si="239"/>
        <v>LUTRON</v>
      </c>
      <c r="T2851" s="10" t="str">
        <f t="shared" si="236"/>
        <v>BALASTRO T5 LINEAL, DE DOS LÁMPARAS ATENUACIÓN AL 10%</v>
      </c>
    </row>
    <row r="2852" spans="1:20" ht="27" customHeight="1" x14ac:dyDescent="0.25">
      <c r="A2852" s="8" t="s">
        <v>5672</v>
      </c>
      <c r="B2852" s="9" t="s">
        <v>5666</v>
      </c>
      <c r="C2852" s="9"/>
      <c r="D2852" s="8" t="s">
        <v>184</v>
      </c>
      <c r="E2852" s="8">
        <v>205</v>
      </c>
      <c r="F2852" s="8" t="s">
        <v>22</v>
      </c>
      <c r="G2852" s="10" t="s">
        <v>5841</v>
      </c>
      <c r="H2852" s="8" t="s">
        <v>5842</v>
      </c>
      <c r="I2852" s="10" t="s">
        <v>5841</v>
      </c>
      <c r="J2852" s="11" t="s">
        <v>26</v>
      </c>
      <c r="K2852" s="57">
        <v>107.5</v>
      </c>
      <c r="L2852" s="12">
        <f t="shared" si="238"/>
        <v>215</v>
      </c>
      <c r="M2852" s="8">
        <v>3</v>
      </c>
      <c r="N2852" s="8" t="s">
        <v>27</v>
      </c>
      <c r="O2852" s="13"/>
      <c r="P2852" s="14">
        <v>0.2</v>
      </c>
      <c r="Q2852" s="15">
        <v>0.4</v>
      </c>
      <c r="R2852" s="16" t="str">
        <f t="shared" si="237"/>
        <v>LUTRON</v>
      </c>
      <c r="S2852" s="17" t="str">
        <f t="shared" si="239"/>
        <v>LUTRON</v>
      </c>
      <c r="T2852" s="10" t="str">
        <f t="shared" si="236"/>
        <v>BALASTRO T5 LINEAL, DE DOS LÁMPARAS ATENUACIÓN AL 10%</v>
      </c>
    </row>
    <row r="2853" spans="1:20" ht="27" customHeight="1" x14ac:dyDescent="0.25">
      <c r="A2853" s="8" t="s">
        <v>5672</v>
      </c>
      <c r="B2853" s="9" t="s">
        <v>5666</v>
      </c>
      <c r="C2853" s="9"/>
      <c r="D2853" s="8" t="s">
        <v>184</v>
      </c>
      <c r="E2853" s="8">
        <v>206</v>
      </c>
      <c r="F2853" s="8" t="s">
        <v>22</v>
      </c>
      <c r="G2853" s="10" t="s">
        <v>5841</v>
      </c>
      <c r="H2853" s="8" t="s">
        <v>5842</v>
      </c>
      <c r="I2853" s="10" t="s">
        <v>5841</v>
      </c>
      <c r="J2853" s="11" t="s">
        <v>26</v>
      </c>
      <c r="K2853" s="57">
        <v>107.5</v>
      </c>
      <c r="L2853" s="12">
        <f t="shared" si="238"/>
        <v>215</v>
      </c>
      <c r="M2853" s="8">
        <v>3</v>
      </c>
      <c r="N2853" s="8" t="s">
        <v>27</v>
      </c>
      <c r="O2853" s="13"/>
      <c r="P2853" s="14">
        <v>0.2</v>
      </c>
      <c r="Q2853" s="15">
        <v>0.4</v>
      </c>
      <c r="R2853" s="16" t="str">
        <f t="shared" si="237"/>
        <v>LUTRON</v>
      </c>
      <c r="S2853" s="17" t="str">
        <f t="shared" si="239"/>
        <v>LUTRON</v>
      </c>
      <c r="T2853" s="10" t="str">
        <f t="shared" si="236"/>
        <v>BALASTRO T5 LINEAL, DE DOS LÁMPARAS ATENUACIÓN AL 10%</v>
      </c>
    </row>
    <row r="2854" spans="1:20" ht="27" customHeight="1" x14ac:dyDescent="0.25">
      <c r="A2854" s="8" t="s">
        <v>5672</v>
      </c>
      <c r="B2854" s="9" t="s">
        <v>5666</v>
      </c>
      <c r="C2854" s="9"/>
      <c r="D2854" s="8" t="s">
        <v>184</v>
      </c>
      <c r="E2854" s="8">
        <v>207</v>
      </c>
      <c r="F2854" s="8" t="s">
        <v>22</v>
      </c>
      <c r="G2854" s="10" t="s">
        <v>5841</v>
      </c>
      <c r="H2854" s="8" t="s">
        <v>5843</v>
      </c>
      <c r="I2854" s="10" t="s">
        <v>5841</v>
      </c>
      <c r="J2854" s="11" t="s">
        <v>26</v>
      </c>
      <c r="K2854" s="57">
        <v>107.5</v>
      </c>
      <c r="L2854" s="12">
        <f t="shared" si="238"/>
        <v>215</v>
      </c>
      <c r="M2854" s="8">
        <v>3</v>
      </c>
      <c r="N2854" s="8" t="s">
        <v>27</v>
      </c>
      <c r="O2854" s="13"/>
      <c r="P2854" s="14">
        <v>0.2</v>
      </c>
      <c r="Q2854" s="15">
        <v>0.4</v>
      </c>
      <c r="R2854" s="16" t="str">
        <f t="shared" si="237"/>
        <v>LUTRON</v>
      </c>
      <c r="S2854" s="17" t="str">
        <f t="shared" si="239"/>
        <v>LUTRON</v>
      </c>
      <c r="T2854" s="10" t="str">
        <f t="shared" si="236"/>
        <v>BALASTRO T5 LINEAL, DE DOS LÁMPARAS ATENUACIÓN AL 10%</v>
      </c>
    </row>
    <row r="2855" spans="1:20" ht="27" customHeight="1" x14ac:dyDescent="0.25">
      <c r="A2855" s="8" t="s">
        <v>5672</v>
      </c>
      <c r="B2855" s="9" t="s">
        <v>5666</v>
      </c>
      <c r="C2855" s="9"/>
      <c r="D2855" s="8" t="s">
        <v>184</v>
      </c>
      <c r="E2855" s="8">
        <v>208</v>
      </c>
      <c r="F2855" s="8" t="s">
        <v>22</v>
      </c>
      <c r="G2855" s="10" t="s">
        <v>5841</v>
      </c>
      <c r="H2855" s="8" t="s">
        <v>5843</v>
      </c>
      <c r="I2855" s="10" t="s">
        <v>5841</v>
      </c>
      <c r="J2855" s="11" t="s">
        <v>26</v>
      </c>
      <c r="K2855" s="57">
        <v>107.5</v>
      </c>
      <c r="L2855" s="12">
        <f t="shared" si="238"/>
        <v>215</v>
      </c>
      <c r="M2855" s="8">
        <v>3</v>
      </c>
      <c r="N2855" s="8" t="s">
        <v>27</v>
      </c>
      <c r="O2855" s="13"/>
      <c r="P2855" s="14">
        <v>0.2</v>
      </c>
      <c r="Q2855" s="15">
        <v>0.4</v>
      </c>
      <c r="R2855" s="16" t="str">
        <f t="shared" si="237"/>
        <v>LUTRON</v>
      </c>
      <c r="S2855" s="17" t="str">
        <f t="shared" si="239"/>
        <v>LUTRON</v>
      </c>
      <c r="T2855" s="10" t="str">
        <f t="shared" si="236"/>
        <v>BALASTRO T5 LINEAL, DE DOS LÁMPARAS ATENUACIÓN AL 10%</v>
      </c>
    </row>
    <row r="2856" spans="1:20" ht="27" customHeight="1" x14ac:dyDescent="0.25">
      <c r="A2856" s="8" t="s">
        <v>5672</v>
      </c>
      <c r="B2856" s="9" t="s">
        <v>5666</v>
      </c>
      <c r="C2856" s="9"/>
      <c r="D2856" s="8" t="s">
        <v>184</v>
      </c>
      <c r="E2856" s="8">
        <v>209</v>
      </c>
      <c r="F2856" s="8" t="s">
        <v>22</v>
      </c>
      <c r="G2856" s="10" t="s">
        <v>5841</v>
      </c>
      <c r="H2856" s="8" t="s">
        <v>5843</v>
      </c>
      <c r="I2856" s="10" t="s">
        <v>5841</v>
      </c>
      <c r="J2856" s="11" t="s">
        <v>26</v>
      </c>
      <c r="K2856" s="57">
        <v>107.5</v>
      </c>
      <c r="L2856" s="12">
        <f t="shared" si="238"/>
        <v>215</v>
      </c>
      <c r="M2856" s="8">
        <v>3</v>
      </c>
      <c r="N2856" s="8" t="s">
        <v>27</v>
      </c>
      <c r="O2856" s="13"/>
      <c r="P2856" s="14">
        <v>0.2</v>
      </c>
      <c r="Q2856" s="15">
        <v>0.4</v>
      </c>
      <c r="R2856" s="16" t="str">
        <f t="shared" si="237"/>
        <v>LUTRON</v>
      </c>
      <c r="S2856" s="17" t="str">
        <f t="shared" si="239"/>
        <v>LUTRON</v>
      </c>
      <c r="T2856" s="10" t="str">
        <f t="shared" si="236"/>
        <v>BALASTRO T5 LINEAL, DE DOS LÁMPARAS ATENUACIÓN AL 10%</v>
      </c>
    </row>
    <row r="2857" spans="1:20" ht="27" customHeight="1" x14ac:dyDescent="0.25">
      <c r="A2857" s="8" t="s">
        <v>5672</v>
      </c>
      <c r="B2857" s="9" t="s">
        <v>5666</v>
      </c>
      <c r="C2857" s="9"/>
      <c r="D2857" s="8" t="s">
        <v>184</v>
      </c>
      <c r="E2857" s="8">
        <v>210</v>
      </c>
      <c r="F2857" s="8" t="s">
        <v>22</v>
      </c>
      <c r="G2857" s="10" t="s">
        <v>5841</v>
      </c>
      <c r="H2857" s="8" t="s">
        <v>5844</v>
      </c>
      <c r="I2857" s="10" t="s">
        <v>5841</v>
      </c>
      <c r="J2857" s="11" t="s">
        <v>26</v>
      </c>
      <c r="K2857" s="57">
        <v>107.5</v>
      </c>
      <c r="L2857" s="12">
        <f t="shared" si="238"/>
        <v>215</v>
      </c>
      <c r="M2857" s="8">
        <v>3</v>
      </c>
      <c r="N2857" s="8" t="s">
        <v>27</v>
      </c>
      <c r="O2857" s="13"/>
      <c r="P2857" s="14">
        <v>0.2</v>
      </c>
      <c r="Q2857" s="15">
        <v>0.4</v>
      </c>
      <c r="R2857" s="16" t="str">
        <f t="shared" si="237"/>
        <v>LUTRON</v>
      </c>
      <c r="S2857" s="17" t="str">
        <f t="shared" si="239"/>
        <v>LUTRON</v>
      </c>
      <c r="T2857" s="10" t="str">
        <f t="shared" si="236"/>
        <v>BALASTRO T5 LINEAL, DE DOS LÁMPARAS ATENUACIÓN AL 10%</v>
      </c>
    </row>
    <row r="2858" spans="1:20" ht="27" customHeight="1" x14ac:dyDescent="0.25">
      <c r="A2858" s="8" t="s">
        <v>5672</v>
      </c>
      <c r="B2858" s="9" t="s">
        <v>5666</v>
      </c>
      <c r="C2858" s="9"/>
      <c r="D2858" s="8" t="s">
        <v>184</v>
      </c>
      <c r="E2858" s="8">
        <v>211</v>
      </c>
      <c r="F2858" s="8" t="s">
        <v>22</v>
      </c>
      <c r="G2858" s="10" t="s">
        <v>5841</v>
      </c>
      <c r="H2858" s="8" t="s">
        <v>5844</v>
      </c>
      <c r="I2858" s="10" t="s">
        <v>5841</v>
      </c>
      <c r="J2858" s="11" t="s">
        <v>26</v>
      </c>
      <c r="K2858" s="57">
        <v>107.5</v>
      </c>
      <c r="L2858" s="12">
        <f t="shared" si="238"/>
        <v>215</v>
      </c>
      <c r="M2858" s="8">
        <v>3</v>
      </c>
      <c r="N2858" s="8" t="s">
        <v>27</v>
      </c>
      <c r="O2858" s="13"/>
      <c r="P2858" s="14">
        <v>0.2</v>
      </c>
      <c r="Q2858" s="15">
        <v>0.4</v>
      </c>
      <c r="R2858" s="16" t="str">
        <f t="shared" si="237"/>
        <v>LUTRON</v>
      </c>
      <c r="S2858" s="17" t="str">
        <f t="shared" si="239"/>
        <v>LUTRON</v>
      </c>
      <c r="T2858" s="10" t="str">
        <f t="shared" si="236"/>
        <v>BALASTRO T5 LINEAL, DE DOS LÁMPARAS ATENUACIÓN AL 10%</v>
      </c>
    </row>
    <row r="2859" spans="1:20" ht="27" customHeight="1" x14ac:dyDescent="0.25">
      <c r="A2859" s="8" t="s">
        <v>5672</v>
      </c>
      <c r="B2859" s="9" t="s">
        <v>5666</v>
      </c>
      <c r="C2859" s="9"/>
      <c r="D2859" s="8" t="s">
        <v>184</v>
      </c>
      <c r="E2859" s="8">
        <v>212</v>
      </c>
      <c r="F2859" s="8" t="s">
        <v>22</v>
      </c>
      <c r="G2859" s="10" t="s">
        <v>5841</v>
      </c>
      <c r="H2859" s="8" t="s">
        <v>5844</v>
      </c>
      <c r="I2859" s="10" t="s">
        <v>5841</v>
      </c>
      <c r="J2859" s="11" t="s">
        <v>26</v>
      </c>
      <c r="K2859" s="57">
        <v>107.5</v>
      </c>
      <c r="L2859" s="12">
        <f t="shared" si="238"/>
        <v>215</v>
      </c>
      <c r="M2859" s="8">
        <v>3</v>
      </c>
      <c r="N2859" s="8" t="s">
        <v>27</v>
      </c>
      <c r="O2859" s="13"/>
      <c r="P2859" s="14">
        <v>0.2</v>
      </c>
      <c r="Q2859" s="15">
        <v>0.4</v>
      </c>
      <c r="R2859" s="16" t="str">
        <f t="shared" si="237"/>
        <v>LUTRON</v>
      </c>
      <c r="S2859" s="17" t="str">
        <f t="shared" si="239"/>
        <v>LUTRON</v>
      </c>
      <c r="T2859" s="10" t="str">
        <f t="shared" si="236"/>
        <v>BALASTRO T5 LINEAL, DE DOS LÁMPARAS ATENUACIÓN AL 10%</v>
      </c>
    </row>
    <row r="2860" spans="1:20" ht="27" customHeight="1" x14ac:dyDescent="0.25">
      <c r="A2860" s="8" t="s">
        <v>5672</v>
      </c>
      <c r="B2860" s="9" t="s">
        <v>5666</v>
      </c>
      <c r="C2860" s="9"/>
      <c r="D2860" s="8" t="s">
        <v>184</v>
      </c>
      <c r="E2860" s="8">
        <v>213</v>
      </c>
      <c r="F2860" s="8" t="s">
        <v>22</v>
      </c>
      <c r="G2860" s="10" t="s">
        <v>5845</v>
      </c>
      <c r="H2860" s="8" t="s">
        <v>5846</v>
      </c>
      <c r="I2860" s="10" t="s">
        <v>5845</v>
      </c>
      <c r="J2860" s="11" t="s">
        <v>26</v>
      </c>
      <c r="K2860" s="57">
        <v>107.5</v>
      </c>
      <c r="L2860" s="12">
        <f t="shared" si="238"/>
        <v>215</v>
      </c>
      <c r="M2860" s="8">
        <v>3</v>
      </c>
      <c r="N2860" s="8" t="s">
        <v>27</v>
      </c>
      <c r="O2860" s="13"/>
      <c r="P2860" s="14">
        <v>0.2</v>
      </c>
      <c r="Q2860" s="15">
        <v>0.4</v>
      </c>
      <c r="R2860" s="16" t="str">
        <f t="shared" si="237"/>
        <v>LUTRON</v>
      </c>
      <c r="S2860" s="17" t="str">
        <f t="shared" si="239"/>
        <v>LUTRON</v>
      </c>
      <c r="T2860" s="10" t="str">
        <f t="shared" si="236"/>
        <v>BALASTRO T5_HO LINEAL, DE UNA LÁMPARA, ATENUACIÓN AL 10%</v>
      </c>
    </row>
    <row r="2861" spans="1:20" ht="27" customHeight="1" x14ac:dyDescent="0.25">
      <c r="A2861" s="8" t="s">
        <v>5672</v>
      </c>
      <c r="B2861" s="9" t="s">
        <v>5666</v>
      </c>
      <c r="C2861" s="9"/>
      <c r="D2861" s="8" t="s">
        <v>184</v>
      </c>
      <c r="E2861" s="8">
        <v>214</v>
      </c>
      <c r="F2861" s="8" t="s">
        <v>22</v>
      </c>
      <c r="G2861" s="10" t="s">
        <v>5845</v>
      </c>
      <c r="H2861" s="8" t="s">
        <v>5846</v>
      </c>
      <c r="I2861" s="10" t="s">
        <v>5845</v>
      </c>
      <c r="J2861" s="11" t="s">
        <v>26</v>
      </c>
      <c r="K2861" s="57">
        <v>107.5</v>
      </c>
      <c r="L2861" s="12">
        <f t="shared" si="238"/>
        <v>215</v>
      </c>
      <c r="M2861" s="8">
        <v>3</v>
      </c>
      <c r="N2861" s="8" t="s">
        <v>27</v>
      </c>
      <c r="O2861" s="13"/>
      <c r="P2861" s="14">
        <v>0.2</v>
      </c>
      <c r="Q2861" s="15">
        <v>0.4</v>
      </c>
      <c r="R2861" s="16" t="str">
        <f t="shared" si="237"/>
        <v>LUTRON</v>
      </c>
      <c r="S2861" s="17" t="str">
        <f t="shared" si="239"/>
        <v>LUTRON</v>
      </c>
      <c r="T2861" s="10" t="str">
        <f t="shared" si="236"/>
        <v>BALASTRO T5_HO LINEAL, DE UNA LÁMPARA, ATENUACIÓN AL 10%</v>
      </c>
    </row>
    <row r="2862" spans="1:20" ht="27" customHeight="1" x14ac:dyDescent="0.25">
      <c r="A2862" s="8" t="s">
        <v>5672</v>
      </c>
      <c r="B2862" s="9" t="s">
        <v>5666</v>
      </c>
      <c r="C2862" s="9"/>
      <c r="D2862" s="8" t="s">
        <v>184</v>
      </c>
      <c r="E2862" s="8">
        <v>215</v>
      </c>
      <c r="F2862" s="8" t="s">
        <v>22</v>
      </c>
      <c r="G2862" s="10" t="s">
        <v>5845</v>
      </c>
      <c r="H2862" s="8" t="s">
        <v>5846</v>
      </c>
      <c r="I2862" s="10" t="s">
        <v>5845</v>
      </c>
      <c r="J2862" s="11" t="s">
        <v>26</v>
      </c>
      <c r="K2862" s="57">
        <v>107.5</v>
      </c>
      <c r="L2862" s="12">
        <f t="shared" si="238"/>
        <v>215</v>
      </c>
      <c r="M2862" s="8">
        <v>3</v>
      </c>
      <c r="N2862" s="8" t="s">
        <v>27</v>
      </c>
      <c r="O2862" s="13"/>
      <c r="P2862" s="14">
        <v>0.2</v>
      </c>
      <c r="Q2862" s="15">
        <v>0.4</v>
      </c>
      <c r="R2862" s="16" t="str">
        <f t="shared" si="237"/>
        <v>LUTRON</v>
      </c>
      <c r="S2862" s="17" t="str">
        <f t="shared" si="239"/>
        <v>LUTRON</v>
      </c>
      <c r="T2862" s="10" t="str">
        <f t="shared" si="236"/>
        <v>BALASTRO T5_HO LINEAL, DE UNA LÁMPARA, ATENUACIÓN AL 10%</v>
      </c>
    </row>
    <row r="2863" spans="1:20" ht="27" customHeight="1" x14ac:dyDescent="0.25">
      <c r="A2863" s="8" t="s">
        <v>5672</v>
      </c>
      <c r="B2863" s="9" t="s">
        <v>5666</v>
      </c>
      <c r="C2863" s="9"/>
      <c r="D2863" s="8" t="s">
        <v>184</v>
      </c>
      <c r="E2863" s="8">
        <v>216</v>
      </c>
      <c r="F2863" s="8" t="s">
        <v>22</v>
      </c>
      <c r="G2863" s="10" t="s">
        <v>5845</v>
      </c>
      <c r="H2863" s="8" t="s">
        <v>5847</v>
      </c>
      <c r="I2863" s="10" t="s">
        <v>5845</v>
      </c>
      <c r="J2863" s="11" t="s">
        <v>26</v>
      </c>
      <c r="K2863" s="57">
        <v>107.5</v>
      </c>
      <c r="L2863" s="12">
        <f t="shared" si="238"/>
        <v>215</v>
      </c>
      <c r="M2863" s="8">
        <v>3</v>
      </c>
      <c r="N2863" s="8" t="s">
        <v>27</v>
      </c>
      <c r="O2863" s="13"/>
      <c r="P2863" s="14">
        <v>0.2</v>
      </c>
      <c r="Q2863" s="15">
        <v>0.4</v>
      </c>
      <c r="R2863" s="16" t="str">
        <f t="shared" si="237"/>
        <v>LUTRON</v>
      </c>
      <c r="S2863" s="17" t="str">
        <f t="shared" si="239"/>
        <v>LUTRON</v>
      </c>
      <c r="T2863" s="10" t="str">
        <f t="shared" si="236"/>
        <v>BALASTRO T5_HO LINEAL, DE UNA LÁMPARA, ATENUACIÓN AL 10%</v>
      </c>
    </row>
    <row r="2864" spans="1:20" ht="27" customHeight="1" x14ac:dyDescent="0.25">
      <c r="A2864" s="8" t="s">
        <v>5672</v>
      </c>
      <c r="B2864" s="9" t="s">
        <v>5666</v>
      </c>
      <c r="C2864" s="9"/>
      <c r="D2864" s="8" t="s">
        <v>184</v>
      </c>
      <c r="E2864" s="8">
        <v>217</v>
      </c>
      <c r="F2864" s="8" t="s">
        <v>22</v>
      </c>
      <c r="G2864" s="10" t="s">
        <v>5845</v>
      </c>
      <c r="H2864" s="8" t="s">
        <v>5847</v>
      </c>
      <c r="I2864" s="10" t="s">
        <v>5845</v>
      </c>
      <c r="J2864" s="11" t="s">
        <v>26</v>
      </c>
      <c r="K2864" s="57">
        <v>107.5</v>
      </c>
      <c r="L2864" s="12">
        <f t="shared" si="238"/>
        <v>215</v>
      </c>
      <c r="M2864" s="8">
        <v>3</v>
      </c>
      <c r="N2864" s="8" t="s">
        <v>27</v>
      </c>
      <c r="O2864" s="13"/>
      <c r="P2864" s="14">
        <v>0.2</v>
      </c>
      <c r="Q2864" s="15">
        <v>0.4</v>
      </c>
      <c r="R2864" s="16" t="str">
        <f t="shared" si="237"/>
        <v>LUTRON</v>
      </c>
      <c r="S2864" s="17" t="str">
        <f t="shared" si="239"/>
        <v>LUTRON</v>
      </c>
      <c r="T2864" s="10" t="str">
        <f t="shared" si="236"/>
        <v>BALASTRO T5_HO LINEAL, DE UNA LÁMPARA, ATENUACIÓN AL 10%</v>
      </c>
    </row>
    <row r="2865" spans="1:20" ht="27" customHeight="1" x14ac:dyDescent="0.25">
      <c r="A2865" s="8" t="s">
        <v>5672</v>
      </c>
      <c r="B2865" s="9" t="s">
        <v>5666</v>
      </c>
      <c r="C2865" s="9"/>
      <c r="D2865" s="8" t="s">
        <v>184</v>
      </c>
      <c r="E2865" s="8">
        <v>218</v>
      </c>
      <c r="F2865" s="8" t="s">
        <v>22</v>
      </c>
      <c r="G2865" s="10" t="s">
        <v>5845</v>
      </c>
      <c r="H2865" s="8" t="s">
        <v>5847</v>
      </c>
      <c r="I2865" s="10" t="s">
        <v>5845</v>
      </c>
      <c r="J2865" s="11" t="s">
        <v>26</v>
      </c>
      <c r="K2865" s="57">
        <v>107.5</v>
      </c>
      <c r="L2865" s="12">
        <f t="shared" si="238"/>
        <v>215</v>
      </c>
      <c r="M2865" s="8">
        <v>3</v>
      </c>
      <c r="N2865" s="8" t="s">
        <v>27</v>
      </c>
      <c r="O2865" s="13"/>
      <c r="P2865" s="14">
        <v>0.2</v>
      </c>
      <c r="Q2865" s="15">
        <v>0.4</v>
      </c>
      <c r="R2865" s="16" t="str">
        <f t="shared" si="237"/>
        <v>LUTRON</v>
      </c>
      <c r="S2865" s="17" t="str">
        <f t="shared" si="239"/>
        <v>LUTRON</v>
      </c>
      <c r="T2865" s="10" t="str">
        <f t="shared" si="236"/>
        <v>BALASTRO T5_HO LINEAL, DE UNA LÁMPARA, ATENUACIÓN AL 10%</v>
      </c>
    </row>
    <row r="2866" spans="1:20" ht="27" customHeight="1" x14ac:dyDescent="0.25">
      <c r="A2866" s="8" t="s">
        <v>5672</v>
      </c>
      <c r="B2866" s="9" t="s">
        <v>5666</v>
      </c>
      <c r="C2866" s="9"/>
      <c r="D2866" s="8" t="s">
        <v>184</v>
      </c>
      <c r="E2866" s="8">
        <v>219</v>
      </c>
      <c r="F2866" s="8" t="s">
        <v>22</v>
      </c>
      <c r="G2866" s="10" t="s">
        <v>5845</v>
      </c>
      <c r="H2866" s="8" t="s">
        <v>5848</v>
      </c>
      <c r="I2866" s="10" t="s">
        <v>5845</v>
      </c>
      <c r="J2866" s="11" t="s">
        <v>26</v>
      </c>
      <c r="K2866" s="57">
        <v>107.5</v>
      </c>
      <c r="L2866" s="12">
        <f t="shared" si="238"/>
        <v>215</v>
      </c>
      <c r="M2866" s="8">
        <v>3</v>
      </c>
      <c r="N2866" s="8" t="s">
        <v>27</v>
      </c>
      <c r="O2866" s="13"/>
      <c r="P2866" s="14">
        <v>0.2</v>
      </c>
      <c r="Q2866" s="15">
        <v>0.4</v>
      </c>
      <c r="R2866" s="16" t="str">
        <f t="shared" si="237"/>
        <v>LUTRON</v>
      </c>
      <c r="S2866" s="17" t="str">
        <f t="shared" si="239"/>
        <v>LUTRON</v>
      </c>
      <c r="T2866" s="10" t="str">
        <f t="shared" si="236"/>
        <v>BALASTRO T5_HO LINEAL, DE UNA LÁMPARA, ATENUACIÓN AL 10%</v>
      </c>
    </row>
    <row r="2867" spans="1:20" ht="27" customHeight="1" x14ac:dyDescent="0.25">
      <c r="A2867" s="8" t="s">
        <v>5672</v>
      </c>
      <c r="B2867" s="9" t="s">
        <v>5666</v>
      </c>
      <c r="C2867" s="9"/>
      <c r="D2867" s="8" t="s">
        <v>184</v>
      </c>
      <c r="E2867" s="8">
        <v>220</v>
      </c>
      <c r="F2867" s="8" t="s">
        <v>22</v>
      </c>
      <c r="G2867" s="10" t="s">
        <v>5845</v>
      </c>
      <c r="H2867" s="8" t="s">
        <v>5848</v>
      </c>
      <c r="I2867" s="10" t="s">
        <v>5845</v>
      </c>
      <c r="J2867" s="11" t="s">
        <v>26</v>
      </c>
      <c r="K2867" s="57">
        <v>107.5</v>
      </c>
      <c r="L2867" s="12">
        <f t="shared" si="238"/>
        <v>215</v>
      </c>
      <c r="M2867" s="8">
        <v>3</v>
      </c>
      <c r="N2867" s="8" t="s">
        <v>27</v>
      </c>
      <c r="O2867" s="13"/>
      <c r="P2867" s="14">
        <v>0.2</v>
      </c>
      <c r="Q2867" s="15">
        <v>0.4</v>
      </c>
      <c r="R2867" s="16" t="str">
        <f t="shared" si="237"/>
        <v>LUTRON</v>
      </c>
      <c r="S2867" s="17" t="str">
        <f t="shared" si="239"/>
        <v>LUTRON</v>
      </c>
      <c r="T2867" s="10" t="str">
        <f t="shared" si="236"/>
        <v>BALASTRO T5_HO LINEAL, DE UNA LÁMPARA, ATENUACIÓN AL 10%</v>
      </c>
    </row>
    <row r="2868" spans="1:20" ht="27" customHeight="1" x14ac:dyDescent="0.25">
      <c r="A2868" s="8" t="s">
        <v>5672</v>
      </c>
      <c r="B2868" s="9" t="s">
        <v>5666</v>
      </c>
      <c r="C2868" s="9"/>
      <c r="D2868" s="8" t="s">
        <v>184</v>
      </c>
      <c r="E2868" s="8">
        <v>221</v>
      </c>
      <c r="F2868" s="8" t="s">
        <v>22</v>
      </c>
      <c r="G2868" s="10" t="s">
        <v>5845</v>
      </c>
      <c r="H2868" s="8" t="s">
        <v>5848</v>
      </c>
      <c r="I2868" s="10" t="s">
        <v>5845</v>
      </c>
      <c r="J2868" s="11" t="s">
        <v>26</v>
      </c>
      <c r="K2868" s="57">
        <v>107.5</v>
      </c>
      <c r="L2868" s="12">
        <f t="shared" si="238"/>
        <v>215</v>
      </c>
      <c r="M2868" s="8">
        <v>3</v>
      </c>
      <c r="N2868" s="8" t="s">
        <v>27</v>
      </c>
      <c r="O2868" s="13"/>
      <c r="P2868" s="14">
        <v>0.2</v>
      </c>
      <c r="Q2868" s="15">
        <v>0.4</v>
      </c>
      <c r="R2868" s="16" t="str">
        <f t="shared" si="237"/>
        <v>LUTRON</v>
      </c>
      <c r="S2868" s="17" t="str">
        <f t="shared" si="239"/>
        <v>LUTRON</v>
      </c>
      <c r="T2868" s="10" t="str">
        <f t="shared" si="236"/>
        <v>BALASTRO T5_HO LINEAL, DE UNA LÁMPARA, ATENUACIÓN AL 10%</v>
      </c>
    </row>
    <row r="2869" spans="1:20" ht="27" customHeight="1" x14ac:dyDescent="0.25">
      <c r="A2869" s="8" t="s">
        <v>5672</v>
      </c>
      <c r="B2869" s="9" t="s">
        <v>5666</v>
      </c>
      <c r="C2869" s="9"/>
      <c r="D2869" s="8" t="s">
        <v>184</v>
      </c>
      <c r="E2869" s="8">
        <v>222</v>
      </c>
      <c r="F2869" s="8" t="s">
        <v>22</v>
      </c>
      <c r="G2869" s="10" t="s">
        <v>5849</v>
      </c>
      <c r="H2869" s="8" t="s">
        <v>5850</v>
      </c>
      <c r="I2869" s="10" t="s">
        <v>5849</v>
      </c>
      <c r="J2869" s="11" t="s">
        <v>26</v>
      </c>
      <c r="K2869" s="57">
        <v>107.5</v>
      </c>
      <c r="L2869" s="12">
        <f t="shared" si="238"/>
        <v>215</v>
      </c>
      <c r="M2869" s="8">
        <v>3</v>
      </c>
      <c r="N2869" s="8" t="s">
        <v>27</v>
      </c>
      <c r="O2869" s="13"/>
      <c r="P2869" s="14">
        <v>0.2</v>
      </c>
      <c r="Q2869" s="15">
        <v>0.4</v>
      </c>
      <c r="R2869" s="16" t="str">
        <f t="shared" si="237"/>
        <v>LUTRON</v>
      </c>
      <c r="S2869" s="17" t="str">
        <f t="shared" si="239"/>
        <v>LUTRON</v>
      </c>
      <c r="T2869" s="10" t="str">
        <f t="shared" ref="T2869:T2932" si="240">G2869</f>
        <v>BALASTRO T5_HO LINEAL, DE DOS LÁMPARAS ATENUACIÓN AL 10%</v>
      </c>
    </row>
    <row r="2870" spans="1:20" ht="27" customHeight="1" x14ac:dyDescent="0.25">
      <c r="A2870" s="8" t="s">
        <v>5672</v>
      </c>
      <c r="B2870" s="9" t="s">
        <v>5666</v>
      </c>
      <c r="C2870" s="9"/>
      <c r="D2870" s="8" t="s">
        <v>184</v>
      </c>
      <c r="E2870" s="8">
        <v>223</v>
      </c>
      <c r="F2870" s="8" t="s">
        <v>22</v>
      </c>
      <c r="G2870" s="10" t="s">
        <v>5849</v>
      </c>
      <c r="H2870" s="8" t="s">
        <v>5850</v>
      </c>
      <c r="I2870" s="10" t="s">
        <v>5849</v>
      </c>
      <c r="J2870" s="11" t="s">
        <v>26</v>
      </c>
      <c r="K2870" s="57">
        <v>107.5</v>
      </c>
      <c r="L2870" s="12">
        <f t="shared" si="238"/>
        <v>215</v>
      </c>
      <c r="M2870" s="8">
        <v>3</v>
      </c>
      <c r="N2870" s="8" t="s">
        <v>27</v>
      </c>
      <c r="O2870" s="13"/>
      <c r="P2870" s="14">
        <v>0.2</v>
      </c>
      <c r="Q2870" s="15">
        <v>0.4</v>
      </c>
      <c r="R2870" s="16" t="str">
        <f t="shared" si="237"/>
        <v>LUTRON</v>
      </c>
      <c r="S2870" s="17" t="str">
        <f t="shared" si="239"/>
        <v>LUTRON</v>
      </c>
      <c r="T2870" s="10" t="str">
        <f t="shared" si="240"/>
        <v>BALASTRO T5_HO LINEAL, DE DOS LÁMPARAS ATENUACIÓN AL 10%</v>
      </c>
    </row>
    <row r="2871" spans="1:20" ht="27" customHeight="1" x14ac:dyDescent="0.25">
      <c r="A2871" s="8" t="s">
        <v>5672</v>
      </c>
      <c r="B2871" s="9" t="s">
        <v>5666</v>
      </c>
      <c r="C2871" s="9"/>
      <c r="D2871" s="8" t="s">
        <v>184</v>
      </c>
      <c r="E2871" s="8">
        <v>224</v>
      </c>
      <c r="F2871" s="8" t="s">
        <v>22</v>
      </c>
      <c r="G2871" s="10" t="s">
        <v>5849</v>
      </c>
      <c r="H2871" s="8" t="s">
        <v>5850</v>
      </c>
      <c r="I2871" s="10" t="s">
        <v>5849</v>
      </c>
      <c r="J2871" s="11" t="s">
        <v>26</v>
      </c>
      <c r="K2871" s="57">
        <v>107.5</v>
      </c>
      <c r="L2871" s="12">
        <f t="shared" si="238"/>
        <v>215</v>
      </c>
      <c r="M2871" s="8">
        <v>3</v>
      </c>
      <c r="N2871" s="8" t="s">
        <v>27</v>
      </c>
      <c r="O2871" s="13"/>
      <c r="P2871" s="14">
        <v>0.2</v>
      </c>
      <c r="Q2871" s="15">
        <v>0.4</v>
      </c>
      <c r="R2871" s="16" t="str">
        <f t="shared" si="237"/>
        <v>LUTRON</v>
      </c>
      <c r="S2871" s="17" t="str">
        <f t="shared" si="239"/>
        <v>LUTRON</v>
      </c>
      <c r="T2871" s="10" t="str">
        <f t="shared" si="240"/>
        <v>BALASTRO T5_HO LINEAL, DE DOS LÁMPARAS ATENUACIÓN AL 10%</v>
      </c>
    </row>
    <row r="2872" spans="1:20" ht="27" customHeight="1" x14ac:dyDescent="0.25">
      <c r="A2872" s="8" t="s">
        <v>5672</v>
      </c>
      <c r="B2872" s="9" t="s">
        <v>5666</v>
      </c>
      <c r="C2872" s="9"/>
      <c r="D2872" s="8" t="s">
        <v>184</v>
      </c>
      <c r="E2872" s="8">
        <v>225</v>
      </c>
      <c r="F2872" s="8" t="s">
        <v>22</v>
      </c>
      <c r="G2872" s="10" t="s">
        <v>5849</v>
      </c>
      <c r="H2872" s="8" t="s">
        <v>5851</v>
      </c>
      <c r="I2872" s="10" t="s">
        <v>5849</v>
      </c>
      <c r="J2872" s="11" t="s">
        <v>26</v>
      </c>
      <c r="K2872" s="57">
        <v>107.5</v>
      </c>
      <c r="L2872" s="12">
        <f t="shared" si="238"/>
        <v>215</v>
      </c>
      <c r="M2872" s="8">
        <v>3</v>
      </c>
      <c r="N2872" s="8" t="s">
        <v>27</v>
      </c>
      <c r="O2872" s="13"/>
      <c r="P2872" s="14">
        <v>0.2</v>
      </c>
      <c r="Q2872" s="15">
        <v>0.4</v>
      </c>
      <c r="R2872" s="16" t="str">
        <f t="shared" si="237"/>
        <v>LUTRON</v>
      </c>
      <c r="S2872" s="17" t="str">
        <f t="shared" si="239"/>
        <v>LUTRON</v>
      </c>
      <c r="T2872" s="10" t="str">
        <f t="shared" si="240"/>
        <v>BALASTRO T5_HO LINEAL, DE DOS LÁMPARAS ATENUACIÓN AL 10%</v>
      </c>
    </row>
    <row r="2873" spans="1:20" ht="27" customHeight="1" x14ac:dyDescent="0.25">
      <c r="A2873" s="8" t="s">
        <v>5672</v>
      </c>
      <c r="B2873" s="9" t="s">
        <v>5666</v>
      </c>
      <c r="C2873" s="9"/>
      <c r="D2873" s="8" t="s">
        <v>184</v>
      </c>
      <c r="E2873" s="8">
        <v>226</v>
      </c>
      <c r="F2873" s="8" t="s">
        <v>22</v>
      </c>
      <c r="G2873" s="10" t="s">
        <v>5849</v>
      </c>
      <c r="H2873" s="8" t="s">
        <v>5851</v>
      </c>
      <c r="I2873" s="10" t="s">
        <v>5849</v>
      </c>
      <c r="J2873" s="11" t="s">
        <v>26</v>
      </c>
      <c r="K2873" s="57">
        <v>107.5</v>
      </c>
      <c r="L2873" s="12">
        <f t="shared" si="238"/>
        <v>215</v>
      </c>
      <c r="M2873" s="8">
        <v>3</v>
      </c>
      <c r="N2873" s="8" t="s">
        <v>27</v>
      </c>
      <c r="O2873" s="13"/>
      <c r="P2873" s="14">
        <v>0.2</v>
      </c>
      <c r="Q2873" s="15">
        <v>0.4</v>
      </c>
      <c r="R2873" s="16" t="str">
        <f t="shared" si="237"/>
        <v>LUTRON</v>
      </c>
      <c r="S2873" s="17" t="str">
        <f t="shared" si="239"/>
        <v>LUTRON</v>
      </c>
      <c r="T2873" s="10" t="str">
        <f t="shared" si="240"/>
        <v>BALASTRO T5_HO LINEAL, DE DOS LÁMPARAS ATENUACIÓN AL 10%</v>
      </c>
    </row>
    <row r="2874" spans="1:20" ht="27" customHeight="1" x14ac:dyDescent="0.25">
      <c r="A2874" s="8" t="s">
        <v>5672</v>
      </c>
      <c r="B2874" s="9" t="s">
        <v>5666</v>
      </c>
      <c r="C2874" s="9"/>
      <c r="D2874" s="8" t="s">
        <v>184</v>
      </c>
      <c r="E2874" s="8">
        <v>227</v>
      </c>
      <c r="F2874" s="8" t="s">
        <v>22</v>
      </c>
      <c r="G2874" s="10" t="s">
        <v>5849</v>
      </c>
      <c r="H2874" s="8" t="s">
        <v>5851</v>
      </c>
      <c r="I2874" s="10" t="s">
        <v>5849</v>
      </c>
      <c r="J2874" s="11" t="s">
        <v>26</v>
      </c>
      <c r="K2874" s="57">
        <v>107.5</v>
      </c>
      <c r="L2874" s="12">
        <f t="shared" si="238"/>
        <v>215</v>
      </c>
      <c r="M2874" s="8">
        <v>3</v>
      </c>
      <c r="N2874" s="8" t="s">
        <v>27</v>
      </c>
      <c r="O2874" s="13"/>
      <c r="P2874" s="14">
        <v>0.2</v>
      </c>
      <c r="Q2874" s="15">
        <v>0.4</v>
      </c>
      <c r="R2874" s="16" t="str">
        <f t="shared" si="237"/>
        <v>LUTRON</v>
      </c>
      <c r="S2874" s="17" t="str">
        <f t="shared" si="239"/>
        <v>LUTRON</v>
      </c>
      <c r="T2874" s="10" t="str">
        <f t="shared" si="240"/>
        <v>BALASTRO T5_HO LINEAL, DE DOS LÁMPARAS ATENUACIÓN AL 10%</v>
      </c>
    </row>
    <row r="2875" spans="1:20" ht="27" customHeight="1" x14ac:dyDescent="0.25">
      <c r="A2875" s="8" t="s">
        <v>5672</v>
      </c>
      <c r="B2875" s="9" t="s">
        <v>5666</v>
      </c>
      <c r="C2875" s="9"/>
      <c r="D2875" s="8" t="s">
        <v>184</v>
      </c>
      <c r="E2875" s="8">
        <v>228</v>
      </c>
      <c r="F2875" s="8" t="s">
        <v>22</v>
      </c>
      <c r="G2875" s="10" t="s">
        <v>5849</v>
      </c>
      <c r="H2875" s="8" t="s">
        <v>5852</v>
      </c>
      <c r="I2875" s="10" t="s">
        <v>5849</v>
      </c>
      <c r="J2875" s="11" t="s">
        <v>26</v>
      </c>
      <c r="K2875" s="57">
        <v>107.5</v>
      </c>
      <c r="L2875" s="12">
        <f t="shared" si="238"/>
        <v>215</v>
      </c>
      <c r="M2875" s="8">
        <v>3</v>
      </c>
      <c r="N2875" s="8" t="s">
        <v>27</v>
      </c>
      <c r="O2875" s="13"/>
      <c r="P2875" s="14">
        <v>0.2</v>
      </c>
      <c r="Q2875" s="15">
        <v>0.4</v>
      </c>
      <c r="R2875" s="16" t="str">
        <f t="shared" si="237"/>
        <v>LUTRON</v>
      </c>
      <c r="S2875" s="17" t="str">
        <f t="shared" si="239"/>
        <v>LUTRON</v>
      </c>
      <c r="T2875" s="10" t="str">
        <f t="shared" si="240"/>
        <v>BALASTRO T5_HO LINEAL, DE DOS LÁMPARAS ATENUACIÓN AL 10%</v>
      </c>
    </row>
    <row r="2876" spans="1:20" ht="27" customHeight="1" x14ac:dyDescent="0.25">
      <c r="A2876" s="8" t="s">
        <v>5672</v>
      </c>
      <c r="B2876" s="9" t="s">
        <v>5666</v>
      </c>
      <c r="C2876" s="9"/>
      <c r="D2876" s="8" t="s">
        <v>184</v>
      </c>
      <c r="E2876" s="8">
        <v>229</v>
      </c>
      <c r="F2876" s="8" t="s">
        <v>22</v>
      </c>
      <c r="G2876" s="10" t="s">
        <v>5849</v>
      </c>
      <c r="H2876" s="8" t="s">
        <v>5852</v>
      </c>
      <c r="I2876" s="10" t="s">
        <v>5849</v>
      </c>
      <c r="J2876" s="11" t="s">
        <v>26</v>
      </c>
      <c r="K2876" s="57">
        <v>107.5</v>
      </c>
      <c r="L2876" s="12">
        <f t="shared" si="238"/>
        <v>215</v>
      </c>
      <c r="M2876" s="8">
        <v>3</v>
      </c>
      <c r="N2876" s="8" t="s">
        <v>27</v>
      </c>
      <c r="O2876" s="13"/>
      <c r="P2876" s="14">
        <v>0.2</v>
      </c>
      <c r="Q2876" s="15">
        <v>0.4</v>
      </c>
      <c r="R2876" s="16" t="str">
        <f t="shared" si="237"/>
        <v>LUTRON</v>
      </c>
      <c r="S2876" s="17" t="str">
        <f t="shared" si="239"/>
        <v>LUTRON</v>
      </c>
      <c r="T2876" s="10" t="str">
        <f t="shared" si="240"/>
        <v>BALASTRO T5_HO LINEAL, DE DOS LÁMPARAS ATENUACIÓN AL 10%</v>
      </c>
    </row>
    <row r="2877" spans="1:20" ht="27" customHeight="1" x14ac:dyDescent="0.25">
      <c r="A2877" s="8" t="s">
        <v>5672</v>
      </c>
      <c r="B2877" s="9" t="s">
        <v>5666</v>
      </c>
      <c r="C2877" s="9"/>
      <c r="D2877" s="8" t="s">
        <v>184</v>
      </c>
      <c r="E2877" s="8">
        <v>230</v>
      </c>
      <c r="F2877" s="8" t="s">
        <v>22</v>
      </c>
      <c r="G2877" s="10" t="s">
        <v>5849</v>
      </c>
      <c r="H2877" s="8" t="s">
        <v>5852</v>
      </c>
      <c r="I2877" s="10" t="s">
        <v>5849</v>
      </c>
      <c r="J2877" s="11" t="s">
        <v>26</v>
      </c>
      <c r="K2877" s="57">
        <v>107.5</v>
      </c>
      <c r="L2877" s="12">
        <f t="shared" si="238"/>
        <v>215</v>
      </c>
      <c r="M2877" s="8">
        <v>3</v>
      </c>
      <c r="N2877" s="8" t="s">
        <v>27</v>
      </c>
      <c r="O2877" s="13"/>
      <c r="P2877" s="14">
        <v>0.2</v>
      </c>
      <c r="Q2877" s="15">
        <v>0.4</v>
      </c>
      <c r="R2877" s="16" t="str">
        <f t="shared" si="237"/>
        <v>LUTRON</v>
      </c>
      <c r="S2877" s="17" t="str">
        <f t="shared" si="239"/>
        <v>LUTRON</v>
      </c>
      <c r="T2877" s="10" t="str">
        <f t="shared" si="240"/>
        <v>BALASTRO T5_HO LINEAL, DE DOS LÁMPARAS ATENUACIÓN AL 10%</v>
      </c>
    </row>
    <row r="2878" spans="1:20" ht="27" customHeight="1" x14ac:dyDescent="0.25">
      <c r="A2878" s="8" t="s">
        <v>5672</v>
      </c>
      <c r="B2878" s="9" t="s">
        <v>5666</v>
      </c>
      <c r="C2878" s="9"/>
      <c r="D2878" s="8" t="s">
        <v>184</v>
      </c>
      <c r="E2878" s="8">
        <v>231</v>
      </c>
      <c r="F2878" s="8" t="s">
        <v>22</v>
      </c>
      <c r="G2878" s="10" t="s">
        <v>5853</v>
      </c>
      <c r="H2878" s="8" t="s">
        <v>5854</v>
      </c>
      <c r="I2878" s="10" t="s">
        <v>5853</v>
      </c>
      <c r="J2878" s="11" t="s">
        <v>26</v>
      </c>
      <c r="K2878" s="57">
        <v>107.5</v>
      </c>
      <c r="L2878" s="12">
        <f t="shared" si="238"/>
        <v>215</v>
      </c>
      <c r="M2878" s="8">
        <v>3</v>
      </c>
      <c r="N2878" s="8" t="s">
        <v>27</v>
      </c>
      <c r="O2878" s="13"/>
      <c r="P2878" s="14">
        <v>0.2</v>
      </c>
      <c r="Q2878" s="15">
        <v>0.4</v>
      </c>
      <c r="R2878" s="16" t="str">
        <f t="shared" si="237"/>
        <v>LUTRON</v>
      </c>
      <c r="S2878" s="17" t="str">
        <f t="shared" si="239"/>
        <v>LUTRON</v>
      </c>
      <c r="T2878" s="10" t="str">
        <f t="shared" si="240"/>
        <v>BALASTRO T5 Twin_Tube, DE UNA LÁMPARA, ATENUACIÓN AL 10%</v>
      </c>
    </row>
    <row r="2879" spans="1:20" ht="27" customHeight="1" x14ac:dyDescent="0.25">
      <c r="A2879" s="8" t="s">
        <v>5672</v>
      </c>
      <c r="B2879" s="9" t="s">
        <v>5666</v>
      </c>
      <c r="C2879" s="9"/>
      <c r="D2879" s="8" t="s">
        <v>184</v>
      </c>
      <c r="E2879" s="8">
        <v>232</v>
      </c>
      <c r="F2879" s="8" t="s">
        <v>22</v>
      </c>
      <c r="G2879" s="10" t="s">
        <v>5853</v>
      </c>
      <c r="H2879" s="8" t="s">
        <v>5854</v>
      </c>
      <c r="I2879" s="10" t="s">
        <v>5853</v>
      </c>
      <c r="J2879" s="11" t="s">
        <v>26</v>
      </c>
      <c r="K2879" s="57">
        <v>107.5</v>
      </c>
      <c r="L2879" s="12">
        <f t="shared" si="238"/>
        <v>215</v>
      </c>
      <c r="M2879" s="8">
        <v>3</v>
      </c>
      <c r="N2879" s="8" t="s">
        <v>27</v>
      </c>
      <c r="O2879" s="13"/>
      <c r="P2879" s="14">
        <v>0.2</v>
      </c>
      <c r="Q2879" s="15">
        <v>0.4</v>
      </c>
      <c r="R2879" s="16" t="str">
        <f t="shared" si="237"/>
        <v>LUTRON</v>
      </c>
      <c r="S2879" s="17" t="str">
        <f t="shared" si="239"/>
        <v>LUTRON</v>
      </c>
      <c r="T2879" s="10" t="str">
        <f t="shared" si="240"/>
        <v>BALASTRO T5 Twin_Tube, DE UNA LÁMPARA, ATENUACIÓN AL 10%</v>
      </c>
    </row>
    <row r="2880" spans="1:20" ht="27" customHeight="1" x14ac:dyDescent="0.25">
      <c r="A2880" s="8" t="s">
        <v>5672</v>
      </c>
      <c r="B2880" s="9" t="s">
        <v>5666</v>
      </c>
      <c r="C2880" s="9"/>
      <c r="D2880" s="8" t="s">
        <v>184</v>
      </c>
      <c r="E2880" s="8">
        <v>233</v>
      </c>
      <c r="F2880" s="8" t="s">
        <v>22</v>
      </c>
      <c r="G2880" s="10" t="s">
        <v>5853</v>
      </c>
      <c r="H2880" s="8" t="s">
        <v>5854</v>
      </c>
      <c r="I2880" s="10" t="s">
        <v>5853</v>
      </c>
      <c r="J2880" s="11" t="s">
        <v>26</v>
      </c>
      <c r="K2880" s="57">
        <v>107.5</v>
      </c>
      <c r="L2880" s="12">
        <f t="shared" si="238"/>
        <v>215</v>
      </c>
      <c r="M2880" s="8">
        <v>3</v>
      </c>
      <c r="N2880" s="8" t="s">
        <v>27</v>
      </c>
      <c r="O2880" s="13"/>
      <c r="P2880" s="14">
        <v>0.2</v>
      </c>
      <c r="Q2880" s="15">
        <v>0.4</v>
      </c>
      <c r="R2880" s="16" t="str">
        <f t="shared" si="237"/>
        <v>LUTRON</v>
      </c>
      <c r="S2880" s="17" t="str">
        <f t="shared" si="239"/>
        <v>LUTRON</v>
      </c>
      <c r="T2880" s="10" t="str">
        <f t="shared" si="240"/>
        <v>BALASTRO T5 Twin_Tube, DE UNA LÁMPARA, ATENUACIÓN AL 10%</v>
      </c>
    </row>
    <row r="2881" spans="1:20" ht="27" customHeight="1" x14ac:dyDescent="0.25">
      <c r="A2881" s="8" t="s">
        <v>5672</v>
      </c>
      <c r="B2881" s="9" t="s">
        <v>5666</v>
      </c>
      <c r="C2881" s="9"/>
      <c r="D2881" s="8" t="s">
        <v>184</v>
      </c>
      <c r="E2881" s="8">
        <v>234</v>
      </c>
      <c r="F2881" s="8" t="s">
        <v>22</v>
      </c>
      <c r="G2881" s="10" t="s">
        <v>5853</v>
      </c>
      <c r="H2881" s="8" t="s">
        <v>5855</v>
      </c>
      <c r="I2881" s="10" t="s">
        <v>5853</v>
      </c>
      <c r="J2881" s="11" t="s">
        <v>26</v>
      </c>
      <c r="K2881" s="57">
        <v>107.5</v>
      </c>
      <c r="L2881" s="12">
        <f t="shared" si="238"/>
        <v>215</v>
      </c>
      <c r="M2881" s="8">
        <v>3</v>
      </c>
      <c r="N2881" s="8" t="s">
        <v>27</v>
      </c>
      <c r="O2881" s="13"/>
      <c r="P2881" s="14">
        <v>0.2</v>
      </c>
      <c r="Q2881" s="15">
        <v>0.4</v>
      </c>
      <c r="R2881" s="16" t="str">
        <f t="shared" ref="R2881:R2944" si="241">A2881</f>
        <v>LUTRON</v>
      </c>
      <c r="S2881" s="17" t="str">
        <f t="shared" si="239"/>
        <v>LUTRON</v>
      </c>
      <c r="T2881" s="10" t="str">
        <f t="shared" si="240"/>
        <v>BALASTRO T5 Twin_Tube, DE UNA LÁMPARA, ATENUACIÓN AL 10%</v>
      </c>
    </row>
    <row r="2882" spans="1:20" ht="27" customHeight="1" x14ac:dyDescent="0.25">
      <c r="A2882" s="8" t="s">
        <v>5672</v>
      </c>
      <c r="B2882" s="9" t="s">
        <v>5666</v>
      </c>
      <c r="C2882" s="9"/>
      <c r="D2882" s="8" t="s">
        <v>184</v>
      </c>
      <c r="E2882" s="8">
        <v>235</v>
      </c>
      <c r="F2882" s="8" t="s">
        <v>22</v>
      </c>
      <c r="G2882" s="10" t="s">
        <v>5853</v>
      </c>
      <c r="H2882" s="8" t="s">
        <v>5855</v>
      </c>
      <c r="I2882" s="10" t="s">
        <v>5853</v>
      </c>
      <c r="J2882" s="11" t="s">
        <v>26</v>
      </c>
      <c r="K2882" s="57">
        <v>107.5</v>
      </c>
      <c r="L2882" s="12">
        <f t="shared" si="238"/>
        <v>215</v>
      </c>
      <c r="M2882" s="8">
        <v>3</v>
      </c>
      <c r="N2882" s="8" t="s">
        <v>27</v>
      </c>
      <c r="O2882" s="13"/>
      <c r="P2882" s="14">
        <v>0.2</v>
      </c>
      <c r="Q2882" s="15">
        <v>0.4</v>
      </c>
      <c r="R2882" s="16" t="str">
        <f t="shared" si="241"/>
        <v>LUTRON</v>
      </c>
      <c r="S2882" s="17" t="str">
        <f t="shared" si="239"/>
        <v>LUTRON</v>
      </c>
      <c r="T2882" s="10" t="str">
        <f t="shared" si="240"/>
        <v>BALASTRO T5 Twin_Tube, DE UNA LÁMPARA, ATENUACIÓN AL 10%</v>
      </c>
    </row>
    <row r="2883" spans="1:20" ht="27" customHeight="1" x14ac:dyDescent="0.25">
      <c r="A2883" s="8" t="s">
        <v>5672</v>
      </c>
      <c r="B2883" s="9" t="s">
        <v>5666</v>
      </c>
      <c r="C2883" s="9"/>
      <c r="D2883" s="8" t="s">
        <v>184</v>
      </c>
      <c r="E2883" s="8">
        <v>236</v>
      </c>
      <c r="F2883" s="8" t="s">
        <v>22</v>
      </c>
      <c r="G2883" s="10" t="s">
        <v>5853</v>
      </c>
      <c r="H2883" s="8" t="s">
        <v>5855</v>
      </c>
      <c r="I2883" s="10" t="s">
        <v>5853</v>
      </c>
      <c r="J2883" s="11" t="s">
        <v>26</v>
      </c>
      <c r="K2883" s="57">
        <v>107.5</v>
      </c>
      <c r="L2883" s="12">
        <f t="shared" si="238"/>
        <v>215</v>
      </c>
      <c r="M2883" s="8">
        <v>3</v>
      </c>
      <c r="N2883" s="8" t="s">
        <v>27</v>
      </c>
      <c r="O2883" s="13"/>
      <c r="P2883" s="14">
        <v>0.2</v>
      </c>
      <c r="Q2883" s="15">
        <v>0.4</v>
      </c>
      <c r="R2883" s="16" t="str">
        <f t="shared" si="241"/>
        <v>LUTRON</v>
      </c>
      <c r="S2883" s="17" t="str">
        <f t="shared" si="239"/>
        <v>LUTRON</v>
      </c>
      <c r="T2883" s="10" t="str">
        <f t="shared" si="240"/>
        <v>BALASTRO T5 Twin_Tube, DE UNA LÁMPARA, ATENUACIÓN AL 10%</v>
      </c>
    </row>
    <row r="2884" spans="1:20" ht="27" customHeight="1" x14ac:dyDescent="0.25">
      <c r="A2884" s="8" t="s">
        <v>5672</v>
      </c>
      <c r="B2884" s="9" t="s">
        <v>5666</v>
      </c>
      <c r="C2884" s="9"/>
      <c r="D2884" s="8" t="s">
        <v>184</v>
      </c>
      <c r="E2884" s="8">
        <v>237</v>
      </c>
      <c r="F2884" s="8" t="s">
        <v>22</v>
      </c>
      <c r="G2884" s="10" t="s">
        <v>5853</v>
      </c>
      <c r="H2884" s="8" t="s">
        <v>5856</v>
      </c>
      <c r="I2884" s="10" t="s">
        <v>5853</v>
      </c>
      <c r="J2884" s="11" t="s">
        <v>26</v>
      </c>
      <c r="K2884" s="57">
        <v>107.5</v>
      </c>
      <c r="L2884" s="12">
        <f t="shared" si="238"/>
        <v>215</v>
      </c>
      <c r="M2884" s="8">
        <v>3</v>
      </c>
      <c r="N2884" s="8" t="s">
        <v>27</v>
      </c>
      <c r="O2884" s="13"/>
      <c r="P2884" s="14">
        <v>0.2</v>
      </c>
      <c r="Q2884" s="15">
        <v>0.4</v>
      </c>
      <c r="R2884" s="16" t="str">
        <f t="shared" si="241"/>
        <v>LUTRON</v>
      </c>
      <c r="S2884" s="17" t="str">
        <f t="shared" si="239"/>
        <v>LUTRON</v>
      </c>
      <c r="T2884" s="10" t="str">
        <f t="shared" si="240"/>
        <v>BALASTRO T5 Twin_Tube, DE UNA LÁMPARA, ATENUACIÓN AL 10%</v>
      </c>
    </row>
    <row r="2885" spans="1:20" ht="27" customHeight="1" x14ac:dyDescent="0.25">
      <c r="A2885" s="8" t="s">
        <v>5672</v>
      </c>
      <c r="B2885" s="9" t="s">
        <v>5666</v>
      </c>
      <c r="C2885" s="9"/>
      <c r="D2885" s="8" t="s">
        <v>184</v>
      </c>
      <c r="E2885" s="8">
        <v>238</v>
      </c>
      <c r="F2885" s="8" t="s">
        <v>22</v>
      </c>
      <c r="G2885" s="10" t="s">
        <v>5853</v>
      </c>
      <c r="H2885" s="8" t="s">
        <v>5856</v>
      </c>
      <c r="I2885" s="10" t="s">
        <v>5853</v>
      </c>
      <c r="J2885" s="11" t="s">
        <v>26</v>
      </c>
      <c r="K2885" s="57">
        <v>107.5</v>
      </c>
      <c r="L2885" s="12">
        <f t="shared" si="238"/>
        <v>215</v>
      </c>
      <c r="M2885" s="8">
        <v>3</v>
      </c>
      <c r="N2885" s="8" t="s">
        <v>27</v>
      </c>
      <c r="O2885" s="13"/>
      <c r="P2885" s="14">
        <v>0.2</v>
      </c>
      <c r="Q2885" s="15">
        <v>0.4</v>
      </c>
      <c r="R2885" s="16" t="str">
        <f t="shared" si="241"/>
        <v>LUTRON</v>
      </c>
      <c r="S2885" s="17" t="str">
        <f t="shared" si="239"/>
        <v>LUTRON</v>
      </c>
      <c r="T2885" s="10" t="str">
        <f t="shared" si="240"/>
        <v>BALASTRO T5 Twin_Tube, DE UNA LÁMPARA, ATENUACIÓN AL 10%</v>
      </c>
    </row>
    <row r="2886" spans="1:20" ht="27" customHeight="1" x14ac:dyDescent="0.25">
      <c r="A2886" s="8" t="s">
        <v>5672</v>
      </c>
      <c r="B2886" s="9" t="s">
        <v>5666</v>
      </c>
      <c r="C2886" s="9"/>
      <c r="D2886" s="8" t="s">
        <v>184</v>
      </c>
      <c r="E2886" s="8">
        <v>239</v>
      </c>
      <c r="F2886" s="8" t="s">
        <v>22</v>
      </c>
      <c r="G2886" s="10" t="s">
        <v>5853</v>
      </c>
      <c r="H2886" s="8" t="s">
        <v>5856</v>
      </c>
      <c r="I2886" s="10" t="s">
        <v>5853</v>
      </c>
      <c r="J2886" s="11" t="s">
        <v>26</v>
      </c>
      <c r="K2886" s="57">
        <v>107.5</v>
      </c>
      <c r="L2886" s="12">
        <f t="shared" si="238"/>
        <v>215</v>
      </c>
      <c r="M2886" s="8">
        <v>3</v>
      </c>
      <c r="N2886" s="8" t="s">
        <v>27</v>
      </c>
      <c r="O2886" s="13"/>
      <c r="P2886" s="14">
        <v>0.2</v>
      </c>
      <c r="Q2886" s="15">
        <v>0.4</v>
      </c>
      <c r="R2886" s="16" t="str">
        <f t="shared" si="241"/>
        <v>LUTRON</v>
      </c>
      <c r="S2886" s="17" t="str">
        <f t="shared" si="239"/>
        <v>LUTRON</v>
      </c>
      <c r="T2886" s="10" t="str">
        <f t="shared" si="240"/>
        <v>BALASTRO T5 Twin_Tube, DE UNA LÁMPARA, ATENUACIÓN AL 10%</v>
      </c>
    </row>
    <row r="2887" spans="1:20" ht="27" customHeight="1" x14ac:dyDescent="0.25">
      <c r="A2887" s="8" t="s">
        <v>5672</v>
      </c>
      <c r="B2887" s="9" t="s">
        <v>5666</v>
      </c>
      <c r="C2887" s="9"/>
      <c r="D2887" s="8" t="s">
        <v>184</v>
      </c>
      <c r="E2887" s="8">
        <v>240</v>
      </c>
      <c r="F2887" s="8" t="s">
        <v>22</v>
      </c>
      <c r="G2887" s="10" t="s">
        <v>5853</v>
      </c>
      <c r="H2887" s="8" t="s">
        <v>5857</v>
      </c>
      <c r="I2887" s="10" t="s">
        <v>5853</v>
      </c>
      <c r="J2887" s="11" t="s">
        <v>26</v>
      </c>
      <c r="K2887" s="57">
        <v>107.5</v>
      </c>
      <c r="L2887" s="12">
        <f t="shared" si="238"/>
        <v>215</v>
      </c>
      <c r="M2887" s="8">
        <v>3</v>
      </c>
      <c r="N2887" s="8" t="s">
        <v>27</v>
      </c>
      <c r="O2887" s="13"/>
      <c r="P2887" s="14">
        <v>0.2</v>
      </c>
      <c r="Q2887" s="15">
        <v>0.4</v>
      </c>
      <c r="R2887" s="16" t="str">
        <f t="shared" si="241"/>
        <v>LUTRON</v>
      </c>
      <c r="S2887" s="17" t="str">
        <f t="shared" si="239"/>
        <v>LUTRON</v>
      </c>
      <c r="T2887" s="10" t="str">
        <f t="shared" si="240"/>
        <v>BALASTRO T5 Twin_Tube, DE UNA LÁMPARA, ATENUACIÓN AL 10%</v>
      </c>
    </row>
    <row r="2888" spans="1:20" ht="27" customHeight="1" x14ac:dyDescent="0.25">
      <c r="A2888" s="8" t="s">
        <v>5672</v>
      </c>
      <c r="B2888" s="9" t="s">
        <v>5666</v>
      </c>
      <c r="C2888" s="9"/>
      <c r="D2888" s="8" t="s">
        <v>184</v>
      </c>
      <c r="E2888" s="8">
        <v>241</v>
      </c>
      <c r="F2888" s="8" t="s">
        <v>22</v>
      </c>
      <c r="G2888" s="10" t="s">
        <v>5853</v>
      </c>
      <c r="H2888" s="8" t="s">
        <v>5857</v>
      </c>
      <c r="I2888" s="10" t="s">
        <v>5853</v>
      </c>
      <c r="J2888" s="11" t="s">
        <v>26</v>
      </c>
      <c r="K2888" s="57">
        <v>107.5</v>
      </c>
      <c r="L2888" s="12">
        <f t="shared" si="238"/>
        <v>215</v>
      </c>
      <c r="M2888" s="8">
        <v>3</v>
      </c>
      <c r="N2888" s="8" t="s">
        <v>27</v>
      </c>
      <c r="O2888" s="13"/>
      <c r="P2888" s="14">
        <v>0.2</v>
      </c>
      <c r="Q2888" s="15">
        <v>0.4</v>
      </c>
      <c r="R2888" s="16" t="str">
        <f t="shared" si="241"/>
        <v>LUTRON</v>
      </c>
      <c r="S2888" s="17" t="str">
        <f t="shared" si="239"/>
        <v>LUTRON</v>
      </c>
      <c r="T2888" s="10" t="str">
        <f t="shared" si="240"/>
        <v>BALASTRO T5 Twin_Tube, DE UNA LÁMPARA, ATENUACIÓN AL 10%</v>
      </c>
    </row>
    <row r="2889" spans="1:20" ht="27" customHeight="1" x14ac:dyDescent="0.25">
      <c r="A2889" s="8" t="s">
        <v>5672</v>
      </c>
      <c r="B2889" s="9" t="s">
        <v>5666</v>
      </c>
      <c r="C2889" s="9"/>
      <c r="D2889" s="8" t="s">
        <v>184</v>
      </c>
      <c r="E2889" s="8">
        <v>242</v>
      </c>
      <c r="F2889" s="8" t="s">
        <v>22</v>
      </c>
      <c r="G2889" s="10" t="s">
        <v>5853</v>
      </c>
      <c r="H2889" s="8" t="s">
        <v>5857</v>
      </c>
      <c r="I2889" s="10" t="s">
        <v>5853</v>
      </c>
      <c r="J2889" s="11" t="s">
        <v>26</v>
      </c>
      <c r="K2889" s="57">
        <v>107.5</v>
      </c>
      <c r="L2889" s="12">
        <f t="shared" si="238"/>
        <v>215</v>
      </c>
      <c r="M2889" s="8">
        <v>3</v>
      </c>
      <c r="N2889" s="8" t="s">
        <v>27</v>
      </c>
      <c r="O2889" s="13"/>
      <c r="P2889" s="14">
        <v>0.2</v>
      </c>
      <c r="Q2889" s="15">
        <v>0.4</v>
      </c>
      <c r="R2889" s="16" t="str">
        <f t="shared" si="241"/>
        <v>LUTRON</v>
      </c>
      <c r="S2889" s="17" t="str">
        <f t="shared" si="239"/>
        <v>LUTRON</v>
      </c>
      <c r="T2889" s="10" t="str">
        <f t="shared" si="240"/>
        <v>BALASTRO T5 Twin_Tube, DE UNA LÁMPARA, ATENUACIÓN AL 10%</v>
      </c>
    </row>
    <row r="2890" spans="1:20" ht="27" customHeight="1" x14ac:dyDescent="0.25">
      <c r="A2890" s="8" t="s">
        <v>5672</v>
      </c>
      <c r="B2890" s="9" t="s">
        <v>5666</v>
      </c>
      <c r="C2890" s="9"/>
      <c r="D2890" s="8" t="s">
        <v>184</v>
      </c>
      <c r="E2890" s="8">
        <v>243</v>
      </c>
      <c r="F2890" s="8" t="s">
        <v>22</v>
      </c>
      <c r="G2890" s="10" t="s">
        <v>5858</v>
      </c>
      <c r="H2890" s="8" t="s">
        <v>5857</v>
      </c>
      <c r="I2890" s="10" t="s">
        <v>5858</v>
      </c>
      <c r="J2890" s="11" t="s">
        <v>26</v>
      </c>
      <c r="K2890" s="57">
        <v>107.5</v>
      </c>
      <c r="L2890" s="12">
        <f t="shared" si="238"/>
        <v>215</v>
      </c>
      <c r="M2890" s="8">
        <v>3</v>
      </c>
      <c r="N2890" s="8" t="s">
        <v>27</v>
      </c>
      <c r="O2890" s="13"/>
      <c r="P2890" s="14">
        <v>0.2</v>
      </c>
      <c r="Q2890" s="15">
        <v>0.4</v>
      </c>
      <c r="R2890" s="16" t="str">
        <f t="shared" si="241"/>
        <v>LUTRON</v>
      </c>
      <c r="S2890" s="17" t="str">
        <f t="shared" si="239"/>
        <v>LUTRON</v>
      </c>
      <c r="T2890" s="10" t="str">
        <f t="shared" si="240"/>
        <v>BALASTRO T5 Twin_Tube, DE UNA LÁMPARAS, ATENUACIÓN AL 10%</v>
      </c>
    </row>
    <row r="2891" spans="1:20" ht="27" customHeight="1" x14ac:dyDescent="0.25">
      <c r="A2891" s="8" t="s">
        <v>5672</v>
      </c>
      <c r="B2891" s="9" t="s">
        <v>5666</v>
      </c>
      <c r="C2891" s="9"/>
      <c r="D2891" s="8" t="s">
        <v>184</v>
      </c>
      <c r="E2891" s="8">
        <v>244</v>
      </c>
      <c r="F2891" s="8" t="s">
        <v>22</v>
      </c>
      <c r="G2891" s="10" t="s">
        <v>5858</v>
      </c>
      <c r="H2891" s="8" t="s">
        <v>5857</v>
      </c>
      <c r="I2891" s="10" t="s">
        <v>5858</v>
      </c>
      <c r="J2891" s="11" t="s">
        <v>26</v>
      </c>
      <c r="K2891" s="57">
        <v>107.5</v>
      </c>
      <c r="L2891" s="12">
        <f t="shared" si="238"/>
        <v>215</v>
      </c>
      <c r="M2891" s="8">
        <v>3</v>
      </c>
      <c r="N2891" s="8" t="s">
        <v>27</v>
      </c>
      <c r="O2891" s="13"/>
      <c r="P2891" s="14">
        <v>0.2</v>
      </c>
      <c r="Q2891" s="15">
        <v>0.4</v>
      </c>
      <c r="R2891" s="16" t="str">
        <f t="shared" si="241"/>
        <v>LUTRON</v>
      </c>
      <c r="S2891" s="17" t="str">
        <f t="shared" si="239"/>
        <v>LUTRON</v>
      </c>
      <c r="T2891" s="10" t="str">
        <f t="shared" si="240"/>
        <v>BALASTRO T5 Twin_Tube, DE UNA LÁMPARAS, ATENUACIÓN AL 10%</v>
      </c>
    </row>
    <row r="2892" spans="1:20" ht="27" customHeight="1" x14ac:dyDescent="0.25">
      <c r="A2892" s="8" t="s">
        <v>5672</v>
      </c>
      <c r="B2892" s="9" t="s">
        <v>5666</v>
      </c>
      <c r="C2892" s="9"/>
      <c r="D2892" s="8" t="s">
        <v>184</v>
      </c>
      <c r="E2892" s="8">
        <v>245</v>
      </c>
      <c r="F2892" s="8" t="s">
        <v>22</v>
      </c>
      <c r="G2892" s="10" t="s">
        <v>5858</v>
      </c>
      <c r="H2892" s="8" t="s">
        <v>5857</v>
      </c>
      <c r="I2892" s="10" t="s">
        <v>5858</v>
      </c>
      <c r="J2892" s="11" t="s">
        <v>26</v>
      </c>
      <c r="K2892" s="57">
        <v>107.5</v>
      </c>
      <c r="L2892" s="12">
        <f t="shared" si="238"/>
        <v>215</v>
      </c>
      <c r="M2892" s="8">
        <v>3</v>
      </c>
      <c r="N2892" s="8" t="s">
        <v>27</v>
      </c>
      <c r="O2892" s="13"/>
      <c r="P2892" s="14">
        <v>0.2</v>
      </c>
      <c r="Q2892" s="15">
        <v>0.4</v>
      </c>
      <c r="R2892" s="16" t="str">
        <f t="shared" si="241"/>
        <v>LUTRON</v>
      </c>
      <c r="S2892" s="17" t="str">
        <f t="shared" si="239"/>
        <v>LUTRON</v>
      </c>
      <c r="T2892" s="10" t="str">
        <f t="shared" si="240"/>
        <v>BALASTRO T5 Twin_Tube, DE UNA LÁMPARAS, ATENUACIÓN AL 10%</v>
      </c>
    </row>
    <row r="2893" spans="1:20" ht="27" customHeight="1" x14ac:dyDescent="0.25">
      <c r="A2893" s="8" t="s">
        <v>5672</v>
      </c>
      <c r="B2893" s="9" t="s">
        <v>5666</v>
      </c>
      <c r="C2893" s="9"/>
      <c r="D2893" s="8" t="s">
        <v>184</v>
      </c>
      <c r="E2893" s="8">
        <v>246</v>
      </c>
      <c r="F2893" s="8" t="s">
        <v>22</v>
      </c>
      <c r="G2893" s="10" t="s">
        <v>5859</v>
      </c>
      <c r="H2893" s="8" t="s">
        <v>5860</v>
      </c>
      <c r="I2893" s="10" t="s">
        <v>5859</v>
      </c>
      <c r="J2893" s="11" t="s">
        <v>26</v>
      </c>
      <c r="K2893" s="57">
        <v>107.5</v>
      </c>
      <c r="L2893" s="12">
        <f t="shared" si="238"/>
        <v>215</v>
      </c>
      <c r="M2893" s="8">
        <v>3</v>
      </c>
      <c r="N2893" s="8" t="s">
        <v>27</v>
      </c>
      <c r="O2893" s="13"/>
      <c r="P2893" s="14">
        <v>0.2</v>
      </c>
      <c r="Q2893" s="15">
        <v>0.4</v>
      </c>
      <c r="R2893" s="16" t="str">
        <f t="shared" si="241"/>
        <v>LUTRON</v>
      </c>
      <c r="S2893" s="17" t="str">
        <f t="shared" si="239"/>
        <v>LUTRON</v>
      </c>
      <c r="T2893" s="10" t="str">
        <f t="shared" si="240"/>
        <v>BALASTRO T5 Twin_Tube, DE DOS LÁMPARAS ATENUACIÓN AL 10%</v>
      </c>
    </row>
    <row r="2894" spans="1:20" ht="27" customHeight="1" x14ac:dyDescent="0.25">
      <c r="A2894" s="8" t="s">
        <v>5672</v>
      </c>
      <c r="B2894" s="9" t="s">
        <v>5666</v>
      </c>
      <c r="C2894" s="9"/>
      <c r="D2894" s="8" t="s">
        <v>184</v>
      </c>
      <c r="E2894" s="8">
        <v>247</v>
      </c>
      <c r="F2894" s="8" t="s">
        <v>22</v>
      </c>
      <c r="G2894" s="10" t="s">
        <v>5859</v>
      </c>
      <c r="H2894" s="8" t="s">
        <v>5860</v>
      </c>
      <c r="I2894" s="10" t="s">
        <v>5859</v>
      </c>
      <c r="J2894" s="11" t="s">
        <v>26</v>
      </c>
      <c r="K2894" s="57">
        <v>107.5</v>
      </c>
      <c r="L2894" s="12">
        <f t="shared" si="238"/>
        <v>215</v>
      </c>
      <c r="M2894" s="8">
        <v>3</v>
      </c>
      <c r="N2894" s="8" t="s">
        <v>27</v>
      </c>
      <c r="O2894" s="13"/>
      <c r="P2894" s="14">
        <v>0.2</v>
      </c>
      <c r="Q2894" s="15">
        <v>0.4</v>
      </c>
      <c r="R2894" s="16" t="str">
        <f t="shared" si="241"/>
        <v>LUTRON</v>
      </c>
      <c r="S2894" s="17" t="str">
        <f t="shared" si="239"/>
        <v>LUTRON</v>
      </c>
      <c r="T2894" s="10" t="str">
        <f t="shared" si="240"/>
        <v>BALASTRO T5 Twin_Tube, DE DOS LÁMPARAS ATENUACIÓN AL 10%</v>
      </c>
    </row>
    <row r="2895" spans="1:20" ht="27" customHeight="1" x14ac:dyDescent="0.25">
      <c r="A2895" s="8" t="s">
        <v>5672</v>
      </c>
      <c r="B2895" s="9" t="s">
        <v>5666</v>
      </c>
      <c r="C2895" s="9"/>
      <c r="D2895" s="8" t="s">
        <v>184</v>
      </c>
      <c r="E2895" s="8">
        <v>248</v>
      </c>
      <c r="F2895" s="8" t="s">
        <v>22</v>
      </c>
      <c r="G2895" s="10" t="s">
        <v>5859</v>
      </c>
      <c r="H2895" s="8" t="s">
        <v>5860</v>
      </c>
      <c r="I2895" s="10" t="s">
        <v>5859</v>
      </c>
      <c r="J2895" s="11" t="s">
        <v>26</v>
      </c>
      <c r="K2895" s="57">
        <v>107.5</v>
      </c>
      <c r="L2895" s="12">
        <f t="shared" si="238"/>
        <v>215</v>
      </c>
      <c r="M2895" s="8">
        <v>3</v>
      </c>
      <c r="N2895" s="8" t="s">
        <v>27</v>
      </c>
      <c r="O2895" s="13"/>
      <c r="P2895" s="14">
        <v>0.2</v>
      </c>
      <c r="Q2895" s="15">
        <v>0.4</v>
      </c>
      <c r="R2895" s="16" t="str">
        <f t="shared" si="241"/>
        <v>LUTRON</v>
      </c>
      <c r="S2895" s="17" t="str">
        <f t="shared" si="239"/>
        <v>LUTRON</v>
      </c>
      <c r="T2895" s="10" t="str">
        <f t="shared" si="240"/>
        <v>BALASTRO T5 Twin_Tube, DE DOS LÁMPARAS ATENUACIÓN AL 10%</v>
      </c>
    </row>
    <row r="2896" spans="1:20" ht="27" customHeight="1" x14ac:dyDescent="0.25">
      <c r="A2896" s="8" t="s">
        <v>5672</v>
      </c>
      <c r="B2896" s="9" t="s">
        <v>5666</v>
      </c>
      <c r="C2896" s="9"/>
      <c r="D2896" s="8" t="s">
        <v>184</v>
      </c>
      <c r="E2896" s="8">
        <v>249</v>
      </c>
      <c r="F2896" s="8" t="s">
        <v>22</v>
      </c>
      <c r="G2896" s="10" t="s">
        <v>5859</v>
      </c>
      <c r="H2896" s="8" t="s">
        <v>5861</v>
      </c>
      <c r="I2896" s="10" t="s">
        <v>5859</v>
      </c>
      <c r="J2896" s="11" t="s">
        <v>26</v>
      </c>
      <c r="K2896" s="57">
        <v>107.5</v>
      </c>
      <c r="L2896" s="12">
        <f t="shared" si="238"/>
        <v>215</v>
      </c>
      <c r="M2896" s="8">
        <v>3</v>
      </c>
      <c r="N2896" s="8" t="s">
        <v>27</v>
      </c>
      <c r="O2896" s="13"/>
      <c r="P2896" s="14">
        <v>0.2</v>
      </c>
      <c r="Q2896" s="15">
        <v>0.4</v>
      </c>
      <c r="R2896" s="16" t="str">
        <f t="shared" si="241"/>
        <v>LUTRON</v>
      </c>
      <c r="S2896" s="17" t="str">
        <f t="shared" si="239"/>
        <v>LUTRON</v>
      </c>
      <c r="T2896" s="10" t="str">
        <f t="shared" si="240"/>
        <v>BALASTRO T5 Twin_Tube, DE DOS LÁMPARAS ATENUACIÓN AL 10%</v>
      </c>
    </row>
    <row r="2897" spans="1:20" ht="27" customHeight="1" x14ac:dyDescent="0.25">
      <c r="A2897" s="8" t="s">
        <v>5672</v>
      </c>
      <c r="B2897" s="9" t="s">
        <v>5666</v>
      </c>
      <c r="C2897" s="9"/>
      <c r="D2897" s="8" t="s">
        <v>184</v>
      </c>
      <c r="E2897" s="8">
        <v>250</v>
      </c>
      <c r="F2897" s="8" t="s">
        <v>22</v>
      </c>
      <c r="G2897" s="10" t="s">
        <v>5859</v>
      </c>
      <c r="H2897" s="8" t="s">
        <v>5861</v>
      </c>
      <c r="I2897" s="10" t="s">
        <v>5859</v>
      </c>
      <c r="J2897" s="11" t="s">
        <v>26</v>
      </c>
      <c r="K2897" s="57">
        <v>107.5</v>
      </c>
      <c r="L2897" s="12">
        <f t="shared" si="238"/>
        <v>215</v>
      </c>
      <c r="M2897" s="8">
        <v>3</v>
      </c>
      <c r="N2897" s="8" t="s">
        <v>27</v>
      </c>
      <c r="O2897" s="13"/>
      <c r="P2897" s="14">
        <v>0.2</v>
      </c>
      <c r="Q2897" s="15">
        <v>0.4</v>
      </c>
      <c r="R2897" s="16" t="str">
        <f t="shared" si="241"/>
        <v>LUTRON</v>
      </c>
      <c r="S2897" s="17" t="str">
        <f t="shared" si="239"/>
        <v>LUTRON</v>
      </c>
      <c r="T2897" s="10" t="str">
        <f t="shared" si="240"/>
        <v>BALASTRO T5 Twin_Tube, DE DOS LÁMPARAS ATENUACIÓN AL 10%</v>
      </c>
    </row>
    <row r="2898" spans="1:20" ht="27" customHeight="1" x14ac:dyDescent="0.25">
      <c r="A2898" s="8" t="s">
        <v>5672</v>
      </c>
      <c r="B2898" s="9" t="s">
        <v>5666</v>
      </c>
      <c r="C2898" s="9"/>
      <c r="D2898" s="8" t="s">
        <v>184</v>
      </c>
      <c r="E2898" s="8">
        <v>251</v>
      </c>
      <c r="F2898" s="8" t="s">
        <v>22</v>
      </c>
      <c r="G2898" s="10" t="s">
        <v>5859</v>
      </c>
      <c r="H2898" s="8" t="s">
        <v>5861</v>
      </c>
      <c r="I2898" s="10" t="s">
        <v>5859</v>
      </c>
      <c r="J2898" s="11" t="s">
        <v>26</v>
      </c>
      <c r="K2898" s="57">
        <v>107.5</v>
      </c>
      <c r="L2898" s="12">
        <f t="shared" si="238"/>
        <v>215</v>
      </c>
      <c r="M2898" s="8">
        <v>3</v>
      </c>
      <c r="N2898" s="8" t="s">
        <v>27</v>
      </c>
      <c r="O2898" s="13"/>
      <c r="P2898" s="14">
        <v>0.2</v>
      </c>
      <c r="Q2898" s="15">
        <v>0.4</v>
      </c>
      <c r="R2898" s="16" t="str">
        <f t="shared" si="241"/>
        <v>LUTRON</v>
      </c>
      <c r="S2898" s="17" t="str">
        <f t="shared" si="239"/>
        <v>LUTRON</v>
      </c>
      <c r="T2898" s="10" t="str">
        <f t="shared" si="240"/>
        <v>BALASTRO T5 Twin_Tube, DE DOS LÁMPARAS ATENUACIÓN AL 10%</v>
      </c>
    </row>
    <row r="2899" spans="1:20" ht="27" customHeight="1" x14ac:dyDescent="0.25">
      <c r="A2899" s="8" t="s">
        <v>5672</v>
      </c>
      <c r="B2899" s="9" t="s">
        <v>5666</v>
      </c>
      <c r="C2899" s="9"/>
      <c r="D2899" s="8" t="s">
        <v>184</v>
      </c>
      <c r="E2899" s="8">
        <v>252</v>
      </c>
      <c r="F2899" s="8" t="s">
        <v>22</v>
      </c>
      <c r="G2899" s="10" t="s">
        <v>5859</v>
      </c>
      <c r="H2899" s="8" t="s">
        <v>5862</v>
      </c>
      <c r="I2899" s="10" t="s">
        <v>5859</v>
      </c>
      <c r="J2899" s="11" t="s">
        <v>26</v>
      </c>
      <c r="K2899" s="57">
        <v>107.5</v>
      </c>
      <c r="L2899" s="12">
        <f t="shared" si="238"/>
        <v>215</v>
      </c>
      <c r="M2899" s="8">
        <v>3</v>
      </c>
      <c r="N2899" s="8" t="s">
        <v>27</v>
      </c>
      <c r="O2899" s="13"/>
      <c r="P2899" s="14">
        <v>0.2</v>
      </c>
      <c r="Q2899" s="15">
        <v>0.4</v>
      </c>
      <c r="R2899" s="16" t="str">
        <f t="shared" si="241"/>
        <v>LUTRON</v>
      </c>
      <c r="S2899" s="17" t="str">
        <f t="shared" si="239"/>
        <v>LUTRON</v>
      </c>
      <c r="T2899" s="10" t="str">
        <f t="shared" si="240"/>
        <v>BALASTRO T5 Twin_Tube, DE DOS LÁMPARAS ATENUACIÓN AL 10%</v>
      </c>
    </row>
    <row r="2900" spans="1:20" ht="27" customHeight="1" x14ac:dyDescent="0.25">
      <c r="A2900" s="8" t="s">
        <v>5672</v>
      </c>
      <c r="B2900" s="9" t="s">
        <v>5666</v>
      </c>
      <c r="C2900" s="9"/>
      <c r="D2900" s="8" t="s">
        <v>184</v>
      </c>
      <c r="E2900" s="8">
        <v>253</v>
      </c>
      <c r="F2900" s="8" t="s">
        <v>22</v>
      </c>
      <c r="G2900" s="10" t="s">
        <v>5859</v>
      </c>
      <c r="H2900" s="8" t="s">
        <v>5862</v>
      </c>
      <c r="I2900" s="10" t="s">
        <v>5859</v>
      </c>
      <c r="J2900" s="11" t="s">
        <v>26</v>
      </c>
      <c r="K2900" s="57">
        <v>107.5</v>
      </c>
      <c r="L2900" s="12">
        <f t="shared" si="238"/>
        <v>215</v>
      </c>
      <c r="M2900" s="8">
        <v>3</v>
      </c>
      <c r="N2900" s="8" t="s">
        <v>27</v>
      </c>
      <c r="O2900" s="13"/>
      <c r="P2900" s="14">
        <v>0.2</v>
      </c>
      <c r="Q2900" s="15">
        <v>0.4</v>
      </c>
      <c r="R2900" s="16" t="str">
        <f t="shared" si="241"/>
        <v>LUTRON</v>
      </c>
      <c r="S2900" s="17" t="str">
        <f t="shared" si="239"/>
        <v>LUTRON</v>
      </c>
      <c r="T2900" s="10" t="str">
        <f t="shared" si="240"/>
        <v>BALASTRO T5 Twin_Tube, DE DOS LÁMPARAS ATENUACIÓN AL 10%</v>
      </c>
    </row>
    <row r="2901" spans="1:20" ht="27" customHeight="1" x14ac:dyDescent="0.25">
      <c r="A2901" s="8" t="s">
        <v>5672</v>
      </c>
      <c r="B2901" s="9" t="s">
        <v>5666</v>
      </c>
      <c r="C2901" s="9"/>
      <c r="D2901" s="8" t="s">
        <v>184</v>
      </c>
      <c r="E2901" s="8">
        <v>254</v>
      </c>
      <c r="F2901" s="8" t="s">
        <v>22</v>
      </c>
      <c r="G2901" s="10" t="s">
        <v>5859</v>
      </c>
      <c r="H2901" s="8" t="s">
        <v>5862</v>
      </c>
      <c r="I2901" s="10" t="s">
        <v>5859</v>
      </c>
      <c r="J2901" s="11" t="s">
        <v>26</v>
      </c>
      <c r="K2901" s="57">
        <v>107.5</v>
      </c>
      <c r="L2901" s="12">
        <f t="shared" si="238"/>
        <v>215</v>
      </c>
      <c r="M2901" s="8">
        <v>3</v>
      </c>
      <c r="N2901" s="8" t="s">
        <v>27</v>
      </c>
      <c r="O2901" s="13"/>
      <c r="P2901" s="14">
        <v>0.2</v>
      </c>
      <c r="Q2901" s="15">
        <v>0.4</v>
      </c>
      <c r="R2901" s="16" t="str">
        <f t="shared" si="241"/>
        <v>LUTRON</v>
      </c>
      <c r="S2901" s="17" t="str">
        <f t="shared" si="239"/>
        <v>LUTRON</v>
      </c>
      <c r="T2901" s="10" t="str">
        <f t="shared" si="240"/>
        <v>BALASTRO T5 Twin_Tube, DE DOS LÁMPARAS ATENUACIÓN AL 10%</v>
      </c>
    </row>
    <row r="2902" spans="1:20" ht="27" customHeight="1" x14ac:dyDescent="0.25">
      <c r="A2902" s="8" t="s">
        <v>5672</v>
      </c>
      <c r="B2902" s="9" t="s">
        <v>5666</v>
      </c>
      <c r="C2902" s="9"/>
      <c r="D2902" s="8" t="s">
        <v>184</v>
      </c>
      <c r="E2902" s="8">
        <v>255</v>
      </c>
      <c r="F2902" s="8" t="s">
        <v>22</v>
      </c>
      <c r="G2902" s="10" t="s">
        <v>5859</v>
      </c>
      <c r="H2902" s="8" t="s">
        <v>5863</v>
      </c>
      <c r="I2902" s="10" t="s">
        <v>5859</v>
      </c>
      <c r="J2902" s="11" t="s">
        <v>26</v>
      </c>
      <c r="K2902" s="57">
        <v>107.5</v>
      </c>
      <c r="L2902" s="12">
        <f t="shared" si="238"/>
        <v>215</v>
      </c>
      <c r="M2902" s="8">
        <v>3</v>
      </c>
      <c r="N2902" s="8" t="s">
        <v>27</v>
      </c>
      <c r="O2902" s="13"/>
      <c r="P2902" s="14">
        <v>0.2</v>
      </c>
      <c r="Q2902" s="15">
        <v>0.4</v>
      </c>
      <c r="R2902" s="16" t="str">
        <f t="shared" si="241"/>
        <v>LUTRON</v>
      </c>
      <c r="S2902" s="17" t="str">
        <f t="shared" si="239"/>
        <v>LUTRON</v>
      </c>
      <c r="T2902" s="10" t="str">
        <f t="shared" si="240"/>
        <v>BALASTRO T5 Twin_Tube, DE DOS LÁMPARAS ATENUACIÓN AL 10%</v>
      </c>
    </row>
    <row r="2903" spans="1:20" ht="27" customHeight="1" x14ac:dyDescent="0.25">
      <c r="A2903" s="8" t="s">
        <v>5672</v>
      </c>
      <c r="B2903" s="9" t="s">
        <v>5666</v>
      </c>
      <c r="C2903" s="9"/>
      <c r="D2903" s="8" t="s">
        <v>184</v>
      </c>
      <c r="E2903" s="8">
        <v>256</v>
      </c>
      <c r="F2903" s="8" t="s">
        <v>22</v>
      </c>
      <c r="G2903" s="10" t="s">
        <v>5859</v>
      </c>
      <c r="H2903" s="8" t="s">
        <v>5863</v>
      </c>
      <c r="I2903" s="10" t="s">
        <v>5859</v>
      </c>
      <c r="J2903" s="11" t="s">
        <v>26</v>
      </c>
      <c r="K2903" s="57">
        <v>107.5</v>
      </c>
      <c r="L2903" s="12">
        <f t="shared" si="238"/>
        <v>215</v>
      </c>
      <c r="M2903" s="8">
        <v>3</v>
      </c>
      <c r="N2903" s="8" t="s">
        <v>27</v>
      </c>
      <c r="O2903" s="13"/>
      <c r="P2903" s="14">
        <v>0.2</v>
      </c>
      <c r="Q2903" s="15">
        <v>0.4</v>
      </c>
      <c r="R2903" s="16" t="str">
        <f t="shared" si="241"/>
        <v>LUTRON</v>
      </c>
      <c r="S2903" s="17" t="str">
        <f t="shared" si="239"/>
        <v>LUTRON</v>
      </c>
      <c r="T2903" s="10" t="str">
        <f t="shared" si="240"/>
        <v>BALASTRO T5 Twin_Tube, DE DOS LÁMPARAS ATENUACIÓN AL 10%</v>
      </c>
    </row>
    <row r="2904" spans="1:20" ht="27" customHeight="1" x14ac:dyDescent="0.25">
      <c r="A2904" s="8" t="s">
        <v>5672</v>
      </c>
      <c r="B2904" s="9" t="s">
        <v>5666</v>
      </c>
      <c r="C2904" s="9"/>
      <c r="D2904" s="8" t="s">
        <v>184</v>
      </c>
      <c r="E2904" s="8">
        <v>257</v>
      </c>
      <c r="F2904" s="8" t="s">
        <v>22</v>
      </c>
      <c r="G2904" s="10" t="s">
        <v>5859</v>
      </c>
      <c r="H2904" s="8" t="s">
        <v>5863</v>
      </c>
      <c r="I2904" s="10" t="s">
        <v>5859</v>
      </c>
      <c r="J2904" s="11" t="s">
        <v>26</v>
      </c>
      <c r="K2904" s="57">
        <v>107.5</v>
      </c>
      <c r="L2904" s="12">
        <f t="shared" ref="L2904:L2946" si="242">ROUNDUP(K2904*(1+P2904)/(1-Q2904),0)</f>
        <v>215</v>
      </c>
      <c r="M2904" s="8">
        <v>3</v>
      </c>
      <c r="N2904" s="8" t="s">
        <v>27</v>
      </c>
      <c r="O2904" s="13"/>
      <c r="P2904" s="14">
        <v>0.2</v>
      </c>
      <c r="Q2904" s="15">
        <v>0.4</v>
      </c>
      <c r="R2904" s="16" t="str">
        <f t="shared" si="241"/>
        <v>LUTRON</v>
      </c>
      <c r="S2904" s="17" t="str">
        <f t="shared" ref="S2904:S2967" si="243">A2904</f>
        <v>LUTRON</v>
      </c>
      <c r="T2904" s="10" t="str">
        <f t="shared" si="240"/>
        <v>BALASTRO T5 Twin_Tube, DE DOS LÁMPARAS ATENUACIÓN AL 10%</v>
      </c>
    </row>
    <row r="2905" spans="1:20" ht="27" customHeight="1" x14ac:dyDescent="0.25">
      <c r="A2905" s="8" t="s">
        <v>5672</v>
      </c>
      <c r="B2905" s="9" t="s">
        <v>5666</v>
      </c>
      <c r="C2905" s="9"/>
      <c r="D2905" s="8" t="s">
        <v>184</v>
      </c>
      <c r="E2905" s="8">
        <v>258</v>
      </c>
      <c r="F2905" s="8" t="s">
        <v>22</v>
      </c>
      <c r="G2905" s="10" t="s">
        <v>5859</v>
      </c>
      <c r="H2905" s="8" t="s">
        <v>5860</v>
      </c>
      <c r="I2905" s="10" t="s">
        <v>5859</v>
      </c>
      <c r="J2905" s="11" t="s">
        <v>26</v>
      </c>
      <c r="K2905" s="57">
        <v>107.5</v>
      </c>
      <c r="L2905" s="12">
        <f t="shared" si="242"/>
        <v>215</v>
      </c>
      <c r="M2905" s="8">
        <v>3</v>
      </c>
      <c r="N2905" s="8" t="s">
        <v>27</v>
      </c>
      <c r="O2905" s="13"/>
      <c r="P2905" s="14">
        <v>0.2</v>
      </c>
      <c r="Q2905" s="15">
        <v>0.4</v>
      </c>
      <c r="R2905" s="16" t="str">
        <f t="shared" si="241"/>
        <v>LUTRON</v>
      </c>
      <c r="S2905" s="17" t="str">
        <f t="shared" si="243"/>
        <v>LUTRON</v>
      </c>
      <c r="T2905" s="10" t="str">
        <f t="shared" si="240"/>
        <v>BALASTRO T5 Twin_Tube, DE DOS LÁMPARAS ATENUACIÓN AL 10%</v>
      </c>
    </row>
    <row r="2906" spans="1:20" ht="27" customHeight="1" x14ac:dyDescent="0.25">
      <c r="A2906" s="8" t="s">
        <v>5672</v>
      </c>
      <c r="B2906" s="9" t="s">
        <v>5666</v>
      </c>
      <c r="C2906" s="9"/>
      <c r="D2906" s="8" t="s">
        <v>184</v>
      </c>
      <c r="E2906" s="8">
        <v>259</v>
      </c>
      <c r="F2906" s="8" t="s">
        <v>22</v>
      </c>
      <c r="G2906" s="10" t="s">
        <v>5859</v>
      </c>
      <c r="H2906" s="8" t="s">
        <v>5860</v>
      </c>
      <c r="I2906" s="10" t="s">
        <v>5859</v>
      </c>
      <c r="J2906" s="11" t="s">
        <v>26</v>
      </c>
      <c r="K2906" s="57">
        <v>107.5</v>
      </c>
      <c r="L2906" s="12">
        <f t="shared" si="242"/>
        <v>215</v>
      </c>
      <c r="M2906" s="8">
        <v>3</v>
      </c>
      <c r="N2906" s="8" t="s">
        <v>27</v>
      </c>
      <c r="O2906" s="13"/>
      <c r="P2906" s="14">
        <v>0.2</v>
      </c>
      <c r="Q2906" s="15">
        <v>0.4</v>
      </c>
      <c r="R2906" s="16" t="str">
        <f t="shared" si="241"/>
        <v>LUTRON</v>
      </c>
      <c r="S2906" s="17" t="str">
        <f t="shared" si="243"/>
        <v>LUTRON</v>
      </c>
      <c r="T2906" s="10" t="str">
        <f t="shared" si="240"/>
        <v>BALASTRO T5 Twin_Tube, DE DOS LÁMPARAS ATENUACIÓN AL 10%</v>
      </c>
    </row>
    <row r="2907" spans="1:20" ht="27" customHeight="1" x14ac:dyDescent="0.25">
      <c r="A2907" s="8" t="s">
        <v>5672</v>
      </c>
      <c r="B2907" s="9" t="s">
        <v>5666</v>
      </c>
      <c r="C2907" s="9"/>
      <c r="D2907" s="8" t="s">
        <v>184</v>
      </c>
      <c r="E2907" s="8">
        <v>260</v>
      </c>
      <c r="F2907" s="8" t="s">
        <v>22</v>
      </c>
      <c r="G2907" s="10" t="s">
        <v>5859</v>
      </c>
      <c r="H2907" s="8" t="s">
        <v>5860</v>
      </c>
      <c r="I2907" s="10" t="s">
        <v>5859</v>
      </c>
      <c r="J2907" s="11" t="s">
        <v>26</v>
      </c>
      <c r="K2907" s="57">
        <v>107.5</v>
      </c>
      <c r="L2907" s="12">
        <f t="shared" si="242"/>
        <v>215</v>
      </c>
      <c r="M2907" s="8">
        <v>3</v>
      </c>
      <c r="N2907" s="8" t="s">
        <v>27</v>
      </c>
      <c r="O2907" s="13"/>
      <c r="P2907" s="14">
        <v>0.2</v>
      </c>
      <c r="Q2907" s="15">
        <v>0.4</v>
      </c>
      <c r="R2907" s="16" t="str">
        <f t="shared" si="241"/>
        <v>LUTRON</v>
      </c>
      <c r="S2907" s="17" t="str">
        <f t="shared" si="243"/>
        <v>LUTRON</v>
      </c>
      <c r="T2907" s="10" t="str">
        <f t="shared" si="240"/>
        <v>BALASTRO T5 Twin_Tube, DE DOS LÁMPARAS ATENUACIÓN AL 10%</v>
      </c>
    </row>
    <row r="2908" spans="1:20" ht="27" customHeight="1" x14ac:dyDescent="0.25">
      <c r="A2908" s="8" t="s">
        <v>5672</v>
      </c>
      <c r="B2908" s="9" t="s">
        <v>5666</v>
      </c>
      <c r="C2908" s="9"/>
      <c r="D2908" s="8" t="s">
        <v>184</v>
      </c>
      <c r="E2908" s="8">
        <v>261</v>
      </c>
      <c r="F2908" s="8" t="s">
        <v>22</v>
      </c>
      <c r="G2908" s="10" t="s">
        <v>5864</v>
      </c>
      <c r="H2908" s="8" t="s">
        <v>5865</v>
      </c>
      <c r="I2908" s="10" t="s">
        <v>5864</v>
      </c>
      <c r="J2908" s="11" t="s">
        <v>26</v>
      </c>
      <c r="K2908" s="57">
        <v>107.5</v>
      </c>
      <c r="L2908" s="12">
        <f t="shared" si="242"/>
        <v>215</v>
      </c>
      <c r="M2908" s="8">
        <v>3</v>
      </c>
      <c r="N2908" s="8" t="s">
        <v>27</v>
      </c>
      <c r="O2908" s="13"/>
      <c r="P2908" s="14">
        <v>0.2</v>
      </c>
      <c r="Q2908" s="15">
        <v>0.4</v>
      </c>
      <c r="R2908" s="16" t="str">
        <f t="shared" si="241"/>
        <v>LUTRON</v>
      </c>
      <c r="S2908" s="17" t="str">
        <f t="shared" si="243"/>
        <v>LUTRON</v>
      </c>
      <c r="T2908" s="10" t="str">
        <f t="shared" si="240"/>
        <v>BALASTRO T5 Twin_Tube,  DE TRES LÁMPARAS, ATENUACIÓN AL 10%</v>
      </c>
    </row>
    <row r="2909" spans="1:20" ht="27" customHeight="1" x14ac:dyDescent="0.25">
      <c r="A2909" s="8" t="s">
        <v>5672</v>
      </c>
      <c r="B2909" s="9" t="s">
        <v>5666</v>
      </c>
      <c r="C2909" s="9"/>
      <c r="D2909" s="8" t="s">
        <v>184</v>
      </c>
      <c r="E2909" s="8">
        <v>262</v>
      </c>
      <c r="F2909" s="8" t="s">
        <v>22</v>
      </c>
      <c r="G2909" s="10" t="s">
        <v>5864</v>
      </c>
      <c r="H2909" s="8" t="s">
        <v>5865</v>
      </c>
      <c r="I2909" s="10" t="s">
        <v>5864</v>
      </c>
      <c r="J2909" s="11" t="s">
        <v>26</v>
      </c>
      <c r="K2909" s="57">
        <v>107.5</v>
      </c>
      <c r="L2909" s="12">
        <f t="shared" si="242"/>
        <v>215</v>
      </c>
      <c r="M2909" s="8">
        <v>3</v>
      </c>
      <c r="N2909" s="8" t="s">
        <v>27</v>
      </c>
      <c r="O2909" s="13"/>
      <c r="P2909" s="14">
        <v>0.2</v>
      </c>
      <c r="Q2909" s="15">
        <v>0.4</v>
      </c>
      <c r="R2909" s="16" t="str">
        <f t="shared" si="241"/>
        <v>LUTRON</v>
      </c>
      <c r="S2909" s="17" t="str">
        <f t="shared" si="243"/>
        <v>LUTRON</v>
      </c>
      <c r="T2909" s="10" t="str">
        <f t="shared" si="240"/>
        <v>BALASTRO T5 Twin_Tube,  DE TRES LÁMPARAS, ATENUACIÓN AL 10%</v>
      </c>
    </row>
    <row r="2910" spans="1:20" ht="27" customHeight="1" x14ac:dyDescent="0.25">
      <c r="A2910" s="8" t="s">
        <v>5672</v>
      </c>
      <c r="B2910" s="9" t="s">
        <v>5666</v>
      </c>
      <c r="C2910" s="9"/>
      <c r="D2910" s="8" t="s">
        <v>184</v>
      </c>
      <c r="E2910" s="8">
        <v>263</v>
      </c>
      <c r="F2910" s="8" t="s">
        <v>22</v>
      </c>
      <c r="G2910" s="10" t="s">
        <v>5864</v>
      </c>
      <c r="H2910" s="8" t="s">
        <v>5865</v>
      </c>
      <c r="I2910" s="10" t="s">
        <v>5864</v>
      </c>
      <c r="J2910" s="11" t="s">
        <v>26</v>
      </c>
      <c r="K2910" s="57">
        <v>107.5</v>
      </c>
      <c r="L2910" s="12">
        <f t="shared" si="242"/>
        <v>215</v>
      </c>
      <c r="M2910" s="8">
        <v>3</v>
      </c>
      <c r="N2910" s="8" t="s">
        <v>27</v>
      </c>
      <c r="O2910" s="13"/>
      <c r="P2910" s="14">
        <v>0.2</v>
      </c>
      <c r="Q2910" s="15">
        <v>0.4</v>
      </c>
      <c r="R2910" s="16" t="str">
        <f t="shared" si="241"/>
        <v>LUTRON</v>
      </c>
      <c r="S2910" s="17" t="str">
        <f t="shared" si="243"/>
        <v>LUTRON</v>
      </c>
      <c r="T2910" s="10" t="str">
        <f t="shared" si="240"/>
        <v>BALASTRO T5 Twin_Tube,  DE TRES LÁMPARAS, ATENUACIÓN AL 10%</v>
      </c>
    </row>
    <row r="2911" spans="1:20" ht="27" customHeight="1" x14ac:dyDescent="0.25">
      <c r="A2911" s="8" t="s">
        <v>5672</v>
      </c>
      <c r="B2911" s="9" t="s">
        <v>5666</v>
      </c>
      <c r="C2911" s="9"/>
      <c r="D2911" s="8" t="s">
        <v>184</v>
      </c>
      <c r="E2911" s="8">
        <v>264</v>
      </c>
      <c r="F2911" s="8" t="s">
        <v>22</v>
      </c>
      <c r="G2911" s="10" t="s">
        <v>5866</v>
      </c>
      <c r="H2911" s="8" t="s">
        <v>5867</v>
      </c>
      <c r="I2911" s="10" t="s">
        <v>5866</v>
      </c>
      <c r="J2911" s="11" t="s">
        <v>26</v>
      </c>
      <c r="K2911" s="57">
        <v>87.5</v>
      </c>
      <c r="L2911" s="12">
        <f t="shared" si="242"/>
        <v>175</v>
      </c>
      <c r="M2911" s="8">
        <v>3</v>
      </c>
      <c r="N2911" s="8" t="s">
        <v>27</v>
      </c>
      <c r="O2911" s="13"/>
      <c r="P2911" s="14">
        <v>0.2</v>
      </c>
      <c r="Q2911" s="15">
        <v>0.4</v>
      </c>
      <c r="R2911" s="16" t="str">
        <f t="shared" si="241"/>
        <v>LUTRON</v>
      </c>
      <c r="S2911" s="17" t="str">
        <f t="shared" si="243"/>
        <v>LUTRON</v>
      </c>
      <c r="T2911" s="10" t="str">
        <f t="shared" si="240"/>
        <v>CFL Quad Tube, DE UNA LÁMPARA, ATENUACIÓN AL 5%.</v>
      </c>
    </row>
    <row r="2912" spans="1:20" ht="27" customHeight="1" x14ac:dyDescent="0.25">
      <c r="A2912" s="8" t="s">
        <v>5672</v>
      </c>
      <c r="B2912" s="9" t="s">
        <v>5666</v>
      </c>
      <c r="C2912" s="9"/>
      <c r="D2912" s="8" t="s">
        <v>184</v>
      </c>
      <c r="E2912" s="8">
        <v>265</v>
      </c>
      <c r="F2912" s="8" t="s">
        <v>22</v>
      </c>
      <c r="G2912" s="10" t="s">
        <v>5866</v>
      </c>
      <c r="H2912" s="8" t="s">
        <v>5867</v>
      </c>
      <c r="I2912" s="10" t="s">
        <v>5866</v>
      </c>
      <c r="J2912" s="11" t="s">
        <v>26</v>
      </c>
      <c r="K2912" s="57">
        <v>87.5</v>
      </c>
      <c r="L2912" s="12">
        <f t="shared" si="242"/>
        <v>175</v>
      </c>
      <c r="M2912" s="8">
        <v>3</v>
      </c>
      <c r="N2912" s="8" t="s">
        <v>27</v>
      </c>
      <c r="O2912" s="13"/>
      <c r="P2912" s="14">
        <v>0.2</v>
      </c>
      <c r="Q2912" s="15">
        <v>0.4</v>
      </c>
      <c r="R2912" s="16" t="str">
        <f t="shared" si="241"/>
        <v>LUTRON</v>
      </c>
      <c r="S2912" s="17" t="str">
        <f t="shared" si="243"/>
        <v>LUTRON</v>
      </c>
      <c r="T2912" s="10" t="str">
        <f t="shared" si="240"/>
        <v>CFL Quad Tube, DE UNA LÁMPARA, ATENUACIÓN AL 5%.</v>
      </c>
    </row>
    <row r="2913" spans="1:20" ht="27" customHeight="1" x14ac:dyDescent="0.25">
      <c r="A2913" s="8" t="s">
        <v>5672</v>
      </c>
      <c r="B2913" s="9" t="s">
        <v>5666</v>
      </c>
      <c r="C2913" s="9"/>
      <c r="D2913" s="8" t="s">
        <v>184</v>
      </c>
      <c r="E2913" s="8">
        <v>266</v>
      </c>
      <c r="F2913" s="8" t="s">
        <v>22</v>
      </c>
      <c r="G2913" s="10" t="s">
        <v>5866</v>
      </c>
      <c r="H2913" s="8" t="s">
        <v>5867</v>
      </c>
      <c r="I2913" s="10" t="s">
        <v>5866</v>
      </c>
      <c r="J2913" s="11" t="s">
        <v>26</v>
      </c>
      <c r="K2913" s="57">
        <v>87.5</v>
      </c>
      <c r="L2913" s="12">
        <f t="shared" si="242"/>
        <v>175</v>
      </c>
      <c r="M2913" s="8">
        <v>3</v>
      </c>
      <c r="N2913" s="8" t="s">
        <v>27</v>
      </c>
      <c r="O2913" s="13"/>
      <c r="P2913" s="14">
        <v>0.2</v>
      </c>
      <c r="Q2913" s="15">
        <v>0.4</v>
      </c>
      <c r="R2913" s="16" t="str">
        <f t="shared" si="241"/>
        <v>LUTRON</v>
      </c>
      <c r="S2913" s="17" t="str">
        <f t="shared" si="243"/>
        <v>LUTRON</v>
      </c>
      <c r="T2913" s="10" t="str">
        <f t="shared" si="240"/>
        <v>CFL Quad Tube, DE UNA LÁMPARA, ATENUACIÓN AL 5%.</v>
      </c>
    </row>
    <row r="2914" spans="1:20" ht="27" customHeight="1" x14ac:dyDescent="0.25">
      <c r="A2914" s="8" t="s">
        <v>5672</v>
      </c>
      <c r="B2914" s="9" t="s">
        <v>5666</v>
      </c>
      <c r="C2914" s="9"/>
      <c r="D2914" s="8" t="s">
        <v>184</v>
      </c>
      <c r="E2914" s="8">
        <v>267</v>
      </c>
      <c r="F2914" s="8" t="s">
        <v>22</v>
      </c>
      <c r="G2914" s="10" t="s">
        <v>5866</v>
      </c>
      <c r="H2914" s="8" t="s">
        <v>5868</v>
      </c>
      <c r="I2914" s="10" t="s">
        <v>5866</v>
      </c>
      <c r="J2914" s="11" t="s">
        <v>26</v>
      </c>
      <c r="K2914" s="57">
        <v>87.5</v>
      </c>
      <c r="L2914" s="12">
        <f t="shared" si="242"/>
        <v>175</v>
      </c>
      <c r="M2914" s="8">
        <v>3</v>
      </c>
      <c r="N2914" s="8" t="s">
        <v>27</v>
      </c>
      <c r="O2914" s="13"/>
      <c r="P2914" s="14">
        <v>0.2</v>
      </c>
      <c r="Q2914" s="15">
        <v>0.4</v>
      </c>
      <c r="R2914" s="16" t="str">
        <f t="shared" si="241"/>
        <v>LUTRON</v>
      </c>
      <c r="S2914" s="17" t="str">
        <f t="shared" si="243"/>
        <v>LUTRON</v>
      </c>
      <c r="T2914" s="10" t="str">
        <f t="shared" si="240"/>
        <v>CFL Quad Tube, DE UNA LÁMPARA, ATENUACIÓN AL 5%.</v>
      </c>
    </row>
    <row r="2915" spans="1:20" ht="27" customHeight="1" x14ac:dyDescent="0.25">
      <c r="A2915" s="8" t="s">
        <v>5672</v>
      </c>
      <c r="B2915" s="9" t="s">
        <v>5666</v>
      </c>
      <c r="C2915" s="9"/>
      <c r="D2915" s="8" t="s">
        <v>184</v>
      </c>
      <c r="E2915" s="8">
        <v>268</v>
      </c>
      <c r="F2915" s="8" t="s">
        <v>22</v>
      </c>
      <c r="G2915" s="10" t="s">
        <v>5866</v>
      </c>
      <c r="H2915" s="8" t="s">
        <v>5868</v>
      </c>
      <c r="I2915" s="10" t="s">
        <v>5866</v>
      </c>
      <c r="J2915" s="11" t="s">
        <v>26</v>
      </c>
      <c r="K2915" s="57">
        <v>87.5</v>
      </c>
      <c r="L2915" s="12">
        <f t="shared" si="242"/>
        <v>175</v>
      </c>
      <c r="M2915" s="8">
        <v>3</v>
      </c>
      <c r="N2915" s="8" t="s">
        <v>27</v>
      </c>
      <c r="O2915" s="13"/>
      <c r="P2915" s="14">
        <v>0.2</v>
      </c>
      <c r="Q2915" s="15">
        <v>0.4</v>
      </c>
      <c r="R2915" s="16" t="str">
        <f t="shared" si="241"/>
        <v>LUTRON</v>
      </c>
      <c r="S2915" s="17" t="str">
        <f t="shared" si="243"/>
        <v>LUTRON</v>
      </c>
      <c r="T2915" s="10" t="str">
        <f t="shared" si="240"/>
        <v>CFL Quad Tube, DE UNA LÁMPARA, ATENUACIÓN AL 5%.</v>
      </c>
    </row>
    <row r="2916" spans="1:20" ht="27" customHeight="1" x14ac:dyDescent="0.25">
      <c r="A2916" s="8" t="s">
        <v>5672</v>
      </c>
      <c r="B2916" s="9" t="s">
        <v>5666</v>
      </c>
      <c r="C2916" s="9"/>
      <c r="D2916" s="8" t="s">
        <v>184</v>
      </c>
      <c r="E2916" s="8">
        <v>269</v>
      </c>
      <c r="F2916" s="8" t="s">
        <v>22</v>
      </c>
      <c r="G2916" s="10" t="s">
        <v>5866</v>
      </c>
      <c r="H2916" s="8" t="s">
        <v>5868</v>
      </c>
      <c r="I2916" s="10" t="s">
        <v>5866</v>
      </c>
      <c r="J2916" s="11" t="s">
        <v>26</v>
      </c>
      <c r="K2916" s="57">
        <v>87.5</v>
      </c>
      <c r="L2916" s="12">
        <f t="shared" si="242"/>
        <v>175</v>
      </c>
      <c r="M2916" s="8">
        <v>3</v>
      </c>
      <c r="N2916" s="8" t="s">
        <v>27</v>
      </c>
      <c r="O2916" s="13"/>
      <c r="P2916" s="14">
        <v>0.2</v>
      </c>
      <c r="Q2916" s="15">
        <v>0.4</v>
      </c>
      <c r="R2916" s="16" t="str">
        <f t="shared" si="241"/>
        <v>LUTRON</v>
      </c>
      <c r="S2916" s="17" t="str">
        <f t="shared" si="243"/>
        <v>LUTRON</v>
      </c>
      <c r="T2916" s="10" t="str">
        <f t="shared" si="240"/>
        <v>CFL Quad Tube, DE UNA LÁMPARA, ATENUACIÓN AL 5%.</v>
      </c>
    </row>
    <row r="2917" spans="1:20" ht="27" customHeight="1" x14ac:dyDescent="0.25">
      <c r="A2917" s="8" t="s">
        <v>5672</v>
      </c>
      <c r="B2917" s="9" t="s">
        <v>5666</v>
      </c>
      <c r="C2917" s="9"/>
      <c r="D2917" s="8" t="s">
        <v>184</v>
      </c>
      <c r="E2917" s="8">
        <v>270</v>
      </c>
      <c r="F2917" s="8" t="s">
        <v>22</v>
      </c>
      <c r="G2917" s="10" t="s">
        <v>5869</v>
      </c>
      <c r="H2917" s="8" t="s">
        <v>5870</v>
      </c>
      <c r="I2917" s="10" t="s">
        <v>5869</v>
      </c>
      <c r="J2917" s="11" t="s">
        <v>26</v>
      </c>
      <c r="K2917" s="57">
        <v>87.5</v>
      </c>
      <c r="L2917" s="12">
        <f t="shared" si="242"/>
        <v>175</v>
      </c>
      <c r="M2917" s="8">
        <v>3</v>
      </c>
      <c r="N2917" s="8" t="s">
        <v>27</v>
      </c>
      <c r="O2917" s="13"/>
      <c r="P2917" s="14">
        <v>0.2</v>
      </c>
      <c r="Q2917" s="15">
        <v>0.4</v>
      </c>
      <c r="R2917" s="16" t="str">
        <f t="shared" si="241"/>
        <v>LUTRON</v>
      </c>
      <c r="S2917" s="17" t="str">
        <f t="shared" si="243"/>
        <v>LUTRON</v>
      </c>
      <c r="T2917" s="10" t="str">
        <f t="shared" si="240"/>
        <v>CFL Quad Tube, DE DOS LÁMPARAS ATENUACIÓN AL 5%.</v>
      </c>
    </row>
    <row r="2918" spans="1:20" ht="27" customHeight="1" x14ac:dyDescent="0.25">
      <c r="A2918" s="8" t="s">
        <v>5672</v>
      </c>
      <c r="B2918" s="9" t="s">
        <v>5666</v>
      </c>
      <c r="C2918" s="9"/>
      <c r="D2918" s="8" t="s">
        <v>184</v>
      </c>
      <c r="E2918" s="8">
        <v>271</v>
      </c>
      <c r="F2918" s="8" t="s">
        <v>22</v>
      </c>
      <c r="G2918" s="10" t="s">
        <v>5869</v>
      </c>
      <c r="H2918" s="8" t="s">
        <v>5870</v>
      </c>
      <c r="I2918" s="10" t="s">
        <v>5869</v>
      </c>
      <c r="J2918" s="11" t="s">
        <v>26</v>
      </c>
      <c r="K2918" s="57">
        <v>87.5</v>
      </c>
      <c r="L2918" s="12">
        <f t="shared" si="242"/>
        <v>175</v>
      </c>
      <c r="M2918" s="8">
        <v>3</v>
      </c>
      <c r="N2918" s="8" t="s">
        <v>27</v>
      </c>
      <c r="O2918" s="13"/>
      <c r="P2918" s="14">
        <v>0.2</v>
      </c>
      <c r="Q2918" s="15">
        <v>0.4</v>
      </c>
      <c r="R2918" s="16" t="str">
        <f t="shared" si="241"/>
        <v>LUTRON</v>
      </c>
      <c r="S2918" s="17" t="str">
        <f t="shared" si="243"/>
        <v>LUTRON</v>
      </c>
      <c r="T2918" s="10" t="str">
        <f t="shared" si="240"/>
        <v>CFL Quad Tube, DE DOS LÁMPARAS ATENUACIÓN AL 5%.</v>
      </c>
    </row>
    <row r="2919" spans="1:20" ht="27" customHeight="1" x14ac:dyDescent="0.25">
      <c r="A2919" s="8" t="s">
        <v>5672</v>
      </c>
      <c r="B2919" s="9" t="s">
        <v>5666</v>
      </c>
      <c r="C2919" s="9"/>
      <c r="D2919" s="8" t="s">
        <v>184</v>
      </c>
      <c r="E2919" s="8">
        <v>272</v>
      </c>
      <c r="F2919" s="8" t="s">
        <v>22</v>
      </c>
      <c r="G2919" s="10" t="s">
        <v>5869</v>
      </c>
      <c r="H2919" s="8" t="s">
        <v>5870</v>
      </c>
      <c r="I2919" s="10" t="s">
        <v>5869</v>
      </c>
      <c r="J2919" s="11" t="s">
        <v>26</v>
      </c>
      <c r="K2919" s="57">
        <v>87.5</v>
      </c>
      <c r="L2919" s="12">
        <f t="shared" si="242"/>
        <v>175</v>
      </c>
      <c r="M2919" s="8">
        <v>3</v>
      </c>
      <c r="N2919" s="8" t="s">
        <v>27</v>
      </c>
      <c r="O2919" s="13"/>
      <c r="P2919" s="14">
        <v>0.2</v>
      </c>
      <c r="Q2919" s="15">
        <v>0.4</v>
      </c>
      <c r="R2919" s="16" t="str">
        <f t="shared" si="241"/>
        <v>LUTRON</v>
      </c>
      <c r="S2919" s="17" t="str">
        <f t="shared" si="243"/>
        <v>LUTRON</v>
      </c>
      <c r="T2919" s="10" t="str">
        <f t="shared" si="240"/>
        <v>CFL Quad Tube, DE DOS LÁMPARAS ATENUACIÓN AL 5%.</v>
      </c>
    </row>
    <row r="2920" spans="1:20" ht="27" customHeight="1" x14ac:dyDescent="0.25">
      <c r="A2920" s="8" t="s">
        <v>5672</v>
      </c>
      <c r="B2920" s="9" t="s">
        <v>5666</v>
      </c>
      <c r="C2920" s="9"/>
      <c r="D2920" s="8" t="s">
        <v>184</v>
      </c>
      <c r="E2920" s="8">
        <v>273</v>
      </c>
      <c r="F2920" s="8" t="s">
        <v>22</v>
      </c>
      <c r="G2920" s="10" t="s">
        <v>5869</v>
      </c>
      <c r="H2920" s="8" t="s">
        <v>5871</v>
      </c>
      <c r="I2920" s="10" t="s">
        <v>5869</v>
      </c>
      <c r="J2920" s="11" t="s">
        <v>26</v>
      </c>
      <c r="K2920" s="57">
        <v>87.5</v>
      </c>
      <c r="L2920" s="12">
        <f t="shared" si="242"/>
        <v>175</v>
      </c>
      <c r="M2920" s="8">
        <v>3</v>
      </c>
      <c r="N2920" s="8" t="s">
        <v>27</v>
      </c>
      <c r="O2920" s="13"/>
      <c r="P2920" s="14">
        <v>0.2</v>
      </c>
      <c r="Q2920" s="15">
        <v>0.4</v>
      </c>
      <c r="R2920" s="16" t="str">
        <f t="shared" si="241"/>
        <v>LUTRON</v>
      </c>
      <c r="S2920" s="17" t="str">
        <f t="shared" si="243"/>
        <v>LUTRON</v>
      </c>
      <c r="T2920" s="10" t="str">
        <f t="shared" si="240"/>
        <v>CFL Quad Tube, DE DOS LÁMPARAS ATENUACIÓN AL 5%.</v>
      </c>
    </row>
    <row r="2921" spans="1:20" ht="27" customHeight="1" x14ac:dyDescent="0.25">
      <c r="A2921" s="8" t="s">
        <v>5672</v>
      </c>
      <c r="B2921" s="9" t="s">
        <v>5666</v>
      </c>
      <c r="C2921" s="9"/>
      <c r="D2921" s="8" t="s">
        <v>184</v>
      </c>
      <c r="E2921" s="8">
        <v>274</v>
      </c>
      <c r="F2921" s="8" t="s">
        <v>22</v>
      </c>
      <c r="G2921" s="10" t="s">
        <v>5869</v>
      </c>
      <c r="H2921" s="8" t="s">
        <v>5871</v>
      </c>
      <c r="I2921" s="10" t="s">
        <v>5869</v>
      </c>
      <c r="J2921" s="11" t="s">
        <v>26</v>
      </c>
      <c r="K2921" s="57">
        <v>87.5</v>
      </c>
      <c r="L2921" s="12">
        <f t="shared" si="242"/>
        <v>175</v>
      </c>
      <c r="M2921" s="8">
        <v>3</v>
      </c>
      <c r="N2921" s="8" t="s">
        <v>27</v>
      </c>
      <c r="O2921" s="13"/>
      <c r="P2921" s="14">
        <v>0.2</v>
      </c>
      <c r="Q2921" s="15">
        <v>0.4</v>
      </c>
      <c r="R2921" s="16" t="str">
        <f t="shared" si="241"/>
        <v>LUTRON</v>
      </c>
      <c r="S2921" s="17" t="str">
        <f t="shared" si="243"/>
        <v>LUTRON</v>
      </c>
      <c r="T2921" s="10" t="str">
        <f t="shared" si="240"/>
        <v>CFL Quad Tube, DE DOS LÁMPARAS ATENUACIÓN AL 5%.</v>
      </c>
    </row>
    <row r="2922" spans="1:20" ht="27" customHeight="1" x14ac:dyDescent="0.25">
      <c r="A2922" s="8" t="s">
        <v>5672</v>
      </c>
      <c r="B2922" s="9" t="s">
        <v>5666</v>
      </c>
      <c r="C2922" s="9"/>
      <c r="D2922" s="8" t="s">
        <v>184</v>
      </c>
      <c r="E2922" s="8">
        <v>275</v>
      </c>
      <c r="F2922" s="8" t="s">
        <v>22</v>
      </c>
      <c r="G2922" s="10" t="s">
        <v>5869</v>
      </c>
      <c r="H2922" s="8" t="s">
        <v>5871</v>
      </c>
      <c r="I2922" s="10" t="s">
        <v>5869</v>
      </c>
      <c r="J2922" s="11" t="s">
        <v>26</v>
      </c>
      <c r="K2922" s="57">
        <v>87.5</v>
      </c>
      <c r="L2922" s="12">
        <f t="shared" si="242"/>
        <v>175</v>
      </c>
      <c r="M2922" s="8">
        <v>3</v>
      </c>
      <c r="N2922" s="8" t="s">
        <v>27</v>
      </c>
      <c r="O2922" s="13"/>
      <c r="P2922" s="14">
        <v>0.2</v>
      </c>
      <c r="Q2922" s="15">
        <v>0.4</v>
      </c>
      <c r="R2922" s="16" t="str">
        <f t="shared" si="241"/>
        <v>LUTRON</v>
      </c>
      <c r="S2922" s="17" t="str">
        <f t="shared" si="243"/>
        <v>LUTRON</v>
      </c>
      <c r="T2922" s="10" t="str">
        <f t="shared" si="240"/>
        <v>CFL Quad Tube, DE DOS LÁMPARAS ATENUACIÓN AL 5%.</v>
      </c>
    </row>
    <row r="2923" spans="1:20" ht="27" customHeight="1" x14ac:dyDescent="0.25">
      <c r="A2923" s="8" t="s">
        <v>5672</v>
      </c>
      <c r="B2923" s="9" t="s">
        <v>5666</v>
      </c>
      <c r="C2923" s="9"/>
      <c r="D2923" s="8" t="s">
        <v>184</v>
      </c>
      <c r="E2923" s="8">
        <v>276</v>
      </c>
      <c r="F2923" s="8" t="s">
        <v>22</v>
      </c>
      <c r="G2923" s="10" t="s">
        <v>5872</v>
      </c>
      <c r="H2923" s="8" t="s">
        <v>5873</v>
      </c>
      <c r="I2923" s="10" t="s">
        <v>5872</v>
      </c>
      <c r="J2923" s="11" t="s">
        <v>26</v>
      </c>
      <c r="K2923" s="57">
        <v>87.5</v>
      </c>
      <c r="L2923" s="12">
        <f t="shared" si="242"/>
        <v>175</v>
      </c>
      <c r="M2923" s="8">
        <v>3</v>
      </c>
      <c r="N2923" s="8" t="s">
        <v>27</v>
      </c>
      <c r="O2923" s="13"/>
      <c r="P2923" s="14">
        <v>0.2</v>
      </c>
      <c r="Q2923" s="15">
        <v>0.4</v>
      </c>
      <c r="R2923" s="16" t="str">
        <f t="shared" si="241"/>
        <v>LUTRON</v>
      </c>
      <c r="S2923" s="17" t="str">
        <f t="shared" si="243"/>
        <v>LUTRON</v>
      </c>
      <c r="T2923" s="10" t="str">
        <f t="shared" si="240"/>
        <v>CFL Triple Tube, DE UNA LÁMPARA, ATENUACIÓN AL 5%.</v>
      </c>
    </row>
    <row r="2924" spans="1:20" ht="27" customHeight="1" x14ac:dyDescent="0.25">
      <c r="A2924" s="8" t="s">
        <v>5672</v>
      </c>
      <c r="B2924" s="9" t="s">
        <v>5666</v>
      </c>
      <c r="C2924" s="9"/>
      <c r="D2924" s="8" t="s">
        <v>184</v>
      </c>
      <c r="E2924" s="8">
        <v>277</v>
      </c>
      <c r="F2924" s="8" t="s">
        <v>22</v>
      </c>
      <c r="G2924" s="10" t="s">
        <v>5872</v>
      </c>
      <c r="H2924" s="8" t="s">
        <v>5873</v>
      </c>
      <c r="I2924" s="10" t="s">
        <v>5872</v>
      </c>
      <c r="J2924" s="11" t="s">
        <v>26</v>
      </c>
      <c r="K2924" s="57">
        <v>87.5</v>
      </c>
      <c r="L2924" s="12">
        <f t="shared" si="242"/>
        <v>175</v>
      </c>
      <c r="M2924" s="8">
        <v>3</v>
      </c>
      <c r="N2924" s="8" t="s">
        <v>27</v>
      </c>
      <c r="O2924" s="13"/>
      <c r="P2924" s="14">
        <v>0.2</v>
      </c>
      <c r="Q2924" s="15">
        <v>0.4</v>
      </c>
      <c r="R2924" s="16" t="str">
        <f t="shared" si="241"/>
        <v>LUTRON</v>
      </c>
      <c r="S2924" s="17" t="str">
        <f t="shared" si="243"/>
        <v>LUTRON</v>
      </c>
      <c r="T2924" s="10" t="str">
        <f t="shared" si="240"/>
        <v>CFL Triple Tube, DE UNA LÁMPARA, ATENUACIÓN AL 5%.</v>
      </c>
    </row>
    <row r="2925" spans="1:20" ht="27" customHeight="1" x14ac:dyDescent="0.25">
      <c r="A2925" s="8" t="s">
        <v>5672</v>
      </c>
      <c r="B2925" s="9" t="s">
        <v>5666</v>
      </c>
      <c r="C2925" s="9"/>
      <c r="D2925" s="8" t="s">
        <v>184</v>
      </c>
      <c r="E2925" s="8">
        <v>278</v>
      </c>
      <c r="F2925" s="8" t="s">
        <v>22</v>
      </c>
      <c r="G2925" s="10" t="s">
        <v>5872</v>
      </c>
      <c r="H2925" s="8" t="s">
        <v>5873</v>
      </c>
      <c r="I2925" s="10" t="s">
        <v>5872</v>
      </c>
      <c r="J2925" s="11" t="s">
        <v>26</v>
      </c>
      <c r="K2925" s="57">
        <v>87.5</v>
      </c>
      <c r="L2925" s="12">
        <f t="shared" si="242"/>
        <v>175</v>
      </c>
      <c r="M2925" s="8">
        <v>3</v>
      </c>
      <c r="N2925" s="8" t="s">
        <v>27</v>
      </c>
      <c r="O2925" s="13"/>
      <c r="P2925" s="14">
        <v>0.2</v>
      </c>
      <c r="Q2925" s="15">
        <v>0.4</v>
      </c>
      <c r="R2925" s="16" t="str">
        <f t="shared" si="241"/>
        <v>LUTRON</v>
      </c>
      <c r="S2925" s="17" t="str">
        <f t="shared" si="243"/>
        <v>LUTRON</v>
      </c>
      <c r="T2925" s="10" t="str">
        <f t="shared" si="240"/>
        <v>CFL Triple Tube, DE UNA LÁMPARA, ATENUACIÓN AL 5%.</v>
      </c>
    </row>
    <row r="2926" spans="1:20" ht="27" customHeight="1" x14ac:dyDescent="0.25">
      <c r="A2926" s="8" t="s">
        <v>5672</v>
      </c>
      <c r="B2926" s="9" t="s">
        <v>5666</v>
      </c>
      <c r="C2926" s="9"/>
      <c r="D2926" s="8" t="s">
        <v>184</v>
      </c>
      <c r="E2926" s="8">
        <v>279</v>
      </c>
      <c r="F2926" s="8" t="s">
        <v>22</v>
      </c>
      <c r="G2926" s="10" t="s">
        <v>5872</v>
      </c>
      <c r="H2926" s="8" t="s">
        <v>5867</v>
      </c>
      <c r="I2926" s="10" t="s">
        <v>5872</v>
      </c>
      <c r="J2926" s="11" t="s">
        <v>26</v>
      </c>
      <c r="K2926" s="57">
        <v>87.5</v>
      </c>
      <c r="L2926" s="12">
        <f t="shared" si="242"/>
        <v>175</v>
      </c>
      <c r="M2926" s="8">
        <v>3</v>
      </c>
      <c r="N2926" s="8" t="s">
        <v>27</v>
      </c>
      <c r="O2926" s="13"/>
      <c r="P2926" s="14">
        <v>0.2</v>
      </c>
      <c r="Q2926" s="15">
        <v>0.4</v>
      </c>
      <c r="R2926" s="16" t="str">
        <f t="shared" si="241"/>
        <v>LUTRON</v>
      </c>
      <c r="S2926" s="17" t="str">
        <f t="shared" si="243"/>
        <v>LUTRON</v>
      </c>
      <c r="T2926" s="10" t="str">
        <f t="shared" si="240"/>
        <v>CFL Triple Tube, DE UNA LÁMPARA, ATENUACIÓN AL 5%.</v>
      </c>
    </row>
    <row r="2927" spans="1:20" ht="27" customHeight="1" x14ac:dyDescent="0.25">
      <c r="A2927" s="8" t="s">
        <v>5672</v>
      </c>
      <c r="B2927" s="9" t="s">
        <v>5666</v>
      </c>
      <c r="C2927" s="9"/>
      <c r="D2927" s="8" t="s">
        <v>184</v>
      </c>
      <c r="E2927" s="8">
        <v>280</v>
      </c>
      <c r="F2927" s="8" t="s">
        <v>22</v>
      </c>
      <c r="G2927" s="10" t="s">
        <v>5872</v>
      </c>
      <c r="H2927" s="8" t="s">
        <v>5867</v>
      </c>
      <c r="I2927" s="10" t="s">
        <v>5872</v>
      </c>
      <c r="J2927" s="11" t="s">
        <v>26</v>
      </c>
      <c r="K2927" s="57">
        <v>87.5</v>
      </c>
      <c r="L2927" s="12">
        <f t="shared" si="242"/>
        <v>175</v>
      </c>
      <c r="M2927" s="8">
        <v>3</v>
      </c>
      <c r="N2927" s="8" t="s">
        <v>27</v>
      </c>
      <c r="O2927" s="13"/>
      <c r="P2927" s="14">
        <v>0.2</v>
      </c>
      <c r="Q2927" s="15">
        <v>0.4</v>
      </c>
      <c r="R2927" s="16" t="str">
        <f t="shared" si="241"/>
        <v>LUTRON</v>
      </c>
      <c r="S2927" s="17" t="str">
        <f t="shared" si="243"/>
        <v>LUTRON</v>
      </c>
      <c r="T2927" s="10" t="str">
        <f t="shared" si="240"/>
        <v>CFL Triple Tube, DE UNA LÁMPARA, ATENUACIÓN AL 5%.</v>
      </c>
    </row>
    <row r="2928" spans="1:20" ht="27" customHeight="1" x14ac:dyDescent="0.25">
      <c r="A2928" s="8" t="s">
        <v>5672</v>
      </c>
      <c r="B2928" s="9" t="s">
        <v>5666</v>
      </c>
      <c r="C2928" s="9"/>
      <c r="D2928" s="8" t="s">
        <v>184</v>
      </c>
      <c r="E2928" s="8">
        <v>281</v>
      </c>
      <c r="F2928" s="8" t="s">
        <v>22</v>
      </c>
      <c r="G2928" s="10" t="s">
        <v>5872</v>
      </c>
      <c r="H2928" s="8" t="s">
        <v>5867</v>
      </c>
      <c r="I2928" s="10" t="s">
        <v>5872</v>
      </c>
      <c r="J2928" s="11" t="s">
        <v>26</v>
      </c>
      <c r="K2928" s="57">
        <v>87.5</v>
      </c>
      <c r="L2928" s="12">
        <f t="shared" si="242"/>
        <v>175</v>
      </c>
      <c r="M2928" s="8">
        <v>3</v>
      </c>
      <c r="N2928" s="8" t="s">
        <v>27</v>
      </c>
      <c r="O2928" s="13"/>
      <c r="P2928" s="14">
        <v>0.2</v>
      </c>
      <c r="Q2928" s="15">
        <v>0.4</v>
      </c>
      <c r="R2928" s="16" t="str">
        <f t="shared" si="241"/>
        <v>LUTRON</v>
      </c>
      <c r="S2928" s="17" t="str">
        <f t="shared" si="243"/>
        <v>LUTRON</v>
      </c>
      <c r="T2928" s="10" t="str">
        <f t="shared" si="240"/>
        <v>CFL Triple Tube, DE UNA LÁMPARA, ATENUACIÓN AL 5%.</v>
      </c>
    </row>
    <row r="2929" spans="1:20" ht="27" customHeight="1" x14ac:dyDescent="0.25">
      <c r="A2929" s="8" t="s">
        <v>5672</v>
      </c>
      <c r="B2929" s="9" t="s">
        <v>5666</v>
      </c>
      <c r="C2929" s="9"/>
      <c r="D2929" s="8" t="s">
        <v>184</v>
      </c>
      <c r="E2929" s="8">
        <v>282</v>
      </c>
      <c r="F2929" s="8" t="s">
        <v>22</v>
      </c>
      <c r="G2929" s="10" t="s">
        <v>5872</v>
      </c>
      <c r="H2929" s="8" t="s">
        <v>5868</v>
      </c>
      <c r="I2929" s="10" t="s">
        <v>5872</v>
      </c>
      <c r="J2929" s="11" t="s">
        <v>26</v>
      </c>
      <c r="K2929" s="57">
        <v>87.5</v>
      </c>
      <c r="L2929" s="12">
        <f t="shared" si="242"/>
        <v>175</v>
      </c>
      <c r="M2929" s="8">
        <v>3</v>
      </c>
      <c r="N2929" s="8" t="s">
        <v>27</v>
      </c>
      <c r="O2929" s="13"/>
      <c r="P2929" s="14">
        <v>0.2</v>
      </c>
      <c r="Q2929" s="15">
        <v>0.4</v>
      </c>
      <c r="R2929" s="16" t="str">
        <f t="shared" si="241"/>
        <v>LUTRON</v>
      </c>
      <c r="S2929" s="17" t="str">
        <f t="shared" si="243"/>
        <v>LUTRON</v>
      </c>
      <c r="T2929" s="10" t="str">
        <f t="shared" si="240"/>
        <v>CFL Triple Tube, DE UNA LÁMPARA, ATENUACIÓN AL 5%.</v>
      </c>
    </row>
    <row r="2930" spans="1:20" ht="27" customHeight="1" x14ac:dyDescent="0.25">
      <c r="A2930" s="8" t="s">
        <v>5672</v>
      </c>
      <c r="B2930" s="9" t="s">
        <v>5666</v>
      </c>
      <c r="C2930" s="9"/>
      <c r="D2930" s="8" t="s">
        <v>184</v>
      </c>
      <c r="E2930" s="8">
        <v>283</v>
      </c>
      <c r="F2930" s="8" t="s">
        <v>22</v>
      </c>
      <c r="G2930" s="10" t="s">
        <v>5872</v>
      </c>
      <c r="H2930" s="8" t="s">
        <v>5868</v>
      </c>
      <c r="I2930" s="10" t="s">
        <v>5872</v>
      </c>
      <c r="J2930" s="11" t="s">
        <v>26</v>
      </c>
      <c r="K2930" s="57">
        <v>87.5</v>
      </c>
      <c r="L2930" s="12">
        <f t="shared" si="242"/>
        <v>175</v>
      </c>
      <c r="M2930" s="8">
        <v>3</v>
      </c>
      <c r="N2930" s="8" t="s">
        <v>27</v>
      </c>
      <c r="O2930" s="13"/>
      <c r="P2930" s="14">
        <v>0.2</v>
      </c>
      <c r="Q2930" s="15">
        <v>0.4</v>
      </c>
      <c r="R2930" s="16" t="str">
        <f t="shared" si="241"/>
        <v>LUTRON</v>
      </c>
      <c r="S2930" s="17" t="str">
        <f t="shared" si="243"/>
        <v>LUTRON</v>
      </c>
      <c r="T2930" s="10" t="str">
        <f t="shared" si="240"/>
        <v>CFL Triple Tube, DE UNA LÁMPARA, ATENUACIÓN AL 5%.</v>
      </c>
    </row>
    <row r="2931" spans="1:20" ht="27" customHeight="1" x14ac:dyDescent="0.25">
      <c r="A2931" s="8" t="s">
        <v>5672</v>
      </c>
      <c r="B2931" s="9" t="s">
        <v>5666</v>
      </c>
      <c r="C2931" s="9"/>
      <c r="D2931" s="8" t="s">
        <v>184</v>
      </c>
      <c r="E2931" s="8">
        <v>284</v>
      </c>
      <c r="F2931" s="8" t="s">
        <v>22</v>
      </c>
      <c r="G2931" s="10" t="s">
        <v>5872</v>
      </c>
      <c r="H2931" s="8" t="s">
        <v>5868</v>
      </c>
      <c r="I2931" s="10" t="s">
        <v>5872</v>
      </c>
      <c r="J2931" s="11" t="s">
        <v>26</v>
      </c>
      <c r="K2931" s="57">
        <v>87.5</v>
      </c>
      <c r="L2931" s="12">
        <f t="shared" si="242"/>
        <v>175</v>
      </c>
      <c r="M2931" s="8">
        <v>3</v>
      </c>
      <c r="N2931" s="8" t="s">
        <v>27</v>
      </c>
      <c r="O2931" s="13"/>
      <c r="P2931" s="14">
        <v>0.2</v>
      </c>
      <c r="Q2931" s="15">
        <v>0.4</v>
      </c>
      <c r="R2931" s="16" t="str">
        <f t="shared" si="241"/>
        <v>LUTRON</v>
      </c>
      <c r="S2931" s="17" t="str">
        <f t="shared" si="243"/>
        <v>LUTRON</v>
      </c>
      <c r="T2931" s="10" t="str">
        <f t="shared" si="240"/>
        <v>CFL Triple Tube, DE UNA LÁMPARA, ATENUACIÓN AL 5%.</v>
      </c>
    </row>
    <row r="2932" spans="1:20" ht="27" customHeight="1" x14ac:dyDescent="0.25">
      <c r="A2932" s="8" t="s">
        <v>5672</v>
      </c>
      <c r="B2932" s="9" t="s">
        <v>5666</v>
      </c>
      <c r="C2932" s="9"/>
      <c r="D2932" s="8" t="s">
        <v>184</v>
      </c>
      <c r="E2932" s="8">
        <v>285</v>
      </c>
      <c r="F2932" s="8" t="s">
        <v>22</v>
      </c>
      <c r="G2932" s="10" t="s">
        <v>5872</v>
      </c>
      <c r="H2932" s="8" t="s">
        <v>5868</v>
      </c>
      <c r="I2932" s="10" t="s">
        <v>5872</v>
      </c>
      <c r="J2932" s="11" t="s">
        <v>26</v>
      </c>
      <c r="K2932" s="57">
        <v>87.5</v>
      </c>
      <c r="L2932" s="12">
        <f t="shared" si="242"/>
        <v>175</v>
      </c>
      <c r="M2932" s="8">
        <v>3</v>
      </c>
      <c r="N2932" s="8" t="s">
        <v>27</v>
      </c>
      <c r="O2932" s="13"/>
      <c r="P2932" s="14">
        <v>0.2</v>
      </c>
      <c r="Q2932" s="15">
        <v>0.4</v>
      </c>
      <c r="R2932" s="16" t="str">
        <f t="shared" si="241"/>
        <v>LUTRON</v>
      </c>
      <c r="S2932" s="17" t="str">
        <f t="shared" si="243"/>
        <v>LUTRON</v>
      </c>
      <c r="T2932" s="10" t="str">
        <f t="shared" si="240"/>
        <v>CFL Triple Tube, DE UNA LÁMPARA, ATENUACIÓN AL 5%.</v>
      </c>
    </row>
    <row r="2933" spans="1:20" ht="27" customHeight="1" x14ac:dyDescent="0.25">
      <c r="A2933" s="8" t="s">
        <v>5672</v>
      </c>
      <c r="B2933" s="9" t="s">
        <v>5666</v>
      </c>
      <c r="C2933" s="9"/>
      <c r="D2933" s="8" t="s">
        <v>184</v>
      </c>
      <c r="E2933" s="8">
        <v>286</v>
      </c>
      <c r="F2933" s="8" t="s">
        <v>22</v>
      </c>
      <c r="G2933" s="10" t="s">
        <v>5872</v>
      </c>
      <c r="H2933" s="8" t="s">
        <v>5868</v>
      </c>
      <c r="I2933" s="10" t="s">
        <v>5872</v>
      </c>
      <c r="J2933" s="11" t="s">
        <v>26</v>
      </c>
      <c r="K2933" s="57">
        <v>87.5</v>
      </c>
      <c r="L2933" s="12">
        <f t="shared" si="242"/>
        <v>175</v>
      </c>
      <c r="M2933" s="8">
        <v>3</v>
      </c>
      <c r="N2933" s="8" t="s">
        <v>27</v>
      </c>
      <c r="O2933" s="13"/>
      <c r="P2933" s="14">
        <v>0.2</v>
      </c>
      <c r="Q2933" s="15">
        <v>0.4</v>
      </c>
      <c r="R2933" s="16" t="str">
        <f t="shared" si="241"/>
        <v>LUTRON</v>
      </c>
      <c r="S2933" s="17" t="str">
        <f t="shared" si="243"/>
        <v>LUTRON</v>
      </c>
      <c r="T2933" s="10" t="str">
        <f t="shared" ref="T2933:T2996" si="244">G2933</f>
        <v>CFL Triple Tube, DE UNA LÁMPARA, ATENUACIÓN AL 5%.</v>
      </c>
    </row>
    <row r="2934" spans="1:20" ht="27" customHeight="1" x14ac:dyDescent="0.25">
      <c r="A2934" s="8" t="s">
        <v>5672</v>
      </c>
      <c r="B2934" s="9" t="s">
        <v>5666</v>
      </c>
      <c r="C2934" s="9"/>
      <c r="D2934" s="8" t="s">
        <v>184</v>
      </c>
      <c r="E2934" s="8">
        <v>287</v>
      </c>
      <c r="F2934" s="8" t="s">
        <v>22</v>
      </c>
      <c r="G2934" s="10" t="s">
        <v>5872</v>
      </c>
      <c r="H2934" s="8" t="s">
        <v>5868</v>
      </c>
      <c r="I2934" s="10" t="s">
        <v>5872</v>
      </c>
      <c r="J2934" s="11" t="s">
        <v>26</v>
      </c>
      <c r="K2934" s="57">
        <v>87.5</v>
      </c>
      <c r="L2934" s="12">
        <f t="shared" si="242"/>
        <v>175</v>
      </c>
      <c r="M2934" s="8">
        <v>3</v>
      </c>
      <c r="N2934" s="8" t="s">
        <v>27</v>
      </c>
      <c r="O2934" s="13"/>
      <c r="P2934" s="14">
        <v>0.2</v>
      </c>
      <c r="Q2934" s="15">
        <v>0.4</v>
      </c>
      <c r="R2934" s="16" t="str">
        <f t="shared" si="241"/>
        <v>LUTRON</v>
      </c>
      <c r="S2934" s="17" t="str">
        <f t="shared" si="243"/>
        <v>LUTRON</v>
      </c>
      <c r="T2934" s="10" t="str">
        <f t="shared" si="244"/>
        <v>CFL Triple Tube, DE UNA LÁMPARA, ATENUACIÓN AL 5%.</v>
      </c>
    </row>
    <row r="2935" spans="1:20" ht="27" customHeight="1" x14ac:dyDescent="0.25">
      <c r="A2935" s="8" t="s">
        <v>5672</v>
      </c>
      <c r="B2935" s="9" t="s">
        <v>5666</v>
      </c>
      <c r="C2935" s="9"/>
      <c r="D2935" s="8" t="s">
        <v>184</v>
      </c>
      <c r="E2935" s="8">
        <v>288</v>
      </c>
      <c r="F2935" s="8" t="s">
        <v>22</v>
      </c>
      <c r="G2935" s="10" t="s">
        <v>5874</v>
      </c>
      <c r="H2935" s="8" t="s">
        <v>5875</v>
      </c>
      <c r="I2935" s="10" t="s">
        <v>5874</v>
      </c>
      <c r="J2935" s="11" t="s">
        <v>26</v>
      </c>
      <c r="K2935" s="57">
        <v>87.5</v>
      </c>
      <c r="L2935" s="12">
        <f t="shared" si="242"/>
        <v>175</v>
      </c>
      <c r="M2935" s="8">
        <v>3</v>
      </c>
      <c r="N2935" s="8" t="s">
        <v>27</v>
      </c>
      <c r="O2935" s="13"/>
      <c r="P2935" s="14">
        <v>0.2</v>
      </c>
      <c r="Q2935" s="15">
        <v>0.4</v>
      </c>
      <c r="R2935" s="16" t="str">
        <f t="shared" si="241"/>
        <v>LUTRON</v>
      </c>
      <c r="S2935" s="17" t="str">
        <f t="shared" si="243"/>
        <v>LUTRON</v>
      </c>
      <c r="T2935" s="10" t="str">
        <f t="shared" si="244"/>
        <v>CFL Triple Tube, DE DOS LÁMPARAS ATENUACIÓN AL 5%.</v>
      </c>
    </row>
    <row r="2936" spans="1:20" ht="27" customHeight="1" x14ac:dyDescent="0.25">
      <c r="A2936" s="8" t="s">
        <v>5672</v>
      </c>
      <c r="B2936" s="9" t="s">
        <v>5666</v>
      </c>
      <c r="C2936" s="9"/>
      <c r="D2936" s="8" t="s">
        <v>184</v>
      </c>
      <c r="E2936" s="8">
        <v>289</v>
      </c>
      <c r="F2936" s="8" t="s">
        <v>22</v>
      </c>
      <c r="G2936" s="10" t="s">
        <v>5874</v>
      </c>
      <c r="H2936" s="8" t="s">
        <v>5875</v>
      </c>
      <c r="I2936" s="10" t="s">
        <v>5874</v>
      </c>
      <c r="J2936" s="11" t="s">
        <v>26</v>
      </c>
      <c r="K2936" s="57">
        <v>87.5</v>
      </c>
      <c r="L2936" s="12">
        <f t="shared" si="242"/>
        <v>175</v>
      </c>
      <c r="M2936" s="8">
        <v>3</v>
      </c>
      <c r="N2936" s="8" t="s">
        <v>27</v>
      </c>
      <c r="O2936" s="13"/>
      <c r="P2936" s="14">
        <v>0.2</v>
      </c>
      <c r="Q2936" s="15">
        <v>0.4</v>
      </c>
      <c r="R2936" s="16" t="str">
        <f t="shared" si="241"/>
        <v>LUTRON</v>
      </c>
      <c r="S2936" s="17" t="str">
        <f t="shared" si="243"/>
        <v>LUTRON</v>
      </c>
      <c r="T2936" s="10" t="str">
        <f t="shared" si="244"/>
        <v>CFL Triple Tube, DE DOS LÁMPARAS ATENUACIÓN AL 5%.</v>
      </c>
    </row>
    <row r="2937" spans="1:20" ht="27" customHeight="1" x14ac:dyDescent="0.25">
      <c r="A2937" s="8" t="s">
        <v>5672</v>
      </c>
      <c r="B2937" s="9" t="s">
        <v>5666</v>
      </c>
      <c r="C2937" s="9"/>
      <c r="D2937" s="8" t="s">
        <v>184</v>
      </c>
      <c r="E2937" s="8">
        <v>290</v>
      </c>
      <c r="F2937" s="8" t="s">
        <v>22</v>
      </c>
      <c r="G2937" s="10" t="s">
        <v>5874</v>
      </c>
      <c r="H2937" s="8" t="s">
        <v>5875</v>
      </c>
      <c r="I2937" s="10" t="s">
        <v>5874</v>
      </c>
      <c r="J2937" s="11" t="s">
        <v>26</v>
      </c>
      <c r="K2937" s="57">
        <v>87.5</v>
      </c>
      <c r="L2937" s="12">
        <f t="shared" si="242"/>
        <v>175</v>
      </c>
      <c r="M2937" s="8">
        <v>3</v>
      </c>
      <c r="N2937" s="8" t="s">
        <v>27</v>
      </c>
      <c r="O2937" s="13"/>
      <c r="P2937" s="14">
        <v>0.2</v>
      </c>
      <c r="Q2937" s="15">
        <v>0.4</v>
      </c>
      <c r="R2937" s="16" t="str">
        <f t="shared" si="241"/>
        <v>LUTRON</v>
      </c>
      <c r="S2937" s="17" t="str">
        <f t="shared" si="243"/>
        <v>LUTRON</v>
      </c>
      <c r="T2937" s="10" t="str">
        <f t="shared" si="244"/>
        <v>CFL Triple Tube, DE DOS LÁMPARAS ATENUACIÓN AL 5%.</v>
      </c>
    </row>
    <row r="2938" spans="1:20" ht="27" customHeight="1" x14ac:dyDescent="0.25">
      <c r="A2938" s="8" t="s">
        <v>5672</v>
      </c>
      <c r="B2938" s="9" t="s">
        <v>5666</v>
      </c>
      <c r="C2938" s="9"/>
      <c r="D2938" s="8" t="s">
        <v>184</v>
      </c>
      <c r="E2938" s="8">
        <v>291</v>
      </c>
      <c r="F2938" s="8" t="s">
        <v>22</v>
      </c>
      <c r="G2938" s="10" t="s">
        <v>5874</v>
      </c>
      <c r="H2938" s="8" t="s">
        <v>5870</v>
      </c>
      <c r="I2938" s="10" t="s">
        <v>5874</v>
      </c>
      <c r="J2938" s="11" t="s">
        <v>26</v>
      </c>
      <c r="K2938" s="57">
        <v>87.5</v>
      </c>
      <c r="L2938" s="12">
        <f t="shared" si="242"/>
        <v>175</v>
      </c>
      <c r="M2938" s="8">
        <v>3</v>
      </c>
      <c r="N2938" s="8" t="s">
        <v>27</v>
      </c>
      <c r="O2938" s="13"/>
      <c r="P2938" s="14">
        <v>0.2</v>
      </c>
      <c r="Q2938" s="15">
        <v>0.4</v>
      </c>
      <c r="R2938" s="16" t="str">
        <f t="shared" si="241"/>
        <v>LUTRON</v>
      </c>
      <c r="S2938" s="17" t="str">
        <f t="shared" si="243"/>
        <v>LUTRON</v>
      </c>
      <c r="T2938" s="10" t="str">
        <f t="shared" si="244"/>
        <v>CFL Triple Tube, DE DOS LÁMPARAS ATENUACIÓN AL 5%.</v>
      </c>
    </row>
    <row r="2939" spans="1:20" ht="27" customHeight="1" x14ac:dyDescent="0.25">
      <c r="A2939" s="8" t="s">
        <v>5672</v>
      </c>
      <c r="B2939" s="9" t="s">
        <v>5666</v>
      </c>
      <c r="C2939" s="9"/>
      <c r="D2939" s="8" t="s">
        <v>184</v>
      </c>
      <c r="E2939" s="8">
        <v>292</v>
      </c>
      <c r="F2939" s="8" t="s">
        <v>22</v>
      </c>
      <c r="G2939" s="10" t="s">
        <v>5874</v>
      </c>
      <c r="H2939" s="8" t="s">
        <v>5870</v>
      </c>
      <c r="I2939" s="10" t="s">
        <v>5874</v>
      </c>
      <c r="J2939" s="11" t="s">
        <v>26</v>
      </c>
      <c r="K2939" s="57">
        <v>87.5</v>
      </c>
      <c r="L2939" s="12">
        <f t="shared" si="242"/>
        <v>175</v>
      </c>
      <c r="M2939" s="8">
        <v>3</v>
      </c>
      <c r="N2939" s="8" t="s">
        <v>27</v>
      </c>
      <c r="O2939" s="13"/>
      <c r="P2939" s="14">
        <v>0.2</v>
      </c>
      <c r="Q2939" s="15">
        <v>0.4</v>
      </c>
      <c r="R2939" s="16" t="str">
        <f t="shared" si="241"/>
        <v>LUTRON</v>
      </c>
      <c r="S2939" s="17" t="str">
        <f t="shared" si="243"/>
        <v>LUTRON</v>
      </c>
      <c r="T2939" s="10" t="str">
        <f t="shared" si="244"/>
        <v>CFL Triple Tube, DE DOS LÁMPARAS ATENUACIÓN AL 5%.</v>
      </c>
    </row>
    <row r="2940" spans="1:20" ht="27" customHeight="1" x14ac:dyDescent="0.25">
      <c r="A2940" s="8" t="s">
        <v>5672</v>
      </c>
      <c r="B2940" s="9" t="s">
        <v>5666</v>
      </c>
      <c r="C2940" s="9"/>
      <c r="D2940" s="8" t="s">
        <v>184</v>
      </c>
      <c r="E2940" s="8">
        <v>293</v>
      </c>
      <c r="F2940" s="8" t="s">
        <v>22</v>
      </c>
      <c r="G2940" s="10" t="s">
        <v>5874</v>
      </c>
      <c r="H2940" s="8" t="s">
        <v>5870</v>
      </c>
      <c r="I2940" s="10" t="s">
        <v>5874</v>
      </c>
      <c r="J2940" s="11" t="s">
        <v>26</v>
      </c>
      <c r="K2940" s="57">
        <v>87.5</v>
      </c>
      <c r="L2940" s="12">
        <f t="shared" si="242"/>
        <v>175</v>
      </c>
      <c r="M2940" s="8">
        <v>3</v>
      </c>
      <c r="N2940" s="8" t="s">
        <v>27</v>
      </c>
      <c r="O2940" s="13"/>
      <c r="P2940" s="14">
        <v>0.2</v>
      </c>
      <c r="Q2940" s="15">
        <v>0.4</v>
      </c>
      <c r="R2940" s="16" t="str">
        <f t="shared" si="241"/>
        <v>LUTRON</v>
      </c>
      <c r="S2940" s="17" t="str">
        <f t="shared" si="243"/>
        <v>LUTRON</v>
      </c>
      <c r="T2940" s="10" t="str">
        <f t="shared" si="244"/>
        <v>CFL Triple Tube, DE DOS LÁMPARAS ATENUACIÓN AL 5%.</v>
      </c>
    </row>
    <row r="2941" spans="1:20" ht="27" customHeight="1" x14ac:dyDescent="0.25">
      <c r="A2941" s="8" t="s">
        <v>5672</v>
      </c>
      <c r="B2941" s="9" t="s">
        <v>5666</v>
      </c>
      <c r="C2941" s="9"/>
      <c r="D2941" s="8" t="s">
        <v>184</v>
      </c>
      <c r="E2941" s="8">
        <v>294</v>
      </c>
      <c r="F2941" s="8" t="s">
        <v>22</v>
      </c>
      <c r="G2941" s="10" t="s">
        <v>5874</v>
      </c>
      <c r="H2941" s="8" t="s">
        <v>5871</v>
      </c>
      <c r="I2941" s="10" t="s">
        <v>5874</v>
      </c>
      <c r="J2941" s="11" t="s">
        <v>26</v>
      </c>
      <c r="K2941" s="57">
        <v>87.5</v>
      </c>
      <c r="L2941" s="12">
        <f t="shared" si="242"/>
        <v>175</v>
      </c>
      <c r="M2941" s="8">
        <v>3</v>
      </c>
      <c r="N2941" s="8" t="s">
        <v>27</v>
      </c>
      <c r="O2941" s="13"/>
      <c r="P2941" s="14">
        <v>0.2</v>
      </c>
      <c r="Q2941" s="15">
        <v>0.4</v>
      </c>
      <c r="R2941" s="16" t="str">
        <f t="shared" si="241"/>
        <v>LUTRON</v>
      </c>
      <c r="S2941" s="17" t="str">
        <f t="shared" si="243"/>
        <v>LUTRON</v>
      </c>
      <c r="T2941" s="10" t="str">
        <f t="shared" si="244"/>
        <v>CFL Triple Tube, DE DOS LÁMPARAS ATENUACIÓN AL 5%.</v>
      </c>
    </row>
    <row r="2942" spans="1:20" ht="27" customHeight="1" x14ac:dyDescent="0.25">
      <c r="A2942" s="8" t="s">
        <v>5672</v>
      </c>
      <c r="B2942" s="9" t="s">
        <v>5666</v>
      </c>
      <c r="C2942" s="9"/>
      <c r="D2942" s="8" t="s">
        <v>184</v>
      </c>
      <c r="E2942" s="8">
        <v>295</v>
      </c>
      <c r="F2942" s="8" t="s">
        <v>22</v>
      </c>
      <c r="G2942" s="10" t="s">
        <v>5874</v>
      </c>
      <c r="H2942" s="8" t="s">
        <v>5871</v>
      </c>
      <c r="I2942" s="10" t="s">
        <v>5874</v>
      </c>
      <c r="J2942" s="11" t="s">
        <v>26</v>
      </c>
      <c r="K2942" s="57">
        <v>87.5</v>
      </c>
      <c r="L2942" s="12">
        <f t="shared" si="242"/>
        <v>175</v>
      </c>
      <c r="M2942" s="8">
        <v>3</v>
      </c>
      <c r="N2942" s="8" t="s">
        <v>27</v>
      </c>
      <c r="O2942" s="13"/>
      <c r="P2942" s="14">
        <v>0.2</v>
      </c>
      <c r="Q2942" s="15">
        <v>0.4</v>
      </c>
      <c r="R2942" s="16" t="str">
        <f t="shared" si="241"/>
        <v>LUTRON</v>
      </c>
      <c r="S2942" s="17" t="str">
        <f t="shared" si="243"/>
        <v>LUTRON</v>
      </c>
      <c r="T2942" s="10" t="str">
        <f t="shared" si="244"/>
        <v>CFL Triple Tube, DE DOS LÁMPARAS ATENUACIÓN AL 5%.</v>
      </c>
    </row>
    <row r="2943" spans="1:20" ht="27" customHeight="1" x14ac:dyDescent="0.25">
      <c r="A2943" s="8" t="s">
        <v>5672</v>
      </c>
      <c r="B2943" s="9" t="s">
        <v>5666</v>
      </c>
      <c r="C2943" s="9"/>
      <c r="D2943" s="8" t="s">
        <v>184</v>
      </c>
      <c r="E2943" s="8">
        <v>296</v>
      </c>
      <c r="F2943" s="8" t="s">
        <v>22</v>
      </c>
      <c r="G2943" s="10" t="s">
        <v>5874</v>
      </c>
      <c r="H2943" s="8" t="s">
        <v>5871</v>
      </c>
      <c r="I2943" s="10" t="s">
        <v>5874</v>
      </c>
      <c r="J2943" s="11" t="s">
        <v>26</v>
      </c>
      <c r="K2943" s="57">
        <v>87.5</v>
      </c>
      <c r="L2943" s="12">
        <f t="shared" si="242"/>
        <v>175</v>
      </c>
      <c r="M2943" s="8">
        <v>3</v>
      </c>
      <c r="N2943" s="8" t="s">
        <v>27</v>
      </c>
      <c r="O2943" s="13"/>
      <c r="P2943" s="14">
        <v>0.2</v>
      </c>
      <c r="Q2943" s="15">
        <v>0.4</v>
      </c>
      <c r="R2943" s="16" t="str">
        <f t="shared" si="241"/>
        <v>LUTRON</v>
      </c>
      <c r="S2943" s="17" t="str">
        <f t="shared" si="243"/>
        <v>LUTRON</v>
      </c>
      <c r="T2943" s="10" t="str">
        <f t="shared" si="244"/>
        <v>CFL Triple Tube, DE DOS LÁMPARAS ATENUACIÓN AL 5%.</v>
      </c>
    </row>
    <row r="2944" spans="1:20" ht="27" customHeight="1" x14ac:dyDescent="0.25">
      <c r="A2944" s="8" t="s">
        <v>5672</v>
      </c>
      <c r="B2944" s="9" t="s">
        <v>5666</v>
      </c>
      <c r="C2944" s="9"/>
      <c r="D2944" s="8" t="s">
        <v>184</v>
      </c>
      <c r="E2944" s="8">
        <v>297</v>
      </c>
      <c r="F2944" s="8" t="s">
        <v>22</v>
      </c>
      <c r="G2944" s="10" t="s">
        <v>5874</v>
      </c>
      <c r="H2944" s="8" t="s">
        <v>5871</v>
      </c>
      <c r="I2944" s="10" t="s">
        <v>5874</v>
      </c>
      <c r="J2944" s="11" t="s">
        <v>26</v>
      </c>
      <c r="K2944" s="57">
        <v>87.5</v>
      </c>
      <c r="L2944" s="12">
        <f t="shared" si="242"/>
        <v>175</v>
      </c>
      <c r="M2944" s="8">
        <v>3</v>
      </c>
      <c r="N2944" s="8" t="s">
        <v>27</v>
      </c>
      <c r="O2944" s="13"/>
      <c r="P2944" s="14">
        <v>0.2</v>
      </c>
      <c r="Q2944" s="15">
        <v>0.4</v>
      </c>
      <c r="R2944" s="16" t="str">
        <f t="shared" si="241"/>
        <v>LUTRON</v>
      </c>
      <c r="S2944" s="17" t="str">
        <f t="shared" si="243"/>
        <v>LUTRON</v>
      </c>
      <c r="T2944" s="10" t="str">
        <f t="shared" si="244"/>
        <v>CFL Triple Tube, DE DOS LÁMPARAS ATENUACIÓN AL 5%.</v>
      </c>
    </row>
    <row r="2945" spans="1:22" ht="27" customHeight="1" x14ac:dyDescent="0.25">
      <c r="A2945" s="8" t="s">
        <v>5672</v>
      </c>
      <c r="B2945" s="9" t="s">
        <v>5666</v>
      </c>
      <c r="C2945" s="9"/>
      <c r="D2945" s="8" t="s">
        <v>184</v>
      </c>
      <c r="E2945" s="8">
        <v>298</v>
      </c>
      <c r="F2945" s="8" t="s">
        <v>22</v>
      </c>
      <c r="G2945" s="10" t="s">
        <v>5874</v>
      </c>
      <c r="H2945" s="8" t="s">
        <v>5871</v>
      </c>
      <c r="I2945" s="10" t="s">
        <v>5874</v>
      </c>
      <c r="J2945" s="11" t="s">
        <v>26</v>
      </c>
      <c r="K2945" s="57">
        <v>87.5</v>
      </c>
      <c r="L2945" s="12">
        <f t="shared" si="242"/>
        <v>175</v>
      </c>
      <c r="M2945" s="8">
        <v>3</v>
      </c>
      <c r="N2945" s="8" t="s">
        <v>27</v>
      </c>
      <c r="O2945" s="13"/>
      <c r="P2945" s="14">
        <v>0.2</v>
      </c>
      <c r="Q2945" s="15">
        <v>0.4</v>
      </c>
      <c r="R2945" s="16" t="str">
        <f t="shared" ref="R2945:R3008" si="245">A2945</f>
        <v>LUTRON</v>
      </c>
      <c r="S2945" s="17" t="str">
        <f t="shared" si="243"/>
        <v>LUTRON</v>
      </c>
      <c r="T2945" s="10" t="str">
        <f t="shared" si="244"/>
        <v>CFL Triple Tube, DE DOS LÁMPARAS ATENUACIÓN AL 5%.</v>
      </c>
    </row>
    <row r="2946" spans="1:22" ht="27" customHeight="1" x14ac:dyDescent="0.25">
      <c r="A2946" s="8" t="s">
        <v>5672</v>
      </c>
      <c r="B2946" s="9" t="s">
        <v>5666</v>
      </c>
      <c r="C2946" s="9"/>
      <c r="D2946" s="8" t="s">
        <v>184</v>
      </c>
      <c r="E2946" s="8">
        <v>299</v>
      </c>
      <c r="F2946" s="8" t="s">
        <v>22</v>
      </c>
      <c r="G2946" s="10" t="s">
        <v>5874</v>
      </c>
      <c r="H2946" s="8" t="s">
        <v>5871</v>
      </c>
      <c r="I2946" s="10" t="s">
        <v>5874</v>
      </c>
      <c r="J2946" s="11" t="s">
        <v>26</v>
      </c>
      <c r="K2946" s="57">
        <v>87.5</v>
      </c>
      <c r="L2946" s="12">
        <f t="shared" si="242"/>
        <v>175</v>
      </c>
      <c r="M2946" s="8">
        <v>3</v>
      </c>
      <c r="N2946" s="8" t="s">
        <v>27</v>
      </c>
      <c r="O2946" s="13"/>
      <c r="P2946" s="14">
        <v>0.2</v>
      </c>
      <c r="Q2946" s="15">
        <v>0.4</v>
      </c>
      <c r="R2946" s="16" t="str">
        <f t="shared" si="245"/>
        <v>LUTRON</v>
      </c>
      <c r="S2946" s="17" t="str">
        <f t="shared" si="243"/>
        <v>LUTRON</v>
      </c>
      <c r="T2946" s="10" t="str">
        <f t="shared" si="244"/>
        <v>CFL Triple Tube, DE DOS LÁMPARAS ATENUACIÓN AL 5%.</v>
      </c>
    </row>
    <row r="2947" spans="1:22" ht="27" customHeight="1" x14ac:dyDescent="0.25">
      <c r="A2947" s="8" t="s">
        <v>5672</v>
      </c>
      <c r="B2947" s="9" t="s">
        <v>5666</v>
      </c>
      <c r="C2947" s="9"/>
      <c r="D2947" s="8" t="s">
        <v>28</v>
      </c>
      <c r="E2947" s="8">
        <v>1</v>
      </c>
      <c r="F2947" s="8" t="s">
        <v>22</v>
      </c>
      <c r="G2947" s="10" t="s">
        <v>5876</v>
      </c>
      <c r="H2947" s="8" t="s">
        <v>5877</v>
      </c>
      <c r="I2947" s="10" t="s">
        <v>5878</v>
      </c>
      <c r="J2947" s="11" t="s">
        <v>26</v>
      </c>
      <c r="K2947" s="57">
        <f>645/303</f>
        <v>2.1287128712871288</v>
      </c>
      <c r="L2947" s="12">
        <f>K2947*(1+P2947)/(1-Q2947)</f>
        <v>4.2574257425742577</v>
      </c>
      <c r="M2947" s="8">
        <v>1</v>
      </c>
      <c r="N2947" s="8" t="s">
        <v>110</v>
      </c>
      <c r="O2947" s="13"/>
      <c r="P2947" s="14">
        <v>0.2</v>
      </c>
      <c r="Q2947" s="15">
        <v>0.4</v>
      </c>
      <c r="R2947" s="16" t="str">
        <f t="shared" si="245"/>
        <v>LUTRON</v>
      </c>
      <c r="S2947" s="17" t="str">
        <f t="shared" si="243"/>
        <v>LUTRON</v>
      </c>
      <c r="T2947" s="10" t="str">
        <f t="shared" si="244"/>
        <v>METRO DE CABLE CERTIFICADO CON RECUBRIMIENTO EN PVC AISLADO.</v>
      </c>
      <c r="V2947" s="21">
        <f>L2947*303</f>
        <v>1290</v>
      </c>
    </row>
    <row r="2948" spans="1:22" ht="27" customHeight="1" x14ac:dyDescent="0.25">
      <c r="A2948" s="8" t="s">
        <v>5672</v>
      </c>
      <c r="B2948" s="9" t="s">
        <v>5666</v>
      </c>
      <c r="C2948" s="9"/>
      <c r="D2948" s="8" t="s">
        <v>4058</v>
      </c>
      <c r="E2948" s="8">
        <v>1</v>
      </c>
      <c r="F2948" s="8" t="s">
        <v>22</v>
      </c>
      <c r="G2948" s="10" t="s">
        <v>5879</v>
      </c>
      <c r="H2948" s="8" t="s">
        <v>5880</v>
      </c>
      <c r="I2948" s="10" t="s">
        <v>5881</v>
      </c>
      <c r="J2948" s="11" t="s">
        <v>26</v>
      </c>
      <c r="K2948" s="57">
        <v>117.04</v>
      </c>
      <c r="L2948" s="12">
        <f>ROUNDUP(K2948*(1+P2948)/(1-Q2948),0)</f>
        <v>188</v>
      </c>
      <c r="M2948" s="8">
        <v>1</v>
      </c>
      <c r="N2948" s="8" t="s">
        <v>27</v>
      </c>
      <c r="O2948" s="13"/>
      <c r="P2948" s="14">
        <v>0.2</v>
      </c>
      <c r="Q2948" s="15">
        <v>0.24986666666666679</v>
      </c>
      <c r="R2948" s="16" t="str">
        <f t="shared" si="245"/>
        <v>LUTRON</v>
      </c>
      <c r="S2948" s="17" t="str">
        <f t="shared" si="243"/>
        <v>LUTRON</v>
      </c>
      <c r="T2948" s="10" t="str">
        <f t="shared" si="244"/>
        <v>ATENUADOR PARA CARGAS TIPO LED, HALÓGENA Y OTRAS CON FASE ADAPTATIVA.</v>
      </c>
    </row>
    <row r="2949" spans="1:22" ht="27" customHeight="1" x14ac:dyDescent="0.25">
      <c r="A2949" s="8" t="s">
        <v>5672</v>
      </c>
      <c r="B2949" s="9" t="s">
        <v>5666</v>
      </c>
      <c r="C2949" s="9"/>
      <c r="D2949" s="8" t="s">
        <v>4058</v>
      </c>
      <c r="E2949" s="8">
        <v>2</v>
      </c>
      <c r="F2949" s="8" t="s">
        <v>22</v>
      </c>
      <c r="G2949" s="10" t="s">
        <v>5882</v>
      </c>
      <c r="H2949" s="8" t="s">
        <v>5883</v>
      </c>
      <c r="I2949" s="10" t="s">
        <v>5884</v>
      </c>
      <c r="J2949" s="11" t="s">
        <v>26</v>
      </c>
      <c r="K2949" s="57">
        <v>47.58</v>
      </c>
      <c r="L2949" s="12">
        <f>K2949*(1+P2949)/(1-Q2949)</f>
        <v>78.951145002004409</v>
      </c>
      <c r="M2949" s="8">
        <v>1</v>
      </c>
      <c r="N2949" s="8" t="s">
        <v>27</v>
      </c>
      <c r="O2949" s="13"/>
      <c r="P2949" s="14">
        <v>0.2</v>
      </c>
      <c r="Q2949" s="15">
        <v>0.2768185946061904</v>
      </c>
      <c r="R2949" s="16" t="str">
        <f t="shared" si="245"/>
        <v>LUTRON</v>
      </c>
      <c r="S2949" s="17" t="str">
        <f t="shared" si="243"/>
        <v>LUTRON</v>
      </c>
      <c r="T2949" s="10" t="str">
        <f t="shared" si="244"/>
        <v>DIMMER DE PARED DE LA SERIE CASETA WIRELESS.</v>
      </c>
    </row>
    <row r="2950" spans="1:22" ht="27" customHeight="1" x14ac:dyDescent="0.25">
      <c r="A2950" s="8" t="s">
        <v>5672</v>
      </c>
      <c r="B2950" s="9" t="s">
        <v>5666</v>
      </c>
      <c r="C2950" s="9"/>
      <c r="D2950" s="8" t="s">
        <v>4058</v>
      </c>
      <c r="E2950" s="8">
        <v>3</v>
      </c>
      <c r="F2950" s="8" t="s">
        <v>22</v>
      </c>
      <c r="G2950" s="10" t="s">
        <v>5882</v>
      </c>
      <c r="H2950" s="8" t="s">
        <v>5885</v>
      </c>
      <c r="I2950" s="10" t="s">
        <v>5886</v>
      </c>
      <c r="J2950" s="11" t="s">
        <v>26</v>
      </c>
      <c r="K2950" s="57">
        <v>47.58</v>
      </c>
      <c r="L2950" s="12">
        <f>K2950*(1+P2950)/(1-Q2950)</f>
        <v>79.078141879726303</v>
      </c>
      <c r="M2950" s="8">
        <v>1</v>
      </c>
      <c r="N2950" s="8" t="s">
        <v>27</v>
      </c>
      <c r="O2950" s="13"/>
      <c r="P2950" s="14">
        <v>0.2</v>
      </c>
      <c r="Q2950" s="15">
        <v>0.27797999999999989</v>
      </c>
      <c r="R2950" s="16" t="str">
        <f t="shared" si="245"/>
        <v>LUTRON</v>
      </c>
      <c r="S2950" s="17" t="str">
        <f t="shared" si="243"/>
        <v>LUTRON</v>
      </c>
      <c r="T2950" s="10" t="str">
        <f t="shared" si="244"/>
        <v>DIMMER DE PARED DE LA SERIE CASETA WIRELESS.</v>
      </c>
    </row>
    <row r="2951" spans="1:22" ht="27" customHeight="1" x14ac:dyDescent="0.25">
      <c r="A2951" s="8" t="s">
        <v>5672</v>
      </c>
      <c r="B2951" s="9" t="s">
        <v>5666</v>
      </c>
      <c r="C2951" s="9"/>
      <c r="D2951" s="8" t="s">
        <v>4058</v>
      </c>
      <c r="E2951" s="8">
        <v>4</v>
      </c>
      <c r="F2951" s="8" t="s">
        <v>22</v>
      </c>
      <c r="G2951" s="10" t="s">
        <v>5882</v>
      </c>
      <c r="H2951" s="8" t="s">
        <v>5887</v>
      </c>
      <c r="I2951" s="10" t="s">
        <v>5888</v>
      </c>
      <c r="J2951" s="11" t="s">
        <v>26</v>
      </c>
      <c r="K2951" s="57">
        <v>47.58</v>
      </c>
      <c r="L2951" s="12">
        <f>K2951*(1+P2951)/(1-Q2951)</f>
        <v>79.078141879726303</v>
      </c>
      <c r="M2951" s="8">
        <v>1</v>
      </c>
      <c r="N2951" s="8" t="s">
        <v>27</v>
      </c>
      <c r="O2951" s="13"/>
      <c r="P2951" s="14">
        <v>0.2</v>
      </c>
      <c r="Q2951" s="15">
        <v>0.27797999999999989</v>
      </c>
      <c r="R2951" s="16" t="str">
        <f t="shared" si="245"/>
        <v>LUTRON</v>
      </c>
      <c r="S2951" s="17" t="str">
        <f t="shared" si="243"/>
        <v>LUTRON</v>
      </c>
      <c r="T2951" s="10" t="str">
        <f t="shared" si="244"/>
        <v>DIMMER DE PARED DE LA SERIE CASETA WIRELESS.</v>
      </c>
    </row>
    <row r="2952" spans="1:22" ht="27" customHeight="1" x14ac:dyDescent="0.25">
      <c r="A2952" s="8" t="s">
        <v>5672</v>
      </c>
      <c r="B2952" s="9" t="s">
        <v>5666</v>
      </c>
      <c r="C2952" s="9"/>
      <c r="D2952" s="8" t="s">
        <v>4058</v>
      </c>
      <c r="E2952" s="8">
        <v>5</v>
      </c>
      <c r="F2952" s="8" t="s">
        <v>22</v>
      </c>
      <c r="G2952" s="10" t="s">
        <v>5882</v>
      </c>
      <c r="H2952" s="8" t="s">
        <v>5889</v>
      </c>
      <c r="I2952" s="10" t="s">
        <v>5890</v>
      </c>
      <c r="J2952" s="11" t="s">
        <v>26</v>
      </c>
      <c r="K2952" s="57">
        <v>47.58</v>
      </c>
      <c r="L2952" s="12">
        <f>K2952*(1+P2952)/(1-Q2952)</f>
        <v>79.078141879726303</v>
      </c>
      <c r="M2952" s="8">
        <v>1</v>
      </c>
      <c r="N2952" s="8" t="s">
        <v>27</v>
      </c>
      <c r="O2952" s="13"/>
      <c r="P2952" s="14">
        <v>0.2</v>
      </c>
      <c r="Q2952" s="15">
        <v>0.27797999999999989</v>
      </c>
      <c r="R2952" s="16" t="str">
        <f t="shared" si="245"/>
        <v>LUTRON</v>
      </c>
      <c r="S2952" s="17" t="str">
        <f t="shared" si="243"/>
        <v>LUTRON</v>
      </c>
      <c r="T2952" s="10" t="str">
        <f t="shared" si="244"/>
        <v>DIMMER DE PARED DE LA SERIE CASETA WIRELESS.</v>
      </c>
    </row>
    <row r="2953" spans="1:22" ht="27" customHeight="1" x14ac:dyDescent="0.25">
      <c r="A2953" s="8" t="s">
        <v>5672</v>
      </c>
      <c r="B2953" s="9" t="s">
        <v>5666</v>
      </c>
      <c r="C2953" s="9"/>
      <c r="D2953" s="8" t="s">
        <v>4058</v>
      </c>
      <c r="E2953" s="8">
        <v>6</v>
      </c>
      <c r="F2953" s="8" t="s">
        <v>22</v>
      </c>
      <c r="G2953" s="10" t="s">
        <v>5891</v>
      </c>
      <c r="H2953" s="8" t="s">
        <v>5892</v>
      </c>
      <c r="I2953" s="10" t="s">
        <v>5893</v>
      </c>
      <c r="J2953" s="11" t="s">
        <v>26</v>
      </c>
      <c r="K2953" s="57">
        <v>38.4</v>
      </c>
      <c r="L2953" s="12">
        <f>ROUNDUP(K2953*(1+P2953)/(1-Q2953),0)</f>
        <v>64</v>
      </c>
      <c r="M2953" s="8">
        <v>1</v>
      </c>
      <c r="N2953" s="8" t="s">
        <v>27</v>
      </c>
      <c r="O2953" s="13"/>
      <c r="P2953" s="14">
        <v>0.2</v>
      </c>
      <c r="Q2953" s="15">
        <v>0.26894000000000001</v>
      </c>
      <c r="R2953" s="16" t="str">
        <f t="shared" si="245"/>
        <v>LUTRON</v>
      </c>
      <c r="S2953" s="17" t="str">
        <f t="shared" si="243"/>
        <v>LUTRON</v>
      </c>
      <c r="T2953" s="10" t="str">
        <f t="shared" si="244"/>
        <v>DIMMER PARA LÁMPARA DE MESA DE LA SERIE CASETA WIRELESS.</v>
      </c>
    </row>
    <row r="2954" spans="1:22" ht="27" customHeight="1" x14ac:dyDescent="0.25">
      <c r="A2954" s="8" t="s">
        <v>5672</v>
      </c>
      <c r="B2954" s="9" t="s">
        <v>5666</v>
      </c>
      <c r="C2954" s="9"/>
      <c r="D2954" s="8" t="s">
        <v>4058</v>
      </c>
      <c r="E2954" s="8">
        <v>7</v>
      </c>
      <c r="F2954" s="8" t="s">
        <v>22</v>
      </c>
      <c r="G2954" s="10" t="s">
        <v>5894</v>
      </c>
      <c r="H2954" s="8" t="s">
        <v>5895</v>
      </c>
      <c r="I2954" s="10" t="s">
        <v>5894</v>
      </c>
      <c r="J2954" s="11" t="s">
        <v>26</v>
      </c>
      <c r="K2954" s="57">
        <v>102.6</v>
      </c>
      <c r="L2954" s="12">
        <f>K2954*(1+P2954)/(1-Q2954)</f>
        <v>180.00000605372713</v>
      </c>
      <c r="M2954" s="8">
        <v>1</v>
      </c>
      <c r="N2954" s="8" t="s">
        <v>27</v>
      </c>
      <c r="O2954" s="13"/>
      <c r="P2954" s="14">
        <v>0.2</v>
      </c>
      <c r="Q2954" s="15">
        <v>0.31600002300416241</v>
      </c>
      <c r="R2954" s="16" t="str">
        <f t="shared" si="245"/>
        <v>LUTRON</v>
      </c>
      <c r="S2954" s="17" t="str">
        <f t="shared" si="243"/>
        <v>LUTRON</v>
      </c>
      <c r="T2954" s="10" t="str">
        <f t="shared" si="244"/>
        <v>MÓDULO DE ATENUACIÓN INALÁMBRICO PARA CARGAS 0_10 VOLTIOS HASTA 8 AMPERIOS.</v>
      </c>
    </row>
    <row r="2955" spans="1:22" ht="27" customHeight="1" x14ac:dyDescent="0.25">
      <c r="A2955" s="8" t="s">
        <v>5672</v>
      </c>
      <c r="B2955" s="9" t="s">
        <v>5666</v>
      </c>
      <c r="C2955" s="9"/>
      <c r="D2955" s="8" t="s">
        <v>4058</v>
      </c>
      <c r="E2955" s="8">
        <v>8</v>
      </c>
      <c r="F2955" s="8" t="s">
        <v>22</v>
      </c>
      <c r="G2955" s="10" t="s">
        <v>5896</v>
      </c>
      <c r="H2955" s="8" t="s">
        <v>5897</v>
      </c>
      <c r="I2955" s="10" t="s">
        <v>5898</v>
      </c>
      <c r="J2955" s="11" t="s">
        <v>26</v>
      </c>
      <c r="K2955" s="57">
        <v>101.4</v>
      </c>
      <c r="L2955" s="12">
        <f>ROUNDUP(K2955*(1+P2955)/(1-Q2955),0)</f>
        <v>169</v>
      </c>
      <c r="M2955" s="8">
        <v>1</v>
      </c>
      <c r="N2955" s="8" t="s">
        <v>27</v>
      </c>
      <c r="O2955" s="13"/>
      <c r="P2955" s="14">
        <v>0.2</v>
      </c>
      <c r="Q2955" s="15">
        <v>0.28000000000000003</v>
      </c>
      <c r="R2955" s="16" t="str">
        <f t="shared" si="245"/>
        <v>LUTRON</v>
      </c>
      <c r="S2955" s="17" t="str">
        <f t="shared" si="243"/>
        <v>LUTRON</v>
      </c>
      <c r="T2955" s="10" t="str">
        <f t="shared" si="244"/>
        <v>DIMMER DE LA SERIE RADIO RA2 DE FASE ADAPTATIVA.</v>
      </c>
    </row>
    <row r="2956" spans="1:22" ht="27" customHeight="1" x14ac:dyDescent="0.25">
      <c r="A2956" s="8" t="s">
        <v>5672</v>
      </c>
      <c r="B2956" s="9" t="s">
        <v>5666</v>
      </c>
      <c r="C2956" s="9"/>
      <c r="D2956" s="8" t="s">
        <v>4058</v>
      </c>
      <c r="E2956" s="8">
        <v>9</v>
      </c>
      <c r="F2956" s="8" t="s">
        <v>22</v>
      </c>
      <c r="G2956" s="10" t="s">
        <v>5899</v>
      </c>
      <c r="H2956" s="8" t="s">
        <v>5900</v>
      </c>
      <c r="I2956" s="10" t="s">
        <v>5901</v>
      </c>
      <c r="J2956" s="11" t="s">
        <v>26</v>
      </c>
      <c r="K2956" s="57">
        <v>60.5</v>
      </c>
      <c r="L2956" s="12">
        <f>K2956*(1+P2956)/(1-Q2956)</f>
        <v>110.00001128259643</v>
      </c>
      <c r="M2956" s="8">
        <v>1</v>
      </c>
      <c r="N2956" s="8" t="s">
        <v>27</v>
      </c>
      <c r="O2956" s="13"/>
      <c r="P2956" s="14">
        <v>0.2</v>
      </c>
      <c r="Q2956" s="15">
        <v>0.34000006769557167</v>
      </c>
      <c r="R2956" s="16" t="str">
        <f t="shared" si="245"/>
        <v>LUTRON</v>
      </c>
      <c r="S2956" s="17" t="str">
        <f t="shared" si="243"/>
        <v>LUTRON</v>
      </c>
      <c r="T2956" s="10" t="str">
        <f t="shared" si="244"/>
        <v>DIMMER DE LA SERIE MAESTRO WIRELESS DE FASE ADAPTATIVA.</v>
      </c>
    </row>
    <row r="2957" spans="1:22" ht="27" customHeight="1" x14ac:dyDescent="0.25">
      <c r="A2957" s="8" t="s">
        <v>5672</v>
      </c>
      <c r="B2957" s="9" t="s">
        <v>5666</v>
      </c>
      <c r="C2957" s="9"/>
      <c r="D2957" s="8" t="s">
        <v>4058</v>
      </c>
      <c r="E2957" s="8">
        <v>10</v>
      </c>
      <c r="F2957" s="8" t="s">
        <v>22</v>
      </c>
      <c r="G2957" s="10" t="s">
        <v>5902</v>
      </c>
      <c r="H2957" s="8" t="s">
        <v>5903</v>
      </c>
      <c r="I2957" s="10" t="s">
        <v>5904</v>
      </c>
      <c r="J2957" s="11" t="s">
        <v>26</v>
      </c>
      <c r="K2957" s="57">
        <v>125.4</v>
      </c>
      <c r="L2957" s="12">
        <f>ROUNDUP(K2957*(1+P2957)/(1-Q2957),0)</f>
        <v>209</v>
      </c>
      <c r="M2957" s="8">
        <v>1</v>
      </c>
      <c r="N2957" s="8" t="s">
        <v>27</v>
      </c>
      <c r="O2957" s="13"/>
      <c r="P2957" s="14">
        <v>0.2</v>
      </c>
      <c r="Q2957" s="15">
        <v>0.28000000000000003</v>
      </c>
      <c r="R2957" s="16" t="str">
        <f t="shared" si="245"/>
        <v>LUTRON</v>
      </c>
      <c r="S2957" s="17" t="str">
        <f t="shared" si="243"/>
        <v>LUTRON</v>
      </c>
      <c r="T2957" s="10" t="str">
        <f t="shared" si="244"/>
        <v>DIMMER DE FASE ADAPTATIVA PARA CARGAS LED O HALÓGENAS ATENUABLES.</v>
      </c>
    </row>
    <row r="2958" spans="1:22" ht="27" customHeight="1" x14ac:dyDescent="0.25">
      <c r="A2958" s="8" t="s">
        <v>5672</v>
      </c>
      <c r="B2958" s="9" t="s">
        <v>5666</v>
      </c>
      <c r="C2958" s="9"/>
      <c r="D2958" s="8" t="s">
        <v>5905</v>
      </c>
      <c r="E2958" s="8">
        <v>1</v>
      </c>
      <c r="F2958" s="8" t="s">
        <v>22</v>
      </c>
      <c r="G2958" s="10" t="s">
        <v>5906</v>
      </c>
      <c r="H2958" s="8" t="s">
        <v>5907</v>
      </c>
      <c r="I2958" s="61" t="s">
        <v>5908</v>
      </c>
      <c r="J2958" s="11" t="s">
        <v>26</v>
      </c>
      <c r="K2958" s="130">
        <v>57.5</v>
      </c>
      <c r="L2958" s="12">
        <f>ROUNDUP(K2958*(1+P2958)/(1-Q2958),0)</f>
        <v>115</v>
      </c>
      <c r="M2958" s="8">
        <v>1</v>
      </c>
      <c r="N2958" s="8" t="s">
        <v>27</v>
      </c>
      <c r="O2958" s="13"/>
      <c r="P2958" s="14">
        <v>0.2</v>
      </c>
      <c r="Q2958" s="15">
        <v>0.4</v>
      </c>
      <c r="R2958" s="16" t="str">
        <f t="shared" si="245"/>
        <v>LUTRON</v>
      </c>
      <c r="S2958" s="17" t="str">
        <f t="shared" si="243"/>
        <v>LUTRON</v>
      </c>
      <c r="T2958" s="10" t="str">
        <f t="shared" si="244"/>
        <v>INTERFAZ PARA INTEGRACIÓN DE ATENUADOR 0_10V A SISTEMA ECOSYSTEM.</v>
      </c>
    </row>
    <row r="2959" spans="1:22" ht="27" customHeight="1" x14ac:dyDescent="0.25">
      <c r="A2959" s="8" t="s">
        <v>5672</v>
      </c>
      <c r="B2959" s="9" t="s">
        <v>5666</v>
      </c>
      <c r="C2959" s="9"/>
      <c r="D2959" s="8" t="s">
        <v>5909</v>
      </c>
      <c r="E2959" s="8">
        <v>1</v>
      </c>
      <c r="F2959" s="8" t="s">
        <v>22</v>
      </c>
      <c r="G2959" s="10" t="s">
        <v>5910</v>
      </c>
      <c r="H2959" s="8" t="s">
        <v>5911</v>
      </c>
      <c r="I2959" s="10" t="s">
        <v>5912</v>
      </c>
      <c r="J2959" s="11" t="s">
        <v>26</v>
      </c>
      <c r="K2959" s="57">
        <v>16.329999999999998</v>
      </c>
      <c r="L2959" s="12">
        <f>K2959*(1+P2959)/(1-Q2959)</f>
        <v>32.659999999999997</v>
      </c>
      <c r="M2959" s="8">
        <v>1</v>
      </c>
      <c r="N2959" s="8" t="s">
        <v>27</v>
      </c>
      <c r="O2959" s="13"/>
      <c r="P2959" s="14">
        <v>0.2</v>
      </c>
      <c r="Q2959" s="15">
        <v>0.4</v>
      </c>
      <c r="R2959" s="16" t="str">
        <f t="shared" si="245"/>
        <v>LUTRON</v>
      </c>
      <c r="S2959" s="17" t="str">
        <f t="shared" si="243"/>
        <v>LUTRON</v>
      </c>
      <c r="T2959" s="10" t="str">
        <f t="shared" si="244"/>
        <v>INTERRUPTOR CON SENSOR DE PRESENCIA INFRA ROJO PARA CARGAS HASTA 2 AMPERIOS.</v>
      </c>
    </row>
    <row r="2960" spans="1:22" ht="27" customHeight="1" x14ac:dyDescent="0.25">
      <c r="A2960" s="8" t="s">
        <v>5672</v>
      </c>
      <c r="B2960" s="9" t="s">
        <v>5666</v>
      </c>
      <c r="C2960" s="9"/>
      <c r="D2960" s="8" t="s">
        <v>5909</v>
      </c>
      <c r="E2960" s="8">
        <v>2</v>
      </c>
      <c r="F2960" s="8" t="s">
        <v>22</v>
      </c>
      <c r="G2960" s="10" t="s">
        <v>5913</v>
      </c>
      <c r="H2960" s="8" t="s">
        <v>5914</v>
      </c>
      <c r="I2960" s="10" t="s">
        <v>5915</v>
      </c>
      <c r="J2960" s="11" t="s">
        <v>26</v>
      </c>
      <c r="K2960" s="57">
        <v>49.5</v>
      </c>
      <c r="L2960" s="12">
        <f t="shared" ref="L2960:L2977" si="246">ROUNDUP(K2960*(1+P2960)/(1-Q2960),0)</f>
        <v>99</v>
      </c>
      <c r="M2960" s="8">
        <v>1</v>
      </c>
      <c r="N2960" s="8" t="s">
        <v>27</v>
      </c>
      <c r="O2960" s="13"/>
      <c r="P2960" s="14">
        <v>0.2</v>
      </c>
      <c r="Q2960" s="15">
        <v>0.4</v>
      </c>
      <c r="R2960" s="16" t="str">
        <f t="shared" si="245"/>
        <v>LUTRON</v>
      </c>
      <c r="S2960" s="17" t="str">
        <f t="shared" si="243"/>
        <v>LUTRON</v>
      </c>
      <c r="T2960" s="10" t="str">
        <f t="shared" si="244"/>
        <v>MODULO INTERRUPTOR INALÁMBRICO.</v>
      </c>
    </row>
    <row r="2961" spans="1:20" ht="27" customHeight="1" x14ac:dyDescent="0.25">
      <c r="A2961" s="8" t="s">
        <v>5672</v>
      </c>
      <c r="B2961" s="9" t="s">
        <v>5666</v>
      </c>
      <c r="C2961" s="9"/>
      <c r="D2961" s="8" t="s">
        <v>5909</v>
      </c>
      <c r="E2961" s="8">
        <v>3</v>
      </c>
      <c r="F2961" s="8" t="s">
        <v>22</v>
      </c>
      <c r="G2961" s="10" t="s">
        <v>5916</v>
      </c>
      <c r="H2961" s="8" t="s">
        <v>5917</v>
      </c>
      <c r="I2961" s="10" t="s">
        <v>5918</v>
      </c>
      <c r="J2961" s="11" t="s">
        <v>26</v>
      </c>
      <c r="K2961" s="57">
        <v>60</v>
      </c>
      <c r="L2961" s="12">
        <f t="shared" si="246"/>
        <v>120</v>
      </c>
      <c r="M2961" s="8">
        <v>1</v>
      </c>
      <c r="N2961" s="8" t="s">
        <v>27</v>
      </c>
      <c r="O2961" s="13"/>
      <c r="P2961" s="14">
        <v>0.2</v>
      </c>
      <c r="Q2961" s="15">
        <v>0.4</v>
      </c>
      <c r="R2961" s="16" t="str">
        <f t="shared" si="245"/>
        <v>LUTRON</v>
      </c>
      <c r="S2961" s="17" t="str">
        <f t="shared" si="243"/>
        <v>LUTRON</v>
      </c>
      <c r="T2961" s="10" t="str">
        <f t="shared" si="244"/>
        <v>INTERRUPTOR COMPATIBLE CON SENSORES Y TECLADOS INALÁMBRICOS.</v>
      </c>
    </row>
    <row r="2962" spans="1:20" ht="27" customHeight="1" x14ac:dyDescent="0.25">
      <c r="A2962" s="8" t="s">
        <v>5672</v>
      </c>
      <c r="B2962" s="9" t="s">
        <v>5666</v>
      </c>
      <c r="C2962" s="9"/>
      <c r="D2962" s="8" t="s">
        <v>188</v>
      </c>
      <c r="E2962" s="8">
        <v>1</v>
      </c>
      <c r="F2962" s="8" t="s">
        <v>22</v>
      </c>
      <c r="G2962" s="10" t="s">
        <v>5919</v>
      </c>
      <c r="H2962" s="8" t="s">
        <v>5920</v>
      </c>
      <c r="I2962" s="10" t="s">
        <v>5921</v>
      </c>
      <c r="J2962" s="11" t="s">
        <v>26</v>
      </c>
      <c r="K2962" s="57">
        <v>19.440000000000001</v>
      </c>
      <c r="L2962" s="12">
        <f t="shared" si="246"/>
        <v>32</v>
      </c>
      <c r="M2962" s="8">
        <v>1</v>
      </c>
      <c r="N2962" s="8" t="s">
        <v>27</v>
      </c>
      <c r="O2962" s="13"/>
      <c r="P2962" s="14">
        <v>0.2</v>
      </c>
      <c r="Q2962" s="15">
        <v>0.26400000000000001</v>
      </c>
      <c r="R2962" s="16" t="str">
        <f t="shared" si="245"/>
        <v>LUTRON</v>
      </c>
      <c r="S2962" s="17" t="str">
        <f t="shared" si="243"/>
        <v>LUTRON</v>
      </c>
      <c r="T2962" s="10" t="str">
        <f t="shared" si="244"/>
        <v>TECLADO PICO EN COLOR BLANCO CON AJUSTADOR DE INTENSIDAD.</v>
      </c>
    </row>
    <row r="2963" spans="1:20" ht="27" customHeight="1" x14ac:dyDescent="0.25">
      <c r="A2963" s="8" t="s">
        <v>5672</v>
      </c>
      <c r="B2963" s="9" t="s">
        <v>5666</v>
      </c>
      <c r="C2963" s="9"/>
      <c r="D2963" s="8" t="s">
        <v>188</v>
      </c>
      <c r="E2963" s="8">
        <v>2</v>
      </c>
      <c r="F2963" s="8" t="s">
        <v>22</v>
      </c>
      <c r="G2963" s="10" t="s">
        <v>5922</v>
      </c>
      <c r="H2963" s="8" t="s">
        <v>5923</v>
      </c>
      <c r="I2963" s="10" t="s">
        <v>5924</v>
      </c>
      <c r="J2963" s="11" t="s">
        <v>26</v>
      </c>
      <c r="K2963" s="57">
        <v>16.2</v>
      </c>
      <c r="L2963" s="12">
        <f t="shared" si="246"/>
        <v>27</v>
      </c>
      <c r="M2963" s="8">
        <v>1</v>
      </c>
      <c r="N2963" s="8" t="s">
        <v>27</v>
      </c>
      <c r="O2963" s="13"/>
      <c r="P2963" s="14">
        <v>0.2</v>
      </c>
      <c r="Q2963" s="15">
        <v>0.26400000000000001</v>
      </c>
      <c r="R2963" s="16" t="str">
        <f t="shared" si="245"/>
        <v>LUTRON</v>
      </c>
      <c r="S2963" s="17" t="str">
        <f t="shared" si="243"/>
        <v>LUTRON</v>
      </c>
      <c r="T2963" s="10" t="str">
        <f t="shared" si="244"/>
        <v>TECLADO PICO EN COLOR ALMENDRA CON AJUSTADOR DE INTENSIDAD.</v>
      </c>
    </row>
    <row r="2964" spans="1:20" ht="27" customHeight="1" x14ac:dyDescent="0.25">
      <c r="A2964" s="8" t="s">
        <v>5672</v>
      </c>
      <c r="B2964" s="9" t="s">
        <v>5666</v>
      </c>
      <c r="C2964" s="9"/>
      <c r="D2964" s="8" t="s">
        <v>188</v>
      </c>
      <c r="E2964" s="8">
        <v>3</v>
      </c>
      <c r="F2964" s="8" t="s">
        <v>22</v>
      </c>
      <c r="G2964" s="10" t="s">
        <v>5925</v>
      </c>
      <c r="H2964" s="8" t="s">
        <v>5926</v>
      </c>
      <c r="I2964" s="10" t="s">
        <v>5927</v>
      </c>
      <c r="J2964" s="11" t="s">
        <v>26</v>
      </c>
      <c r="K2964" s="57">
        <v>29.5</v>
      </c>
      <c r="L2964" s="12">
        <f t="shared" si="246"/>
        <v>59</v>
      </c>
      <c r="M2964" s="8">
        <v>1</v>
      </c>
      <c r="N2964" s="8" t="s">
        <v>27</v>
      </c>
      <c r="O2964" s="13"/>
      <c r="P2964" s="14">
        <v>0.2</v>
      </c>
      <c r="Q2964" s="15">
        <v>0.4</v>
      </c>
      <c r="R2964" s="16" t="str">
        <f t="shared" si="245"/>
        <v>LUTRON</v>
      </c>
      <c r="S2964" s="17" t="str">
        <f t="shared" si="243"/>
        <v>LUTRON</v>
      </c>
      <c r="T2964" s="10" t="str">
        <f t="shared" si="244"/>
        <v>TECLADO PICO EN COLOR MARFIL CON AJUSTADOR DE INTENSIDAD.</v>
      </c>
    </row>
    <row r="2965" spans="1:20" ht="27" customHeight="1" x14ac:dyDescent="0.25">
      <c r="A2965" s="8" t="s">
        <v>5672</v>
      </c>
      <c r="B2965" s="9" t="s">
        <v>5666</v>
      </c>
      <c r="C2965" s="9"/>
      <c r="D2965" s="8" t="s">
        <v>188</v>
      </c>
      <c r="E2965" s="8">
        <v>4</v>
      </c>
      <c r="F2965" s="8" t="s">
        <v>22</v>
      </c>
      <c r="G2965" s="10" t="s">
        <v>5928</v>
      </c>
      <c r="H2965" s="8" t="s">
        <v>5929</v>
      </c>
      <c r="I2965" s="10" t="s">
        <v>5930</v>
      </c>
      <c r="J2965" s="11" t="s">
        <v>26</v>
      </c>
      <c r="K2965" s="57">
        <v>31</v>
      </c>
      <c r="L2965" s="12">
        <f t="shared" si="246"/>
        <v>62</v>
      </c>
      <c r="M2965" s="8">
        <v>1</v>
      </c>
      <c r="N2965" s="8" t="s">
        <v>27</v>
      </c>
      <c r="O2965" s="13"/>
      <c r="P2965" s="14">
        <v>0.2</v>
      </c>
      <c r="Q2965" s="15">
        <v>0.4</v>
      </c>
      <c r="R2965" s="16" t="str">
        <f t="shared" si="245"/>
        <v>LUTRON</v>
      </c>
      <c r="S2965" s="17" t="str">
        <f t="shared" si="243"/>
        <v>LUTRON</v>
      </c>
      <c r="T2965" s="10" t="str">
        <f t="shared" si="244"/>
        <v>TECLADO PICO EN COLOR NEGRO CON AJUSTADOR DE INTENSIDAD.</v>
      </c>
    </row>
    <row r="2966" spans="1:20" ht="27" customHeight="1" x14ac:dyDescent="0.25">
      <c r="A2966" s="8" t="s">
        <v>5672</v>
      </c>
      <c r="B2966" s="9" t="s">
        <v>5666</v>
      </c>
      <c r="C2966" s="9"/>
      <c r="D2966" s="8" t="s">
        <v>188</v>
      </c>
      <c r="E2966" s="8">
        <v>5</v>
      </c>
      <c r="F2966" s="8" t="s">
        <v>22</v>
      </c>
      <c r="G2966" s="10" t="s">
        <v>5931</v>
      </c>
      <c r="H2966" s="8" t="s">
        <v>5932</v>
      </c>
      <c r="I2966" s="10" t="s">
        <v>5931</v>
      </c>
      <c r="J2966" s="11" t="s">
        <v>26</v>
      </c>
      <c r="K2966" s="57">
        <v>13.5</v>
      </c>
      <c r="L2966" s="12">
        <f t="shared" si="246"/>
        <v>27</v>
      </c>
      <c r="M2966" s="8">
        <v>1</v>
      </c>
      <c r="N2966" s="8" t="s">
        <v>27</v>
      </c>
      <c r="O2966" s="13"/>
      <c r="P2966" s="14">
        <v>0.2</v>
      </c>
      <c r="Q2966" s="15">
        <v>0.4</v>
      </c>
      <c r="R2966" s="16" t="str">
        <f t="shared" si="245"/>
        <v>LUTRON</v>
      </c>
      <c r="S2966" s="17" t="str">
        <f t="shared" si="243"/>
        <v>LUTRON</v>
      </c>
      <c r="T2966" s="10" t="str">
        <f t="shared" si="244"/>
        <v>TECLADO PICO EN COLOR BLANCO CON BOTONES DE ENCENDIDO Y APAGADO.</v>
      </c>
    </row>
    <row r="2967" spans="1:20" ht="27" customHeight="1" x14ac:dyDescent="0.25">
      <c r="A2967" s="8" t="s">
        <v>5672</v>
      </c>
      <c r="B2967" s="9" t="s">
        <v>5666</v>
      </c>
      <c r="C2967" s="9"/>
      <c r="D2967" s="8" t="s">
        <v>188</v>
      </c>
      <c r="E2967" s="8">
        <v>6</v>
      </c>
      <c r="F2967" s="8" t="s">
        <v>22</v>
      </c>
      <c r="G2967" s="10" t="s">
        <v>5933</v>
      </c>
      <c r="H2967" s="8" t="s">
        <v>5934</v>
      </c>
      <c r="I2967" s="10" t="s">
        <v>5933</v>
      </c>
      <c r="J2967" s="11" t="s">
        <v>26</v>
      </c>
      <c r="K2967" s="57">
        <v>31</v>
      </c>
      <c r="L2967" s="12">
        <f t="shared" si="246"/>
        <v>62</v>
      </c>
      <c r="M2967" s="8">
        <v>1</v>
      </c>
      <c r="N2967" s="8" t="s">
        <v>27</v>
      </c>
      <c r="O2967" s="13"/>
      <c r="P2967" s="14">
        <v>0.2</v>
      </c>
      <c r="Q2967" s="15">
        <v>0.4</v>
      </c>
      <c r="R2967" s="16" t="str">
        <f t="shared" si="245"/>
        <v>LUTRON</v>
      </c>
      <c r="S2967" s="17" t="str">
        <f t="shared" si="243"/>
        <v>LUTRON</v>
      </c>
      <c r="T2967" s="10" t="str">
        <f t="shared" si="244"/>
        <v>TECLADO PICO EN COLOR ALMENDRA CON BOTONES DE ENCENDIDO Y APAGADO.</v>
      </c>
    </row>
    <row r="2968" spans="1:20" ht="27" customHeight="1" x14ac:dyDescent="0.25">
      <c r="A2968" s="8" t="s">
        <v>5672</v>
      </c>
      <c r="B2968" s="9" t="s">
        <v>5666</v>
      </c>
      <c r="C2968" s="9"/>
      <c r="D2968" s="8" t="s">
        <v>188</v>
      </c>
      <c r="E2968" s="8">
        <v>7</v>
      </c>
      <c r="F2968" s="8" t="s">
        <v>22</v>
      </c>
      <c r="G2968" s="10" t="s">
        <v>5935</v>
      </c>
      <c r="H2968" s="8" t="s">
        <v>5936</v>
      </c>
      <c r="I2968" s="10" t="s">
        <v>5935</v>
      </c>
      <c r="J2968" s="11" t="s">
        <v>26</v>
      </c>
      <c r="K2968" s="57">
        <v>31</v>
      </c>
      <c r="L2968" s="12">
        <f t="shared" si="246"/>
        <v>62</v>
      </c>
      <c r="M2968" s="8">
        <v>1</v>
      </c>
      <c r="N2968" s="8" t="s">
        <v>27</v>
      </c>
      <c r="O2968" s="13"/>
      <c r="P2968" s="14">
        <v>0.2</v>
      </c>
      <c r="Q2968" s="15">
        <v>0.4</v>
      </c>
      <c r="R2968" s="16" t="str">
        <f t="shared" si="245"/>
        <v>LUTRON</v>
      </c>
      <c r="S2968" s="17" t="str">
        <f t="shared" ref="S2968:S3031" si="247">A2968</f>
        <v>LUTRON</v>
      </c>
      <c r="T2968" s="10" t="str">
        <f t="shared" si="244"/>
        <v>TECLADO PICO EN COLOR MARFIL CON BOTONES DE ENCENDIDO Y APAGADO.</v>
      </c>
    </row>
    <row r="2969" spans="1:20" ht="27" customHeight="1" x14ac:dyDescent="0.25">
      <c r="A2969" s="8" t="s">
        <v>5672</v>
      </c>
      <c r="B2969" s="9" t="s">
        <v>5666</v>
      </c>
      <c r="C2969" s="9"/>
      <c r="D2969" s="8" t="s">
        <v>188</v>
      </c>
      <c r="E2969" s="8">
        <v>8</v>
      </c>
      <c r="F2969" s="8" t="s">
        <v>22</v>
      </c>
      <c r="G2969" s="10" t="s">
        <v>5937</v>
      </c>
      <c r="H2969" s="8" t="s">
        <v>5938</v>
      </c>
      <c r="I2969" s="10" t="s">
        <v>5937</v>
      </c>
      <c r="J2969" s="11" t="s">
        <v>26</v>
      </c>
      <c r="K2969" s="57">
        <v>31</v>
      </c>
      <c r="L2969" s="12">
        <f t="shared" si="246"/>
        <v>62</v>
      </c>
      <c r="M2969" s="8">
        <v>1</v>
      </c>
      <c r="N2969" s="8" t="s">
        <v>27</v>
      </c>
      <c r="O2969" s="13"/>
      <c r="P2969" s="14">
        <v>0.2</v>
      </c>
      <c r="Q2969" s="15">
        <v>0.4</v>
      </c>
      <c r="R2969" s="16" t="str">
        <f t="shared" si="245"/>
        <v>LUTRON</v>
      </c>
      <c r="S2969" s="17" t="str">
        <f t="shared" si="247"/>
        <v>LUTRON</v>
      </c>
      <c r="T2969" s="10" t="str">
        <f t="shared" si="244"/>
        <v>TECLADO PICO EN COLOR NEGRO CON BOTONES DE ENCENDIDO Y APAGADO.</v>
      </c>
    </row>
    <row r="2970" spans="1:20" ht="27" customHeight="1" x14ac:dyDescent="0.25">
      <c r="A2970" s="8" t="s">
        <v>5672</v>
      </c>
      <c r="B2970" s="9" t="s">
        <v>5666</v>
      </c>
      <c r="C2970" s="9"/>
      <c r="D2970" s="8" t="s">
        <v>188</v>
      </c>
      <c r="E2970" s="8">
        <v>9</v>
      </c>
      <c r="F2970" s="8" t="s">
        <v>22</v>
      </c>
      <c r="G2970" s="10" t="s">
        <v>5919</v>
      </c>
      <c r="H2970" s="8" t="s">
        <v>5939</v>
      </c>
      <c r="I2970" s="10" t="s">
        <v>5940</v>
      </c>
      <c r="J2970" s="11" t="s">
        <v>26</v>
      </c>
      <c r="K2970" s="57">
        <v>29.5</v>
      </c>
      <c r="L2970" s="12">
        <f t="shared" si="246"/>
        <v>59</v>
      </c>
      <c r="M2970" s="8">
        <v>1</v>
      </c>
      <c r="N2970" s="8" t="s">
        <v>27</v>
      </c>
      <c r="O2970" s="13"/>
      <c r="P2970" s="14">
        <v>0.2</v>
      </c>
      <c r="Q2970" s="15">
        <v>0.4</v>
      </c>
      <c r="R2970" s="16" t="str">
        <f t="shared" si="245"/>
        <v>LUTRON</v>
      </c>
      <c r="S2970" s="17" t="str">
        <f t="shared" si="247"/>
        <v>LUTRON</v>
      </c>
      <c r="T2970" s="10" t="str">
        <f t="shared" si="244"/>
        <v>TECLADO PICO EN COLOR BLANCO CON AJUSTADOR DE INTENSIDAD.</v>
      </c>
    </row>
    <row r="2971" spans="1:20" ht="27" customHeight="1" x14ac:dyDescent="0.25">
      <c r="A2971" s="8" t="s">
        <v>5672</v>
      </c>
      <c r="B2971" s="9" t="s">
        <v>5666</v>
      </c>
      <c r="C2971" s="9"/>
      <c r="D2971" s="8" t="s">
        <v>188</v>
      </c>
      <c r="E2971" s="8">
        <v>10</v>
      </c>
      <c r="F2971" s="8" t="s">
        <v>22</v>
      </c>
      <c r="G2971" s="10" t="s">
        <v>5922</v>
      </c>
      <c r="H2971" s="8" t="s">
        <v>5941</v>
      </c>
      <c r="I2971" s="10" t="s">
        <v>5942</v>
      </c>
      <c r="J2971" s="11" t="s">
        <v>26</v>
      </c>
      <c r="K2971" s="57">
        <v>29.5</v>
      </c>
      <c r="L2971" s="12">
        <f t="shared" si="246"/>
        <v>59</v>
      </c>
      <c r="M2971" s="8">
        <v>1</v>
      </c>
      <c r="N2971" s="8" t="s">
        <v>27</v>
      </c>
      <c r="O2971" s="13"/>
      <c r="P2971" s="14">
        <v>0.2</v>
      </c>
      <c r="Q2971" s="15">
        <v>0.4</v>
      </c>
      <c r="R2971" s="16" t="str">
        <f t="shared" si="245"/>
        <v>LUTRON</v>
      </c>
      <c r="S2971" s="17" t="str">
        <f t="shared" si="247"/>
        <v>LUTRON</v>
      </c>
      <c r="T2971" s="10" t="str">
        <f t="shared" si="244"/>
        <v>TECLADO PICO EN COLOR ALMENDRA CON AJUSTADOR DE INTENSIDAD.</v>
      </c>
    </row>
    <row r="2972" spans="1:20" ht="27" customHeight="1" x14ac:dyDescent="0.25">
      <c r="A2972" s="8" t="s">
        <v>5672</v>
      </c>
      <c r="B2972" s="9" t="s">
        <v>5666</v>
      </c>
      <c r="C2972" s="9"/>
      <c r="D2972" s="8" t="s">
        <v>188</v>
      </c>
      <c r="E2972" s="8">
        <v>11</v>
      </c>
      <c r="F2972" s="8" t="s">
        <v>22</v>
      </c>
      <c r="G2972" s="10" t="s">
        <v>5925</v>
      </c>
      <c r="H2972" s="8" t="s">
        <v>5943</v>
      </c>
      <c r="I2972" s="10" t="s">
        <v>5944</v>
      </c>
      <c r="J2972" s="11" t="s">
        <v>26</v>
      </c>
      <c r="K2972" s="57">
        <v>29.5</v>
      </c>
      <c r="L2972" s="12">
        <f t="shared" si="246"/>
        <v>59</v>
      </c>
      <c r="M2972" s="8">
        <v>1</v>
      </c>
      <c r="N2972" s="8" t="s">
        <v>27</v>
      </c>
      <c r="O2972" s="13"/>
      <c r="P2972" s="14">
        <v>0.2</v>
      </c>
      <c r="Q2972" s="15">
        <v>0.4</v>
      </c>
      <c r="R2972" s="16" t="str">
        <f t="shared" si="245"/>
        <v>LUTRON</v>
      </c>
      <c r="S2972" s="17" t="str">
        <f t="shared" si="247"/>
        <v>LUTRON</v>
      </c>
      <c r="T2972" s="10" t="str">
        <f t="shared" si="244"/>
        <v>TECLADO PICO EN COLOR MARFIL CON AJUSTADOR DE INTENSIDAD.</v>
      </c>
    </row>
    <row r="2973" spans="1:20" ht="27" customHeight="1" x14ac:dyDescent="0.25">
      <c r="A2973" s="8" t="s">
        <v>5672</v>
      </c>
      <c r="B2973" s="9" t="s">
        <v>5666</v>
      </c>
      <c r="C2973" s="9"/>
      <c r="D2973" s="8" t="s">
        <v>188</v>
      </c>
      <c r="E2973" s="8">
        <v>12</v>
      </c>
      <c r="F2973" s="8" t="s">
        <v>22</v>
      </c>
      <c r="G2973" s="10" t="s">
        <v>5928</v>
      </c>
      <c r="H2973" s="8" t="s">
        <v>5945</v>
      </c>
      <c r="I2973" s="10" t="s">
        <v>5946</v>
      </c>
      <c r="J2973" s="11" t="s">
        <v>26</v>
      </c>
      <c r="K2973" s="57">
        <v>29.5</v>
      </c>
      <c r="L2973" s="12">
        <f t="shared" si="246"/>
        <v>59</v>
      </c>
      <c r="M2973" s="8">
        <v>1</v>
      </c>
      <c r="N2973" s="8" t="s">
        <v>27</v>
      </c>
      <c r="O2973" s="13"/>
      <c r="P2973" s="14">
        <v>0.2</v>
      </c>
      <c r="Q2973" s="15">
        <v>0.4</v>
      </c>
      <c r="R2973" s="16" t="str">
        <f t="shared" si="245"/>
        <v>LUTRON</v>
      </c>
      <c r="S2973" s="17" t="str">
        <f t="shared" si="247"/>
        <v>LUTRON</v>
      </c>
      <c r="T2973" s="10" t="str">
        <f t="shared" si="244"/>
        <v>TECLADO PICO EN COLOR NEGRO CON AJUSTADOR DE INTENSIDAD.</v>
      </c>
    </row>
    <row r="2974" spans="1:20" ht="27" customHeight="1" x14ac:dyDescent="0.25">
      <c r="A2974" s="8" t="s">
        <v>5672</v>
      </c>
      <c r="B2974" s="9" t="s">
        <v>5666</v>
      </c>
      <c r="C2974" s="9"/>
      <c r="D2974" s="8" t="s">
        <v>188</v>
      </c>
      <c r="E2974" s="8">
        <v>13</v>
      </c>
      <c r="F2974" s="8" t="s">
        <v>22</v>
      </c>
      <c r="G2974" s="10" t="s">
        <v>5931</v>
      </c>
      <c r="H2974" s="8" t="s">
        <v>5947</v>
      </c>
      <c r="I2974" s="10" t="s">
        <v>5948</v>
      </c>
      <c r="J2974" s="11" t="s">
        <v>26</v>
      </c>
      <c r="K2974" s="57">
        <v>29.5</v>
      </c>
      <c r="L2974" s="12">
        <f t="shared" si="246"/>
        <v>59</v>
      </c>
      <c r="M2974" s="8">
        <v>1</v>
      </c>
      <c r="N2974" s="8" t="s">
        <v>27</v>
      </c>
      <c r="O2974" s="13"/>
      <c r="P2974" s="14">
        <v>0.2</v>
      </c>
      <c r="Q2974" s="15">
        <v>0.4</v>
      </c>
      <c r="R2974" s="16" t="str">
        <f t="shared" si="245"/>
        <v>LUTRON</v>
      </c>
      <c r="S2974" s="17" t="str">
        <f t="shared" si="247"/>
        <v>LUTRON</v>
      </c>
      <c r="T2974" s="10" t="str">
        <f t="shared" si="244"/>
        <v>TECLADO PICO EN COLOR BLANCO CON BOTONES DE ENCENDIDO Y APAGADO.</v>
      </c>
    </row>
    <row r="2975" spans="1:20" ht="27" customHeight="1" x14ac:dyDescent="0.25">
      <c r="A2975" s="8" t="s">
        <v>5672</v>
      </c>
      <c r="B2975" s="9" t="s">
        <v>5666</v>
      </c>
      <c r="C2975" s="9"/>
      <c r="D2975" s="8" t="s">
        <v>188</v>
      </c>
      <c r="E2975" s="8">
        <v>14</v>
      </c>
      <c r="F2975" s="8" t="s">
        <v>22</v>
      </c>
      <c r="G2975" s="10" t="s">
        <v>5933</v>
      </c>
      <c r="H2975" s="8" t="s">
        <v>5949</v>
      </c>
      <c r="I2975" s="10" t="s">
        <v>5950</v>
      </c>
      <c r="J2975" s="11" t="s">
        <v>26</v>
      </c>
      <c r="K2975" s="57">
        <v>29.5</v>
      </c>
      <c r="L2975" s="12">
        <f t="shared" si="246"/>
        <v>59</v>
      </c>
      <c r="M2975" s="8">
        <v>1</v>
      </c>
      <c r="N2975" s="8" t="s">
        <v>27</v>
      </c>
      <c r="O2975" s="13"/>
      <c r="P2975" s="14">
        <v>0.2</v>
      </c>
      <c r="Q2975" s="15">
        <v>0.4</v>
      </c>
      <c r="R2975" s="16" t="str">
        <f t="shared" si="245"/>
        <v>LUTRON</v>
      </c>
      <c r="S2975" s="17" t="str">
        <f t="shared" si="247"/>
        <v>LUTRON</v>
      </c>
      <c r="T2975" s="10" t="str">
        <f t="shared" si="244"/>
        <v>TECLADO PICO EN COLOR ALMENDRA CON BOTONES DE ENCENDIDO Y APAGADO.</v>
      </c>
    </row>
    <row r="2976" spans="1:20" ht="27" customHeight="1" x14ac:dyDescent="0.25">
      <c r="A2976" s="8" t="s">
        <v>5672</v>
      </c>
      <c r="B2976" s="9" t="s">
        <v>5666</v>
      </c>
      <c r="C2976" s="9"/>
      <c r="D2976" s="8" t="s">
        <v>188</v>
      </c>
      <c r="E2976" s="8">
        <v>15</v>
      </c>
      <c r="F2976" s="8" t="s">
        <v>22</v>
      </c>
      <c r="G2976" s="10" t="s">
        <v>5935</v>
      </c>
      <c r="H2976" s="8" t="s">
        <v>5951</v>
      </c>
      <c r="I2976" s="10" t="s">
        <v>5952</v>
      </c>
      <c r="J2976" s="11" t="s">
        <v>26</v>
      </c>
      <c r="K2976" s="57">
        <v>29.5</v>
      </c>
      <c r="L2976" s="12">
        <f t="shared" si="246"/>
        <v>59</v>
      </c>
      <c r="M2976" s="8">
        <v>1</v>
      </c>
      <c r="N2976" s="8" t="s">
        <v>27</v>
      </c>
      <c r="O2976" s="13"/>
      <c r="P2976" s="14">
        <v>0.2</v>
      </c>
      <c r="Q2976" s="15">
        <v>0.4</v>
      </c>
      <c r="R2976" s="16" t="str">
        <f t="shared" si="245"/>
        <v>LUTRON</v>
      </c>
      <c r="S2976" s="17" t="str">
        <f t="shared" si="247"/>
        <v>LUTRON</v>
      </c>
      <c r="T2976" s="10" t="str">
        <f t="shared" si="244"/>
        <v>TECLADO PICO EN COLOR MARFIL CON BOTONES DE ENCENDIDO Y APAGADO.</v>
      </c>
    </row>
    <row r="2977" spans="1:22" ht="27" customHeight="1" x14ac:dyDescent="0.25">
      <c r="A2977" s="8" t="s">
        <v>5672</v>
      </c>
      <c r="B2977" s="9" t="s">
        <v>5666</v>
      </c>
      <c r="C2977" s="9"/>
      <c r="D2977" s="8" t="s">
        <v>188</v>
      </c>
      <c r="E2977" s="8">
        <v>16</v>
      </c>
      <c r="F2977" s="8" t="s">
        <v>22</v>
      </c>
      <c r="G2977" s="10" t="s">
        <v>5937</v>
      </c>
      <c r="H2977" s="8" t="s">
        <v>5953</v>
      </c>
      <c r="I2977" s="10" t="s">
        <v>5954</v>
      </c>
      <c r="J2977" s="11" t="s">
        <v>26</v>
      </c>
      <c r="K2977" s="57">
        <v>29.5</v>
      </c>
      <c r="L2977" s="12">
        <f t="shared" si="246"/>
        <v>59</v>
      </c>
      <c r="M2977" s="8">
        <v>1</v>
      </c>
      <c r="N2977" s="8" t="s">
        <v>27</v>
      </c>
      <c r="O2977" s="13"/>
      <c r="P2977" s="14">
        <v>0.2</v>
      </c>
      <c r="Q2977" s="15">
        <v>0.4</v>
      </c>
      <c r="R2977" s="16" t="str">
        <f t="shared" si="245"/>
        <v>LUTRON</v>
      </c>
      <c r="S2977" s="17" t="str">
        <f t="shared" si="247"/>
        <v>LUTRON</v>
      </c>
      <c r="T2977" s="10" t="str">
        <f t="shared" si="244"/>
        <v>TECLADO PICO EN COLOR NEGRO CON BOTONES DE ENCENDIDO Y APAGADO.</v>
      </c>
    </row>
    <row r="2978" spans="1:22" ht="27" customHeight="1" x14ac:dyDescent="0.25">
      <c r="A2978" s="8" t="s">
        <v>5672</v>
      </c>
      <c r="B2978" s="9" t="s">
        <v>5666</v>
      </c>
      <c r="C2978" s="9"/>
      <c r="D2978" s="8" t="s">
        <v>188</v>
      </c>
      <c r="E2978" s="8">
        <v>17</v>
      </c>
      <c r="F2978" s="8" t="s">
        <v>22</v>
      </c>
      <c r="G2978" s="10" t="s">
        <v>5955</v>
      </c>
      <c r="H2978" s="8" t="s">
        <v>5956</v>
      </c>
      <c r="I2978" s="10" t="s">
        <v>5955</v>
      </c>
      <c r="J2978" s="11" t="s">
        <v>26</v>
      </c>
      <c r="K2978" s="57">
        <v>8.1</v>
      </c>
      <c r="L2978" s="12">
        <f>K2978*(1+P2978)/(1-Q2978)</f>
        <v>16.2</v>
      </c>
      <c r="M2978" s="8">
        <v>1</v>
      </c>
      <c r="N2978" s="8" t="s">
        <v>27</v>
      </c>
      <c r="O2978" s="13"/>
      <c r="P2978" s="14">
        <v>0.2</v>
      </c>
      <c r="Q2978" s="15">
        <v>0.4</v>
      </c>
      <c r="R2978" s="16" t="str">
        <f t="shared" si="245"/>
        <v>LUTRON</v>
      </c>
      <c r="S2978" s="17" t="str">
        <f t="shared" si="247"/>
        <v>LUTRON</v>
      </c>
      <c r="T2978" s="10" t="str">
        <f t="shared" si="244"/>
        <v>PEDESTAL DE SOBRE PONER EN MESA PARA UN MANDO A DISTANCIA PICO EN COLOR BLANCO.</v>
      </c>
    </row>
    <row r="2979" spans="1:22" ht="27" customHeight="1" x14ac:dyDescent="0.25">
      <c r="A2979" s="8" t="s">
        <v>5672</v>
      </c>
      <c r="B2979" s="9" t="s">
        <v>5666</v>
      </c>
      <c r="C2979" s="9"/>
      <c r="D2979" s="8" t="s">
        <v>188</v>
      </c>
      <c r="E2979" s="8">
        <v>18</v>
      </c>
      <c r="F2979" s="8" t="s">
        <v>22</v>
      </c>
      <c r="G2979" s="10" t="s">
        <v>5957</v>
      </c>
      <c r="H2979" s="8" t="s">
        <v>5958</v>
      </c>
      <c r="I2979" s="10" t="s">
        <v>5959</v>
      </c>
      <c r="J2979" s="11" t="s">
        <v>26</v>
      </c>
      <c r="K2979" s="57">
        <v>15</v>
      </c>
      <c r="L2979" s="12">
        <f>ROUNDUP(K2979*(1+P2979)/(1-Q2979),0)</f>
        <v>30</v>
      </c>
      <c r="M2979" s="8">
        <v>1</v>
      </c>
      <c r="N2979" s="8" t="s">
        <v>27</v>
      </c>
      <c r="O2979" s="13"/>
      <c r="P2979" s="14">
        <v>0.2</v>
      </c>
      <c r="Q2979" s="15">
        <v>0.4</v>
      </c>
      <c r="R2979" s="16" t="str">
        <f t="shared" si="245"/>
        <v>LUTRON</v>
      </c>
      <c r="S2979" s="17" t="str">
        <f t="shared" si="247"/>
        <v>LUTRON</v>
      </c>
      <c r="T2979" s="10" t="str">
        <f t="shared" si="244"/>
        <v>PEDESTAL DE SOBRE PONER EN MESA PARA DOS MANDOS A DISTANCIA PICO.</v>
      </c>
    </row>
    <row r="2980" spans="1:22" ht="27" customHeight="1" x14ac:dyDescent="0.25">
      <c r="A2980" s="8" t="s">
        <v>5672</v>
      </c>
      <c r="B2980" s="9" t="s">
        <v>5666</v>
      </c>
      <c r="C2980" s="9"/>
      <c r="D2980" s="8" t="s">
        <v>188</v>
      </c>
      <c r="E2980" s="8">
        <v>19</v>
      </c>
      <c r="F2980" s="8" t="s">
        <v>22</v>
      </c>
      <c r="G2980" s="10" t="s">
        <v>5960</v>
      </c>
      <c r="H2980" s="8" t="s">
        <v>5961</v>
      </c>
      <c r="I2980" s="10" t="s">
        <v>5960</v>
      </c>
      <c r="J2980" s="11" t="s">
        <v>26</v>
      </c>
      <c r="K2980" s="57">
        <v>12.5</v>
      </c>
      <c r="L2980" s="12">
        <f>ROUNDUP(K2980*(1+P2980)/(1-Q2980),0)</f>
        <v>25</v>
      </c>
      <c r="M2980" s="8">
        <v>1</v>
      </c>
      <c r="N2980" s="8" t="s">
        <v>27</v>
      </c>
      <c r="O2980" s="13"/>
      <c r="P2980" s="14">
        <v>0.2</v>
      </c>
      <c r="Q2980" s="15">
        <v>0.4</v>
      </c>
      <c r="R2980" s="16" t="str">
        <f t="shared" si="245"/>
        <v>LUTRON</v>
      </c>
      <c r="S2980" s="17" t="str">
        <f t="shared" si="247"/>
        <v>LUTRON</v>
      </c>
      <c r="T2980" s="10" t="str">
        <f t="shared" si="244"/>
        <v>PEDESTAL DE SOBRE PONER EN MESA PARA UN MANDO A DISTANCIA PICO EN COLOR NEGRO.</v>
      </c>
    </row>
    <row r="2981" spans="1:22" ht="27" customHeight="1" x14ac:dyDescent="0.25">
      <c r="A2981" s="8" t="s">
        <v>5672</v>
      </c>
      <c r="B2981" s="9" t="s">
        <v>5666</v>
      </c>
      <c r="C2981" s="9"/>
      <c r="D2981" s="8" t="s">
        <v>188</v>
      </c>
      <c r="E2981" s="8">
        <v>20</v>
      </c>
      <c r="F2981" s="8" t="s">
        <v>22</v>
      </c>
      <c r="G2981" s="10" t="s">
        <v>5962</v>
      </c>
      <c r="H2981" s="8" t="s">
        <v>5963</v>
      </c>
      <c r="I2981" s="10" t="s">
        <v>5962</v>
      </c>
      <c r="J2981" s="11" t="s">
        <v>26</v>
      </c>
      <c r="K2981" s="57">
        <v>20</v>
      </c>
      <c r="L2981" s="12">
        <f>ROUNDUP(K2981*(1+P2981)/(1-Q2981),0)</f>
        <v>40</v>
      </c>
      <c r="M2981" s="8">
        <v>1</v>
      </c>
      <c r="N2981" s="8" t="s">
        <v>27</v>
      </c>
      <c r="O2981" s="13"/>
      <c r="P2981" s="14">
        <v>0.2</v>
      </c>
      <c r="Q2981" s="15">
        <v>0.4</v>
      </c>
      <c r="R2981" s="16" t="str">
        <f t="shared" si="245"/>
        <v>LUTRON</v>
      </c>
      <c r="S2981" s="17" t="str">
        <f t="shared" si="247"/>
        <v>LUTRON</v>
      </c>
      <c r="T2981" s="10" t="str">
        <f t="shared" si="244"/>
        <v>PEDESTAL DE SOBRE PONER EN MESA PARA DOS MANDOS A DISTANCIA PICO EN COLOR NEGRO.</v>
      </c>
    </row>
    <row r="2982" spans="1:22" ht="27" customHeight="1" x14ac:dyDescent="0.25">
      <c r="A2982" s="8" t="s">
        <v>5672</v>
      </c>
      <c r="B2982" s="9" t="s">
        <v>5666</v>
      </c>
      <c r="C2982" s="9"/>
      <c r="D2982" s="8" t="s">
        <v>188</v>
      </c>
      <c r="E2982" s="8">
        <v>21</v>
      </c>
      <c r="F2982" s="8" t="s">
        <v>22</v>
      </c>
      <c r="G2982" s="10" t="s">
        <v>5964</v>
      </c>
      <c r="H2982" s="8" t="s">
        <v>5965</v>
      </c>
      <c r="I2982" s="10" t="s">
        <v>5964</v>
      </c>
      <c r="J2982" s="11" t="s">
        <v>26</v>
      </c>
      <c r="K2982" s="57">
        <v>4.75</v>
      </c>
      <c r="L2982" s="12">
        <f>ROUNDUP(K2982*(1+P2982)/(1-Q2982),0)</f>
        <v>10</v>
      </c>
      <c r="M2982" s="8">
        <v>1</v>
      </c>
      <c r="N2982" s="8" t="s">
        <v>27</v>
      </c>
      <c r="O2982" s="13"/>
      <c r="P2982" s="14">
        <v>0.2</v>
      </c>
      <c r="Q2982" s="15">
        <v>0.4</v>
      </c>
      <c r="R2982" s="16" t="str">
        <f t="shared" si="245"/>
        <v>LUTRON</v>
      </c>
      <c r="S2982" s="17" t="str">
        <f t="shared" si="247"/>
        <v>LUTRON</v>
      </c>
      <c r="T2982" s="10" t="str">
        <f t="shared" si="244"/>
        <v>CLIP PARA ADAPTADOR DE TECLADO PICO EN PARASOL DE AUTOMÓVIL.</v>
      </c>
    </row>
    <row r="2983" spans="1:22" ht="27" customHeight="1" x14ac:dyDescent="0.25">
      <c r="A2983" s="8" t="s">
        <v>5672</v>
      </c>
      <c r="B2983" s="9" t="s">
        <v>5666</v>
      </c>
      <c r="C2983" s="9"/>
      <c r="D2983" s="8" t="s">
        <v>188</v>
      </c>
      <c r="E2983" s="8">
        <v>22</v>
      </c>
      <c r="F2983" s="8" t="s">
        <v>22</v>
      </c>
      <c r="G2983" s="10" t="s">
        <v>5966</v>
      </c>
      <c r="H2983" s="8" t="s">
        <v>5967</v>
      </c>
      <c r="I2983" s="10" t="s">
        <v>5966</v>
      </c>
      <c r="J2983" s="11" t="s">
        <v>26</v>
      </c>
      <c r="K2983" s="57">
        <v>6.18</v>
      </c>
      <c r="L2983" s="12">
        <f>K2983*(1+P2983)/(1-Q2983)</f>
        <v>12.36</v>
      </c>
      <c r="M2983" s="8">
        <v>1</v>
      </c>
      <c r="N2983" s="8" t="s">
        <v>27</v>
      </c>
      <c r="O2983" s="13"/>
      <c r="P2983" s="14">
        <v>0.2</v>
      </c>
      <c r="Q2983" s="15">
        <v>0.4</v>
      </c>
      <c r="R2983" s="16" t="str">
        <f t="shared" si="245"/>
        <v>LUTRON</v>
      </c>
      <c r="S2983" s="17" t="str">
        <f t="shared" si="247"/>
        <v>LUTRON</v>
      </c>
      <c r="T2983" s="10" t="str">
        <f t="shared" si="244"/>
        <v>SOPORTE PARA INSTALACIÓN EN CAJA ELÉCTRICA</v>
      </c>
    </row>
    <row r="2984" spans="1:22" ht="27" customHeight="1" x14ac:dyDescent="0.25">
      <c r="A2984" s="8" t="s">
        <v>5672</v>
      </c>
      <c r="B2984" s="9" t="s">
        <v>5666</v>
      </c>
      <c r="C2984" s="9"/>
      <c r="D2984" s="8" t="s">
        <v>188</v>
      </c>
      <c r="E2984" s="8">
        <v>23</v>
      </c>
      <c r="F2984" s="8" t="s">
        <v>22</v>
      </c>
      <c r="G2984" s="10" t="s">
        <v>5968</v>
      </c>
      <c r="H2984" s="8" t="s">
        <v>5969</v>
      </c>
      <c r="I2984" s="61" t="s">
        <v>5970</v>
      </c>
      <c r="J2984" s="11" t="s">
        <v>26</v>
      </c>
      <c r="K2984" s="57">
        <v>2.63</v>
      </c>
      <c r="L2984" s="12">
        <f>ROUNDUP(K2984*(1+P2984)/(1-Q2984),0)</f>
        <v>6</v>
      </c>
      <c r="M2984" s="8">
        <v>1</v>
      </c>
      <c r="N2984" s="8" t="s">
        <v>27</v>
      </c>
      <c r="O2984" s="13"/>
      <c r="P2984" s="14">
        <v>0.2</v>
      </c>
      <c r="Q2984" s="15">
        <v>0.4</v>
      </c>
      <c r="R2984" s="16" t="str">
        <f t="shared" si="245"/>
        <v>LUTRON</v>
      </c>
      <c r="S2984" s="17" t="str">
        <f t="shared" si="247"/>
        <v>LUTRON</v>
      </c>
      <c r="T2984" s="10" t="str">
        <f t="shared" si="244"/>
        <v>TAPA DECORATIVA A PRESIÓN BLANCA.</v>
      </c>
      <c r="V2984">
        <f>2.63/0.9*1.2*3800</f>
        <v>13325.333333333332</v>
      </c>
    </row>
    <row r="2985" spans="1:22" ht="27" customHeight="1" x14ac:dyDescent="0.25">
      <c r="A2985" s="8" t="s">
        <v>5672</v>
      </c>
      <c r="B2985" s="9" t="s">
        <v>5666</v>
      </c>
      <c r="C2985" s="9"/>
      <c r="D2985" s="8" t="s">
        <v>188</v>
      </c>
      <c r="E2985" s="8">
        <v>24</v>
      </c>
      <c r="F2985" s="8" t="s">
        <v>22</v>
      </c>
      <c r="G2985" s="10" t="s">
        <v>5971</v>
      </c>
      <c r="H2985" s="8" t="s">
        <v>5972</v>
      </c>
      <c r="I2985" s="61" t="s">
        <v>5973</v>
      </c>
      <c r="J2985" s="11" t="s">
        <v>26</v>
      </c>
      <c r="K2985" s="57">
        <v>5</v>
      </c>
      <c r="L2985" s="12">
        <f>ROUNDUP(K2985*(1+P2985)/(1-Q2985),0)</f>
        <v>10</v>
      </c>
      <c r="M2985" s="8">
        <v>1</v>
      </c>
      <c r="N2985" s="8" t="s">
        <v>27</v>
      </c>
      <c r="O2985" s="13"/>
      <c r="P2985" s="14">
        <v>0.2</v>
      </c>
      <c r="Q2985" s="15">
        <v>0.4</v>
      </c>
      <c r="R2985" s="16" t="str">
        <f t="shared" si="245"/>
        <v>LUTRON</v>
      </c>
      <c r="S2985" s="17" t="str">
        <f t="shared" si="247"/>
        <v>LUTRON</v>
      </c>
      <c r="T2985" s="10" t="str">
        <f t="shared" si="244"/>
        <v>TAPA DECORATIVA DE DOS UNIDADES A PRESIÓN BLANCA.</v>
      </c>
    </row>
    <row r="2986" spans="1:22" ht="27" customHeight="1" x14ac:dyDescent="0.25">
      <c r="A2986" s="8" t="s">
        <v>5672</v>
      </c>
      <c r="B2986" s="9" t="s">
        <v>5666</v>
      </c>
      <c r="C2986" s="9"/>
      <c r="D2986" s="8" t="s">
        <v>188</v>
      </c>
      <c r="E2986" s="8">
        <v>25</v>
      </c>
      <c r="F2986" s="8" t="s">
        <v>22</v>
      </c>
      <c r="G2986" s="10" t="s">
        <v>5974</v>
      </c>
      <c r="H2986" s="8" t="s">
        <v>5975</v>
      </c>
      <c r="I2986" s="61" t="s">
        <v>5976</v>
      </c>
      <c r="J2986" s="11" t="s">
        <v>26</v>
      </c>
      <c r="K2986" s="57">
        <v>7.6</v>
      </c>
      <c r="L2986" s="12">
        <f>K2986*(1+P2986)/(1-Q2986)</f>
        <v>15.2</v>
      </c>
      <c r="M2986" s="8">
        <v>1</v>
      </c>
      <c r="N2986" s="8" t="s">
        <v>27</v>
      </c>
      <c r="O2986" s="13"/>
      <c r="P2986" s="14">
        <v>0.2</v>
      </c>
      <c r="Q2986" s="15">
        <v>0.4</v>
      </c>
      <c r="R2986" s="16" t="str">
        <f t="shared" si="245"/>
        <v>LUTRON</v>
      </c>
      <c r="S2986" s="17" t="str">
        <f t="shared" si="247"/>
        <v>LUTRON</v>
      </c>
      <c r="T2986" s="10" t="str">
        <f t="shared" si="244"/>
        <v>TAPA DECORATIVA DE TRES UNIDADES A PRESIÓN BLANCA.</v>
      </c>
    </row>
    <row r="2987" spans="1:22" ht="27" customHeight="1" x14ac:dyDescent="0.25">
      <c r="A2987" s="8" t="s">
        <v>5672</v>
      </c>
      <c r="B2987" s="9" t="s">
        <v>5666</v>
      </c>
      <c r="C2987" s="9"/>
      <c r="D2987" s="8" t="s">
        <v>188</v>
      </c>
      <c r="E2987" s="8">
        <v>26</v>
      </c>
      <c r="F2987" s="8" t="s">
        <v>22</v>
      </c>
      <c r="G2987" s="10" t="s">
        <v>5977</v>
      </c>
      <c r="H2987" s="8" t="s">
        <v>5978</v>
      </c>
      <c r="I2987" s="61" t="s">
        <v>5979</v>
      </c>
      <c r="J2987" s="11" t="s">
        <v>26</v>
      </c>
      <c r="K2987" s="57">
        <v>10.5</v>
      </c>
      <c r="L2987" s="12">
        <f>ROUNDUP(K2987*(1+P2987)/(1-Q2987),0)</f>
        <v>21</v>
      </c>
      <c r="M2987" s="8">
        <v>1</v>
      </c>
      <c r="N2987" s="8" t="s">
        <v>27</v>
      </c>
      <c r="O2987" s="13"/>
      <c r="P2987" s="14">
        <v>0.2</v>
      </c>
      <c r="Q2987" s="15">
        <v>0.4</v>
      </c>
      <c r="R2987" s="16" t="str">
        <f t="shared" si="245"/>
        <v>LUTRON</v>
      </c>
      <c r="S2987" s="17" t="str">
        <f t="shared" si="247"/>
        <v>LUTRON</v>
      </c>
      <c r="T2987" s="10" t="str">
        <f t="shared" si="244"/>
        <v>TAPA DECORATIVA DE CUATRO UNIDADES A PRESIÓN BLANCA.</v>
      </c>
    </row>
    <row r="2988" spans="1:22" ht="27" customHeight="1" x14ac:dyDescent="0.25">
      <c r="A2988" s="8" t="s">
        <v>5672</v>
      </c>
      <c r="B2988" s="9" t="s">
        <v>5666</v>
      </c>
      <c r="C2988" s="9"/>
      <c r="D2988" s="8" t="s">
        <v>188</v>
      </c>
      <c r="E2988" s="8">
        <v>27</v>
      </c>
      <c r="F2988" s="8" t="s">
        <v>22</v>
      </c>
      <c r="G2988" s="10" t="s">
        <v>5980</v>
      </c>
      <c r="H2988" s="8" t="s">
        <v>5981</v>
      </c>
      <c r="I2988" s="61" t="s">
        <v>5982</v>
      </c>
      <c r="J2988" s="11" t="s">
        <v>26</v>
      </c>
      <c r="K2988" s="57">
        <v>2.4500000000000002</v>
      </c>
      <c r="L2988" s="12">
        <f>ROUNDUP(K2988*(1+P2988)/(1-Q2988),0)</f>
        <v>5</v>
      </c>
      <c r="M2988" s="8">
        <v>1</v>
      </c>
      <c r="N2988" s="8" t="s">
        <v>27</v>
      </c>
      <c r="O2988" s="13"/>
      <c r="P2988" s="14">
        <v>0.2</v>
      </c>
      <c r="Q2988" s="15">
        <v>0.4</v>
      </c>
      <c r="R2988" s="16" t="str">
        <f t="shared" si="245"/>
        <v>LUTRON</v>
      </c>
      <c r="S2988" s="17" t="str">
        <f t="shared" si="247"/>
        <v>LUTRON</v>
      </c>
      <c r="T2988" s="10" t="str">
        <f t="shared" si="244"/>
        <v>TAPA DECORATIVA A PRESIÓN NEGRA.</v>
      </c>
    </row>
    <row r="2989" spans="1:22" ht="27" customHeight="1" x14ac:dyDescent="0.25">
      <c r="A2989" s="8" t="s">
        <v>5672</v>
      </c>
      <c r="B2989" s="9" t="s">
        <v>5666</v>
      </c>
      <c r="C2989" s="9"/>
      <c r="D2989" s="8" t="s">
        <v>188</v>
      </c>
      <c r="E2989" s="8">
        <v>28</v>
      </c>
      <c r="F2989" s="8" t="s">
        <v>22</v>
      </c>
      <c r="G2989" s="10" t="s">
        <v>5983</v>
      </c>
      <c r="H2989" s="8" t="s">
        <v>5984</v>
      </c>
      <c r="I2989" s="61" t="s">
        <v>5985</v>
      </c>
      <c r="J2989" s="11" t="s">
        <v>26</v>
      </c>
      <c r="K2989" s="57">
        <v>5</v>
      </c>
      <c r="L2989" s="12">
        <f>ROUNDUP(K2989*(1+P2989)/(1-Q2989),0)</f>
        <v>10</v>
      </c>
      <c r="M2989" s="8">
        <v>1</v>
      </c>
      <c r="N2989" s="8" t="s">
        <v>27</v>
      </c>
      <c r="O2989" s="13"/>
      <c r="P2989" s="14">
        <v>0.2</v>
      </c>
      <c r="Q2989" s="15">
        <v>0.4</v>
      </c>
      <c r="R2989" s="16" t="str">
        <f t="shared" si="245"/>
        <v>LUTRON</v>
      </c>
      <c r="S2989" s="17" t="str">
        <f t="shared" si="247"/>
        <v>LUTRON</v>
      </c>
      <c r="T2989" s="10" t="str">
        <f t="shared" si="244"/>
        <v>TAPA DECORATIVA DE DOS UNIDADES A PRESIÓN NEGRA.</v>
      </c>
    </row>
    <row r="2990" spans="1:22" ht="27" customHeight="1" x14ac:dyDescent="0.25">
      <c r="A2990" s="8" t="s">
        <v>5672</v>
      </c>
      <c r="B2990" s="9" t="s">
        <v>5666</v>
      </c>
      <c r="C2990" s="9"/>
      <c r="D2990" s="8" t="s">
        <v>188</v>
      </c>
      <c r="E2990" s="8">
        <v>29</v>
      </c>
      <c r="F2990" s="8" t="s">
        <v>22</v>
      </c>
      <c r="G2990" s="10" t="s">
        <v>5986</v>
      </c>
      <c r="H2990" s="8" t="s">
        <v>5987</v>
      </c>
      <c r="I2990" s="61" t="s">
        <v>5988</v>
      </c>
      <c r="J2990" s="11" t="s">
        <v>26</v>
      </c>
      <c r="K2990" s="57">
        <v>7.6</v>
      </c>
      <c r="L2990" s="12">
        <f>K2990*(1+P2990)/(1-Q2990)</f>
        <v>15.2</v>
      </c>
      <c r="M2990" s="8">
        <v>1</v>
      </c>
      <c r="N2990" s="8" t="s">
        <v>27</v>
      </c>
      <c r="O2990" s="13"/>
      <c r="P2990" s="14">
        <v>0.2</v>
      </c>
      <c r="Q2990" s="15">
        <v>0.4</v>
      </c>
      <c r="R2990" s="16" t="str">
        <f t="shared" si="245"/>
        <v>LUTRON</v>
      </c>
      <c r="S2990" s="17" t="str">
        <f t="shared" si="247"/>
        <v>LUTRON</v>
      </c>
      <c r="T2990" s="10" t="str">
        <f t="shared" si="244"/>
        <v>TAPA DECORATIVA DE TRES UNIDADES A PRESIÓN NEGRA.</v>
      </c>
    </row>
    <row r="2991" spans="1:22" ht="27" customHeight="1" x14ac:dyDescent="0.25">
      <c r="A2991" s="8" t="s">
        <v>5672</v>
      </c>
      <c r="B2991" s="9" t="s">
        <v>5666</v>
      </c>
      <c r="C2991" s="9"/>
      <c r="D2991" s="8" t="s">
        <v>188</v>
      </c>
      <c r="E2991" s="8">
        <v>30</v>
      </c>
      <c r="F2991" s="8" t="s">
        <v>22</v>
      </c>
      <c r="G2991" s="10" t="s">
        <v>5989</v>
      </c>
      <c r="H2991" s="8" t="s">
        <v>5990</v>
      </c>
      <c r="I2991" s="61" t="s">
        <v>5991</v>
      </c>
      <c r="J2991" s="11" t="s">
        <v>26</v>
      </c>
      <c r="K2991" s="57">
        <v>10.5</v>
      </c>
      <c r="L2991" s="12">
        <f t="shared" ref="L2991:L3034" si="248">ROUNDUP(K2991*(1+P2991)/(1-Q2991),0)</f>
        <v>21</v>
      </c>
      <c r="M2991" s="8">
        <v>1</v>
      </c>
      <c r="N2991" s="8" t="s">
        <v>27</v>
      </c>
      <c r="O2991" s="13"/>
      <c r="P2991" s="14">
        <v>0.2</v>
      </c>
      <c r="Q2991" s="15">
        <v>0.4</v>
      </c>
      <c r="R2991" s="16" t="str">
        <f t="shared" si="245"/>
        <v>LUTRON</v>
      </c>
      <c r="S2991" s="17" t="str">
        <f t="shared" si="247"/>
        <v>LUTRON</v>
      </c>
      <c r="T2991" s="10" t="str">
        <f t="shared" si="244"/>
        <v>TAPA DECORATIVA DE CUATRO UNIDADES A PRESIÓN NEGRA.</v>
      </c>
    </row>
    <row r="2992" spans="1:22" ht="27" customHeight="1" x14ac:dyDescent="0.25">
      <c r="A2992" s="8" t="s">
        <v>5672</v>
      </c>
      <c r="B2992" s="9" t="s">
        <v>5666</v>
      </c>
      <c r="C2992" s="9"/>
      <c r="D2992" s="8" t="s">
        <v>188</v>
      </c>
      <c r="E2992" s="8">
        <v>31</v>
      </c>
      <c r="F2992" s="8" t="s">
        <v>22</v>
      </c>
      <c r="G2992" s="10" t="s">
        <v>5992</v>
      </c>
      <c r="H2992" s="8" t="s">
        <v>5993</v>
      </c>
      <c r="I2992" s="10" t="s">
        <v>5994</v>
      </c>
      <c r="J2992" s="11" t="s">
        <v>26</v>
      </c>
      <c r="K2992" s="57">
        <v>41</v>
      </c>
      <c r="L2992" s="12">
        <f t="shared" si="248"/>
        <v>82</v>
      </c>
      <c r="M2992" s="8">
        <v>1</v>
      </c>
      <c r="N2992" s="8" t="s">
        <v>27</v>
      </c>
      <c r="O2992" s="13"/>
      <c r="P2992" s="14">
        <v>0.2</v>
      </c>
      <c r="Q2992" s="15">
        <v>0.4</v>
      </c>
      <c r="R2992" s="16" t="str">
        <f t="shared" si="245"/>
        <v>LUTRON</v>
      </c>
      <c r="S2992" s="17" t="str">
        <f t="shared" si="247"/>
        <v>LUTRON</v>
      </c>
      <c r="T2992" s="10" t="str">
        <f t="shared" si="244"/>
        <v>TAPA DECORATIVA EN PARA CONTROLADOR DE ILUMINACIÓN GRAFIK EYE QS.</v>
      </c>
    </row>
    <row r="2993" spans="1:23" ht="27" customHeight="1" x14ac:dyDescent="0.25">
      <c r="A2993" s="8" t="s">
        <v>5672</v>
      </c>
      <c r="B2993" s="9" t="s">
        <v>5666</v>
      </c>
      <c r="C2993" s="9"/>
      <c r="D2993" s="8" t="s">
        <v>188</v>
      </c>
      <c r="E2993" s="8">
        <v>32</v>
      </c>
      <c r="F2993" s="8" t="s">
        <v>22</v>
      </c>
      <c r="G2993" s="10" t="s">
        <v>5992</v>
      </c>
      <c r="H2993" s="8" t="s">
        <v>5995</v>
      </c>
      <c r="I2993" s="10" t="s">
        <v>5996</v>
      </c>
      <c r="J2993" s="11" t="s">
        <v>26</v>
      </c>
      <c r="K2993" s="57">
        <v>41</v>
      </c>
      <c r="L2993" s="12">
        <f t="shared" si="248"/>
        <v>82</v>
      </c>
      <c r="M2993" s="8">
        <v>1</v>
      </c>
      <c r="N2993" s="8" t="s">
        <v>27</v>
      </c>
      <c r="O2993" s="13"/>
      <c r="P2993" s="14">
        <v>0.2</v>
      </c>
      <c r="Q2993" s="15">
        <v>0.4</v>
      </c>
      <c r="R2993" s="16" t="str">
        <f t="shared" si="245"/>
        <v>LUTRON</v>
      </c>
      <c r="S2993" s="17" t="str">
        <f t="shared" si="247"/>
        <v>LUTRON</v>
      </c>
      <c r="T2993" s="10" t="str">
        <f t="shared" si="244"/>
        <v>TAPA DECORATIVA EN PARA CONTROLADOR DE ILUMINACIÓN GRAFIK EYE QS.</v>
      </c>
    </row>
    <row r="2994" spans="1:23" ht="27" customHeight="1" x14ac:dyDescent="0.25">
      <c r="A2994" s="8" t="s">
        <v>5672</v>
      </c>
      <c r="B2994" s="9" t="s">
        <v>5666</v>
      </c>
      <c r="C2994" s="9"/>
      <c r="D2994" s="8" t="s">
        <v>188</v>
      </c>
      <c r="E2994" s="8">
        <v>33</v>
      </c>
      <c r="F2994" s="8" t="s">
        <v>22</v>
      </c>
      <c r="G2994" s="10" t="s">
        <v>5997</v>
      </c>
      <c r="H2994" s="8" t="s">
        <v>5998</v>
      </c>
      <c r="I2994" s="10" t="s">
        <v>5997</v>
      </c>
      <c r="J2994" s="11" t="s">
        <v>26</v>
      </c>
      <c r="K2994" s="57">
        <v>41</v>
      </c>
      <c r="L2994" s="12">
        <f t="shared" si="248"/>
        <v>82</v>
      </c>
      <c r="M2994" s="8">
        <v>1</v>
      </c>
      <c r="N2994" s="8" t="s">
        <v>27</v>
      </c>
      <c r="O2994" s="13"/>
      <c r="P2994" s="14">
        <v>0.2</v>
      </c>
      <c r="Q2994" s="15">
        <v>0.4</v>
      </c>
      <c r="R2994" s="16" t="str">
        <f t="shared" si="245"/>
        <v>LUTRON</v>
      </c>
      <c r="S2994" s="17" t="str">
        <f t="shared" si="247"/>
        <v>LUTRON</v>
      </c>
      <c r="T2994" s="10" t="str">
        <f t="shared" si="244"/>
        <v>TAPA DECORATIVA EN PARA CONTROLADOR DE ILUMINACIÓN GRAFIK EYE QS EN COLOR NEGRO.</v>
      </c>
    </row>
    <row r="2995" spans="1:23" ht="27" customHeight="1" x14ac:dyDescent="0.25">
      <c r="A2995" s="8" t="s">
        <v>5672</v>
      </c>
      <c r="B2995" s="9" t="s">
        <v>5666</v>
      </c>
      <c r="C2995" s="9"/>
      <c r="D2995" s="8" t="s">
        <v>188</v>
      </c>
      <c r="E2995" s="8">
        <v>34</v>
      </c>
      <c r="F2995" s="8" t="s">
        <v>22</v>
      </c>
      <c r="G2995" s="10" t="s">
        <v>5992</v>
      </c>
      <c r="H2995" s="8" t="s">
        <v>5999</v>
      </c>
      <c r="I2995" s="10" t="s">
        <v>6000</v>
      </c>
      <c r="J2995" s="11" t="s">
        <v>26</v>
      </c>
      <c r="K2995" s="57">
        <v>41</v>
      </c>
      <c r="L2995" s="12">
        <f t="shared" si="248"/>
        <v>82</v>
      </c>
      <c r="M2995" s="8">
        <v>1</v>
      </c>
      <c r="N2995" s="8" t="s">
        <v>27</v>
      </c>
      <c r="O2995" s="13"/>
      <c r="P2995" s="14">
        <v>0.2</v>
      </c>
      <c r="Q2995" s="15">
        <v>0.4</v>
      </c>
      <c r="R2995" s="16" t="str">
        <f t="shared" si="245"/>
        <v>LUTRON</v>
      </c>
      <c r="S2995" s="17" t="str">
        <f t="shared" si="247"/>
        <v>LUTRON</v>
      </c>
      <c r="T2995" s="10" t="str">
        <f t="shared" si="244"/>
        <v>TAPA DECORATIVA EN PARA CONTROLADOR DE ILUMINACIÓN GRAFIK EYE QS.</v>
      </c>
    </row>
    <row r="2996" spans="1:23" ht="27" customHeight="1" x14ac:dyDescent="0.25">
      <c r="A2996" s="8" t="s">
        <v>5672</v>
      </c>
      <c r="B2996" s="9" t="s">
        <v>5666</v>
      </c>
      <c r="C2996" s="9"/>
      <c r="D2996" s="8" t="s">
        <v>188</v>
      </c>
      <c r="E2996" s="8">
        <v>35</v>
      </c>
      <c r="F2996" s="8" t="s">
        <v>22</v>
      </c>
      <c r="G2996" s="10" t="s">
        <v>5992</v>
      </c>
      <c r="H2996" s="8" t="s">
        <v>6001</v>
      </c>
      <c r="I2996" s="10" t="s">
        <v>6002</v>
      </c>
      <c r="J2996" s="11" t="s">
        <v>26</v>
      </c>
      <c r="K2996" s="57">
        <v>125</v>
      </c>
      <c r="L2996" s="12">
        <f t="shared" si="248"/>
        <v>250</v>
      </c>
      <c r="M2996" s="8">
        <v>1</v>
      </c>
      <c r="N2996" s="8" t="s">
        <v>27</v>
      </c>
      <c r="O2996" s="13"/>
      <c r="P2996" s="14">
        <v>0.2</v>
      </c>
      <c r="Q2996" s="15">
        <v>0.4</v>
      </c>
      <c r="R2996" s="16" t="str">
        <f t="shared" si="245"/>
        <v>LUTRON</v>
      </c>
      <c r="S2996" s="17" t="str">
        <f t="shared" si="247"/>
        <v>LUTRON</v>
      </c>
      <c r="T2996" s="10" t="str">
        <f t="shared" si="244"/>
        <v>TAPA DECORATIVA EN PARA CONTROLADOR DE ILUMINACIÓN GRAFIK EYE QS.</v>
      </c>
    </row>
    <row r="2997" spans="1:23" ht="27" customHeight="1" x14ac:dyDescent="0.25">
      <c r="A2997" s="8" t="s">
        <v>5672</v>
      </c>
      <c r="B2997" s="9" t="s">
        <v>5666</v>
      </c>
      <c r="C2997" s="9"/>
      <c r="D2997" s="8" t="s">
        <v>188</v>
      </c>
      <c r="E2997" s="8">
        <v>36</v>
      </c>
      <c r="F2997" s="8" t="s">
        <v>22</v>
      </c>
      <c r="G2997" s="10" t="s">
        <v>6003</v>
      </c>
      <c r="H2997" s="8" t="s">
        <v>6004</v>
      </c>
      <c r="I2997" s="10" t="s">
        <v>6003</v>
      </c>
      <c r="J2997" s="11" t="s">
        <v>26</v>
      </c>
      <c r="K2997" s="57">
        <v>140</v>
      </c>
      <c r="L2997" s="12">
        <f t="shared" si="248"/>
        <v>280</v>
      </c>
      <c r="M2997" s="8">
        <v>1</v>
      </c>
      <c r="N2997" s="8" t="s">
        <v>27</v>
      </c>
      <c r="O2997" s="13"/>
      <c r="P2997" s="14">
        <v>0.2</v>
      </c>
      <c r="Q2997" s="15">
        <v>0.4</v>
      </c>
      <c r="R2997" s="16" t="str">
        <f t="shared" si="245"/>
        <v>LUTRON</v>
      </c>
      <c r="S2997" s="17" t="str">
        <f t="shared" si="247"/>
        <v>LUTRON</v>
      </c>
      <c r="T2997" s="10" t="str">
        <f t="shared" ref="T2997:T3060" si="249">G2997</f>
        <v>TECLADO DE 5 BOTONES TIPO INSERT. CON MARCACIÓN LASER.</v>
      </c>
    </row>
    <row r="2998" spans="1:23" ht="27" customHeight="1" x14ac:dyDescent="0.25">
      <c r="A2998" s="8" t="s">
        <v>5672</v>
      </c>
      <c r="B2998" s="9" t="s">
        <v>5666</v>
      </c>
      <c r="C2998" s="9"/>
      <c r="D2998" s="8" t="s">
        <v>188</v>
      </c>
      <c r="E2998" s="8">
        <v>37</v>
      </c>
      <c r="F2998" s="8" t="s">
        <v>22</v>
      </c>
      <c r="G2998" s="10" t="s">
        <v>6005</v>
      </c>
      <c r="H2998" s="8" t="s">
        <v>6006</v>
      </c>
      <c r="I2998" s="10" t="s">
        <v>6005</v>
      </c>
      <c r="J2998" s="11" t="s">
        <v>26</v>
      </c>
      <c r="K2998" s="57">
        <v>198</v>
      </c>
      <c r="L2998" s="12">
        <f t="shared" si="248"/>
        <v>330</v>
      </c>
      <c r="M2998" s="8">
        <v>1</v>
      </c>
      <c r="N2998" s="8" t="s">
        <v>27</v>
      </c>
      <c r="O2998" s="13"/>
      <c r="P2998" s="14">
        <v>0.2</v>
      </c>
      <c r="Q2998" s="15">
        <v>0.28000000000000003</v>
      </c>
      <c r="R2998" s="16" t="str">
        <f t="shared" si="245"/>
        <v>LUTRON</v>
      </c>
      <c r="S2998" s="17" t="str">
        <f t="shared" si="247"/>
        <v>LUTRON</v>
      </c>
      <c r="T2998" s="10" t="str">
        <f t="shared" si="249"/>
        <v>TECLADO CON DOS GRUPOS DE 3 BOTONES, INCLUYENDO RAISE AND LOWER.</v>
      </c>
    </row>
    <row r="2999" spans="1:23" ht="27" customHeight="1" x14ac:dyDescent="0.25">
      <c r="A2999" s="8" t="s">
        <v>5672</v>
      </c>
      <c r="B2999" s="9" t="s">
        <v>5666</v>
      </c>
      <c r="C2999" s="9"/>
      <c r="D2999" s="8" t="s">
        <v>188</v>
      </c>
      <c r="E2999" s="8">
        <v>38</v>
      </c>
      <c r="F2999" s="8" t="s">
        <v>22</v>
      </c>
      <c r="G2999" s="10" t="s">
        <v>6007</v>
      </c>
      <c r="H2999" s="8" t="s">
        <v>6008</v>
      </c>
      <c r="I2999" s="10" t="s">
        <v>6007</v>
      </c>
      <c r="J2999" s="11" t="s">
        <v>26</v>
      </c>
      <c r="K2999" s="57">
        <v>198</v>
      </c>
      <c r="L2999" s="12">
        <f t="shared" si="248"/>
        <v>330</v>
      </c>
      <c r="M2999" s="8">
        <v>1</v>
      </c>
      <c r="N2999" s="8" t="s">
        <v>27</v>
      </c>
      <c r="O2999" s="13"/>
      <c r="P2999" s="14">
        <v>0.2</v>
      </c>
      <c r="Q2999" s="15">
        <v>0.28000000000000003</v>
      </c>
      <c r="R2999" s="16" t="str">
        <f t="shared" si="245"/>
        <v>LUTRON</v>
      </c>
      <c r="S2999" s="17" t="str">
        <f t="shared" si="247"/>
        <v>LUTRON</v>
      </c>
      <c r="T2999" s="10" t="str">
        <f t="shared" si="249"/>
        <v>TECLADO CON DOS GRUPOS DE 3 BOTONES.</v>
      </c>
    </row>
    <row r="3000" spans="1:23" ht="27" customHeight="1" x14ac:dyDescent="0.25">
      <c r="A3000" s="8" t="s">
        <v>5672</v>
      </c>
      <c r="B3000" s="9" t="s">
        <v>5666</v>
      </c>
      <c r="C3000" s="9"/>
      <c r="D3000" s="8" t="s">
        <v>2048</v>
      </c>
      <c r="E3000" s="8">
        <v>1</v>
      </c>
      <c r="F3000" s="8" t="s">
        <v>22</v>
      </c>
      <c r="G3000" s="10" t="s">
        <v>6009</v>
      </c>
      <c r="H3000" s="8" t="s">
        <v>6010</v>
      </c>
      <c r="I3000" s="10" t="s">
        <v>6009</v>
      </c>
      <c r="J3000" s="11" t="s">
        <v>26</v>
      </c>
      <c r="K3000" s="57">
        <v>44</v>
      </c>
      <c r="L3000" s="12">
        <f t="shared" si="248"/>
        <v>80</v>
      </c>
      <c r="M3000" s="8">
        <v>1</v>
      </c>
      <c r="N3000" s="8" t="s">
        <v>27</v>
      </c>
      <c r="O3000" s="13"/>
      <c r="P3000" s="14">
        <v>0.2</v>
      </c>
      <c r="Q3000" s="15">
        <v>0.33600000000000002</v>
      </c>
      <c r="R3000" s="16" t="str">
        <f t="shared" si="245"/>
        <v>LUTRON</v>
      </c>
      <c r="S3000" s="17" t="str">
        <f t="shared" si="247"/>
        <v>LUTRON</v>
      </c>
      <c r="T3000" s="10" t="str">
        <f t="shared" si="249"/>
        <v>KIT DE ATENUADOR PD-6WCL-W MAS TECLADO TIPO PICO PJ2-3BRL-WH-L01R.</v>
      </c>
    </row>
    <row r="3001" spans="1:23" ht="27" customHeight="1" x14ac:dyDescent="0.25">
      <c r="A3001" s="8" t="s">
        <v>5672</v>
      </c>
      <c r="B3001" s="9" t="s">
        <v>5666</v>
      </c>
      <c r="C3001" s="9"/>
      <c r="D3001" s="8" t="s">
        <v>2048</v>
      </c>
      <c r="E3001" s="8">
        <v>2</v>
      </c>
      <c r="F3001" s="8" t="s">
        <v>22</v>
      </c>
      <c r="G3001" s="10" t="s">
        <v>6011</v>
      </c>
      <c r="H3001" s="8" t="s">
        <v>6012</v>
      </c>
      <c r="I3001" s="10" t="s">
        <v>6013</v>
      </c>
      <c r="J3001" s="11" t="s">
        <v>26</v>
      </c>
      <c r="K3001" s="57">
        <v>38.700000000000003</v>
      </c>
      <c r="L3001" s="12">
        <f t="shared" si="248"/>
        <v>70</v>
      </c>
      <c r="M3001" s="8">
        <v>1</v>
      </c>
      <c r="N3001" s="8" t="s">
        <v>27</v>
      </c>
      <c r="O3001" s="13"/>
      <c r="P3001" s="14">
        <v>0.2</v>
      </c>
      <c r="Q3001" s="15">
        <v>0.33600000000000002</v>
      </c>
      <c r="R3001" s="16" t="str">
        <f t="shared" si="245"/>
        <v>LUTRON</v>
      </c>
      <c r="S3001" s="17" t="str">
        <f t="shared" si="247"/>
        <v>LUTRON</v>
      </c>
      <c r="T3001" s="10" t="str">
        <f t="shared" si="249"/>
        <v>KIT DE ATENUADOR PARA CONEXIÓN EN TOMA CORRIENTE PD-3PCL-W.</v>
      </c>
    </row>
    <row r="3002" spans="1:23" ht="27" customHeight="1" x14ac:dyDescent="0.25">
      <c r="A3002" s="8" t="s">
        <v>5672</v>
      </c>
      <c r="B3002" s="9" t="s">
        <v>5666</v>
      </c>
      <c r="C3002" s="9"/>
      <c r="D3002" s="8" t="s">
        <v>2048</v>
      </c>
      <c r="E3002" s="8">
        <v>4</v>
      </c>
      <c r="F3002" s="8" t="s">
        <v>22</v>
      </c>
      <c r="G3002" s="10" t="s">
        <v>6014</v>
      </c>
      <c r="H3002" s="8" t="s">
        <v>6015</v>
      </c>
      <c r="I3002" s="10" t="s">
        <v>6016</v>
      </c>
      <c r="J3002" s="11" t="s">
        <v>26</v>
      </c>
      <c r="K3002" s="57">
        <v>269.39999999999998</v>
      </c>
      <c r="L3002" s="12">
        <f t="shared" si="248"/>
        <v>449</v>
      </c>
      <c r="M3002" s="8">
        <v>1</v>
      </c>
      <c r="N3002" s="8" t="s">
        <v>27</v>
      </c>
      <c r="O3002" s="13"/>
      <c r="P3002" s="14">
        <v>0.2</v>
      </c>
      <c r="Q3002" s="15">
        <v>0.28000000000000003</v>
      </c>
      <c r="R3002" s="16" t="str">
        <f t="shared" si="245"/>
        <v>LUTRON</v>
      </c>
      <c r="S3002" s="17" t="str">
        <f t="shared" si="247"/>
        <v>LUTRON</v>
      </c>
      <c r="T3002" s="10" t="str">
        <f t="shared" si="249"/>
        <v>KIT CON ACTUADOR DE TEMPERATURA Y SENSOR DE TEMPERATURA INALÁMBRICO.</v>
      </c>
    </row>
    <row r="3003" spans="1:23" ht="27" customHeight="1" x14ac:dyDescent="0.25">
      <c r="A3003" s="8" t="s">
        <v>5672</v>
      </c>
      <c r="B3003" s="9" t="s">
        <v>5666</v>
      </c>
      <c r="C3003" s="9"/>
      <c r="D3003" s="8" t="s">
        <v>2048</v>
      </c>
      <c r="E3003" s="8">
        <v>5</v>
      </c>
      <c r="F3003" s="8" t="s">
        <v>22</v>
      </c>
      <c r="G3003" s="10" t="s">
        <v>6017</v>
      </c>
      <c r="H3003" s="8" t="s">
        <v>6018</v>
      </c>
      <c r="I3003" s="10" t="s">
        <v>6019</v>
      </c>
      <c r="J3003" s="11" t="s">
        <v>26</v>
      </c>
      <c r="K3003" s="57">
        <v>359.4</v>
      </c>
      <c r="L3003" s="12">
        <f t="shared" si="248"/>
        <v>599</v>
      </c>
      <c r="M3003" s="8">
        <v>1</v>
      </c>
      <c r="N3003" s="8" t="s">
        <v>27</v>
      </c>
      <c r="O3003" s="13"/>
      <c r="P3003" s="14">
        <v>0.2</v>
      </c>
      <c r="Q3003" s="15">
        <v>0.28000000000000003</v>
      </c>
      <c r="R3003" s="16" t="str">
        <f t="shared" si="245"/>
        <v>LUTRON</v>
      </c>
      <c r="S3003" s="17" t="str">
        <f t="shared" si="247"/>
        <v>LUTRON</v>
      </c>
      <c r="T3003" s="10" t="str">
        <f t="shared" si="249"/>
        <v>KIT CON ACTUADOR TEMPERATURA, MANDO TERMOSTATO DE PARED Y SENSOR DE TEMPERATURA.</v>
      </c>
    </row>
    <row r="3004" spans="1:23" ht="27" customHeight="1" x14ac:dyDescent="0.25">
      <c r="A3004" s="8" t="s">
        <v>5672</v>
      </c>
      <c r="B3004" s="9" t="s">
        <v>5666</v>
      </c>
      <c r="C3004" s="9"/>
      <c r="D3004" s="8" t="s">
        <v>408</v>
      </c>
      <c r="E3004" s="8">
        <v>1</v>
      </c>
      <c r="F3004" s="8" t="s">
        <v>22</v>
      </c>
      <c r="G3004" s="10" t="s">
        <v>6020</v>
      </c>
      <c r="H3004" s="8" t="s">
        <v>6021</v>
      </c>
      <c r="I3004" s="10" t="s">
        <v>6022</v>
      </c>
      <c r="J3004" s="11" t="s">
        <v>26</v>
      </c>
      <c r="K3004" s="57">
        <v>140.25</v>
      </c>
      <c r="L3004" s="12">
        <f t="shared" si="248"/>
        <v>281</v>
      </c>
      <c r="M3004" s="8">
        <v>1</v>
      </c>
      <c r="N3004" s="8" t="s">
        <v>27</v>
      </c>
      <c r="O3004" s="13"/>
      <c r="P3004" s="14">
        <v>0.2</v>
      </c>
      <c r="Q3004" s="15">
        <v>0.4</v>
      </c>
      <c r="R3004" s="16" t="str">
        <f t="shared" si="245"/>
        <v>LUTRON</v>
      </c>
      <c r="S3004" s="17" t="str">
        <f t="shared" si="247"/>
        <v>LUTRON</v>
      </c>
      <c r="T3004" s="10" t="str">
        <f t="shared" si="249"/>
        <v>MODULO PARA INTEGRACIÓN DE SENSORES INALÁMBRICOS Y ALÁMBRICOS.</v>
      </c>
    </row>
    <row r="3005" spans="1:23" ht="27" customHeight="1" x14ac:dyDescent="0.25">
      <c r="A3005" s="8" t="s">
        <v>5672</v>
      </c>
      <c r="B3005" s="9" t="s">
        <v>5666</v>
      </c>
      <c r="C3005" s="9"/>
      <c r="D3005" s="8" t="s">
        <v>408</v>
      </c>
      <c r="E3005" s="8">
        <v>2</v>
      </c>
      <c r="F3005" s="8" t="s">
        <v>22</v>
      </c>
      <c r="G3005" s="10" t="s">
        <v>6020</v>
      </c>
      <c r="H3005" s="8" t="s">
        <v>6023</v>
      </c>
      <c r="I3005" s="10" t="s">
        <v>6024</v>
      </c>
      <c r="J3005" s="11" t="s">
        <v>26</v>
      </c>
      <c r="K3005" s="57">
        <v>140.25</v>
      </c>
      <c r="L3005" s="12">
        <f t="shared" si="248"/>
        <v>281</v>
      </c>
      <c r="M3005" s="8">
        <v>1</v>
      </c>
      <c r="N3005" s="8" t="s">
        <v>27</v>
      </c>
      <c r="O3005" s="13"/>
      <c r="P3005" s="14">
        <v>0.2</v>
      </c>
      <c r="Q3005" s="15">
        <v>0.4</v>
      </c>
      <c r="R3005" s="16" t="str">
        <f t="shared" si="245"/>
        <v>LUTRON</v>
      </c>
      <c r="S3005" s="17" t="str">
        <f t="shared" si="247"/>
        <v>LUTRON</v>
      </c>
      <c r="T3005" s="10" t="str">
        <f t="shared" si="249"/>
        <v>MODULO PARA INTEGRACIÓN DE SENSORES INALÁMBRICOS Y ALÁMBRICOS.</v>
      </c>
    </row>
    <row r="3006" spans="1:23" ht="27" customHeight="1" x14ac:dyDescent="0.25">
      <c r="A3006" s="8" t="s">
        <v>5672</v>
      </c>
      <c r="B3006" s="9" t="s">
        <v>5666</v>
      </c>
      <c r="C3006" s="9"/>
      <c r="D3006" s="8" t="s">
        <v>408</v>
      </c>
      <c r="E3006" s="8">
        <v>3</v>
      </c>
      <c r="F3006" s="8" t="s">
        <v>22</v>
      </c>
      <c r="G3006" s="10" t="s">
        <v>6025</v>
      </c>
      <c r="H3006" s="8" t="s">
        <v>6026</v>
      </c>
      <c r="I3006" s="10" t="s">
        <v>6025</v>
      </c>
      <c r="J3006" s="11" t="s">
        <v>26</v>
      </c>
      <c r="K3006" s="57">
        <v>107.25</v>
      </c>
      <c r="L3006" s="12">
        <f t="shared" si="248"/>
        <v>215</v>
      </c>
      <c r="M3006" s="8">
        <v>1</v>
      </c>
      <c r="N3006" s="8" t="s">
        <v>27</v>
      </c>
      <c r="O3006" s="13"/>
      <c r="P3006" s="14">
        <v>0.2</v>
      </c>
      <c r="Q3006" s="15">
        <v>0.4</v>
      </c>
      <c r="R3006" s="16" t="str">
        <f t="shared" si="245"/>
        <v>LUTRON</v>
      </c>
      <c r="S3006" s="17" t="str">
        <f t="shared" si="247"/>
        <v>LUTRON</v>
      </c>
      <c r="T3006" s="10" t="str">
        <f t="shared" si="249"/>
        <v>MODULO PARA INTEGRACIÓN DE SENSORES ALÁMBRICOS, FRECUENCIA DE OPERACIÓN 434 MHZ.</v>
      </c>
      <c r="W3006">
        <f>97.5*1.2/0.9</f>
        <v>130</v>
      </c>
    </row>
    <row r="3007" spans="1:23" ht="27" customHeight="1" x14ac:dyDescent="0.25">
      <c r="A3007" s="8" t="s">
        <v>3977</v>
      </c>
      <c r="B3007" s="9" t="s">
        <v>5666</v>
      </c>
      <c r="C3007" s="9"/>
      <c r="D3007" s="8" t="s">
        <v>408</v>
      </c>
      <c r="E3007" s="8">
        <v>4</v>
      </c>
      <c r="F3007" s="8" t="s">
        <v>22</v>
      </c>
      <c r="G3007" s="10" t="s">
        <v>2055</v>
      </c>
      <c r="H3007" s="8" t="s">
        <v>6027</v>
      </c>
      <c r="I3007" s="10" t="s">
        <v>6028</v>
      </c>
      <c r="J3007" s="11" t="s">
        <v>26</v>
      </c>
      <c r="K3007" s="57">
        <v>97.5</v>
      </c>
      <c r="L3007" s="12">
        <f t="shared" si="248"/>
        <v>195</v>
      </c>
      <c r="M3007" s="8">
        <v>1</v>
      </c>
      <c r="N3007" s="8" t="s">
        <v>27</v>
      </c>
      <c r="O3007" s="13"/>
      <c r="P3007" s="14">
        <v>0.2</v>
      </c>
      <c r="Q3007" s="15">
        <v>0.4</v>
      </c>
      <c r="R3007" s="16" t="str">
        <f t="shared" si="245"/>
        <v>KOMODO</v>
      </c>
      <c r="S3007" s="17" t="str">
        <f t="shared" si="247"/>
        <v>KOMODO</v>
      </c>
      <c r="T3007" s="10" t="str">
        <f t="shared" si="249"/>
        <v>MODULO PARA INTEGRACIÓN DE SENSORES INALÁMBRICOS.</v>
      </c>
    </row>
    <row r="3008" spans="1:23" ht="27" customHeight="1" x14ac:dyDescent="0.25">
      <c r="A3008" s="8" t="s">
        <v>5672</v>
      </c>
      <c r="B3008" s="9" t="s">
        <v>5666</v>
      </c>
      <c r="C3008" s="9"/>
      <c r="D3008" s="8" t="s">
        <v>408</v>
      </c>
      <c r="E3008" s="8">
        <v>5</v>
      </c>
      <c r="F3008" s="8" t="s">
        <v>22</v>
      </c>
      <c r="G3008" s="10" t="s">
        <v>2055</v>
      </c>
      <c r="H3008" s="8" t="s">
        <v>6029</v>
      </c>
      <c r="I3008" s="10" t="s">
        <v>6030</v>
      </c>
      <c r="J3008" s="11" t="s">
        <v>26</v>
      </c>
      <c r="K3008" s="57">
        <v>97.5</v>
      </c>
      <c r="L3008" s="12">
        <f t="shared" si="248"/>
        <v>195</v>
      </c>
      <c r="M3008" s="8">
        <v>1</v>
      </c>
      <c r="N3008" s="8" t="s">
        <v>27</v>
      </c>
      <c r="O3008" s="13"/>
      <c r="P3008" s="14">
        <v>0.2</v>
      </c>
      <c r="Q3008" s="15">
        <v>0.4</v>
      </c>
      <c r="R3008" s="16" t="str">
        <f t="shared" si="245"/>
        <v>LUTRON</v>
      </c>
      <c r="S3008" s="17" t="str">
        <f t="shared" si="247"/>
        <v>LUTRON</v>
      </c>
      <c r="T3008" s="10" t="str">
        <f t="shared" si="249"/>
        <v>MODULO PARA INTEGRACIÓN DE SENSORES INALÁMBRICOS.</v>
      </c>
    </row>
    <row r="3009" spans="1:20" ht="27" customHeight="1" x14ac:dyDescent="0.25">
      <c r="A3009" s="8" t="s">
        <v>5672</v>
      </c>
      <c r="B3009" s="9" t="s">
        <v>5666</v>
      </c>
      <c r="C3009" s="9"/>
      <c r="D3009" s="8" t="s">
        <v>408</v>
      </c>
      <c r="E3009" s="8">
        <v>6</v>
      </c>
      <c r="F3009" s="8" t="s">
        <v>22</v>
      </c>
      <c r="G3009" s="10" t="s">
        <v>6031</v>
      </c>
      <c r="H3009" s="8" t="s">
        <v>6032</v>
      </c>
      <c r="I3009" s="10" t="s">
        <v>6033</v>
      </c>
      <c r="J3009" s="11" t="s">
        <v>26</v>
      </c>
      <c r="K3009" s="57">
        <v>385</v>
      </c>
      <c r="L3009" s="12">
        <f t="shared" si="248"/>
        <v>770</v>
      </c>
      <c r="M3009" s="8">
        <v>1</v>
      </c>
      <c r="N3009" s="8" t="s">
        <v>27</v>
      </c>
      <c r="O3009" s="13"/>
      <c r="P3009" s="14">
        <v>0.2</v>
      </c>
      <c r="Q3009" s="15">
        <v>0.4</v>
      </c>
      <c r="R3009" s="16" t="str">
        <f t="shared" ref="R3009:R3072" si="250">A3009</f>
        <v>LUTRON</v>
      </c>
      <c r="S3009" s="17" t="str">
        <f t="shared" si="247"/>
        <v>LUTRON</v>
      </c>
      <c r="T3009" s="10" t="str">
        <f t="shared" si="249"/>
        <v>PROCESADOR MULTI VOLTAJE PARA MANEJO DE CUATRO 0_10 VOLTIOS Y CARGAS A 20A.</v>
      </c>
    </row>
    <row r="3010" spans="1:20" ht="27" customHeight="1" x14ac:dyDescent="0.25">
      <c r="A3010" s="8" t="s">
        <v>5672</v>
      </c>
      <c r="B3010" s="9" t="s">
        <v>5666</v>
      </c>
      <c r="C3010" s="9"/>
      <c r="D3010" s="8" t="s">
        <v>408</v>
      </c>
      <c r="E3010" s="8">
        <v>7</v>
      </c>
      <c r="F3010" s="8" t="s">
        <v>22</v>
      </c>
      <c r="G3010" s="10" t="s">
        <v>6034</v>
      </c>
      <c r="H3010" s="8" t="s">
        <v>6035</v>
      </c>
      <c r="I3010" s="10" t="s">
        <v>6036</v>
      </c>
      <c r="J3010" s="11" t="s">
        <v>26</v>
      </c>
      <c r="K3010" s="57">
        <v>430</v>
      </c>
      <c r="L3010" s="12">
        <f t="shared" si="248"/>
        <v>860</v>
      </c>
      <c r="M3010" s="8">
        <v>1</v>
      </c>
      <c r="N3010" s="8" t="s">
        <v>27</v>
      </c>
      <c r="O3010" s="13"/>
      <c r="P3010" s="14">
        <v>0.2</v>
      </c>
      <c r="Q3010" s="15">
        <v>0.4</v>
      </c>
      <c r="R3010" s="16" t="str">
        <f t="shared" si="250"/>
        <v>LUTRON</v>
      </c>
      <c r="S3010" s="17" t="str">
        <f t="shared" si="247"/>
        <v>LUTRON</v>
      </c>
      <c r="T3010" s="10" t="str">
        <f t="shared" si="249"/>
        <v>PROCESADOR MULTI VOLTAJE PARA MANEJO DE 4 LASOS 0_10 VOLTIOS Y CARGAS A 16A.</v>
      </c>
    </row>
    <row r="3011" spans="1:20" ht="27" customHeight="1" x14ac:dyDescent="0.25">
      <c r="A3011" s="8" t="s">
        <v>5672</v>
      </c>
      <c r="B3011" s="9" t="s">
        <v>5666</v>
      </c>
      <c r="C3011" s="9"/>
      <c r="D3011" s="8" t="s">
        <v>408</v>
      </c>
      <c r="E3011" s="8">
        <v>8</v>
      </c>
      <c r="F3011" s="8" t="s">
        <v>22</v>
      </c>
      <c r="G3011" s="10" t="s">
        <v>6037</v>
      </c>
      <c r="H3011" s="8" t="s">
        <v>6038</v>
      </c>
      <c r="I3011" s="10" t="s">
        <v>6039</v>
      </c>
      <c r="J3011" s="11" t="s">
        <v>26</v>
      </c>
      <c r="K3011" s="57">
        <v>335</v>
      </c>
      <c r="L3011" s="12">
        <f t="shared" si="248"/>
        <v>670</v>
      </c>
      <c r="M3011" s="8">
        <v>1</v>
      </c>
      <c r="N3011" s="8" t="s">
        <v>27</v>
      </c>
      <c r="O3011" s="13"/>
      <c r="P3011" s="14">
        <v>0.2</v>
      </c>
      <c r="Q3011" s="15">
        <v>0.4</v>
      </c>
      <c r="R3011" s="16" t="str">
        <f t="shared" si="250"/>
        <v>LUTRON</v>
      </c>
      <c r="S3011" s="17" t="str">
        <f t="shared" si="247"/>
        <v>LUTRON</v>
      </c>
      <c r="T3011" s="10" t="str">
        <f t="shared" si="249"/>
        <v>PROCESADOR MULTI VOLTAJE DE 4 LASOS 0_10 VOLTIOS Y CARGAS A 16A.</v>
      </c>
    </row>
    <row r="3012" spans="1:20" ht="27" customHeight="1" x14ac:dyDescent="0.25">
      <c r="A3012" s="8" t="s">
        <v>5672</v>
      </c>
      <c r="B3012" s="9" t="s">
        <v>5666</v>
      </c>
      <c r="C3012" s="9"/>
      <c r="D3012" s="8" t="s">
        <v>408</v>
      </c>
      <c r="E3012" s="8">
        <v>9</v>
      </c>
      <c r="F3012" s="8" t="s">
        <v>22</v>
      </c>
      <c r="G3012" s="10" t="s">
        <v>6040</v>
      </c>
      <c r="H3012" s="8" t="s">
        <v>6041</v>
      </c>
      <c r="I3012" s="10" t="s">
        <v>6042</v>
      </c>
      <c r="J3012" s="11" t="s">
        <v>26</v>
      </c>
      <c r="K3012" s="57">
        <v>505</v>
      </c>
      <c r="L3012" s="12">
        <f t="shared" si="248"/>
        <v>1010</v>
      </c>
      <c r="M3012" s="8">
        <v>1</v>
      </c>
      <c r="N3012" s="8" t="s">
        <v>27</v>
      </c>
      <c r="O3012" s="13"/>
      <c r="P3012" s="14">
        <v>0.2</v>
      </c>
      <c r="Q3012" s="15">
        <v>0.4</v>
      </c>
      <c r="R3012" s="16" t="str">
        <f t="shared" si="250"/>
        <v>LUTRON</v>
      </c>
      <c r="S3012" s="17" t="str">
        <f t="shared" si="247"/>
        <v>LUTRON</v>
      </c>
      <c r="T3012" s="10" t="str">
        <f t="shared" si="249"/>
        <v>PROCESADOR DE UN LASO PARA MANEJO DE HASTA 64 ELEMENTOS ECOSYSTEM.</v>
      </c>
    </row>
    <row r="3013" spans="1:20" ht="27" customHeight="1" x14ac:dyDescent="0.25">
      <c r="A3013" s="8" t="s">
        <v>5672</v>
      </c>
      <c r="B3013" s="9" t="s">
        <v>5666</v>
      </c>
      <c r="C3013" s="9"/>
      <c r="D3013" s="8" t="s">
        <v>408</v>
      </c>
      <c r="E3013" s="8">
        <v>10</v>
      </c>
      <c r="F3013" s="8" t="s">
        <v>22</v>
      </c>
      <c r="G3013" s="10" t="s">
        <v>6043</v>
      </c>
      <c r="H3013" s="8" t="s">
        <v>6044</v>
      </c>
      <c r="I3013" s="10" t="s">
        <v>6045</v>
      </c>
      <c r="J3013" s="11" t="s">
        <v>26</v>
      </c>
      <c r="K3013" s="57">
        <v>787.1</v>
      </c>
      <c r="L3013" s="12">
        <f t="shared" si="248"/>
        <v>1575</v>
      </c>
      <c r="M3013" s="8">
        <v>1</v>
      </c>
      <c r="N3013" s="8" t="s">
        <v>27</v>
      </c>
      <c r="O3013" s="13"/>
      <c r="P3013" s="14">
        <v>0.2</v>
      </c>
      <c r="Q3013" s="15">
        <v>0.4</v>
      </c>
      <c r="R3013" s="16" t="str">
        <f t="shared" si="250"/>
        <v>LUTRON</v>
      </c>
      <c r="S3013" s="17" t="str">
        <f t="shared" si="247"/>
        <v>LUTRON</v>
      </c>
      <c r="T3013" s="10" t="str">
        <f t="shared" si="249"/>
        <v>PROCESADOR DE DOS LASOS PARA MANEJO DE HASTA 128 ELEMENTOS ECOSYSTEM.</v>
      </c>
    </row>
    <row r="3014" spans="1:20" ht="27" customHeight="1" x14ac:dyDescent="0.25">
      <c r="A3014" s="8" t="s">
        <v>5672</v>
      </c>
      <c r="B3014" s="9" t="s">
        <v>5666</v>
      </c>
      <c r="C3014" s="9"/>
      <c r="D3014" s="8" t="s">
        <v>408</v>
      </c>
      <c r="E3014" s="8">
        <v>11</v>
      </c>
      <c r="F3014" s="8" t="s">
        <v>22</v>
      </c>
      <c r="G3014" s="10" t="s">
        <v>6046</v>
      </c>
      <c r="H3014" s="8" t="s">
        <v>6047</v>
      </c>
      <c r="I3014" s="10" t="s">
        <v>6046</v>
      </c>
      <c r="J3014" s="11" t="s">
        <v>26</v>
      </c>
      <c r="K3014" s="57">
        <v>405</v>
      </c>
      <c r="L3014" s="12">
        <f t="shared" si="248"/>
        <v>810</v>
      </c>
      <c r="M3014" s="8">
        <v>1</v>
      </c>
      <c r="N3014" s="8" t="s">
        <v>27</v>
      </c>
      <c r="O3014" s="13"/>
      <c r="P3014" s="14">
        <v>0.2</v>
      </c>
      <c r="Q3014" s="15">
        <v>0.4</v>
      </c>
      <c r="R3014" s="16" t="str">
        <f t="shared" si="250"/>
        <v>LUTRON</v>
      </c>
      <c r="S3014" s="17" t="str">
        <f t="shared" si="247"/>
        <v>LUTRON</v>
      </c>
      <c r="T3014" s="10" t="str">
        <f t="shared" si="249"/>
        <v>PANEL DE CONMUTACIÓN DE 4 LASOS MULTI VOLTAJE A 20 AMPERIOS.</v>
      </c>
    </row>
    <row r="3015" spans="1:20" ht="27" customHeight="1" x14ac:dyDescent="0.25">
      <c r="A3015" s="8" t="s">
        <v>5672</v>
      </c>
      <c r="B3015" s="9" t="s">
        <v>5666</v>
      </c>
      <c r="C3015" s="9"/>
      <c r="D3015" s="8" t="s">
        <v>408</v>
      </c>
      <c r="E3015" s="8">
        <v>12</v>
      </c>
      <c r="F3015" s="8" t="s">
        <v>22</v>
      </c>
      <c r="G3015" s="10" t="s">
        <v>6048</v>
      </c>
      <c r="H3015" s="8" t="s">
        <v>6049</v>
      </c>
      <c r="I3015" s="10" t="s">
        <v>6048</v>
      </c>
      <c r="J3015" s="11" t="s">
        <v>26</v>
      </c>
      <c r="K3015" s="57">
        <v>335</v>
      </c>
      <c r="L3015" s="12">
        <f t="shared" si="248"/>
        <v>670</v>
      </c>
      <c r="M3015" s="8">
        <v>1</v>
      </c>
      <c r="N3015" s="8" t="s">
        <v>27</v>
      </c>
      <c r="O3015" s="13"/>
      <c r="P3015" s="14">
        <v>0.2</v>
      </c>
      <c r="Q3015" s="15">
        <v>0.4</v>
      </c>
      <c r="R3015" s="16" t="str">
        <f t="shared" si="250"/>
        <v>LUTRON</v>
      </c>
      <c r="S3015" s="17" t="str">
        <f t="shared" si="247"/>
        <v>LUTRON</v>
      </c>
      <c r="T3015" s="10" t="str">
        <f t="shared" si="249"/>
        <v>PANEL DE CONMUTACIÓN DE 4 LASOS MULTI VOLTAJE A 16 AMPERIOS.</v>
      </c>
    </row>
    <row r="3016" spans="1:20" ht="27" customHeight="1" x14ac:dyDescent="0.25">
      <c r="A3016" s="8" t="s">
        <v>5672</v>
      </c>
      <c r="B3016" s="9" t="s">
        <v>5666</v>
      </c>
      <c r="C3016" s="9"/>
      <c r="D3016" s="8" t="s">
        <v>408</v>
      </c>
      <c r="E3016" s="8">
        <v>13</v>
      </c>
      <c r="F3016" s="8" t="s">
        <v>22</v>
      </c>
      <c r="G3016" s="10" t="s">
        <v>6050</v>
      </c>
      <c r="H3016" s="8" t="s">
        <v>6051</v>
      </c>
      <c r="I3016" s="10" t="s">
        <v>6050</v>
      </c>
      <c r="J3016" s="11" t="s">
        <v>26</v>
      </c>
      <c r="K3016" s="57">
        <v>300</v>
      </c>
      <c r="L3016" s="12">
        <f t="shared" si="248"/>
        <v>600</v>
      </c>
      <c r="M3016" s="8">
        <v>1</v>
      </c>
      <c r="N3016" s="8" t="s">
        <v>27</v>
      </c>
      <c r="O3016" s="13"/>
      <c r="P3016" s="14">
        <v>0.2</v>
      </c>
      <c r="Q3016" s="15">
        <v>0.4</v>
      </c>
      <c r="R3016" s="16" t="str">
        <f t="shared" si="250"/>
        <v>LUTRON</v>
      </c>
      <c r="S3016" s="17" t="str">
        <f t="shared" si="247"/>
        <v>LUTRON</v>
      </c>
      <c r="T3016" s="10" t="str">
        <f t="shared" si="249"/>
        <v>PANEL DE CONMUTACIÓN DE 4 LASOS MULTI VOLTAJE Y 327 VOLTIOS, A 20 AMPERIOS.</v>
      </c>
    </row>
    <row r="3017" spans="1:20" ht="27" customHeight="1" x14ac:dyDescent="0.25">
      <c r="A3017" s="8" t="s">
        <v>5672</v>
      </c>
      <c r="B3017" s="9" t="s">
        <v>5666</v>
      </c>
      <c r="C3017" s="9"/>
      <c r="D3017" s="8" t="s">
        <v>408</v>
      </c>
      <c r="E3017" s="8">
        <v>14</v>
      </c>
      <c r="F3017" s="8" t="s">
        <v>22</v>
      </c>
      <c r="G3017" s="10" t="s">
        <v>6052</v>
      </c>
      <c r="H3017" s="8" t="s">
        <v>6053</v>
      </c>
      <c r="I3017" s="10" t="s">
        <v>6054</v>
      </c>
      <c r="J3017" s="11" t="s">
        <v>26</v>
      </c>
      <c r="K3017" s="57">
        <v>740</v>
      </c>
      <c r="L3017" s="12">
        <f t="shared" si="248"/>
        <v>1480</v>
      </c>
      <c r="M3017" s="8">
        <v>1</v>
      </c>
      <c r="N3017" s="8" t="s">
        <v>27</v>
      </c>
      <c r="O3017" s="13"/>
      <c r="P3017" s="14">
        <v>0.2</v>
      </c>
      <c r="Q3017" s="15">
        <v>0.4</v>
      </c>
      <c r="R3017" s="16" t="str">
        <f t="shared" si="250"/>
        <v>LUTRON</v>
      </c>
      <c r="S3017" s="17" t="str">
        <f t="shared" si="247"/>
        <v>LUTRON</v>
      </c>
      <c r="T3017" s="10" t="str">
        <f t="shared" si="249"/>
        <v>MODULO DE ATENUACIÓN DE 6 CANALES PARA CARGAS MAGNÉTICAS Y ELECTRÓNICAS.</v>
      </c>
    </row>
    <row r="3018" spans="1:20" ht="27" customHeight="1" x14ac:dyDescent="0.25">
      <c r="A3018" s="8" t="s">
        <v>5672</v>
      </c>
      <c r="B3018" s="9" t="s">
        <v>5666</v>
      </c>
      <c r="C3018" s="9"/>
      <c r="D3018" s="8" t="s">
        <v>408</v>
      </c>
      <c r="E3018" s="8">
        <v>15</v>
      </c>
      <c r="F3018" s="8" t="s">
        <v>22</v>
      </c>
      <c r="G3018" s="10" t="s">
        <v>6055</v>
      </c>
      <c r="H3018" s="8" t="s">
        <v>6056</v>
      </c>
      <c r="I3018" s="10" t="s">
        <v>6057</v>
      </c>
      <c r="J3018" s="11" t="s">
        <v>26</v>
      </c>
      <c r="K3018" s="57">
        <v>177.5</v>
      </c>
      <c r="L3018" s="12">
        <f t="shared" si="248"/>
        <v>355</v>
      </c>
      <c r="M3018" s="8">
        <v>1</v>
      </c>
      <c r="N3018" s="8" t="s">
        <v>27</v>
      </c>
      <c r="O3018" s="13"/>
      <c r="P3018" s="14">
        <v>0.2</v>
      </c>
      <c r="Q3018" s="15">
        <v>0.4</v>
      </c>
      <c r="R3018" s="16" t="str">
        <f t="shared" si="250"/>
        <v>LUTRON</v>
      </c>
      <c r="S3018" s="17" t="str">
        <f t="shared" si="247"/>
        <v>LUTRON</v>
      </c>
      <c r="T3018" s="10" t="str">
        <f t="shared" si="249"/>
        <v>MÓDULO DE POTENCIA PARA ATENUACIÓN DE CARGAS CON FASE ADAPTATIVA.</v>
      </c>
    </row>
    <row r="3019" spans="1:20" ht="27" customHeight="1" x14ac:dyDescent="0.25">
      <c r="A3019" s="8" t="s">
        <v>5672</v>
      </c>
      <c r="B3019" s="9" t="s">
        <v>5666</v>
      </c>
      <c r="C3019" s="9"/>
      <c r="D3019" s="8" t="s">
        <v>408</v>
      </c>
      <c r="E3019" s="8">
        <v>16</v>
      </c>
      <c r="F3019" s="8" t="s">
        <v>22</v>
      </c>
      <c r="G3019" s="10" t="s">
        <v>6058</v>
      </c>
      <c r="H3019" s="8" t="s">
        <v>6059</v>
      </c>
      <c r="I3019" s="10" t="s">
        <v>6060</v>
      </c>
      <c r="J3019" s="11" t="s">
        <v>26</v>
      </c>
      <c r="K3019" s="57">
        <v>86.5</v>
      </c>
      <c r="L3019" s="12">
        <f t="shared" si="248"/>
        <v>173</v>
      </c>
      <c r="M3019" s="8">
        <v>1</v>
      </c>
      <c r="N3019" s="8" t="s">
        <v>27</v>
      </c>
      <c r="O3019" s="13"/>
      <c r="P3019" s="14">
        <v>0.2</v>
      </c>
      <c r="Q3019" s="15">
        <v>0.4</v>
      </c>
      <c r="R3019" s="16" t="str">
        <f t="shared" si="250"/>
        <v>LUTRON</v>
      </c>
      <c r="S3019" s="17" t="str">
        <f t="shared" si="247"/>
        <v>LUTRON</v>
      </c>
      <c r="T3019" s="10" t="str">
        <f t="shared" si="249"/>
        <v>BUS DE DATOS PARA 32 BALASTROS ATENUABLES.</v>
      </c>
    </row>
    <row r="3020" spans="1:20" ht="27" customHeight="1" x14ac:dyDescent="0.25">
      <c r="A3020" s="8" t="s">
        <v>5672</v>
      </c>
      <c r="B3020" s="9" t="s">
        <v>5666</v>
      </c>
      <c r="C3020" s="9"/>
      <c r="D3020" s="8" t="s">
        <v>408</v>
      </c>
      <c r="E3020" s="8">
        <v>17</v>
      </c>
      <c r="F3020" s="8" t="s">
        <v>22</v>
      </c>
      <c r="G3020" s="10" t="s">
        <v>6061</v>
      </c>
      <c r="H3020" s="8" t="s">
        <v>6062</v>
      </c>
      <c r="I3020" s="10" t="s">
        <v>6063</v>
      </c>
      <c r="J3020" s="11" t="s">
        <v>26</v>
      </c>
      <c r="K3020" s="57">
        <v>600</v>
      </c>
      <c r="L3020" s="12">
        <f t="shared" si="248"/>
        <v>1200</v>
      </c>
      <c r="M3020" s="8">
        <v>1</v>
      </c>
      <c r="N3020" s="8" t="s">
        <v>27</v>
      </c>
      <c r="O3020" s="13"/>
      <c r="P3020" s="14">
        <v>0.2</v>
      </c>
      <c r="Q3020" s="15">
        <v>0.4</v>
      </c>
      <c r="R3020" s="16" t="str">
        <f t="shared" si="250"/>
        <v>LUTRON</v>
      </c>
      <c r="S3020" s="17" t="str">
        <f t="shared" si="247"/>
        <v>LUTRON</v>
      </c>
      <c r="T3020" s="10" t="str">
        <f t="shared" si="249"/>
        <v>CONTROLADOR DE ILUMINACIÓN PARA CONTROL DE 3 CIRCUITOS ATENUABLES.</v>
      </c>
    </row>
    <row r="3021" spans="1:20" ht="27" customHeight="1" x14ac:dyDescent="0.25">
      <c r="A3021" s="8" t="s">
        <v>5672</v>
      </c>
      <c r="B3021" s="9" t="s">
        <v>5666</v>
      </c>
      <c r="C3021" s="9"/>
      <c r="D3021" s="8" t="s">
        <v>408</v>
      </c>
      <c r="E3021" s="8">
        <v>18</v>
      </c>
      <c r="F3021" s="8" t="s">
        <v>22</v>
      </c>
      <c r="G3021" s="10" t="s">
        <v>6064</v>
      </c>
      <c r="H3021" s="8" t="s">
        <v>6065</v>
      </c>
      <c r="I3021" s="10" t="s">
        <v>6066</v>
      </c>
      <c r="J3021" s="11" t="s">
        <v>26</v>
      </c>
      <c r="K3021" s="57">
        <v>645</v>
      </c>
      <c r="L3021" s="12">
        <f t="shared" si="248"/>
        <v>1290</v>
      </c>
      <c r="M3021" s="8">
        <v>1</v>
      </c>
      <c r="N3021" s="8" t="s">
        <v>27</v>
      </c>
      <c r="O3021" s="13"/>
      <c r="P3021" s="14">
        <v>0.2</v>
      </c>
      <c r="Q3021" s="15">
        <v>0.4</v>
      </c>
      <c r="R3021" s="16" t="str">
        <f t="shared" si="250"/>
        <v>LUTRON</v>
      </c>
      <c r="S3021" s="17" t="str">
        <f t="shared" si="247"/>
        <v>LUTRON</v>
      </c>
      <c r="T3021" s="10" t="str">
        <f t="shared" si="249"/>
        <v>CONTROLADOR DE ILUMINACIÓN PARA CONTROL DE 4 CIRCUITOS ATENUABLES.</v>
      </c>
    </row>
    <row r="3022" spans="1:20" ht="27" customHeight="1" x14ac:dyDescent="0.25">
      <c r="A3022" s="8" t="s">
        <v>5672</v>
      </c>
      <c r="B3022" s="9" t="s">
        <v>5666</v>
      </c>
      <c r="C3022" s="9"/>
      <c r="D3022" s="8" t="s">
        <v>408</v>
      </c>
      <c r="E3022" s="8">
        <v>19</v>
      </c>
      <c r="F3022" s="8" t="s">
        <v>22</v>
      </c>
      <c r="G3022" s="10" t="s">
        <v>6067</v>
      </c>
      <c r="H3022" s="8" t="s">
        <v>6068</v>
      </c>
      <c r="I3022" s="10" t="s">
        <v>6069</v>
      </c>
      <c r="J3022" s="11" t="s">
        <v>26</v>
      </c>
      <c r="K3022" s="57">
        <v>740</v>
      </c>
      <c r="L3022" s="12">
        <f t="shared" si="248"/>
        <v>1480</v>
      </c>
      <c r="M3022" s="8">
        <v>1</v>
      </c>
      <c r="N3022" s="8" t="s">
        <v>27</v>
      </c>
      <c r="O3022" s="13"/>
      <c r="P3022" s="14">
        <v>0.2</v>
      </c>
      <c r="Q3022" s="15">
        <v>0.4</v>
      </c>
      <c r="R3022" s="16" t="str">
        <f t="shared" si="250"/>
        <v>LUTRON</v>
      </c>
      <c r="S3022" s="17" t="str">
        <f t="shared" si="247"/>
        <v>LUTRON</v>
      </c>
      <c r="T3022" s="10" t="str">
        <f t="shared" si="249"/>
        <v>CONTROLADOR DE ILUMINACIÓN PARA CONTROL DE 6 CIRCUITOS ATENUABLES.</v>
      </c>
    </row>
    <row r="3023" spans="1:20" ht="27" customHeight="1" x14ac:dyDescent="0.25">
      <c r="A3023" s="8" t="s">
        <v>5672</v>
      </c>
      <c r="B3023" s="9" t="s">
        <v>5666</v>
      </c>
      <c r="C3023" s="9"/>
      <c r="D3023" s="8" t="s">
        <v>408</v>
      </c>
      <c r="E3023" s="8">
        <v>20</v>
      </c>
      <c r="F3023" s="8" t="s">
        <v>22</v>
      </c>
      <c r="G3023" s="10" t="s">
        <v>6061</v>
      </c>
      <c r="H3023" s="8" t="s">
        <v>6070</v>
      </c>
      <c r="I3023" s="10" t="s">
        <v>6071</v>
      </c>
      <c r="J3023" s="11" t="s">
        <v>26</v>
      </c>
      <c r="K3023" s="57">
        <v>685</v>
      </c>
      <c r="L3023" s="12">
        <f t="shared" si="248"/>
        <v>1370</v>
      </c>
      <c r="M3023" s="8">
        <v>1</v>
      </c>
      <c r="N3023" s="8" t="s">
        <v>27</v>
      </c>
      <c r="O3023" s="13"/>
      <c r="P3023" s="14">
        <v>0.2</v>
      </c>
      <c r="Q3023" s="15">
        <v>0.4</v>
      </c>
      <c r="R3023" s="16" t="str">
        <f t="shared" si="250"/>
        <v>LUTRON</v>
      </c>
      <c r="S3023" s="17" t="str">
        <f t="shared" si="247"/>
        <v>LUTRON</v>
      </c>
      <c r="T3023" s="10" t="str">
        <f t="shared" si="249"/>
        <v>CONTROLADOR DE ILUMINACIÓN PARA CONTROL DE 3 CIRCUITOS ATENUABLES.</v>
      </c>
    </row>
    <row r="3024" spans="1:20" ht="27" customHeight="1" x14ac:dyDescent="0.25">
      <c r="A3024" s="8" t="s">
        <v>5672</v>
      </c>
      <c r="B3024" s="9" t="s">
        <v>5666</v>
      </c>
      <c r="C3024" s="9"/>
      <c r="D3024" s="8" t="s">
        <v>408</v>
      </c>
      <c r="E3024" s="8">
        <v>22</v>
      </c>
      <c r="F3024" s="8" t="s">
        <v>22</v>
      </c>
      <c r="G3024" s="10" t="s">
        <v>6064</v>
      </c>
      <c r="H3024" s="8" t="s">
        <v>6072</v>
      </c>
      <c r="I3024" s="10" t="s">
        <v>6073</v>
      </c>
      <c r="J3024" s="11" t="s">
        <v>26</v>
      </c>
      <c r="K3024" s="57">
        <v>735</v>
      </c>
      <c r="L3024" s="12">
        <f t="shared" si="248"/>
        <v>1470</v>
      </c>
      <c r="M3024" s="8">
        <v>1</v>
      </c>
      <c r="N3024" s="8" t="s">
        <v>27</v>
      </c>
      <c r="O3024" s="13"/>
      <c r="P3024" s="14">
        <v>0.2</v>
      </c>
      <c r="Q3024" s="15">
        <v>0.4</v>
      </c>
      <c r="R3024" s="16" t="str">
        <f t="shared" si="250"/>
        <v>LUTRON</v>
      </c>
      <c r="S3024" s="17" t="str">
        <f t="shared" si="247"/>
        <v>LUTRON</v>
      </c>
      <c r="T3024" s="10" t="str">
        <f t="shared" si="249"/>
        <v>CONTROLADOR DE ILUMINACIÓN PARA CONTROL DE 4 CIRCUITOS ATENUABLES.</v>
      </c>
    </row>
    <row r="3025" spans="1:20" ht="27" customHeight="1" x14ac:dyDescent="0.25">
      <c r="A3025" s="8" t="s">
        <v>5672</v>
      </c>
      <c r="B3025" s="9" t="s">
        <v>5666</v>
      </c>
      <c r="C3025" s="9"/>
      <c r="D3025" s="8" t="s">
        <v>408</v>
      </c>
      <c r="E3025" s="8">
        <v>23</v>
      </c>
      <c r="F3025" s="8" t="s">
        <v>22</v>
      </c>
      <c r="G3025" s="10" t="s">
        <v>6064</v>
      </c>
      <c r="H3025" s="8" t="s">
        <v>6074</v>
      </c>
      <c r="I3025" s="10" t="s">
        <v>6075</v>
      </c>
      <c r="J3025" s="11" t="s">
        <v>26</v>
      </c>
      <c r="K3025" s="57">
        <v>735</v>
      </c>
      <c r="L3025" s="12">
        <f t="shared" si="248"/>
        <v>1470</v>
      </c>
      <c r="M3025" s="8">
        <v>1</v>
      </c>
      <c r="N3025" s="8" t="s">
        <v>27</v>
      </c>
      <c r="O3025" s="13"/>
      <c r="P3025" s="14">
        <v>0.2</v>
      </c>
      <c r="Q3025" s="15">
        <v>0.4</v>
      </c>
      <c r="R3025" s="16" t="str">
        <f t="shared" si="250"/>
        <v>LUTRON</v>
      </c>
      <c r="S3025" s="17" t="str">
        <f t="shared" si="247"/>
        <v>LUTRON</v>
      </c>
      <c r="T3025" s="10" t="str">
        <f t="shared" si="249"/>
        <v>CONTROLADOR DE ILUMINACIÓN PARA CONTROL DE 4 CIRCUITOS ATENUABLES.</v>
      </c>
    </row>
    <row r="3026" spans="1:20" ht="27" customHeight="1" x14ac:dyDescent="0.25">
      <c r="A3026" s="8" t="s">
        <v>5672</v>
      </c>
      <c r="B3026" s="9" t="s">
        <v>5666</v>
      </c>
      <c r="C3026" s="9"/>
      <c r="D3026" s="8" t="s">
        <v>408</v>
      </c>
      <c r="E3026" s="8">
        <v>24</v>
      </c>
      <c r="F3026" s="8" t="s">
        <v>22</v>
      </c>
      <c r="G3026" s="10" t="s">
        <v>6067</v>
      </c>
      <c r="H3026" s="8" t="s">
        <v>6076</v>
      </c>
      <c r="I3026" s="10" t="s">
        <v>6077</v>
      </c>
      <c r="J3026" s="11" t="s">
        <v>26</v>
      </c>
      <c r="K3026" s="57">
        <v>825</v>
      </c>
      <c r="L3026" s="12">
        <f t="shared" si="248"/>
        <v>1650</v>
      </c>
      <c r="M3026" s="8">
        <v>1</v>
      </c>
      <c r="N3026" s="8" t="s">
        <v>27</v>
      </c>
      <c r="O3026" s="13"/>
      <c r="P3026" s="14">
        <v>0.2</v>
      </c>
      <c r="Q3026" s="15">
        <v>0.4</v>
      </c>
      <c r="R3026" s="16" t="str">
        <f t="shared" si="250"/>
        <v>LUTRON</v>
      </c>
      <c r="S3026" s="17" t="str">
        <f t="shared" si="247"/>
        <v>LUTRON</v>
      </c>
      <c r="T3026" s="10" t="str">
        <f t="shared" si="249"/>
        <v>CONTROLADOR DE ILUMINACIÓN PARA CONTROL DE 6 CIRCUITOS ATENUABLES.</v>
      </c>
    </row>
    <row r="3027" spans="1:20" ht="27" customHeight="1" x14ac:dyDescent="0.25">
      <c r="A3027" s="8" t="s">
        <v>5672</v>
      </c>
      <c r="B3027" s="9" t="s">
        <v>5666</v>
      </c>
      <c r="C3027" s="9"/>
      <c r="D3027" s="8" t="s">
        <v>408</v>
      </c>
      <c r="E3027" s="8">
        <v>25</v>
      </c>
      <c r="F3027" s="8" t="s">
        <v>22</v>
      </c>
      <c r="G3027" s="10" t="s">
        <v>6067</v>
      </c>
      <c r="H3027" s="8" t="s">
        <v>6078</v>
      </c>
      <c r="I3027" s="10" t="s">
        <v>6079</v>
      </c>
      <c r="J3027" s="11" t="s">
        <v>26</v>
      </c>
      <c r="K3027" s="57">
        <v>825</v>
      </c>
      <c r="L3027" s="12">
        <f t="shared" si="248"/>
        <v>1650</v>
      </c>
      <c r="M3027" s="8">
        <v>1</v>
      </c>
      <c r="N3027" s="8" t="s">
        <v>27</v>
      </c>
      <c r="O3027" s="13"/>
      <c r="P3027" s="14">
        <v>0.2</v>
      </c>
      <c r="Q3027" s="15">
        <v>0.4</v>
      </c>
      <c r="R3027" s="16" t="str">
        <f t="shared" si="250"/>
        <v>LUTRON</v>
      </c>
      <c r="S3027" s="17" t="str">
        <f t="shared" si="247"/>
        <v>LUTRON</v>
      </c>
      <c r="T3027" s="10" t="str">
        <f t="shared" si="249"/>
        <v>CONTROLADOR DE ILUMINACIÓN PARA CONTROL DE 6 CIRCUITOS ATENUABLES.</v>
      </c>
    </row>
    <row r="3028" spans="1:20" ht="27" customHeight="1" x14ac:dyDescent="0.25">
      <c r="A3028" s="8" t="s">
        <v>5672</v>
      </c>
      <c r="B3028" s="9" t="s">
        <v>5666</v>
      </c>
      <c r="C3028" s="9"/>
      <c r="D3028" s="8" t="s">
        <v>408</v>
      </c>
      <c r="E3028" s="8">
        <v>26</v>
      </c>
      <c r="F3028" s="8" t="s">
        <v>22</v>
      </c>
      <c r="G3028" s="10" t="s">
        <v>6080</v>
      </c>
      <c r="H3028" s="8" t="s">
        <v>6081</v>
      </c>
      <c r="I3028" s="10" t="s">
        <v>6082</v>
      </c>
      <c r="J3028" s="11" t="s">
        <v>26</v>
      </c>
      <c r="K3028" s="57">
        <v>1075</v>
      </c>
      <c r="L3028" s="12">
        <f t="shared" si="248"/>
        <v>2150</v>
      </c>
      <c r="M3028" s="8">
        <v>1</v>
      </c>
      <c r="N3028" s="8" t="s">
        <v>27</v>
      </c>
      <c r="O3028" s="13"/>
      <c r="P3028" s="14">
        <v>0.2</v>
      </c>
      <c r="Q3028" s="15">
        <v>0.4</v>
      </c>
      <c r="R3028" s="16" t="str">
        <f t="shared" si="250"/>
        <v>LUTRON</v>
      </c>
      <c r="S3028" s="17" t="str">
        <f t="shared" si="247"/>
        <v>LUTRON</v>
      </c>
      <c r="T3028" s="10" t="str">
        <f t="shared" si="249"/>
        <v>UNIDAD DE CONTROL DE ILUMINACIÓN CON BUS DE DATOS ECOSYSTEM.</v>
      </c>
    </row>
    <row r="3029" spans="1:20" ht="27" customHeight="1" x14ac:dyDescent="0.25">
      <c r="A3029" s="8" t="s">
        <v>5672</v>
      </c>
      <c r="B3029" s="9" t="s">
        <v>5666</v>
      </c>
      <c r="C3029" s="9"/>
      <c r="D3029" s="8" t="s">
        <v>408</v>
      </c>
      <c r="E3029" s="8">
        <v>27</v>
      </c>
      <c r="F3029" s="8" t="s">
        <v>22</v>
      </c>
      <c r="G3029" s="10" t="s">
        <v>6083</v>
      </c>
      <c r="H3029" s="8" t="s">
        <v>6084</v>
      </c>
      <c r="I3029" s="10" t="s">
        <v>6083</v>
      </c>
      <c r="J3029" s="11" t="s">
        <v>26</v>
      </c>
      <c r="K3029" s="57">
        <v>215.4</v>
      </c>
      <c r="L3029" s="12">
        <f t="shared" si="248"/>
        <v>359</v>
      </c>
      <c r="M3029" s="8">
        <v>1</v>
      </c>
      <c r="N3029" s="8" t="s">
        <v>27</v>
      </c>
      <c r="O3029" s="13"/>
      <c r="P3029" s="14">
        <v>0.2</v>
      </c>
      <c r="Q3029" s="15">
        <v>0.28000000000000003</v>
      </c>
      <c r="R3029" s="16" t="str">
        <f t="shared" si="250"/>
        <v>LUTRON</v>
      </c>
      <c r="S3029" s="17" t="str">
        <f t="shared" si="247"/>
        <v>LUTRON</v>
      </c>
      <c r="T3029" s="10" t="str">
        <f t="shared" si="249"/>
        <v>MODULO PARA INTEGRACIÓN DE RELEVOS O CONTACTOS SECOS.</v>
      </c>
    </row>
    <row r="3030" spans="1:20" ht="27" customHeight="1" x14ac:dyDescent="0.25">
      <c r="A3030" s="8" t="s">
        <v>5672</v>
      </c>
      <c r="B3030" s="9" t="s">
        <v>5666</v>
      </c>
      <c r="C3030" s="9"/>
      <c r="D3030" s="8" t="s">
        <v>208</v>
      </c>
      <c r="E3030" s="8">
        <v>1</v>
      </c>
      <c r="F3030" s="8" t="s">
        <v>22</v>
      </c>
      <c r="G3030" s="10" t="s">
        <v>6085</v>
      </c>
      <c r="H3030" s="8" t="s">
        <v>6086</v>
      </c>
      <c r="I3030" s="10" t="s">
        <v>6085</v>
      </c>
      <c r="J3030" s="11" t="s">
        <v>26</v>
      </c>
      <c r="K3030" s="57">
        <v>22</v>
      </c>
      <c r="L3030" s="12">
        <f t="shared" si="248"/>
        <v>44</v>
      </c>
      <c r="M3030" s="8">
        <v>1</v>
      </c>
      <c r="N3030" s="8" t="s">
        <v>27</v>
      </c>
      <c r="O3030" s="13"/>
      <c r="P3030" s="14">
        <v>0.2</v>
      </c>
      <c r="Q3030" s="15">
        <v>0.4</v>
      </c>
      <c r="R3030" s="16" t="str">
        <f t="shared" si="250"/>
        <v>LUTRON</v>
      </c>
      <c r="S3030" s="17" t="str">
        <f t="shared" si="247"/>
        <v>LUTRON</v>
      </c>
      <c r="T3030" s="10" t="str">
        <f t="shared" si="249"/>
        <v>SOPORTE PARA PROCESADORES EN MONTAJE TIPO RACK</v>
      </c>
    </row>
    <row r="3031" spans="1:20" ht="27" customHeight="1" x14ac:dyDescent="0.25">
      <c r="A3031" s="8" t="s">
        <v>5672</v>
      </c>
      <c r="B3031" s="9" t="s">
        <v>5666</v>
      </c>
      <c r="C3031" s="9"/>
      <c r="D3031" s="8" t="s">
        <v>208</v>
      </c>
      <c r="E3031" s="8">
        <v>2</v>
      </c>
      <c r="F3031" s="8" t="s">
        <v>22</v>
      </c>
      <c r="G3031" s="10" t="s">
        <v>6087</v>
      </c>
      <c r="H3031" s="8" t="s">
        <v>6088</v>
      </c>
      <c r="I3031" s="10" t="s">
        <v>6089</v>
      </c>
      <c r="J3031" s="11" t="s">
        <v>26</v>
      </c>
      <c r="K3031" s="57">
        <v>220</v>
      </c>
      <c r="L3031" s="12">
        <f t="shared" si="248"/>
        <v>440</v>
      </c>
      <c r="M3031" s="8">
        <v>1</v>
      </c>
      <c r="N3031" s="8" t="s">
        <v>27</v>
      </c>
      <c r="O3031" s="13"/>
      <c r="P3031" s="14">
        <v>0.2</v>
      </c>
      <c r="Q3031" s="15">
        <v>0.4</v>
      </c>
      <c r="R3031" s="16" t="str">
        <f t="shared" si="250"/>
        <v>LUTRON</v>
      </c>
      <c r="S3031" s="17" t="str">
        <f t="shared" si="247"/>
        <v>LUTRON</v>
      </c>
      <c r="T3031" s="10" t="str">
        <f t="shared" si="249"/>
        <v>INTERFAZ DE INTEGRACIÓN MEDIANTE CONTACTO SECO.</v>
      </c>
    </row>
    <row r="3032" spans="1:20" ht="27" customHeight="1" x14ac:dyDescent="0.25">
      <c r="A3032" s="8" t="s">
        <v>5672</v>
      </c>
      <c r="B3032" s="9" t="s">
        <v>5666</v>
      </c>
      <c r="C3032" s="9"/>
      <c r="D3032" s="8" t="s">
        <v>208</v>
      </c>
      <c r="E3032" s="8">
        <v>3</v>
      </c>
      <c r="F3032" s="8" t="s">
        <v>22</v>
      </c>
      <c r="G3032" s="10" t="s">
        <v>6090</v>
      </c>
      <c r="H3032" s="8" t="s">
        <v>6091</v>
      </c>
      <c r="I3032" s="10" t="s">
        <v>6090</v>
      </c>
      <c r="J3032" s="11" t="s">
        <v>26</v>
      </c>
      <c r="K3032" s="57">
        <v>450</v>
      </c>
      <c r="L3032" s="12">
        <f t="shared" si="248"/>
        <v>900</v>
      </c>
      <c r="M3032" s="8">
        <v>1</v>
      </c>
      <c r="N3032" s="8" t="s">
        <v>27</v>
      </c>
      <c r="O3032" s="13"/>
      <c r="P3032" s="14">
        <v>0.2</v>
      </c>
      <c r="Q3032" s="15">
        <v>0.4</v>
      </c>
      <c r="R3032" s="16" t="str">
        <f t="shared" si="250"/>
        <v>LUTRON</v>
      </c>
      <c r="S3032" s="17" t="str">
        <f t="shared" ref="S3032:S3076" si="251">A3032</f>
        <v>LUTRON</v>
      </c>
      <c r="T3032" s="10" t="str">
        <f t="shared" si="249"/>
        <v>INTERFACE PARA INTEGRACIÓN DE ILUMINACIÓN DE EMERGENCIA</v>
      </c>
    </row>
    <row r="3033" spans="1:20" ht="27" customHeight="1" x14ac:dyDescent="0.25">
      <c r="A3033" s="8" t="s">
        <v>5672</v>
      </c>
      <c r="B3033" s="9" t="s">
        <v>5666</v>
      </c>
      <c r="C3033" s="9"/>
      <c r="D3033" s="8" t="s">
        <v>208</v>
      </c>
      <c r="E3033" s="8">
        <v>4</v>
      </c>
      <c r="F3033" s="8" t="s">
        <v>22</v>
      </c>
      <c r="G3033" s="10" t="s">
        <v>6092</v>
      </c>
      <c r="H3033" s="8" t="s">
        <v>6093</v>
      </c>
      <c r="I3033" s="10" t="s">
        <v>6092</v>
      </c>
      <c r="J3033" s="11" t="s">
        <v>26</v>
      </c>
      <c r="K3033" s="57">
        <v>22</v>
      </c>
      <c r="L3033" s="12">
        <f t="shared" si="248"/>
        <v>44</v>
      </c>
      <c r="M3033" s="8">
        <v>1</v>
      </c>
      <c r="N3033" s="8" t="s">
        <v>27</v>
      </c>
      <c r="O3033" s="13"/>
      <c r="P3033" s="14">
        <v>0.2</v>
      </c>
      <c r="Q3033" s="15">
        <v>0.4</v>
      </c>
      <c r="R3033" s="16" t="str">
        <f t="shared" si="250"/>
        <v>LUTRON</v>
      </c>
      <c r="S3033" s="17" t="str">
        <f t="shared" si="251"/>
        <v>LUTRON</v>
      </c>
      <c r="T3033" s="10" t="str">
        <f t="shared" si="249"/>
        <v>CAJA PARA SUSPENSIÓN DE PROCESADORES QS</v>
      </c>
    </row>
    <row r="3034" spans="1:20" ht="27" customHeight="1" x14ac:dyDescent="0.25">
      <c r="A3034" s="8" t="s">
        <v>5672</v>
      </c>
      <c r="B3034" s="9" t="s">
        <v>5666</v>
      </c>
      <c r="C3034" s="9"/>
      <c r="D3034" s="8" t="s">
        <v>208</v>
      </c>
      <c r="E3034" s="8">
        <v>5</v>
      </c>
      <c r="F3034" s="8" t="s">
        <v>22</v>
      </c>
      <c r="G3034" s="10" t="s">
        <v>6094</v>
      </c>
      <c r="H3034" s="8" t="s">
        <v>6095</v>
      </c>
      <c r="I3034" s="10" t="s">
        <v>6094</v>
      </c>
      <c r="J3034" s="11" t="s">
        <v>26</v>
      </c>
      <c r="K3034" s="57">
        <v>432.5</v>
      </c>
      <c r="L3034" s="12">
        <f t="shared" si="248"/>
        <v>865</v>
      </c>
      <c r="M3034" s="8">
        <v>1</v>
      </c>
      <c r="N3034" s="8" t="s">
        <v>27</v>
      </c>
      <c r="O3034" s="13"/>
      <c r="P3034" s="14">
        <v>0.2</v>
      </c>
      <c r="Q3034" s="15">
        <v>0.4</v>
      </c>
      <c r="R3034" s="16" t="str">
        <f t="shared" si="250"/>
        <v>LUTRON</v>
      </c>
      <c r="S3034" s="17" t="str">
        <f t="shared" si="251"/>
        <v>LUTRON</v>
      </c>
      <c r="T3034" s="10" t="str">
        <f t="shared" si="249"/>
        <v>INTERFAZ DE INTEGRACIÓN MEDIANTE PUERTO SERIAL O TCP/IP.</v>
      </c>
    </row>
    <row r="3035" spans="1:20" ht="27" customHeight="1" x14ac:dyDescent="0.25">
      <c r="A3035" s="8" t="s">
        <v>5672</v>
      </c>
      <c r="B3035" s="9" t="s">
        <v>5666</v>
      </c>
      <c r="C3035" s="9"/>
      <c r="D3035" s="8" t="s">
        <v>208</v>
      </c>
      <c r="E3035" s="8">
        <v>6</v>
      </c>
      <c r="F3035" s="8" t="s">
        <v>22</v>
      </c>
      <c r="G3035" s="10" t="s">
        <v>6096</v>
      </c>
      <c r="H3035" s="8" t="s">
        <v>6097</v>
      </c>
      <c r="I3035" s="10" t="s">
        <v>6098</v>
      </c>
      <c r="J3035" s="11" t="s">
        <v>26</v>
      </c>
      <c r="K3035" s="57">
        <v>224</v>
      </c>
      <c r="L3035" s="12">
        <f>K3035*(1+P3035)/(1-Q3035)</f>
        <v>400.00029628240907</v>
      </c>
      <c r="M3035" s="8">
        <v>1</v>
      </c>
      <c r="N3035" s="8" t="s">
        <v>27</v>
      </c>
      <c r="O3035" s="13"/>
      <c r="P3035" s="14">
        <v>0.2</v>
      </c>
      <c r="Q3035" s="15">
        <v>0.32800049775407852</v>
      </c>
      <c r="R3035" s="16" t="str">
        <f t="shared" si="250"/>
        <v>LUTRON</v>
      </c>
      <c r="S3035" s="17" t="str">
        <f t="shared" si="251"/>
        <v>LUTRON</v>
      </c>
      <c r="T3035" s="10" t="str">
        <f t="shared" si="249"/>
        <v>INTERFAZ PARA COMUNICACIÓN INALÁMBRICA DE PROCESADORES HOMEWORKS QS.</v>
      </c>
    </row>
    <row r="3036" spans="1:20" ht="27" customHeight="1" x14ac:dyDescent="0.25">
      <c r="A3036" s="8" t="s">
        <v>5672</v>
      </c>
      <c r="B3036" s="9" t="s">
        <v>5666</v>
      </c>
      <c r="C3036" s="9"/>
      <c r="D3036" s="8" t="s">
        <v>208</v>
      </c>
      <c r="E3036" s="8">
        <v>7</v>
      </c>
      <c r="F3036" s="8" t="s">
        <v>22</v>
      </c>
      <c r="G3036" s="10" t="s">
        <v>6099</v>
      </c>
      <c r="H3036" s="8" t="s">
        <v>6100</v>
      </c>
      <c r="I3036" s="10" t="s">
        <v>6101</v>
      </c>
      <c r="J3036" s="11" t="s">
        <v>26</v>
      </c>
      <c r="K3036" s="57">
        <v>325</v>
      </c>
      <c r="L3036" s="12">
        <f>ROUNDUP(K3036*(1+P3036)/(1-Q3036),0)</f>
        <v>650</v>
      </c>
      <c r="M3036" s="8">
        <v>1</v>
      </c>
      <c r="N3036" s="8" t="s">
        <v>27</v>
      </c>
      <c r="O3036" s="13"/>
      <c r="P3036" s="14">
        <v>0.2</v>
      </c>
      <c r="Q3036" s="15">
        <v>0.4</v>
      </c>
      <c r="R3036" s="16" t="str">
        <f t="shared" si="250"/>
        <v>LUTRON</v>
      </c>
      <c r="S3036" s="17" t="str">
        <f t="shared" si="251"/>
        <v>LUTRON</v>
      </c>
      <c r="T3036" s="10" t="str">
        <f t="shared" si="249"/>
        <v>MÓDULO PROCESADOR PARA MANEJO DE EVENTOS TEMPORIZADOS EN SISTEMAS ENERGY SAVR.</v>
      </c>
    </row>
    <row r="3037" spans="1:20" ht="27" customHeight="1" x14ac:dyDescent="0.25">
      <c r="A3037" s="8" t="s">
        <v>5672</v>
      </c>
      <c r="B3037" s="9" t="s">
        <v>5666</v>
      </c>
      <c r="C3037" s="9"/>
      <c r="D3037" s="8" t="s">
        <v>208</v>
      </c>
      <c r="E3037" s="8">
        <v>8</v>
      </c>
      <c r="F3037" s="8" t="s">
        <v>22</v>
      </c>
      <c r="G3037" s="10" t="s">
        <v>6102</v>
      </c>
      <c r="H3037" s="8" t="s">
        <v>6103</v>
      </c>
      <c r="I3037" s="10" t="s">
        <v>6104</v>
      </c>
      <c r="J3037" s="11" t="s">
        <v>26</v>
      </c>
      <c r="K3037" s="57">
        <v>90</v>
      </c>
      <c r="L3037" s="12">
        <f>ROUNDUP(K3037*(1+P3037)/(1-Q3037),0)</f>
        <v>150</v>
      </c>
      <c r="M3037" s="8">
        <v>1</v>
      </c>
      <c r="N3037" s="8" t="s">
        <v>27</v>
      </c>
      <c r="O3037" s="13"/>
      <c r="P3037" s="14">
        <v>0.2</v>
      </c>
      <c r="Q3037" s="15">
        <v>0.27981321428571432</v>
      </c>
      <c r="R3037" s="16" t="str">
        <f t="shared" si="250"/>
        <v>LUTRON</v>
      </c>
      <c r="S3037" s="17" t="str">
        <f t="shared" si="251"/>
        <v>LUTRON</v>
      </c>
      <c r="T3037" s="10" t="str">
        <f t="shared" si="249"/>
        <v>SMART BRIDGE PARA CONTROL INALÁMBRICO DE ILUMINACIÓN.</v>
      </c>
    </row>
    <row r="3038" spans="1:20" ht="27" customHeight="1" x14ac:dyDescent="0.25">
      <c r="A3038" s="8" t="s">
        <v>5672</v>
      </c>
      <c r="B3038" s="9" t="s">
        <v>5666</v>
      </c>
      <c r="C3038" s="9"/>
      <c r="D3038" s="8" t="s">
        <v>208</v>
      </c>
      <c r="E3038" s="8">
        <v>9</v>
      </c>
      <c r="F3038" s="8" t="s">
        <v>22</v>
      </c>
      <c r="G3038" s="10" t="s">
        <v>6105</v>
      </c>
      <c r="H3038" s="8" t="s">
        <v>6106</v>
      </c>
      <c r="I3038" s="10" t="s">
        <v>6105</v>
      </c>
      <c r="J3038" s="11" t="s">
        <v>26</v>
      </c>
      <c r="K3038" s="57">
        <v>66</v>
      </c>
      <c r="L3038" s="12">
        <f>ROUNDUP(K3038*(1+P3038)/(1-Q3038),0)</f>
        <v>110</v>
      </c>
      <c r="M3038" s="8">
        <v>1</v>
      </c>
      <c r="N3038" s="8" t="s">
        <v>27</v>
      </c>
      <c r="O3038" s="13"/>
      <c r="P3038" s="14">
        <v>0.2</v>
      </c>
      <c r="Q3038" s="15">
        <v>0.28000000000000003</v>
      </c>
      <c r="R3038" s="16" t="str">
        <f t="shared" si="250"/>
        <v>LUTRON</v>
      </c>
      <c r="S3038" s="17" t="str">
        <f t="shared" si="251"/>
        <v>LUTRON</v>
      </c>
      <c r="T3038" s="10" t="str">
        <f t="shared" si="249"/>
        <v xml:space="preserve">SMART BRIDGE PARA CONTROL INALÁMBRICO DE ILUMINACIÓN. </v>
      </c>
    </row>
    <row r="3039" spans="1:20" ht="27" customHeight="1" x14ac:dyDescent="0.25">
      <c r="A3039" s="8" t="s">
        <v>5672</v>
      </c>
      <c r="B3039" s="9" t="s">
        <v>5666</v>
      </c>
      <c r="C3039" s="9"/>
      <c r="D3039" s="8" t="s">
        <v>208</v>
      </c>
      <c r="E3039" s="8">
        <v>10</v>
      </c>
      <c r="F3039" s="8" t="s">
        <v>22</v>
      </c>
      <c r="G3039" s="10" t="s">
        <v>6107</v>
      </c>
      <c r="H3039" s="8" t="s">
        <v>6108</v>
      </c>
      <c r="I3039" s="10" t="s">
        <v>6109</v>
      </c>
      <c r="J3039" s="11" t="s">
        <v>26</v>
      </c>
      <c r="K3039" s="57">
        <v>330</v>
      </c>
      <c r="L3039" s="12">
        <f>ROUNDUP(K3039*(1+P3039)/(1-Q3039),0)</f>
        <v>550</v>
      </c>
      <c r="M3039" s="8">
        <v>1</v>
      </c>
      <c r="N3039" s="8" t="s">
        <v>27</v>
      </c>
      <c r="O3039" s="13"/>
      <c r="P3039" s="14">
        <v>0.2</v>
      </c>
      <c r="Q3039" s="15">
        <v>0.28000000000000003</v>
      </c>
      <c r="R3039" s="16" t="str">
        <f t="shared" si="250"/>
        <v>LUTRON</v>
      </c>
      <c r="S3039" s="17" t="str">
        <f t="shared" si="251"/>
        <v>LUTRON</v>
      </c>
      <c r="T3039" s="10" t="str">
        <f t="shared" si="249"/>
        <v>REPETIDORA PARA SISTEMA RADIO RA2, CON RELOJ ASTRONÓMICO.</v>
      </c>
    </row>
    <row r="3040" spans="1:20" ht="27" customHeight="1" x14ac:dyDescent="0.25">
      <c r="A3040" s="8" t="s">
        <v>5672</v>
      </c>
      <c r="B3040" s="9" t="s">
        <v>5666</v>
      </c>
      <c r="C3040" s="9"/>
      <c r="D3040" s="8" t="s">
        <v>208</v>
      </c>
      <c r="E3040" s="8">
        <v>11</v>
      </c>
      <c r="F3040" s="8" t="s">
        <v>22</v>
      </c>
      <c r="G3040" s="10" t="s">
        <v>6110</v>
      </c>
      <c r="H3040" s="8" t="s">
        <v>6111</v>
      </c>
      <c r="I3040" s="10" t="s">
        <v>6110</v>
      </c>
      <c r="J3040" s="11" t="s">
        <v>26</v>
      </c>
      <c r="K3040" s="57">
        <v>221.4</v>
      </c>
      <c r="L3040" s="12">
        <f>ROUNDUP(K3040*(1+P3040)/(1-Q3040),0)</f>
        <v>369</v>
      </c>
      <c r="M3040" s="8">
        <v>1</v>
      </c>
      <c r="N3040" s="8" t="s">
        <v>27</v>
      </c>
      <c r="O3040" s="13"/>
      <c r="P3040" s="14">
        <v>0.2</v>
      </c>
      <c r="Q3040" s="15">
        <v>0.28000000000000003</v>
      </c>
      <c r="R3040" s="16" t="str">
        <f t="shared" si="250"/>
        <v>LUTRON</v>
      </c>
      <c r="S3040" s="17" t="str">
        <f t="shared" si="251"/>
        <v>LUTRON</v>
      </c>
      <c r="T3040" s="10" t="str">
        <f t="shared" si="249"/>
        <v>REPETIDORA AUXILIAR PARA AUMENTO DE COBERTURA DE SISTEMAS RADIO RA2</v>
      </c>
    </row>
    <row r="3041" spans="1:23" ht="27" customHeight="1" x14ac:dyDescent="0.25">
      <c r="A3041" s="8" t="s">
        <v>5672</v>
      </c>
      <c r="B3041" s="9" t="s">
        <v>5666</v>
      </c>
      <c r="C3041" s="9"/>
      <c r="D3041" s="8" t="s">
        <v>2057</v>
      </c>
      <c r="E3041" s="8">
        <v>1</v>
      </c>
      <c r="F3041" s="8" t="s">
        <v>22</v>
      </c>
      <c r="G3041" s="10" t="s">
        <v>6112</v>
      </c>
      <c r="H3041" s="8" t="s">
        <v>6113</v>
      </c>
      <c r="I3041" s="10" t="s">
        <v>6114</v>
      </c>
      <c r="J3041" s="11" t="s">
        <v>26</v>
      </c>
      <c r="K3041" s="57">
        <v>127.5</v>
      </c>
      <c r="L3041" s="12">
        <f>K3041*(1+P3041)/(1-Q3041)</f>
        <v>255</v>
      </c>
      <c r="M3041" s="8">
        <v>1</v>
      </c>
      <c r="N3041" s="8" t="s">
        <v>27</v>
      </c>
      <c r="O3041" s="13"/>
      <c r="P3041" s="14">
        <v>0.2</v>
      </c>
      <c r="Q3041" s="15">
        <v>0.4</v>
      </c>
      <c r="R3041" s="16" t="str">
        <f t="shared" si="250"/>
        <v>LUTRON</v>
      </c>
      <c r="S3041" s="17" t="str">
        <f t="shared" si="251"/>
        <v>LUTRON</v>
      </c>
      <c r="T3041" s="10" t="str">
        <f t="shared" si="249"/>
        <v>SENSOR DE DETECCIÓN CON DOBLE TECNOLOGÍA (ULTRA SÓNICA E INFRA ROJA).</v>
      </c>
    </row>
    <row r="3042" spans="1:23" ht="27" customHeight="1" x14ac:dyDescent="0.25">
      <c r="A3042" s="8" t="s">
        <v>5672</v>
      </c>
      <c r="B3042" s="9" t="s">
        <v>5666</v>
      </c>
      <c r="C3042" s="9"/>
      <c r="D3042" s="8" t="s">
        <v>2057</v>
      </c>
      <c r="E3042" s="8">
        <v>2</v>
      </c>
      <c r="F3042" s="8" t="s">
        <v>22</v>
      </c>
      <c r="G3042" s="10" t="s">
        <v>6112</v>
      </c>
      <c r="H3042" s="8" t="s">
        <v>6115</v>
      </c>
      <c r="I3042" s="10" t="s">
        <v>6116</v>
      </c>
      <c r="J3042" s="11" t="s">
        <v>26</v>
      </c>
      <c r="K3042" s="57">
        <v>137.5</v>
      </c>
      <c r="L3042" s="12">
        <f t="shared" ref="L3042:L3065" si="252">ROUNDUP(K3042*(1+P3042)/(1-Q3042),0)</f>
        <v>275</v>
      </c>
      <c r="M3042" s="8">
        <v>1</v>
      </c>
      <c r="N3042" s="8" t="s">
        <v>27</v>
      </c>
      <c r="O3042" s="13"/>
      <c r="P3042" s="14">
        <v>0.2</v>
      </c>
      <c r="Q3042" s="15">
        <v>0.4</v>
      </c>
      <c r="R3042" s="16" t="str">
        <f t="shared" si="250"/>
        <v>LUTRON</v>
      </c>
      <c r="S3042" s="17" t="str">
        <f t="shared" si="251"/>
        <v>LUTRON</v>
      </c>
      <c r="T3042" s="10" t="str">
        <f t="shared" si="249"/>
        <v>SENSOR DE DETECCIÓN CON DOBLE TECNOLOGÍA (ULTRA SÓNICA E INFRA ROJA).</v>
      </c>
    </row>
    <row r="3043" spans="1:23" ht="27" customHeight="1" x14ac:dyDescent="0.25">
      <c r="A3043" s="8" t="s">
        <v>5672</v>
      </c>
      <c r="B3043" s="9" t="s">
        <v>5666</v>
      </c>
      <c r="C3043" s="9"/>
      <c r="D3043" s="8" t="s">
        <v>2057</v>
      </c>
      <c r="E3043" s="8">
        <v>3</v>
      </c>
      <c r="F3043" s="8" t="s">
        <v>22</v>
      </c>
      <c r="G3043" s="10" t="s">
        <v>6112</v>
      </c>
      <c r="H3043" s="8" t="s">
        <v>6117</v>
      </c>
      <c r="I3043" s="10" t="s">
        <v>6118</v>
      </c>
      <c r="J3043" s="11" t="s">
        <v>26</v>
      </c>
      <c r="K3043" s="57">
        <v>85</v>
      </c>
      <c r="L3043" s="12">
        <f t="shared" si="252"/>
        <v>170</v>
      </c>
      <c r="M3043" s="8">
        <v>1</v>
      </c>
      <c r="N3043" s="8" t="s">
        <v>27</v>
      </c>
      <c r="O3043" s="13"/>
      <c r="P3043" s="14">
        <v>0.2</v>
      </c>
      <c r="Q3043" s="15">
        <v>0.4</v>
      </c>
      <c r="R3043" s="16" t="str">
        <f t="shared" si="250"/>
        <v>LUTRON</v>
      </c>
      <c r="S3043" s="17" t="str">
        <f t="shared" si="251"/>
        <v>LUTRON</v>
      </c>
      <c r="T3043" s="10" t="str">
        <f t="shared" si="249"/>
        <v>SENSOR DE DETECCIÓN CON DOBLE TECNOLOGÍA (ULTRA SÓNICA E INFRA ROJA).</v>
      </c>
    </row>
    <row r="3044" spans="1:23" ht="27" customHeight="1" x14ac:dyDescent="0.25">
      <c r="A3044" s="8" t="s">
        <v>5672</v>
      </c>
      <c r="B3044" s="9" t="s">
        <v>5666</v>
      </c>
      <c r="C3044" s="9"/>
      <c r="D3044" s="8" t="s">
        <v>2057</v>
      </c>
      <c r="E3044" s="8">
        <v>4</v>
      </c>
      <c r="F3044" s="8" t="s">
        <v>22</v>
      </c>
      <c r="G3044" s="10" t="s">
        <v>6112</v>
      </c>
      <c r="H3044" s="8" t="s">
        <v>6119</v>
      </c>
      <c r="I3044" s="10" t="s">
        <v>6120</v>
      </c>
      <c r="J3044" s="11" t="s">
        <v>26</v>
      </c>
      <c r="K3044" s="57">
        <v>115</v>
      </c>
      <c r="L3044" s="12">
        <f t="shared" si="252"/>
        <v>230</v>
      </c>
      <c r="M3044" s="8">
        <v>1</v>
      </c>
      <c r="N3044" s="8" t="s">
        <v>27</v>
      </c>
      <c r="O3044" s="13"/>
      <c r="P3044" s="14">
        <v>0.2</v>
      </c>
      <c r="Q3044" s="15">
        <v>0.4</v>
      </c>
      <c r="R3044" s="16" t="str">
        <f t="shared" si="250"/>
        <v>LUTRON</v>
      </c>
      <c r="S3044" s="17" t="str">
        <f t="shared" si="251"/>
        <v>LUTRON</v>
      </c>
      <c r="T3044" s="10" t="str">
        <f t="shared" si="249"/>
        <v>SENSOR DE DETECCIÓN CON DOBLE TECNOLOGÍA (ULTRA SÓNICA E INFRA ROJA).</v>
      </c>
    </row>
    <row r="3045" spans="1:23" ht="27" customHeight="1" x14ac:dyDescent="0.25">
      <c r="A3045" s="8" t="s">
        <v>5672</v>
      </c>
      <c r="B3045" s="9" t="s">
        <v>5666</v>
      </c>
      <c r="C3045" s="9"/>
      <c r="D3045" s="8" t="s">
        <v>2057</v>
      </c>
      <c r="E3045" s="8">
        <v>5</v>
      </c>
      <c r="F3045" s="8" t="s">
        <v>22</v>
      </c>
      <c r="G3045" s="10" t="s">
        <v>6112</v>
      </c>
      <c r="H3045" s="8" t="s">
        <v>6121</v>
      </c>
      <c r="I3045" s="10" t="s">
        <v>6122</v>
      </c>
      <c r="J3045" s="11" t="s">
        <v>26</v>
      </c>
      <c r="K3045" s="57">
        <v>115</v>
      </c>
      <c r="L3045" s="12">
        <f t="shared" si="252"/>
        <v>230</v>
      </c>
      <c r="M3045" s="8">
        <v>1</v>
      </c>
      <c r="N3045" s="8" t="s">
        <v>27</v>
      </c>
      <c r="O3045" s="13"/>
      <c r="P3045" s="14">
        <v>0.2</v>
      </c>
      <c r="Q3045" s="15">
        <v>0.4</v>
      </c>
      <c r="R3045" s="16" t="str">
        <f t="shared" si="250"/>
        <v>LUTRON</v>
      </c>
      <c r="S3045" s="17" t="str">
        <f t="shared" si="251"/>
        <v>LUTRON</v>
      </c>
      <c r="T3045" s="10" t="str">
        <f t="shared" si="249"/>
        <v>SENSOR DE DETECCIÓN CON DOBLE TECNOLOGÍA (ULTRA SÓNICA E INFRA ROJA).</v>
      </c>
    </row>
    <row r="3046" spans="1:23" ht="27" customHeight="1" x14ac:dyDescent="0.25">
      <c r="A3046" s="8" t="s">
        <v>5672</v>
      </c>
      <c r="B3046" s="9" t="s">
        <v>5666</v>
      </c>
      <c r="C3046" s="9"/>
      <c r="D3046" s="8" t="s">
        <v>2057</v>
      </c>
      <c r="E3046" s="8">
        <v>6</v>
      </c>
      <c r="F3046" s="8" t="s">
        <v>22</v>
      </c>
      <c r="G3046" s="10" t="s">
        <v>6112</v>
      </c>
      <c r="H3046" s="8" t="s">
        <v>6123</v>
      </c>
      <c r="I3046" s="10" t="s">
        <v>6124</v>
      </c>
      <c r="J3046" s="11" t="s">
        <v>26</v>
      </c>
      <c r="K3046" s="57">
        <v>137.5</v>
      </c>
      <c r="L3046" s="12">
        <f t="shared" si="252"/>
        <v>275</v>
      </c>
      <c r="M3046" s="8">
        <v>1</v>
      </c>
      <c r="N3046" s="8" t="s">
        <v>27</v>
      </c>
      <c r="O3046" s="13"/>
      <c r="P3046" s="14">
        <v>0.2</v>
      </c>
      <c r="Q3046" s="15">
        <v>0.4</v>
      </c>
      <c r="R3046" s="16" t="str">
        <f t="shared" si="250"/>
        <v>LUTRON</v>
      </c>
      <c r="S3046" s="17" t="str">
        <f t="shared" si="251"/>
        <v>LUTRON</v>
      </c>
      <c r="T3046" s="10" t="str">
        <f t="shared" si="249"/>
        <v>SENSOR DE DETECCIÓN CON DOBLE TECNOLOGÍA (ULTRA SÓNICA E INFRA ROJA).</v>
      </c>
    </row>
    <row r="3047" spans="1:23" ht="27" customHeight="1" x14ac:dyDescent="0.25">
      <c r="A3047" s="8" t="s">
        <v>5672</v>
      </c>
      <c r="B3047" s="9" t="s">
        <v>5666</v>
      </c>
      <c r="C3047" s="9"/>
      <c r="D3047" s="8" t="s">
        <v>2057</v>
      </c>
      <c r="E3047" s="8">
        <v>7</v>
      </c>
      <c r="F3047" s="8" t="s">
        <v>22</v>
      </c>
      <c r="G3047" s="10" t="s">
        <v>6112</v>
      </c>
      <c r="H3047" s="8" t="s">
        <v>6125</v>
      </c>
      <c r="I3047" s="10" t="s">
        <v>6126</v>
      </c>
      <c r="J3047" s="11" t="s">
        <v>26</v>
      </c>
      <c r="K3047" s="57">
        <v>90</v>
      </c>
      <c r="L3047" s="12">
        <f t="shared" si="252"/>
        <v>180</v>
      </c>
      <c r="M3047" s="8">
        <v>1</v>
      </c>
      <c r="N3047" s="8" t="s">
        <v>27</v>
      </c>
      <c r="O3047" s="13"/>
      <c r="P3047" s="14">
        <v>0.2</v>
      </c>
      <c r="Q3047" s="15">
        <v>0.4</v>
      </c>
      <c r="R3047" s="16" t="str">
        <f t="shared" si="250"/>
        <v>LUTRON</v>
      </c>
      <c r="S3047" s="17" t="str">
        <f t="shared" si="251"/>
        <v>LUTRON</v>
      </c>
      <c r="T3047" s="10" t="str">
        <f t="shared" si="249"/>
        <v>SENSOR DE DETECCIÓN CON DOBLE TECNOLOGÍA (ULTRA SÓNICA E INFRA ROJA).</v>
      </c>
    </row>
    <row r="3048" spans="1:23" ht="27" customHeight="1" x14ac:dyDescent="0.25">
      <c r="A3048" s="8" t="s">
        <v>5672</v>
      </c>
      <c r="B3048" s="9" t="s">
        <v>5666</v>
      </c>
      <c r="C3048" s="9"/>
      <c r="D3048" s="8" t="s">
        <v>2057</v>
      </c>
      <c r="E3048" s="8">
        <v>8</v>
      </c>
      <c r="F3048" s="8" t="s">
        <v>22</v>
      </c>
      <c r="G3048" s="10" t="s">
        <v>6112</v>
      </c>
      <c r="H3048" s="8" t="s">
        <v>6127</v>
      </c>
      <c r="I3048" s="10" t="s">
        <v>6128</v>
      </c>
      <c r="J3048" s="11" t="s">
        <v>26</v>
      </c>
      <c r="K3048" s="57">
        <v>120</v>
      </c>
      <c r="L3048" s="12">
        <f t="shared" si="252"/>
        <v>239</v>
      </c>
      <c r="M3048" s="8">
        <v>1</v>
      </c>
      <c r="N3048" s="8" t="s">
        <v>27</v>
      </c>
      <c r="O3048" s="13"/>
      <c r="P3048" s="14">
        <v>0.2</v>
      </c>
      <c r="Q3048" s="15">
        <v>0.39600000000000002</v>
      </c>
      <c r="R3048" s="16" t="str">
        <f t="shared" si="250"/>
        <v>LUTRON</v>
      </c>
      <c r="S3048" s="17" t="str">
        <f t="shared" si="251"/>
        <v>LUTRON</v>
      </c>
      <c r="T3048" s="10" t="str">
        <f t="shared" si="249"/>
        <v>SENSOR DE DETECCIÓN CON DOBLE TECNOLOGÍA (ULTRA SÓNICA E INFRA ROJA).</v>
      </c>
    </row>
    <row r="3049" spans="1:23" ht="27" customHeight="1" x14ac:dyDescent="0.25">
      <c r="A3049" s="8" t="s">
        <v>5672</v>
      </c>
      <c r="B3049" s="9" t="s">
        <v>5666</v>
      </c>
      <c r="C3049" s="9"/>
      <c r="D3049" s="8" t="s">
        <v>2057</v>
      </c>
      <c r="E3049" s="8">
        <v>12</v>
      </c>
      <c r="F3049" s="8" t="s">
        <v>22</v>
      </c>
      <c r="G3049" s="10" t="s">
        <v>6129</v>
      </c>
      <c r="H3049" s="8" t="s">
        <v>6130</v>
      </c>
      <c r="I3049" s="10" t="s">
        <v>6131</v>
      </c>
      <c r="J3049" s="11" t="s">
        <v>26</v>
      </c>
      <c r="K3049" s="57">
        <v>70</v>
      </c>
      <c r="L3049" s="12">
        <f t="shared" si="252"/>
        <v>140</v>
      </c>
      <c r="M3049" s="8">
        <v>1</v>
      </c>
      <c r="N3049" s="8" t="s">
        <v>27</v>
      </c>
      <c r="O3049" s="13"/>
      <c r="P3049" s="14">
        <v>0.2</v>
      </c>
      <c r="Q3049" s="15">
        <v>0.4</v>
      </c>
      <c r="R3049" s="16" t="str">
        <f t="shared" si="250"/>
        <v>LUTRON</v>
      </c>
      <c r="S3049" s="17" t="str">
        <f t="shared" si="251"/>
        <v>LUTRON</v>
      </c>
      <c r="T3049" s="10" t="str">
        <f t="shared" si="249"/>
        <v>SENSOR DE DETECCIÓN INFRA ROJA CON COBERTURA DE 360 GRADOS.</v>
      </c>
    </row>
    <row r="3050" spans="1:23" ht="27" customHeight="1" x14ac:dyDescent="0.25">
      <c r="A3050" s="8" t="s">
        <v>5672</v>
      </c>
      <c r="B3050" s="9" t="s">
        <v>5666</v>
      </c>
      <c r="C3050" s="9"/>
      <c r="D3050" s="8" t="s">
        <v>2057</v>
      </c>
      <c r="E3050" s="8">
        <v>13</v>
      </c>
      <c r="F3050" s="8" t="s">
        <v>22</v>
      </c>
      <c r="G3050" s="10" t="s">
        <v>6132</v>
      </c>
      <c r="H3050" s="8" t="s">
        <v>6133</v>
      </c>
      <c r="I3050" s="10" t="s">
        <v>6134</v>
      </c>
      <c r="J3050" s="11" t="s">
        <v>26</v>
      </c>
      <c r="K3050" s="57">
        <v>57.4</v>
      </c>
      <c r="L3050" s="12">
        <f t="shared" si="252"/>
        <v>115</v>
      </c>
      <c r="M3050" s="8">
        <v>1</v>
      </c>
      <c r="N3050" s="8" t="s">
        <v>27</v>
      </c>
      <c r="O3050" s="13"/>
      <c r="P3050" s="14">
        <v>0.2</v>
      </c>
      <c r="Q3050" s="15">
        <v>0.4</v>
      </c>
      <c r="R3050" s="16" t="str">
        <f t="shared" si="250"/>
        <v>LUTRON</v>
      </c>
      <c r="S3050" s="17" t="str">
        <f t="shared" si="251"/>
        <v>LUTRON</v>
      </c>
      <c r="T3050" s="10" t="str">
        <f t="shared" si="249"/>
        <v>SENSOR DE DETECCIÓN INFRA ROJA CON COBERTURA DE 180 GRADOS.</v>
      </c>
    </row>
    <row r="3051" spans="1:23" ht="27" customHeight="1" x14ac:dyDescent="0.25">
      <c r="A3051" s="8" t="s">
        <v>5672</v>
      </c>
      <c r="B3051" s="9" t="s">
        <v>5666</v>
      </c>
      <c r="C3051" s="9"/>
      <c r="D3051" s="8" t="s">
        <v>2057</v>
      </c>
      <c r="E3051" s="8">
        <v>14</v>
      </c>
      <c r="F3051" s="8" t="s">
        <v>22</v>
      </c>
      <c r="G3051" s="10" t="s">
        <v>6135</v>
      </c>
      <c r="H3051" s="8" t="s">
        <v>6136</v>
      </c>
      <c r="I3051" s="10" t="s">
        <v>6135</v>
      </c>
      <c r="J3051" s="11" t="s">
        <v>26</v>
      </c>
      <c r="K3051" s="57">
        <v>102.5</v>
      </c>
      <c r="L3051" s="12">
        <f t="shared" si="252"/>
        <v>205</v>
      </c>
      <c r="M3051" s="8">
        <v>1</v>
      </c>
      <c r="N3051" s="8" t="s">
        <v>27</v>
      </c>
      <c r="O3051" s="13"/>
      <c r="P3051" s="14">
        <v>0.2</v>
      </c>
      <c r="Q3051" s="15">
        <v>0.4</v>
      </c>
      <c r="R3051" s="16" t="str">
        <f t="shared" si="250"/>
        <v>LUTRON</v>
      </c>
      <c r="S3051" s="17" t="str">
        <f t="shared" si="251"/>
        <v>LUTRON</v>
      </c>
      <c r="T3051" s="10" t="str">
        <f t="shared" si="249"/>
        <v xml:space="preserve">SENSOR DE DETECCIÓN CON DETECCIÓN INFRA ROJA, PARA MONTAJE EN PARED. </v>
      </c>
    </row>
    <row r="3052" spans="1:23" ht="27" customHeight="1" x14ac:dyDescent="0.25">
      <c r="A3052" s="8" t="s">
        <v>5672</v>
      </c>
      <c r="B3052" s="9" t="s">
        <v>5666</v>
      </c>
      <c r="C3052" s="9"/>
      <c r="D3052" s="8" t="s">
        <v>2057</v>
      </c>
      <c r="E3052" s="8">
        <v>15</v>
      </c>
      <c r="F3052" s="8" t="s">
        <v>22</v>
      </c>
      <c r="G3052" s="10" t="s">
        <v>6137</v>
      </c>
      <c r="H3052" s="8" t="s">
        <v>6138</v>
      </c>
      <c r="I3052" s="10" t="s">
        <v>6139</v>
      </c>
      <c r="J3052" s="11" t="s">
        <v>26</v>
      </c>
      <c r="K3052" s="57">
        <v>44.5</v>
      </c>
      <c r="L3052" s="12">
        <f t="shared" si="252"/>
        <v>89</v>
      </c>
      <c r="M3052" s="8">
        <v>1</v>
      </c>
      <c r="N3052" s="8" t="s">
        <v>27</v>
      </c>
      <c r="O3052" s="13"/>
      <c r="P3052" s="14">
        <v>0.2</v>
      </c>
      <c r="Q3052" s="15">
        <v>0.4</v>
      </c>
      <c r="R3052" s="16" t="str">
        <f t="shared" si="250"/>
        <v>LUTRON</v>
      </c>
      <c r="S3052" s="17" t="str">
        <f t="shared" si="251"/>
        <v>LUTRON</v>
      </c>
      <c r="T3052" s="10" t="str">
        <f t="shared" si="249"/>
        <v>SENSOR INALÁMBRICO PARA COBERTURA EN PASILLOS.</v>
      </c>
    </row>
    <row r="3053" spans="1:23" ht="27" customHeight="1" x14ac:dyDescent="0.25">
      <c r="A3053" s="8" t="s">
        <v>5672</v>
      </c>
      <c r="B3053" s="9" t="s">
        <v>5666</v>
      </c>
      <c r="C3053" s="9"/>
      <c r="D3053" s="8" t="s">
        <v>2057</v>
      </c>
      <c r="E3053" s="8">
        <v>16</v>
      </c>
      <c r="F3053" s="8" t="s">
        <v>22</v>
      </c>
      <c r="G3053" s="10" t="s">
        <v>6140</v>
      </c>
      <c r="H3053" s="8" t="s">
        <v>6141</v>
      </c>
      <c r="I3053" s="10" t="s">
        <v>6140</v>
      </c>
      <c r="J3053" s="11" t="s">
        <v>26</v>
      </c>
      <c r="K3053" s="57">
        <v>84.75</v>
      </c>
      <c r="L3053" s="12">
        <f t="shared" si="252"/>
        <v>170</v>
      </c>
      <c r="M3053" s="8">
        <v>1</v>
      </c>
      <c r="N3053" s="8" t="s">
        <v>27</v>
      </c>
      <c r="O3053" s="13"/>
      <c r="P3053" s="14">
        <v>0.2</v>
      </c>
      <c r="Q3053" s="15">
        <v>0.4</v>
      </c>
      <c r="R3053" s="16" t="str">
        <f t="shared" si="250"/>
        <v>LUTRON</v>
      </c>
      <c r="S3053" s="17" t="str">
        <f t="shared" si="251"/>
        <v>LUTRON</v>
      </c>
      <c r="T3053" s="10" t="str">
        <f t="shared" si="249"/>
        <v>SENSOR DE LUZ INALÁMBRICO CON FRECUENCIA DE OPERACIÓN 434 MHZ.</v>
      </c>
      <c r="W3053">
        <f>75*1.2/0.9</f>
        <v>100</v>
      </c>
    </row>
    <row r="3054" spans="1:23" ht="27" customHeight="1" x14ac:dyDescent="0.25">
      <c r="A3054" s="8" t="s">
        <v>5672</v>
      </c>
      <c r="B3054" s="9" t="s">
        <v>5666</v>
      </c>
      <c r="C3054" s="9"/>
      <c r="D3054" s="8" t="s">
        <v>2057</v>
      </c>
      <c r="E3054" s="8">
        <v>17</v>
      </c>
      <c r="F3054" s="8" t="s">
        <v>22</v>
      </c>
      <c r="G3054" s="10" t="s">
        <v>6142</v>
      </c>
      <c r="H3054" s="8" t="s">
        <v>6143</v>
      </c>
      <c r="I3054" s="61" t="s">
        <v>6144</v>
      </c>
      <c r="J3054" s="11" t="s">
        <v>26</v>
      </c>
      <c r="K3054" s="57">
        <v>59.33</v>
      </c>
      <c r="L3054" s="12">
        <f t="shared" si="252"/>
        <v>119</v>
      </c>
      <c r="M3054" s="8">
        <v>1</v>
      </c>
      <c r="N3054" s="8" t="s">
        <v>27</v>
      </c>
      <c r="O3054" s="13"/>
      <c r="P3054" s="14">
        <v>0.2</v>
      </c>
      <c r="Q3054" s="15">
        <v>0.4</v>
      </c>
      <c r="R3054" s="16" t="str">
        <f t="shared" si="250"/>
        <v>LUTRON</v>
      </c>
      <c r="S3054" s="17" t="str">
        <f t="shared" si="251"/>
        <v>LUTRON</v>
      </c>
      <c r="T3054" s="10" t="str">
        <f t="shared" si="249"/>
        <v>SENSOR DE OCUPACIÓN Y DESOCUPACIÓN INALÁMBRICO CON COBERTURA DE 360 GRADOS.</v>
      </c>
      <c r="W3054">
        <f>52.5*1.2/0.9</f>
        <v>70</v>
      </c>
    </row>
    <row r="3055" spans="1:23" ht="27" customHeight="1" x14ac:dyDescent="0.25">
      <c r="A3055" s="8" t="s">
        <v>5672</v>
      </c>
      <c r="B3055" s="9" t="s">
        <v>5666</v>
      </c>
      <c r="C3055" s="9"/>
      <c r="D3055" s="8" t="s">
        <v>2057</v>
      </c>
      <c r="E3055" s="8">
        <v>18</v>
      </c>
      <c r="F3055" s="8" t="s">
        <v>22</v>
      </c>
      <c r="G3055" s="10" t="s">
        <v>6145</v>
      </c>
      <c r="H3055" s="8" t="s">
        <v>6146</v>
      </c>
      <c r="I3055" s="10" t="s">
        <v>6145</v>
      </c>
      <c r="J3055" s="11" t="s">
        <v>26</v>
      </c>
      <c r="K3055" s="57">
        <v>59.33</v>
      </c>
      <c r="L3055" s="12">
        <f t="shared" si="252"/>
        <v>119</v>
      </c>
      <c r="M3055" s="8">
        <v>1</v>
      </c>
      <c r="N3055" s="8" t="s">
        <v>27</v>
      </c>
      <c r="O3055" s="13"/>
      <c r="P3055" s="14">
        <v>0.2</v>
      </c>
      <c r="Q3055" s="15">
        <v>0.4</v>
      </c>
      <c r="R3055" s="16" t="str">
        <f t="shared" si="250"/>
        <v>LUTRON</v>
      </c>
      <c r="S3055" s="17" t="str">
        <f t="shared" si="251"/>
        <v>LUTRON</v>
      </c>
      <c r="T3055" s="10" t="str">
        <f t="shared" si="249"/>
        <v>SENSOR DE DESOCUPACIÓN INALÁMBRICO CON COBERTURA DE 365 GRADOS.</v>
      </c>
    </row>
    <row r="3056" spans="1:23" ht="27" customHeight="1" x14ac:dyDescent="0.25">
      <c r="A3056" s="8" t="s">
        <v>5672</v>
      </c>
      <c r="B3056" s="9" t="s">
        <v>5666</v>
      </c>
      <c r="C3056" s="9"/>
      <c r="D3056" s="8" t="s">
        <v>2057</v>
      </c>
      <c r="E3056" s="8">
        <v>19</v>
      </c>
      <c r="F3056" s="8" t="s">
        <v>22</v>
      </c>
      <c r="G3056" s="10" t="s">
        <v>6147</v>
      </c>
      <c r="H3056" s="8" t="s">
        <v>6148</v>
      </c>
      <c r="I3056" s="10" t="s">
        <v>6149</v>
      </c>
      <c r="J3056" s="11" t="s">
        <v>26</v>
      </c>
      <c r="K3056" s="57">
        <v>59.33</v>
      </c>
      <c r="L3056" s="12">
        <f t="shared" si="252"/>
        <v>119</v>
      </c>
      <c r="M3056" s="8">
        <v>1</v>
      </c>
      <c r="N3056" s="8" t="s">
        <v>27</v>
      </c>
      <c r="O3056" s="13"/>
      <c r="P3056" s="14">
        <v>0.2</v>
      </c>
      <c r="Q3056" s="15">
        <v>0.4</v>
      </c>
      <c r="R3056" s="16" t="str">
        <f t="shared" si="250"/>
        <v>LUTRON</v>
      </c>
      <c r="S3056" s="17" t="str">
        <f t="shared" si="251"/>
        <v>LUTRON</v>
      </c>
      <c r="T3056" s="10" t="str">
        <f t="shared" si="249"/>
        <v>SENSOR DE OCUPACIÓN Y DESOCUPACIÓN INALÁMBRICO PARA MONTAJE EN ESQUINAS.</v>
      </c>
    </row>
    <row r="3057" spans="1:20" ht="27" customHeight="1" x14ac:dyDescent="0.25">
      <c r="A3057" s="8" t="s">
        <v>5672</v>
      </c>
      <c r="B3057" s="9" t="s">
        <v>5666</v>
      </c>
      <c r="C3057" s="9"/>
      <c r="D3057" s="8" t="s">
        <v>2057</v>
      </c>
      <c r="E3057" s="8">
        <v>20</v>
      </c>
      <c r="F3057" s="8" t="s">
        <v>22</v>
      </c>
      <c r="G3057" s="10" t="s">
        <v>6150</v>
      </c>
      <c r="H3057" s="8" t="s">
        <v>6151</v>
      </c>
      <c r="I3057" s="10" t="s">
        <v>6152</v>
      </c>
      <c r="J3057" s="11" t="s">
        <v>26</v>
      </c>
      <c r="K3057" s="57">
        <v>59.33</v>
      </c>
      <c r="L3057" s="12">
        <f t="shared" si="252"/>
        <v>119</v>
      </c>
      <c r="M3057" s="8">
        <v>1</v>
      </c>
      <c r="N3057" s="8" t="s">
        <v>27</v>
      </c>
      <c r="O3057" s="13"/>
      <c r="P3057" s="14">
        <v>0.2</v>
      </c>
      <c r="Q3057" s="15">
        <v>0.4</v>
      </c>
      <c r="R3057" s="16" t="str">
        <f t="shared" si="250"/>
        <v>LUTRON</v>
      </c>
      <c r="S3057" s="17" t="str">
        <f t="shared" si="251"/>
        <v>LUTRON</v>
      </c>
      <c r="T3057" s="10" t="str">
        <f t="shared" si="249"/>
        <v>SENSOR DE DESOCUPACIÓN INALÁMBRICO PARA MONTAJE EN ESQUINAS.</v>
      </c>
    </row>
    <row r="3058" spans="1:20" ht="27" customHeight="1" x14ac:dyDescent="0.25">
      <c r="A3058" s="8" t="s">
        <v>5672</v>
      </c>
      <c r="B3058" s="9" t="s">
        <v>5666</v>
      </c>
      <c r="C3058" s="9"/>
      <c r="D3058" s="8" t="s">
        <v>2057</v>
      </c>
      <c r="E3058" s="8">
        <v>21</v>
      </c>
      <c r="F3058" s="8" t="s">
        <v>22</v>
      </c>
      <c r="G3058" s="10" t="s">
        <v>6153</v>
      </c>
      <c r="H3058" s="8" t="s">
        <v>6154</v>
      </c>
      <c r="I3058" s="10" t="s">
        <v>6155</v>
      </c>
      <c r="J3058" s="11" t="s">
        <v>26</v>
      </c>
      <c r="K3058" s="57">
        <v>59.33</v>
      </c>
      <c r="L3058" s="12">
        <f t="shared" si="252"/>
        <v>119</v>
      </c>
      <c r="M3058" s="8">
        <v>1</v>
      </c>
      <c r="N3058" s="8" t="s">
        <v>27</v>
      </c>
      <c r="O3058" s="13"/>
      <c r="P3058" s="14">
        <v>0.2</v>
      </c>
      <c r="Q3058" s="15">
        <v>0.4</v>
      </c>
      <c r="R3058" s="16" t="str">
        <f t="shared" si="250"/>
        <v>LUTRON</v>
      </c>
      <c r="S3058" s="17" t="str">
        <f t="shared" si="251"/>
        <v>LUTRON</v>
      </c>
      <c r="T3058" s="10" t="str">
        <f t="shared" si="249"/>
        <v>SENSOR INALÁMBRICO DE OCUPACIÓN Y DESOCUPACIÓN PARA COBERTURA EN PASILLOS.</v>
      </c>
    </row>
    <row r="3059" spans="1:20" ht="27" customHeight="1" x14ac:dyDescent="0.25">
      <c r="A3059" s="8" t="s">
        <v>5672</v>
      </c>
      <c r="B3059" s="9" t="s">
        <v>5666</v>
      </c>
      <c r="C3059" s="9"/>
      <c r="D3059" s="8" t="s">
        <v>2057</v>
      </c>
      <c r="E3059" s="8">
        <v>22</v>
      </c>
      <c r="F3059" s="8" t="s">
        <v>22</v>
      </c>
      <c r="G3059" s="10" t="s">
        <v>6156</v>
      </c>
      <c r="H3059" s="8" t="s">
        <v>6157</v>
      </c>
      <c r="I3059" s="10" t="s">
        <v>6158</v>
      </c>
      <c r="J3059" s="11" t="s">
        <v>26</v>
      </c>
      <c r="K3059" s="57">
        <v>59.33</v>
      </c>
      <c r="L3059" s="12">
        <f t="shared" si="252"/>
        <v>119</v>
      </c>
      <c r="M3059" s="8">
        <v>1</v>
      </c>
      <c r="N3059" s="8" t="s">
        <v>27</v>
      </c>
      <c r="O3059" s="13"/>
      <c r="P3059" s="14">
        <v>0.2</v>
      </c>
      <c r="Q3059" s="15">
        <v>0.4</v>
      </c>
      <c r="R3059" s="16" t="str">
        <f t="shared" si="250"/>
        <v>LUTRON</v>
      </c>
      <c r="S3059" s="17" t="str">
        <f t="shared" si="251"/>
        <v>LUTRON</v>
      </c>
      <c r="T3059" s="10" t="str">
        <f t="shared" si="249"/>
        <v>SENSOR INALÁMBRICO DE OCUPACIÓN Y DESOCUPACIÓN PARA MONTAJE EN PARED.</v>
      </c>
    </row>
    <row r="3060" spans="1:20" ht="27" customHeight="1" x14ac:dyDescent="0.25">
      <c r="A3060" s="8" t="s">
        <v>5672</v>
      </c>
      <c r="B3060" s="9" t="s">
        <v>5666</v>
      </c>
      <c r="C3060" s="9"/>
      <c r="D3060" s="8" t="s">
        <v>2057</v>
      </c>
      <c r="E3060" s="8">
        <v>23</v>
      </c>
      <c r="F3060" s="8" t="s">
        <v>22</v>
      </c>
      <c r="G3060" s="10" t="s">
        <v>6159</v>
      </c>
      <c r="H3060" s="8" t="s">
        <v>6160</v>
      </c>
      <c r="I3060" s="10" t="s">
        <v>6161</v>
      </c>
      <c r="J3060" s="11" t="s">
        <v>26</v>
      </c>
      <c r="K3060" s="57">
        <v>59.33</v>
      </c>
      <c r="L3060" s="12">
        <f t="shared" si="252"/>
        <v>119</v>
      </c>
      <c r="M3060" s="8">
        <v>1</v>
      </c>
      <c r="N3060" s="8" t="s">
        <v>27</v>
      </c>
      <c r="O3060" s="13"/>
      <c r="P3060" s="14">
        <v>0.2</v>
      </c>
      <c r="Q3060" s="15">
        <v>0.4</v>
      </c>
      <c r="R3060" s="16" t="str">
        <f t="shared" si="250"/>
        <v>LUTRON</v>
      </c>
      <c r="S3060" s="17" t="str">
        <f t="shared" si="251"/>
        <v>LUTRON</v>
      </c>
      <c r="T3060" s="10" t="str">
        <f t="shared" si="249"/>
        <v>SENSOR INALÁMBRICO DE DESOCUPACIÓN PARA MONTAJE EN PARED.</v>
      </c>
    </row>
    <row r="3061" spans="1:20" ht="27" customHeight="1" x14ac:dyDescent="0.25">
      <c r="A3061" s="8" t="s">
        <v>5672</v>
      </c>
      <c r="B3061" s="9" t="s">
        <v>5666</v>
      </c>
      <c r="C3061" s="9"/>
      <c r="D3061" s="8" t="s">
        <v>2057</v>
      </c>
      <c r="E3061" s="8">
        <v>26</v>
      </c>
      <c r="F3061" s="8" t="s">
        <v>22</v>
      </c>
      <c r="G3061" s="10" t="s">
        <v>6162</v>
      </c>
      <c r="H3061" s="8" t="s">
        <v>6163</v>
      </c>
      <c r="I3061" s="10" t="s">
        <v>6164</v>
      </c>
      <c r="J3061" s="11" t="s">
        <v>26</v>
      </c>
      <c r="K3061" s="57">
        <v>92.5</v>
      </c>
      <c r="L3061" s="12">
        <f t="shared" si="252"/>
        <v>185</v>
      </c>
      <c r="M3061" s="8">
        <v>1</v>
      </c>
      <c r="N3061" s="8" t="s">
        <v>27</v>
      </c>
      <c r="O3061" s="13"/>
      <c r="P3061" s="14">
        <v>0.2</v>
      </c>
      <c r="Q3061" s="15">
        <v>0.4</v>
      </c>
      <c r="R3061" s="16" t="str">
        <f t="shared" si="250"/>
        <v>LUTRON</v>
      </c>
      <c r="S3061" s="17" t="str">
        <f t="shared" si="251"/>
        <v>LUTRON</v>
      </c>
      <c r="T3061" s="10" t="str">
        <f t="shared" ref="T3061:T3124" si="253">G3061</f>
        <v>SENSOR CON DETECCIÓN ULTRA SÓNICA Y COBERTURA DE 360 GRADOS.</v>
      </c>
    </row>
    <row r="3062" spans="1:20" ht="27" customHeight="1" x14ac:dyDescent="0.25">
      <c r="A3062" s="8" t="s">
        <v>5672</v>
      </c>
      <c r="B3062" s="9" t="s">
        <v>5666</v>
      </c>
      <c r="C3062" s="9"/>
      <c r="D3062" s="8" t="s">
        <v>2057</v>
      </c>
      <c r="E3062" s="8">
        <v>27</v>
      </c>
      <c r="F3062" s="8" t="s">
        <v>22</v>
      </c>
      <c r="G3062" s="10" t="s">
        <v>6162</v>
      </c>
      <c r="H3062" s="8" t="s">
        <v>6165</v>
      </c>
      <c r="I3062" s="10" t="s">
        <v>6166</v>
      </c>
      <c r="J3062" s="11" t="s">
        <v>26</v>
      </c>
      <c r="K3062" s="57">
        <v>107.5</v>
      </c>
      <c r="L3062" s="12">
        <f t="shared" si="252"/>
        <v>215</v>
      </c>
      <c r="M3062" s="8">
        <v>1</v>
      </c>
      <c r="N3062" s="8" t="s">
        <v>27</v>
      </c>
      <c r="O3062" s="13"/>
      <c r="P3062" s="14">
        <v>0.2</v>
      </c>
      <c r="Q3062" s="15">
        <v>0.4</v>
      </c>
      <c r="R3062" s="16" t="str">
        <f t="shared" si="250"/>
        <v>LUTRON</v>
      </c>
      <c r="S3062" s="17" t="str">
        <f t="shared" si="251"/>
        <v>LUTRON</v>
      </c>
      <c r="T3062" s="10" t="str">
        <f t="shared" si="253"/>
        <v>SENSOR CON DETECCIÓN ULTRA SÓNICA Y COBERTURA DE 360 GRADOS.</v>
      </c>
    </row>
    <row r="3063" spans="1:20" ht="27" customHeight="1" x14ac:dyDescent="0.25">
      <c r="A3063" s="8" t="s">
        <v>5672</v>
      </c>
      <c r="B3063" s="9" t="s">
        <v>5666</v>
      </c>
      <c r="C3063" s="9"/>
      <c r="D3063" s="8" t="s">
        <v>2057</v>
      </c>
      <c r="E3063" s="8">
        <v>28</v>
      </c>
      <c r="F3063" s="8" t="s">
        <v>22</v>
      </c>
      <c r="G3063" s="10" t="s">
        <v>6167</v>
      </c>
      <c r="H3063" s="8" t="s">
        <v>6168</v>
      </c>
      <c r="I3063" s="10" t="s">
        <v>6169</v>
      </c>
      <c r="J3063" s="11" t="s">
        <v>26</v>
      </c>
      <c r="K3063" s="57">
        <v>80</v>
      </c>
      <c r="L3063" s="12">
        <f t="shared" si="252"/>
        <v>160</v>
      </c>
      <c r="M3063" s="8">
        <v>1</v>
      </c>
      <c r="N3063" s="8" t="s">
        <v>27</v>
      </c>
      <c r="O3063" s="13"/>
      <c r="P3063" s="14">
        <v>0.2</v>
      </c>
      <c r="Q3063" s="15">
        <v>0.4</v>
      </c>
      <c r="R3063" s="16" t="str">
        <f t="shared" si="250"/>
        <v>LUTRON</v>
      </c>
      <c r="S3063" s="17" t="str">
        <f t="shared" si="251"/>
        <v>LUTRON</v>
      </c>
      <c r="T3063" s="10" t="str">
        <f t="shared" si="253"/>
        <v>SENSOR CON DETECCIÓN ULTRA SÓNICA Y COBERTURA DE 180 GRADOS.</v>
      </c>
    </row>
    <row r="3064" spans="1:20" ht="27" customHeight="1" x14ac:dyDescent="0.25">
      <c r="A3064" s="8" t="s">
        <v>5672</v>
      </c>
      <c r="B3064" s="9" t="s">
        <v>5666</v>
      </c>
      <c r="C3064" s="9"/>
      <c r="D3064" s="8" t="s">
        <v>2057</v>
      </c>
      <c r="E3064" s="8">
        <v>29</v>
      </c>
      <c r="F3064" s="8" t="s">
        <v>22</v>
      </c>
      <c r="G3064" s="10" t="s">
        <v>6170</v>
      </c>
      <c r="H3064" s="8" t="s">
        <v>6171</v>
      </c>
      <c r="I3064" s="10" t="s">
        <v>6170</v>
      </c>
      <c r="J3064" s="11" t="s">
        <v>26</v>
      </c>
      <c r="K3064" s="57">
        <v>45</v>
      </c>
      <c r="L3064" s="12">
        <f t="shared" si="252"/>
        <v>90</v>
      </c>
      <c r="M3064" s="8">
        <v>1</v>
      </c>
      <c r="N3064" s="8" t="s">
        <v>27</v>
      </c>
      <c r="O3064" s="13"/>
      <c r="P3064" s="14">
        <v>0.2</v>
      </c>
      <c r="Q3064" s="15">
        <v>0.4</v>
      </c>
      <c r="R3064" s="16" t="str">
        <f t="shared" si="250"/>
        <v>LUTRON</v>
      </c>
      <c r="S3064" s="17" t="str">
        <f t="shared" si="251"/>
        <v>LUTRON</v>
      </c>
      <c r="T3064" s="10" t="str">
        <f t="shared" si="253"/>
        <v>SENSOR DE LUZ ALAMBRADO PARA INTERCONEXIÓN CON DISPOSITIVOS ECOSYSTEM.</v>
      </c>
    </row>
    <row r="3065" spans="1:20" ht="27" customHeight="1" x14ac:dyDescent="0.25">
      <c r="A3065" s="8" t="s">
        <v>5672</v>
      </c>
      <c r="B3065" s="9" t="s">
        <v>5666</v>
      </c>
      <c r="C3065" s="9"/>
      <c r="D3065" s="8" t="s">
        <v>2057</v>
      </c>
      <c r="E3065" s="8">
        <v>30</v>
      </c>
      <c r="F3065" s="8" t="s">
        <v>22</v>
      </c>
      <c r="G3065" s="10" t="s">
        <v>6172</v>
      </c>
      <c r="H3065" s="8" t="s">
        <v>6173</v>
      </c>
      <c r="I3065" s="10" t="s">
        <v>6174</v>
      </c>
      <c r="J3065" s="11" t="s">
        <v>26</v>
      </c>
      <c r="K3065" s="57">
        <v>27</v>
      </c>
      <c r="L3065" s="12">
        <f t="shared" si="252"/>
        <v>54</v>
      </c>
      <c r="M3065" s="8">
        <v>1</v>
      </c>
      <c r="N3065" s="8" t="s">
        <v>27</v>
      </c>
      <c r="O3065" s="13"/>
      <c r="P3065" s="14">
        <v>0.2</v>
      </c>
      <c r="Q3065" s="15">
        <v>0.4</v>
      </c>
      <c r="R3065" s="16" t="str">
        <f t="shared" si="250"/>
        <v>LUTRON</v>
      </c>
      <c r="S3065" s="17" t="str">
        <f t="shared" si="251"/>
        <v>LUTRON</v>
      </c>
      <c r="T3065" s="10" t="str">
        <f t="shared" si="253"/>
        <v>ATENUADOR PARA DETECCIÓN DE OCUPACIÓN O DESOCUPACIÓN, PARA CARGAS TIPO HALÓGENO.</v>
      </c>
    </row>
    <row r="3066" spans="1:20" ht="27" customHeight="1" x14ac:dyDescent="0.25">
      <c r="A3066" s="8" t="s">
        <v>5672</v>
      </c>
      <c r="B3066" s="9" t="s">
        <v>5666</v>
      </c>
      <c r="C3066" s="9"/>
      <c r="D3066" s="8" t="s">
        <v>2057</v>
      </c>
      <c r="E3066" s="8">
        <v>31</v>
      </c>
      <c r="F3066" s="8" t="s">
        <v>22</v>
      </c>
      <c r="G3066" s="10" t="s">
        <v>6175</v>
      </c>
      <c r="H3066" s="8" t="s">
        <v>6176</v>
      </c>
      <c r="I3066" s="10" t="s">
        <v>6177</v>
      </c>
      <c r="J3066" s="11" t="s">
        <v>26</v>
      </c>
      <c r="K3066" s="57">
        <v>50.73</v>
      </c>
      <c r="L3066" s="12">
        <f>K3066*(1+P3066)/(1-Q3066)</f>
        <v>101.46</v>
      </c>
      <c r="M3066" s="8">
        <v>1</v>
      </c>
      <c r="N3066" s="8" t="s">
        <v>27</v>
      </c>
      <c r="O3066" s="13"/>
      <c r="P3066" s="14">
        <v>0.2</v>
      </c>
      <c r="Q3066" s="15">
        <v>0.4</v>
      </c>
      <c r="R3066" s="16" t="str">
        <f t="shared" si="250"/>
        <v>LUTRON</v>
      </c>
      <c r="S3066" s="17" t="str">
        <f t="shared" si="251"/>
        <v>LUTRON</v>
      </c>
      <c r="T3066" s="10" t="str">
        <f t="shared" si="253"/>
        <v>INTERRUPTOR PARA DETECCIÓN DE OCUPACIÓN O DESOCUPACIÓN, PARA DOS CARGAS TIPO HALÓGENO.</v>
      </c>
    </row>
    <row r="3067" spans="1:20" ht="27" customHeight="1" x14ac:dyDescent="0.25">
      <c r="A3067" s="8" t="s">
        <v>5672</v>
      </c>
      <c r="B3067" s="9" t="s">
        <v>5666</v>
      </c>
      <c r="C3067" s="9"/>
      <c r="D3067" s="8" t="s">
        <v>6178</v>
      </c>
      <c r="E3067" s="8">
        <v>1</v>
      </c>
      <c r="F3067" s="8" t="s">
        <v>22</v>
      </c>
      <c r="G3067" s="10" t="s">
        <v>6179</v>
      </c>
      <c r="H3067" s="69" t="s">
        <v>6180</v>
      </c>
      <c r="I3067" s="10" t="s">
        <v>6181</v>
      </c>
      <c r="J3067" s="11" t="s">
        <v>26</v>
      </c>
      <c r="K3067" s="57">
        <v>66</v>
      </c>
      <c r="L3067" s="12">
        <f>ROUNDUP(K3067*(1+P3067)/(1-Q3067),0)</f>
        <v>110</v>
      </c>
      <c r="M3067" s="8">
        <v>1</v>
      </c>
      <c r="N3067" s="8" t="s">
        <v>27</v>
      </c>
      <c r="O3067" s="13"/>
      <c r="P3067" s="14">
        <v>0.2</v>
      </c>
      <c r="Q3067" s="15">
        <v>0.27720000000000011</v>
      </c>
      <c r="R3067" s="16" t="str">
        <f t="shared" si="250"/>
        <v>LUTRON</v>
      </c>
      <c r="S3067" s="17" t="str">
        <f t="shared" si="251"/>
        <v>LUTRON</v>
      </c>
      <c r="T3067" s="10" t="str">
        <f t="shared" si="253"/>
        <v>INTERRUPTOR DE PARED DE LA SERIE CASETA WIRELESS.</v>
      </c>
    </row>
    <row r="3068" spans="1:20" ht="27" customHeight="1" x14ac:dyDescent="0.25">
      <c r="A3068" s="8" t="s">
        <v>5672</v>
      </c>
      <c r="B3068" s="9" t="s">
        <v>5666</v>
      </c>
      <c r="C3068" s="9"/>
      <c r="D3068" s="8" t="s">
        <v>6178</v>
      </c>
      <c r="E3068" s="8">
        <v>2</v>
      </c>
      <c r="F3068" s="8" t="s">
        <v>22</v>
      </c>
      <c r="G3068" s="10" t="s">
        <v>6179</v>
      </c>
      <c r="H3068" s="69" t="s">
        <v>6182</v>
      </c>
      <c r="I3068" s="10" t="s">
        <v>6183</v>
      </c>
      <c r="J3068" s="11" t="s">
        <v>26</v>
      </c>
      <c r="K3068" s="57">
        <v>66</v>
      </c>
      <c r="L3068" s="12">
        <f>ROUNDUP(K3068*(1+P3068)/(1-Q3068),0)</f>
        <v>110</v>
      </c>
      <c r="M3068" s="8">
        <v>1</v>
      </c>
      <c r="N3068" s="8" t="s">
        <v>27</v>
      </c>
      <c r="O3068" s="13"/>
      <c r="P3068" s="14">
        <v>0.2</v>
      </c>
      <c r="Q3068" s="15">
        <v>0.27720000000000011</v>
      </c>
      <c r="R3068" s="16" t="str">
        <f t="shared" si="250"/>
        <v>LUTRON</v>
      </c>
      <c r="S3068" s="17" t="str">
        <f t="shared" si="251"/>
        <v>LUTRON</v>
      </c>
      <c r="T3068" s="10" t="str">
        <f t="shared" si="253"/>
        <v>INTERRUPTOR DE PARED DE LA SERIE CASETA WIRELESS.</v>
      </c>
    </row>
    <row r="3069" spans="1:20" ht="27" customHeight="1" x14ac:dyDescent="0.25">
      <c r="A3069" s="8" t="s">
        <v>5672</v>
      </c>
      <c r="B3069" s="9" t="s">
        <v>5666</v>
      </c>
      <c r="C3069" s="9"/>
      <c r="D3069" s="8" t="s">
        <v>6178</v>
      </c>
      <c r="E3069" s="8">
        <v>3</v>
      </c>
      <c r="F3069" s="8" t="s">
        <v>22</v>
      </c>
      <c r="G3069" s="10" t="s">
        <v>6179</v>
      </c>
      <c r="H3069" s="69" t="s">
        <v>6184</v>
      </c>
      <c r="I3069" s="10" t="s">
        <v>6185</v>
      </c>
      <c r="J3069" s="11" t="s">
        <v>26</v>
      </c>
      <c r="K3069" s="57">
        <v>66</v>
      </c>
      <c r="L3069" s="12">
        <f>ROUNDUP(K3069*(1+P3069)/(1-Q3069),0)</f>
        <v>110</v>
      </c>
      <c r="M3069" s="8">
        <v>1</v>
      </c>
      <c r="N3069" s="8" t="s">
        <v>27</v>
      </c>
      <c r="O3069" s="13"/>
      <c r="P3069" s="14">
        <v>0.2</v>
      </c>
      <c r="Q3069" s="15">
        <v>0.27720000000000011</v>
      </c>
      <c r="R3069" s="16" t="str">
        <f t="shared" si="250"/>
        <v>LUTRON</v>
      </c>
      <c r="S3069" s="17" t="str">
        <f t="shared" si="251"/>
        <v>LUTRON</v>
      </c>
      <c r="T3069" s="10" t="str">
        <f t="shared" si="253"/>
        <v>INTERRUPTOR DE PARED DE LA SERIE CASETA WIRELESS.</v>
      </c>
    </row>
    <row r="3070" spans="1:20" ht="27" customHeight="1" x14ac:dyDescent="0.25">
      <c r="A3070" s="8" t="s">
        <v>5672</v>
      </c>
      <c r="B3070" s="9" t="s">
        <v>5666</v>
      </c>
      <c r="C3070" s="9"/>
      <c r="D3070" s="8" t="s">
        <v>6178</v>
      </c>
      <c r="E3070" s="8">
        <v>4</v>
      </c>
      <c r="F3070" s="8" t="s">
        <v>22</v>
      </c>
      <c r="G3070" s="10" t="s">
        <v>6179</v>
      </c>
      <c r="H3070" s="69" t="s">
        <v>6186</v>
      </c>
      <c r="I3070" s="10" t="s">
        <v>6187</v>
      </c>
      <c r="J3070" s="11" t="s">
        <v>26</v>
      </c>
      <c r="K3070" s="57">
        <v>66</v>
      </c>
      <c r="L3070" s="12">
        <f>ROUNDUP(K3070*(1+P3070)/(1-Q3070),0)</f>
        <v>110</v>
      </c>
      <c r="M3070" s="8">
        <v>1</v>
      </c>
      <c r="N3070" s="8" t="s">
        <v>27</v>
      </c>
      <c r="O3070" s="13"/>
      <c r="P3070" s="14">
        <v>0.2</v>
      </c>
      <c r="Q3070" s="15">
        <v>0.27720000000000011</v>
      </c>
      <c r="R3070" s="16" t="str">
        <f t="shared" si="250"/>
        <v>LUTRON</v>
      </c>
      <c r="S3070" s="17" t="str">
        <f t="shared" si="251"/>
        <v>LUTRON</v>
      </c>
      <c r="T3070" s="10" t="str">
        <f t="shared" si="253"/>
        <v>INTERRUPTOR DE PARED DE LA SERIE CASETA WIRELESS.</v>
      </c>
    </row>
    <row r="3071" spans="1:20" ht="27" customHeight="1" x14ac:dyDescent="0.25">
      <c r="A3071" s="8" t="s">
        <v>5672</v>
      </c>
      <c r="B3071" s="9" t="s">
        <v>5666</v>
      </c>
      <c r="C3071" s="9"/>
      <c r="D3071" s="8" t="s">
        <v>6178</v>
      </c>
      <c r="E3071" s="8">
        <v>5</v>
      </c>
      <c r="F3071" s="8" t="s">
        <v>22</v>
      </c>
      <c r="G3071" s="10" t="s">
        <v>6188</v>
      </c>
      <c r="H3071" s="8" t="s">
        <v>6189</v>
      </c>
      <c r="I3071" s="10" t="s">
        <v>6188</v>
      </c>
      <c r="J3071" s="11" t="s">
        <v>26</v>
      </c>
      <c r="K3071" s="57">
        <v>33</v>
      </c>
      <c r="L3071" s="12">
        <f>ROUNDUP(K3071*(1+P3071)/(1-Q3071),0)</f>
        <v>66</v>
      </c>
      <c r="M3071" s="8">
        <v>1</v>
      </c>
      <c r="N3071" s="8" t="s">
        <v>27</v>
      </c>
      <c r="O3071" s="13"/>
      <c r="P3071" s="14">
        <v>0.2</v>
      </c>
      <c r="Q3071" s="15">
        <v>0.4</v>
      </c>
      <c r="R3071" s="16" t="str">
        <f t="shared" si="250"/>
        <v>LUTRON</v>
      </c>
      <c r="S3071" s="17" t="str">
        <f t="shared" si="251"/>
        <v>LUTRON</v>
      </c>
      <c r="T3071" s="10" t="str">
        <f t="shared" si="253"/>
        <v>MÓDULO DE CONMUTACIÓN A 16 AMPERIOS, PARA ALIMENTACIÓN DE SENSORES.</v>
      </c>
    </row>
    <row r="3072" spans="1:20" ht="27" customHeight="1" x14ac:dyDescent="0.25">
      <c r="A3072" s="8" t="s">
        <v>5672</v>
      </c>
      <c r="B3072" s="9" t="s">
        <v>5666</v>
      </c>
      <c r="C3072" s="9"/>
      <c r="D3072" s="8" t="s">
        <v>6178</v>
      </c>
      <c r="E3072" s="8">
        <v>6</v>
      </c>
      <c r="F3072" s="8" t="s">
        <v>22</v>
      </c>
      <c r="G3072" s="10" t="s">
        <v>6190</v>
      </c>
      <c r="H3072" s="8" t="s">
        <v>6191</v>
      </c>
      <c r="I3072" s="10" t="s">
        <v>6190</v>
      </c>
      <c r="J3072" s="11" t="s">
        <v>26</v>
      </c>
      <c r="K3072" s="57">
        <v>74.25</v>
      </c>
      <c r="L3072" s="12">
        <f>K3072*(1+P3072)/(1-Q3072)</f>
        <v>130.26316227462911</v>
      </c>
      <c r="M3072" s="8">
        <v>1</v>
      </c>
      <c r="N3072" s="8" t="s">
        <v>27</v>
      </c>
      <c r="O3072" s="13"/>
      <c r="P3072" s="14">
        <v>0.2</v>
      </c>
      <c r="Q3072" s="15">
        <v>0.3160000229984154</v>
      </c>
      <c r="R3072" s="16" t="str">
        <f t="shared" si="250"/>
        <v>LUTRON</v>
      </c>
      <c r="S3072" s="17" t="str">
        <f t="shared" si="251"/>
        <v>LUTRON</v>
      </c>
      <c r="T3072" s="10" t="str">
        <f t="shared" si="253"/>
        <v>MÓDULO DE CONMUTACIÓN INALÁMBRICO A 16 AMPERIOS.</v>
      </c>
    </row>
    <row r="3073" spans="1:24" ht="27" customHeight="1" x14ac:dyDescent="0.25">
      <c r="A3073" s="8" t="s">
        <v>5672</v>
      </c>
      <c r="B3073" s="9" t="s">
        <v>5666</v>
      </c>
      <c r="C3073" s="9"/>
      <c r="D3073" s="8" t="s">
        <v>6178</v>
      </c>
      <c r="E3073" s="8">
        <v>7</v>
      </c>
      <c r="F3073" s="8" t="s">
        <v>22</v>
      </c>
      <c r="G3073" s="10" t="s">
        <v>6192</v>
      </c>
      <c r="H3073" s="8" t="s">
        <v>6193</v>
      </c>
      <c r="I3073" s="10" t="s">
        <v>6194</v>
      </c>
      <c r="J3073" s="11" t="s">
        <v>26</v>
      </c>
      <c r="K3073" s="57">
        <v>107.4</v>
      </c>
      <c r="L3073" s="12">
        <f t="shared" ref="L3073:L3078" si="254">ROUNDUP(K3073*(1+P3073)/(1-Q3073),0)</f>
        <v>179</v>
      </c>
      <c r="M3073" s="8">
        <v>1</v>
      </c>
      <c r="N3073" s="8" t="s">
        <v>27</v>
      </c>
      <c r="O3073" s="13"/>
      <c r="P3073" s="14">
        <v>0.2</v>
      </c>
      <c r="Q3073" s="15">
        <v>0.28000000000000003</v>
      </c>
      <c r="R3073" s="16" t="str">
        <f t="shared" ref="R3073:R3136" si="255">A3073</f>
        <v>LUTRON</v>
      </c>
      <c r="S3073" s="17" t="str">
        <f t="shared" si="251"/>
        <v>LUTRON</v>
      </c>
      <c r="T3073" s="10" t="str">
        <f t="shared" si="253"/>
        <v>INTERRUPTOR CON OPERACIÓN INALÁMBRICA PARA SISTEMA RADIO RA2.</v>
      </c>
    </row>
    <row r="3074" spans="1:24" ht="27" customHeight="1" x14ac:dyDescent="0.25">
      <c r="A3074" s="8" t="s">
        <v>5672</v>
      </c>
      <c r="B3074" s="9" t="s">
        <v>5666</v>
      </c>
      <c r="C3074" s="9"/>
      <c r="D3074" s="8" t="s">
        <v>6195</v>
      </c>
      <c r="E3074" s="8">
        <v>2</v>
      </c>
      <c r="F3074" s="8" t="s">
        <v>22</v>
      </c>
      <c r="G3074" s="10" t="s">
        <v>6196</v>
      </c>
      <c r="H3074" s="8" t="s">
        <v>6197</v>
      </c>
      <c r="I3074" s="10" t="s">
        <v>6196</v>
      </c>
      <c r="J3074" s="11" t="s">
        <v>26</v>
      </c>
      <c r="K3074" s="57">
        <v>195.25</v>
      </c>
      <c r="L3074" s="12">
        <f t="shared" si="254"/>
        <v>355</v>
      </c>
      <c r="M3074" s="8">
        <v>1</v>
      </c>
      <c r="N3074" s="8" t="s">
        <v>27</v>
      </c>
      <c r="O3074" s="13"/>
      <c r="P3074" s="14">
        <v>0.2</v>
      </c>
      <c r="Q3074" s="15">
        <v>0.33963636363636368</v>
      </c>
      <c r="R3074" s="16" t="str">
        <f t="shared" si="255"/>
        <v>LUTRON</v>
      </c>
      <c r="S3074" s="17" t="str">
        <f t="shared" si="251"/>
        <v>LUTRON</v>
      </c>
      <c r="T3074" s="10" t="str">
        <f t="shared" si="253"/>
        <v>TERMOSTATO VISIÓN PRO HONEYWELL INALÁMBRICO.</v>
      </c>
    </row>
    <row r="3075" spans="1:24" ht="27" customHeight="1" x14ac:dyDescent="0.25">
      <c r="A3075" s="8" t="s">
        <v>5672</v>
      </c>
      <c r="B3075" s="9" t="s">
        <v>5666</v>
      </c>
      <c r="C3075" s="9"/>
      <c r="D3075" s="8" t="s">
        <v>6195</v>
      </c>
      <c r="E3075" s="8">
        <v>3</v>
      </c>
      <c r="F3075" s="8" t="s">
        <v>22</v>
      </c>
      <c r="G3075" s="10" t="s">
        <v>6198</v>
      </c>
      <c r="H3075" s="8" t="s">
        <v>6199</v>
      </c>
      <c r="I3075" s="10" t="s">
        <v>6198</v>
      </c>
      <c r="J3075" s="11" t="s">
        <v>26</v>
      </c>
      <c r="K3075" s="57">
        <v>119.4</v>
      </c>
      <c r="L3075" s="12">
        <f t="shared" si="254"/>
        <v>199</v>
      </c>
      <c r="M3075" s="8">
        <v>1</v>
      </c>
      <c r="N3075" s="8" t="s">
        <v>27</v>
      </c>
      <c r="O3075" s="13"/>
      <c r="P3075" s="14">
        <v>0.2</v>
      </c>
      <c r="Q3075" s="15">
        <v>0.28000000000000003</v>
      </c>
      <c r="R3075" s="16" t="str">
        <f t="shared" si="255"/>
        <v>LUTRON</v>
      </c>
      <c r="S3075" s="17" t="str">
        <f t="shared" si="251"/>
        <v>LUTRON</v>
      </c>
      <c r="T3075" s="10" t="str">
        <f t="shared" si="253"/>
        <v>INTERFAZ PARA CONTROL DE TEMPERATURA, TERMOSTATO CALIBRADO EN   GRADOS CELSIUS.</v>
      </c>
    </row>
    <row r="3076" spans="1:24" ht="27" customHeight="1" x14ac:dyDescent="0.25">
      <c r="A3076" s="8" t="s">
        <v>5672</v>
      </c>
      <c r="B3076" s="9" t="s">
        <v>5666</v>
      </c>
      <c r="C3076" s="9"/>
      <c r="D3076" s="8" t="s">
        <v>6195</v>
      </c>
      <c r="E3076" s="8">
        <v>4</v>
      </c>
      <c r="F3076" s="8" t="s">
        <v>22</v>
      </c>
      <c r="G3076" s="10" t="s">
        <v>6200</v>
      </c>
      <c r="H3076" s="8" t="s">
        <v>6201</v>
      </c>
      <c r="I3076" s="10" t="s">
        <v>6200</v>
      </c>
      <c r="J3076" s="11" t="s">
        <v>26</v>
      </c>
      <c r="K3076" s="57">
        <v>72</v>
      </c>
      <c r="L3076" s="12">
        <f t="shared" si="254"/>
        <v>120</v>
      </c>
      <c r="M3076" s="8">
        <v>1</v>
      </c>
      <c r="N3076" s="8" t="s">
        <v>27</v>
      </c>
      <c r="O3076" s="13"/>
      <c r="P3076" s="14">
        <v>0.2</v>
      </c>
      <c r="Q3076" s="15">
        <v>0.28000000000000003</v>
      </c>
      <c r="R3076" s="16" t="str">
        <f t="shared" si="255"/>
        <v>LUTRON</v>
      </c>
      <c r="S3076" s="17" t="str">
        <f t="shared" si="251"/>
        <v>LUTRON</v>
      </c>
      <c r="T3076" s="10" t="str">
        <f t="shared" si="253"/>
        <v>SENSOR DE TEMPERATURA INALÁMBRICO</v>
      </c>
    </row>
    <row r="3077" spans="1:24" ht="27" customHeight="1" x14ac:dyDescent="0.25">
      <c r="A3077" s="8" t="s">
        <v>5672</v>
      </c>
      <c r="B3077" s="9" t="s">
        <v>5666</v>
      </c>
      <c r="C3077" s="9"/>
      <c r="D3077" s="8" t="s">
        <v>6202</v>
      </c>
      <c r="E3077" s="8">
        <v>1</v>
      </c>
      <c r="F3077" s="8" t="s">
        <v>22</v>
      </c>
      <c r="G3077" s="10" t="s">
        <v>6203</v>
      </c>
      <c r="H3077" s="8" t="s">
        <v>6204</v>
      </c>
      <c r="I3077" s="10" t="s">
        <v>6203</v>
      </c>
      <c r="J3077" s="11" t="s">
        <v>26</v>
      </c>
      <c r="K3077" s="57">
        <v>27.5</v>
      </c>
      <c r="L3077" s="12">
        <f t="shared" si="254"/>
        <v>55</v>
      </c>
      <c r="M3077" s="8">
        <v>1</v>
      </c>
      <c r="N3077" s="8" t="s">
        <v>27</v>
      </c>
      <c r="O3077" s="13"/>
      <c r="P3077" s="14">
        <v>0.2</v>
      </c>
      <c r="Q3077" s="15">
        <v>0.39600000000000002</v>
      </c>
      <c r="R3077" s="16" t="str">
        <f t="shared" si="255"/>
        <v>LUTRON</v>
      </c>
      <c r="S3077" s="17"/>
      <c r="T3077" s="10" t="str">
        <f t="shared" si="253"/>
        <v>INTERRUPTOR TIPO TIMER PARA APAGADO AUTOMÁTICO, TIEMPO AJUSTABLE. COLOR BLANCO.</v>
      </c>
    </row>
    <row r="3078" spans="1:24" ht="27" customHeight="1" x14ac:dyDescent="0.25">
      <c r="A3078" s="8" t="s">
        <v>5672</v>
      </c>
      <c r="B3078" s="9" t="s">
        <v>5666</v>
      </c>
      <c r="C3078" s="9"/>
      <c r="D3078" s="8" t="s">
        <v>6205</v>
      </c>
      <c r="E3078" s="8">
        <v>1</v>
      </c>
      <c r="F3078" s="8" t="s">
        <v>22</v>
      </c>
      <c r="G3078" s="10" t="s">
        <v>6206</v>
      </c>
      <c r="H3078" s="8" t="s">
        <v>6207</v>
      </c>
      <c r="I3078" s="10" t="s">
        <v>6208</v>
      </c>
      <c r="J3078" s="11" t="s">
        <v>26</v>
      </c>
      <c r="K3078" s="57">
        <v>359.4</v>
      </c>
      <c r="L3078" s="12">
        <f t="shared" si="254"/>
        <v>599</v>
      </c>
      <c r="M3078" s="8">
        <v>1</v>
      </c>
      <c r="N3078" s="8" t="s">
        <v>27</v>
      </c>
      <c r="O3078" s="13"/>
      <c r="P3078" s="14">
        <v>0.2</v>
      </c>
      <c r="Q3078" s="15">
        <v>0.28000000000000003</v>
      </c>
      <c r="R3078" s="16" t="str">
        <f t="shared" si="255"/>
        <v>LUTRON</v>
      </c>
      <c r="S3078" s="17"/>
      <c r="T3078" s="10" t="str">
        <f t="shared" si="253"/>
        <v>KIT DE CONTROL DE TEMPERATURA, INCLUYE CONTROLADOR INALÁMBRICO.</v>
      </c>
    </row>
    <row r="3079" spans="1:24" ht="27" customHeight="1" x14ac:dyDescent="0.25">
      <c r="A3079" s="8" t="s">
        <v>5672</v>
      </c>
      <c r="B3079" s="9" t="s">
        <v>5666</v>
      </c>
      <c r="C3079" s="9"/>
      <c r="D3079" s="8" t="s">
        <v>208</v>
      </c>
      <c r="E3079" s="8">
        <v>14</v>
      </c>
      <c r="F3079" s="8" t="s">
        <v>22</v>
      </c>
      <c r="G3079" s="10" t="s">
        <v>6209</v>
      </c>
      <c r="H3079" s="8" t="s">
        <v>6210</v>
      </c>
      <c r="I3079" s="10" t="s">
        <v>6209</v>
      </c>
      <c r="J3079" s="11" t="s">
        <v>26</v>
      </c>
      <c r="K3079" s="57">
        <v>784</v>
      </c>
      <c r="L3079" s="12">
        <f>K3079*(1+P3079)/(1-Q3079)</f>
        <v>1399.9998937952728</v>
      </c>
      <c r="M3079" s="8">
        <v>1</v>
      </c>
      <c r="N3079" s="8" t="s">
        <v>27</v>
      </c>
      <c r="O3079" s="13"/>
      <c r="P3079" s="14">
        <v>0.2</v>
      </c>
      <c r="Q3079" s="15">
        <v>0.32799994902172708</v>
      </c>
      <c r="R3079" s="16" t="str">
        <f t="shared" si="255"/>
        <v>LUTRON</v>
      </c>
      <c r="S3079" s="17"/>
      <c r="T3079" s="10" t="str">
        <f t="shared" si="253"/>
        <v>PROCESADOR PARA SISTEMAS HOMEWORKS QS</v>
      </c>
    </row>
    <row r="3080" spans="1:24" ht="27" customHeight="1" x14ac:dyDescent="0.25">
      <c r="A3080" s="8" t="s">
        <v>5672</v>
      </c>
      <c r="B3080" s="9" t="s">
        <v>5666</v>
      </c>
      <c r="C3080" s="9"/>
      <c r="D3080" s="8" t="s">
        <v>626</v>
      </c>
      <c r="E3080" s="8">
        <v>1</v>
      </c>
      <c r="F3080" s="8" t="s">
        <v>22</v>
      </c>
      <c r="G3080" s="10" t="s">
        <v>6211</v>
      </c>
      <c r="H3080" s="8" t="s">
        <v>6212</v>
      </c>
      <c r="I3080" s="10" t="s">
        <v>6211</v>
      </c>
      <c r="J3080" s="11" t="s">
        <v>26</v>
      </c>
      <c r="K3080" s="57">
        <v>3.5</v>
      </c>
      <c r="L3080" s="12">
        <f>ROUNDUP(K3080*(1+P3080)/(1-Q3080),0)</f>
        <v>7</v>
      </c>
      <c r="M3080" s="8">
        <v>1</v>
      </c>
      <c r="N3080" s="8" t="s">
        <v>27</v>
      </c>
      <c r="O3080" s="13"/>
      <c r="P3080" s="14">
        <v>0.2</v>
      </c>
      <c r="Q3080" s="15">
        <v>0.4</v>
      </c>
      <c r="R3080" s="16" t="str">
        <f t="shared" si="255"/>
        <v>LUTRON</v>
      </c>
      <c r="S3080" s="17"/>
      <c r="T3080" s="10" t="str">
        <f t="shared" si="253"/>
        <v>TAPA CIEGA SENCILLA EN COLOR BLANCO.</v>
      </c>
    </row>
    <row r="3081" spans="1:24" ht="27" customHeight="1" x14ac:dyDescent="0.25">
      <c r="A3081" s="8" t="s">
        <v>5672</v>
      </c>
      <c r="B3081" s="9" t="s">
        <v>5666</v>
      </c>
      <c r="C3081" s="9"/>
      <c r="D3081" s="8" t="s">
        <v>2277</v>
      </c>
      <c r="E3081" s="8">
        <v>1</v>
      </c>
      <c r="F3081" s="8" t="s">
        <v>22</v>
      </c>
      <c r="G3081" s="10" t="s">
        <v>6213</v>
      </c>
      <c r="H3081" s="8" t="s">
        <v>6214</v>
      </c>
      <c r="I3081" s="10" t="s">
        <v>6215</v>
      </c>
      <c r="J3081" s="11" t="s">
        <v>26</v>
      </c>
      <c r="K3081" s="57">
        <v>352</v>
      </c>
      <c r="L3081" s="12">
        <f>K3081*(1+P3081)/(1-Q3081)</f>
        <v>704</v>
      </c>
      <c r="M3081" s="8">
        <v>1</v>
      </c>
      <c r="N3081" s="8" t="s">
        <v>27</v>
      </c>
      <c r="O3081" s="13"/>
      <c r="P3081" s="14">
        <v>0.2</v>
      </c>
      <c r="Q3081" s="15">
        <v>0.4</v>
      </c>
      <c r="R3081" s="16" t="str">
        <f t="shared" si="255"/>
        <v>LUTRON</v>
      </c>
      <c r="S3081" s="17"/>
      <c r="T3081" s="10" t="str">
        <f t="shared" si="253"/>
        <v>PANEL PARA INSTALACIÓN DE PROCESADOR DE CONTROL DE ILUMINACIÓN.</v>
      </c>
    </row>
    <row r="3082" spans="1:24" ht="27" customHeight="1" x14ac:dyDescent="0.25">
      <c r="A3082" s="8" t="s">
        <v>5672</v>
      </c>
      <c r="B3082" s="9" t="s">
        <v>5666</v>
      </c>
      <c r="C3082" s="9"/>
      <c r="D3082" s="8" t="s">
        <v>4058</v>
      </c>
      <c r="E3082" s="8">
        <v>1</v>
      </c>
      <c r="F3082" s="8" t="s">
        <v>22</v>
      </c>
      <c r="G3082" s="10" t="s">
        <v>6216</v>
      </c>
      <c r="H3082" s="8" t="s">
        <v>6217</v>
      </c>
      <c r="I3082" s="10" t="s">
        <v>6216</v>
      </c>
      <c r="J3082" s="11" t="s">
        <v>26</v>
      </c>
      <c r="K3082" s="57">
        <v>543.20000000000005</v>
      </c>
      <c r="L3082" s="12">
        <f>K3082*(1+P3082)/(1-Q3082)</f>
        <v>970.00071848484197</v>
      </c>
      <c r="M3082" s="8">
        <v>1</v>
      </c>
      <c r="N3082" s="8" t="s">
        <v>27</v>
      </c>
      <c r="O3082" s="13"/>
      <c r="P3082" s="14">
        <v>0.2</v>
      </c>
      <c r="Q3082" s="15">
        <v>0.32800049775407852</v>
      </c>
      <c r="R3082" s="16" t="str">
        <f t="shared" si="255"/>
        <v>LUTRON</v>
      </c>
      <c r="S3082" s="17"/>
      <c r="T3082" s="10" t="str">
        <f t="shared" si="253"/>
        <v>MÓDULO DE POTENCIA PARA CONTROL DE 6 CIRCUITOS. POTENCIA HASTA 2000 VATIOS.</v>
      </c>
      <c r="W3082" s="20">
        <f>543*1.2/0.85*4000</f>
        <v>3066352.9411764708</v>
      </c>
      <c r="X3082" s="21">
        <f>L3082*4000</f>
        <v>3880002.8739393679</v>
      </c>
    </row>
    <row r="3083" spans="1:24" ht="27" customHeight="1" x14ac:dyDescent="0.25">
      <c r="A3083" s="8" t="s">
        <v>5672</v>
      </c>
      <c r="B3083" s="9" t="s">
        <v>5666</v>
      </c>
      <c r="C3083" s="9"/>
      <c r="D3083" s="8" t="s">
        <v>188</v>
      </c>
      <c r="E3083" s="8">
        <v>1</v>
      </c>
      <c r="F3083" s="8" t="s">
        <v>22</v>
      </c>
      <c r="G3083" s="10" t="s">
        <v>6003</v>
      </c>
      <c r="H3083" s="8" t="s">
        <v>6218</v>
      </c>
      <c r="I3083" s="10" t="s">
        <v>6219</v>
      </c>
      <c r="J3083" s="11" t="s">
        <v>26</v>
      </c>
      <c r="K3083" s="57">
        <v>201.6</v>
      </c>
      <c r="L3083" s="12">
        <f>K3083*(1+P3083)/(1-Q3083)</f>
        <v>360.00026665416812</v>
      </c>
      <c r="M3083" s="8">
        <v>1</v>
      </c>
      <c r="N3083" s="8" t="s">
        <v>27</v>
      </c>
      <c r="O3083" s="13"/>
      <c r="P3083" s="14">
        <v>0.2</v>
      </c>
      <c r="Q3083" s="15">
        <v>0.32800049775407852</v>
      </c>
      <c r="R3083" s="16" t="str">
        <f t="shared" si="255"/>
        <v>LUTRON</v>
      </c>
      <c r="S3083" s="17"/>
      <c r="T3083" s="10" t="str">
        <f t="shared" si="253"/>
        <v>TECLADO DE 5 BOTONES TIPO INSERT. CON MARCACIÓN LASER.</v>
      </c>
    </row>
    <row r="3084" spans="1:24" ht="27" customHeight="1" x14ac:dyDescent="0.25">
      <c r="A3084" s="8" t="s">
        <v>5672</v>
      </c>
      <c r="B3084" s="9" t="s">
        <v>5666</v>
      </c>
      <c r="C3084" s="9"/>
      <c r="D3084" s="8" t="s">
        <v>188</v>
      </c>
      <c r="E3084" s="8">
        <v>1</v>
      </c>
      <c r="F3084" s="8" t="s">
        <v>22</v>
      </c>
      <c r="G3084" s="10" t="s">
        <v>6220</v>
      </c>
      <c r="H3084" s="8" t="s">
        <v>6221</v>
      </c>
      <c r="I3084" s="10" t="s">
        <v>6222</v>
      </c>
      <c r="J3084" s="11" t="s">
        <v>26</v>
      </c>
      <c r="K3084" s="57">
        <v>18.5</v>
      </c>
      <c r="L3084" s="12">
        <f>ROUNDUP(K3084*(1+P3084)/(1-Q3084),0)</f>
        <v>37</v>
      </c>
      <c r="M3084" s="8">
        <v>1</v>
      </c>
      <c r="N3084" s="8" t="s">
        <v>27</v>
      </c>
      <c r="O3084" s="13"/>
      <c r="P3084" s="14">
        <v>0.2</v>
      </c>
      <c r="Q3084" s="15">
        <v>0.4</v>
      </c>
      <c r="R3084" s="16" t="str">
        <f t="shared" si="255"/>
        <v>LUTRON</v>
      </c>
      <c r="S3084" s="17"/>
      <c r="T3084" s="10" t="str">
        <f t="shared" si="253"/>
        <v>ATENUADOR DELA LÍNEA DIVA DE LUTRON, DE FASE ADAPTATIVA PARA CARGAS INCANDESCENTES.</v>
      </c>
    </row>
    <row r="3085" spans="1:24" ht="27" customHeight="1" x14ac:dyDescent="0.25">
      <c r="A3085" s="8" t="s">
        <v>5672</v>
      </c>
      <c r="B3085" s="9" t="s">
        <v>5666</v>
      </c>
      <c r="C3085" s="9"/>
      <c r="D3085" s="8" t="s">
        <v>6178</v>
      </c>
      <c r="E3085" s="8">
        <v>2</v>
      </c>
      <c r="F3085" s="8" t="s">
        <v>22</v>
      </c>
      <c r="G3085" s="10" t="s">
        <v>6223</v>
      </c>
      <c r="H3085" s="8" t="s">
        <v>6224</v>
      </c>
      <c r="I3085" s="61" t="s">
        <v>6225</v>
      </c>
      <c r="J3085" s="11" t="s">
        <v>26</v>
      </c>
      <c r="K3085" s="57">
        <v>6.63</v>
      </c>
      <c r="L3085" s="12">
        <f>K3085*(1+P3085)/(1-Q3085)</f>
        <v>13.26</v>
      </c>
      <c r="M3085" s="8">
        <v>1</v>
      </c>
      <c r="N3085" s="8" t="s">
        <v>27</v>
      </c>
      <c r="O3085" s="13"/>
      <c r="P3085" s="14">
        <v>0.2</v>
      </c>
      <c r="Q3085" s="15">
        <v>0.4</v>
      </c>
      <c r="R3085" s="16" t="str">
        <f t="shared" si="255"/>
        <v>LUTRON</v>
      </c>
      <c r="S3085" s="17"/>
      <c r="T3085" s="10" t="str">
        <f t="shared" si="253"/>
        <v>INTERRUPTOR PARA CARGAS HASTA 15 AMPERIOS. EN COLOR BLANCO.</v>
      </c>
    </row>
    <row r="3086" spans="1:24" ht="27" customHeight="1" x14ac:dyDescent="0.25">
      <c r="A3086" s="8" t="s">
        <v>5672</v>
      </c>
      <c r="B3086" s="9" t="s">
        <v>5666</v>
      </c>
      <c r="C3086" s="9"/>
      <c r="D3086" s="8" t="s">
        <v>6178</v>
      </c>
      <c r="E3086" s="8">
        <v>3</v>
      </c>
      <c r="F3086" s="8" t="s">
        <v>22</v>
      </c>
      <c r="G3086" s="10" t="s">
        <v>6226</v>
      </c>
      <c r="H3086" s="8" t="s">
        <v>6227</v>
      </c>
      <c r="I3086" s="61" t="s">
        <v>6228</v>
      </c>
      <c r="J3086" s="11" t="s">
        <v>26</v>
      </c>
      <c r="K3086" s="57">
        <v>4.45</v>
      </c>
      <c r="L3086" s="12">
        <f>K3086*(1+P3086)/(1-Q3086)</f>
        <v>8.9</v>
      </c>
      <c r="M3086" s="8">
        <v>1</v>
      </c>
      <c r="N3086" s="8" t="s">
        <v>27</v>
      </c>
      <c r="O3086" s="13"/>
      <c r="P3086" s="14">
        <v>0.2</v>
      </c>
      <c r="Q3086" s="15">
        <v>0.4</v>
      </c>
      <c r="R3086" s="16" t="str">
        <f t="shared" si="255"/>
        <v>LUTRON</v>
      </c>
      <c r="S3086" s="17"/>
      <c r="T3086" s="10" t="str">
        <f t="shared" si="253"/>
        <v>TOMA CORRIENTE EN COLOR BLANCO. MARCA: LUTRON.</v>
      </c>
    </row>
    <row r="3087" spans="1:24" ht="27" customHeight="1" x14ac:dyDescent="0.25">
      <c r="A3087" s="8" t="s">
        <v>5672</v>
      </c>
      <c r="B3087" s="9" t="s">
        <v>5666</v>
      </c>
      <c r="C3087" s="9"/>
      <c r="D3087" s="8" t="s">
        <v>6178</v>
      </c>
      <c r="E3087" s="8">
        <v>4</v>
      </c>
      <c r="F3087" s="8" t="s">
        <v>22</v>
      </c>
      <c r="G3087" s="10" t="s">
        <v>6229</v>
      </c>
      <c r="H3087" s="8" t="s">
        <v>6230</v>
      </c>
      <c r="I3087" s="10" t="s">
        <v>6231</v>
      </c>
      <c r="J3087" s="11" t="s">
        <v>26</v>
      </c>
      <c r="K3087" s="57">
        <v>25</v>
      </c>
      <c r="L3087" s="12">
        <f>ROUNDUP(K3087*(1+P3087)/(1-Q3087),0)</f>
        <v>50</v>
      </c>
      <c r="M3087" s="8">
        <v>1</v>
      </c>
      <c r="N3087" s="8" t="s">
        <v>27</v>
      </c>
      <c r="O3087" s="13"/>
      <c r="P3087" s="14">
        <v>0.2</v>
      </c>
      <c r="Q3087" s="15">
        <v>0.4</v>
      </c>
      <c r="R3087" s="16" t="str">
        <f t="shared" si="255"/>
        <v>LUTRON</v>
      </c>
      <c r="S3087" s="17"/>
      <c r="T3087" s="10" t="str">
        <f t="shared" si="253"/>
        <v xml:space="preserve">TOMA CORRIENTE GFCI EN COLOR BLANCO. </v>
      </c>
    </row>
    <row r="3088" spans="1:24" ht="27" customHeight="1" x14ac:dyDescent="0.25">
      <c r="A3088" s="8" t="s">
        <v>5672</v>
      </c>
      <c r="B3088" s="9" t="s">
        <v>5666</v>
      </c>
      <c r="C3088" s="9"/>
      <c r="D3088" s="8" t="s">
        <v>408</v>
      </c>
      <c r="E3088" s="8">
        <v>4</v>
      </c>
      <c r="F3088" s="8" t="s">
        <v>22</v>
      </c>
      <c r="G3088" s="10" t="s">
        <v>6232</v>
      </c>
      <c r="H3088" s="8" t="s">
        <v>6233</v>
      </c>
      <c r="I3088" s="10" t="s">
        <v>6232</v>
      </c>
      <c r="J3088" s="11" t="s">
        <v>26</v>
      </c>
      <c r="K3088" s="57">
        <v>167.5</v>
      </c>
      <c r="L3088" s="12">
        <f>ROUNDUP(K3088*(1+P3088)/(1-Q3088),0)</f>
        <v>335</v>
      </c>
      <c r="M3088" s="8">
        <v>1</v>
      </c>
      <c r="N3088" s="8" t="s">
        <v>27</v>
      </c>
      <c r="O3088" s="13"/>
      <c r="P3088" s="14">
        <v>0.2</v>
      </c>
      <c r="Q3088" s="15">
        <v>0.4</v>
      </c>
      <c r="R3088" s="16" t="str">
        <f t="shared" si="255"/>
        <v>LUTRON</v>
      </c>
      <c r="S3088" s="17"/>
      <c r="T3088" s="10" t="str">
        <f t="shared" si="253"/>
        <v>INTERFAZ DE INTEGRACIÓN PARA MANEJO DE CARGAS 0-10V</v>
      </c>
    </row>
    <row r="3089" spans="1:20" ht="27" customHeight="1" x14ac:dyDescent="0.25">
      <c r="A3089" s="8" t="s">
        <v>5672</v>
      </c>
      <c r="B3089" s="9" t="s">
        <v>5666</v>
      </c>
      <c r="C3089" s="9"/>
      <c r="D3089" s="8" t="s">
        <v>4058</v>
      </c>
      <c r="E3089" s="8">
        <v>2</v>
      </c>
      <c r="F3089" s="8" t="s">
        <v>22</v>
      </c>
      <c r="G3089" s="10" t="s">
        <v>6234</v>
      </c>
      <c r="H3089" s="8" t="s">
        <v>6235</v>
      </c>
      <c r="I3089" s="10" t="s">
        <v>6236</v>
      </c>
      <c r="J3089" s="11" t="s">
        <v>26</v>
      </c>
      <c r="K3089" s="57">
        <v>131.25</v>
      </c>
      <c r="L3089" s="12">
        <f>ROUNDUP(K3089*(1+P3089)/(1-Q3089),0)</f>
        <v>263</v>
      </c>
      <c r="M3089" s="8">
        <v>1</v>
      </c>
      <c r="N3089" s="8" t="s">
        <v>27</v>
      </c>
      <c r="O3089" s="13"/>
      <c r="P3089" s="14">
        <v>0.2</v>
      </c>
      <c r="Q3089" s="15">
        <v>0.4</v>
      </c>
      <c r="R3089" s="16" t="str">
        <f t="shared" si="255"/>
        <v>LUTRON</v>
      </c>
      <c r="S3089" s="17"/>
      <c r="T3089" s="10" t="str">
        <f t="shared" si="253"/>
        <v>MÓDULO DE INTEGRACIÓN POR RADIO FRECUENCIA PARA CONTROL DE LUMINARIAS.</v>
      </c>
    </row>
    <row r="3090" spans="1:20" ht="27" customHeight="1" x14ac:dyDescent="0.25">
      <c r="A3090" s="8" t="s">
        <v>5672</v>
      </c>
      <c r="B3090" s="9" t="s">
        <v>5666</v>
      </c>
      <c r="C3090" s="9"/>
      <c r="D3090" s="8" t="s">
        <v>4058</v>
      </c>
      <c r="E3090" s="8">
        <v>2</v>
      </c>
      <c r="F3090" s="8" t="s">
        <v>22</v>
      </c>
      <c r="G3090" s="10" t="s">
        <v>6237</v>
      </c>
      <c r="H3090" s="8" t="s">
        <v>6238</v>
      </c>
      <c r="I3090" s="10" t="s">
        <v>6237</v>
      </c>
      <c r="J3090" s="11" t="s">
        <v>26</v>
      </c>
      <c r="K3090" s="57">
        <v>49.5</v>
      </c>
      <c r="L3090" s="12">
        <f>ROUNDUP(K3090*(1+P3090)/(1-Q3090),0)</f>
        <v>99</v>
      </c>
      <c r="M3090" s="8">
        <v>1</v>
      </c>
      <c r="N3090" s="8" t="s">
        <v>27</v>
      </c>
      <c r="O3090" s="13"/>
      <c r="P3090" s="14">
        <v>0.2</v>
      </c>
      <c r="Q3090" s="15">
        <v>0.4</v>
      </c>
      <c r="R3090" s="16" t="str">
        <f t="shared" si="255"/>
        <v>LUTRON</v>
      </c>
      <c r="S3090" s="17"/>
      <c r="T3090" s="10" t="str">
        <f t="shared" si="253"/>
        <v>MÓDULO PARA ATENUACIÓN COMPATIBLE CON PRODUCTOS MAESTRO WIRELESS.</v>
      </c>
    </row>
    <row r="3091" spans="1:20" ht="27" customHeight="1" x14ac:dyDescent="0.25">
      <c r="A3091" s="8" t="s">
        <v>5672</v>
      </c>
      <c r="B3091" s="9" t="s">
        <v>5666</v>
      </c>
      <c r="C3091" s="9"/>
      <c r="D3091" s="8" t="s">
        <v>4058</v>
      </c>
      <c r="E3091" s="8">
        <v>2</v>
      </c>
      <c r="F3091" s="8" t="s">
        <v>22</v>
      </c>
      <c r="G3091" s="10" t="s">
        <v>6239</v>
      </c>
      <c r="H3091" s="8" t="s">
        <v>6240</v>
      </c>
      <c r="I3091" s="10" t="s">
        <v>6239</v>
      </c>
      <c r="J3091" s="11" t="s">
        <v>26</v>
      </c>
      <c r="K3091" s="57">
        <v>80</v>
      </c>
      <c r="L3091" s="12">
        <f>ROUNDUP(K3091*(1+P3091)/(1-Q3091),0)</f>
        <v>160</v>
      </c>
      <c r="M3091" s="8">
        <v>1</v>
      </c>
      <c r="N3091" s="8" t="s">
        <v>27</v>
      </c>
      <c r="O3091" s="13"/>
      <c r="P3091" s="14">
        <v>0.2</v>
      </c>
      <c r="Q3091" s="15">
        <v>0.4</v>
      </c>
      <c r="R3091" s="16" t="str">
        <f t="shared" si="255"/>
        <v>LUTRON</v>
      </c>
      <c r="S3091" s="17"/>
      <c r="T3091" s="10" t="str">
        <f t="shared" si="253"/>
        <v>MODULO DE INTEGRACIÓN PARA BALASTROS A TRES HILOS, HASTA 2 AMPERIOS DE CARGA.</v>
      </c>
    </row>
    <row r="3092" spans="1:20" ht="27" customHeight="1" x14ac:dyDescent="0.25">
      <c r="A3092" s="8" t="s">
        <v>5672</v>
      </c>
      <c r="B3092" s="9" t="s">
        <v>5666</v>
      </c>
      <c r="C3092" s="9"/>
      <c r="D3092" s="8" t="s">
        <v>4058</v>
      </c>
      <c r="E3092" s="8">
        <v>2</v>
      </c>
      <c r="F3092" s="8" t="s">
        <v>22</v>
      </c>
      <c r="G3092" s="10" t="s">
        <v>6241</v>
      </c>
      <c r="H3092" s="8" t="s">
        <v>6242</v>
      </c>
      <c r="I3092" s="10" t="s">
        <v>6241</v>
      </c>
      <c r="J3092" s="11" t="s">
        <v>26</v>
      </c>
      <c r="K3092" s="57">
        <v>5.9</v>
      </c>
      <c r="L3092" s="12">
        <f>K3092*(1+P3092)/(1-Q3092)</f>
        <v>11.8</v>
      </c>
      <c r="M3092" s="8">
        <v>1</v>
      </c>
      <c r="N3092" s="8" t="s">
        <v>27</v>
      </c>
      <c r="O3092" s="13"/>
      <c r="P3092" s="14">
        <v>0.2</v>
      </c>
      <c r="Q3092" s="15">
        <v>0.4</v>
      </c>
      <c r="R3092" s="16" t="str">
        <f t="shared" si="255"/>
        <v>LUTRON</v>
      </c>
      <c r="S3092" s="17"/>
      <c r="T3092" s="10" t="str">
        <f t="shared" si="253"/>
        <v>TAPA DECORATIVA DE DOS GANG EN COLOR ALUMINIO SATINADO.</v>
      </c>
    </row>
    <row r="3093" spans="1:20" ht="27" customHeight="1" x14ac:dyDescent="0.25">
      <c r="A3093" s="8" t="s">
        <v>5672</v>
      </c>
      <c r="B3093" s="9" t="s">
        <v>5666</v>
      </c>
      <c r="C3093" s="9"/>
      <c r="D3093" s="8" t="s">
        <v>4058</v>
      </c>
      <c r="E3093" s="8">
        <v>2</v>
      </c>
      <c r="F3093" s="8" t="s">
        <v>22</v>
      </c>
      <c r="G3093" s="10" t="s">
        <v>6241</v>
      </c>
      <c r="H3093" s="8" t="s">
        <v>6243</v>
      </c>
      <c r="I3093" s="10" t="s">
        <v>6241</v>
      </c>
      <c r="J3093" s="11" t="s">
        <v>26</v>
      </c>
      <c r="K3093" s="57">
        <v>10.9</v>
      </c>
      <c r="L3093" s="12">
        <f>K3093*(1+P3093)/(1-Q3093)</f>
        <v>21.8</v>
      </c>
      <c r="M3093" s="8">
        <v>1</v>
      </c>
      <c r="N3093" s="8" t="s">
        <v>27</v>
      </c>
      <c r="O3093" s="13"/>
      <c r="P3093" s="14">
        <v>0.2</v>
      </c>
      <c r="Q3093" s="15">
        <v>0.4</v>
      </c>
      <c r="R3093" s="16" t="str">
        <f t="shared" si="255"/>
        <v>LUTRON</v>
      </c>
      <c r="S3093" s="17"/>
      <c r="T3093" s="10" t="str">
        <f t="shared" si="253"/>
        <v>TAPA DECORATIVA DE DOS GANG EN COLOR ALUMINIO SATINADO.</v>
      </c>
    </row>
    <row r="3094" spans="1:20" ht="27" customHeight="1" x14ac:dyDescent="0.25">
      <c r="A3094" s="8" t="s">
        <v>5672</v>
      </c>
      <c r="B3094" s="9" t="s">
        <v>5666</v>
      </c>
      <c r="C3094" s="9"/>
      <c r="D3094" s="8" t="s">
        <v>5909</v>
      </c>
      <c r="E3094" s="8">
        <v>1</v>
      </c>
      <c r="F3094" s="8" t="s">
        <v>22</v>
      </c>
      <c r="G3094" s="10" t="s">
        <v>5910</v>
      </c>
      <c r="H3094" s="8" t="s">
        <v>6244</v>
      </c>
      <c r="I3094" s="10" t="s">
        <v>6245</v>
      </c>
      <c r="J3094" s="11" t="s">
        <v>26</v>
      </c>
      <c r="K3094" s="57">
        <v>15.55</v>
      </c>
      <c r="L3094" s="12">
        <f>ROUNDUP(K3094*(1+P3094)/(1-Q3094),0)</f>
        <v>32</v>
      </c>
      <c r="M3094" s="8">
        <v>1</v>
      </c>
      <c r="N3094" s="8" t="s">
        <v>27</v>
      </c>
      <c r="O3094" s="13"/>
      <c r="P3094" s="14">
        <v>0.2</v>
      </c>
      <c r="Q3094" s="15">
        <v>0.4</v>
      </c>
      <c r="R3094" s="16" t="str">
        <f t="shared" si="255"/>
        <v>LUTRON</v>
      </c>
      <c r="S3094" s="17"/>
      <c r="T3094" s="10" t="str">
        <f t="shared" si="253"/>
        <v>INTERRUPTOR CON SENSOR DE PRESENCIA INFRA ROJO PARA CARGAS HASTA 2 AMPERIOS.</v>
      </c>
    </row>
    <row r="3095" spans="1:20" ht="27" customHeight="1" x14ac:dyDescent="0.25">
      <c r="A3095" s="8" t="s">
        <v>5672</v>
      </c>
      <c r="B3095" s="9" t="s">
        <v>5666</v>
      </c>
      <c r="C3095" s="9"/>
      <c r="D3095" s="8" t="s">
        <v>5909</v>
      </c>
      <c r="E3095" s="8">
        <v>1</v>
      </c>
      <c r="F3095" s="8" t="s">
        <v>22</v>
      </c>
      <c r="G3095" s="10" t="s">
        <v>6246</v>
      </c>
      <c r="H3095" s="8" t="s">
        <v>5914</v>
      </c>
      <c r="I3095" s="10" t="s">
        <v>6246</v>
      </c>
      <c r="J3095" s="11" t="s">
        <v>26</v>
      </c>
      <c r="K3095" s="57">
        <v>49.5</v>
      </c>
      <c r="L3095" s="12">
        <f>ROUNDUP(K3095*(1+P3095)/(1-Q3095),0)</f>
        <v>99</v>
      </c>
      <c r="M3095" s="8">
        <v>1</v>
      </c>
      <c r="N3095" s="8" t="s">
        <v>27</v>
      </c>
      <c r="O3095" s="13"/>
      <c r="P3095" s="14">
        <v>0.2</v>
      </c>
      <c r="Q3095" s="15">
        <v>0.4</v>
      </c>
      <c r="R3095" s="16" t="str">
        <f t="shared" si="255"/>
        <v>LUTRON</v>
      </c>
      <c r="S3095" s="17"/>
      <c r="T3095" s="10" t="str">
        <f t="shared" si="253"/>
        <v>DIMMER ENCAPSULADO PARA CARGAS REMOTAS HASTA POR 300 VATIOS.</v>
      </c>
    </row>
    <row r="3096" spans="1:20" ht="27" customHeight="1" x14ac:dyDescent="0.25">
      <c r="A3096" s="8" t="s">
        <v>5672</v>
      </c>
      <c r="B3096" s="9" t="s">
        <v>5666</v>
      </c>
      <c r="C3096" s="9"/>
      <c r="D3096" s="8" t="s">
        <v>5909</v>
      </c>
      <c r="E3096" s="8">
        <v>1</v>
      </c>
      <c r="F3096" s="8" t="s">
        <v>22</v>
      </c>
      <c r="G3096" s="10" t="s">
        <v>6247</v>
      </c>
      <c r="H3096" s="8" t="s">
        <v>6248</v>
      </c>
      <c r="I3096" s="10" t="s">
        <v>6247</v>
      </c>
      <c r="J3096" s="11" t="s">
        <v>26</v>
      </c>
      <c r="K3096" s="57">
        <v>88.35</v>
      </c>
      <c r="L3096" s="12">
        <f t="shared" ref="L3096:L3104" si="256">K3096*(1+P3096)/(1-Q3096)</f>
        <v>155.00000521293174</v>
      </c>
      <c r="M3096" s="8">
        <v>1</v>
      </c>
      <c r="N3096" s="8" t="s">
        <v>27</v>
      </c>
      <c r="O3096" s="13"/>
      <c r="P3096" s="14">
        <v>0.2</v>
      </c>
      <c r="Q3096" s="15">
        <v>0.31600002300416252</v>
      </c>
      <c r="R3096" s="16" t="str">
        <f t="shared" si="255"/>
        <v>LUTRON</v>
      </c>
      <c r="S3096" s="17"/>
      <c r="T3096" s="10" t="str">
        <f t="shared" si="253"/>
        <v>MÓDULO DE INTEGRACIÓN POR RADIO FRECUENCIA PARA CONTROL DE RELÉ.</v>
      </c>
    </row>
    <row r="3097" spans="1:20" ht="27" customHeight="1" x14ac:dyDescent="0.25">
      <c r="A3097" s="8" t="s">
        <v>5672</v>
      </c>
      <c r="B3097" s="9" t="s">
        <v>5666</v>
      </c>
      <c r="C3097" s="9"/>
      <c r="D3097" s="8" t="s">
        <v>5909</v>
      </c>
      <c r="E3097" s="8">
        <v>1</v>
      </c>
      <c r="F3097" s="8" t="s">
        <v>22</v>
      </c>
      <c r="G3097" s="10" t="s">
        <v>6249</v>
      </c>
      <c r="H3097" s="8" t="s">
        <v>6250</v>
      </c>
      <c r="I3097" s="10" t="s">
        <v>6249</v>
      </c>
      <c r="J3097" s="11" t="s">
        <v>26</v>
      </c>
      <c r="K3097" s="57">
        <v>51.87</v>
      </c>
      <c r="L3097" s="12">
        <f t="shared" si="256"/>
        <v>91.000003060495388</v>
      </c>
      <c r="M3097" s="8">
        <v>1</v>
      </c>
      <c r="N3097" s="8" t="s">
        <v>27</v>
      </c>
      <c r="O3097" s="13"/>
      <c r="P3097" s="14">
        <v>0.2</v>
      </c>
      <c r="Q3097" s="15">
        <v>0.31600002300416241</v>
      </c>
      <c r="R3097" s="16" t="str">
        <f t="shared" si="255"/>
        <v>LUTRON</v>
      </c>
      <c r="S3097" s="17"/>
      <c r="T3097" s="10" t="str">
        <f t="shared" si="253"/>
        <v>CONTROLADOR 0-10 VOLTIOS PARA MANEJO DE CARGA LUMÍNICA INDIVIDUAL.</v>
      </c>
    </row>
    <row r="3098" spans="1:20" ht="27" customHeight="1" x14ac:dyDescent="0.25">
      <c r="A3098" s="8" t="s">
        <v>5672</v>
      </c>
      <c r="B3098" s="9" t="s">
        <v>5666</v>
      </c>
      <c r="C3098" s="9"/>
      <c r="D3098" s="8" t="s">
        <v>5909</v>
      </c>
      <c r="E3098" s="8">
        <v>1</v>
      </c>
      <c r="F3098" s="8" t="s">
        <v>22</v>
      </c>
      <c r="G3098" s="10" t="s">
        <v>6251</v>
      </c>
      <c r="H3098" s="8" t="s">
        <v>6252</v>
      </c>
      <c r="I3098" s="10" t="s">
        <v>6251</v>
      </c>
      <c r="J3098" s="11" t="s">
        <v>26</v>
      </c>
      <c r="K3098" s="57">
        <v>61.05</v>
      </c>
      <c r="L3098" s="12">
        <f t="shared" si="256"/>
        <v>121.00000629149594</v>
      </c>
      <c r="M3098" s="8">
        <v>1</v>
      </c>
      <c r="N3098" s="8" t="s">
        <v>27</v>
      </c>
      <c r="O3098" s="13"/>
      <c r="P3098" s="14">
        <v>0.2</v>
      </c>
      <c r="Q3098" s="15">
        <v>0.39454548602656708</v>
      </c>
      <c r="R3098" s="16" t="str">
        <f t="shared" si="255"/>
        <v>LUTRON</v>
      </c>
      <c r="S3098" s="17"/>
      <c r="T3098" s="10" t="str">
        <f t="shared" si="253"/>
        <v>MÓDULO POW PACK PARA CONTROL INALÁMBRICO DE CONTACTOS SECOS.</v>
      </c>
    </row>
    <row r="3099" spans="1:20" ht="27" customHeight="1" x14ac:dyDescent="0.25">
      <c r="A3099" s="8" t="s">
        <v>5672</v>
      </c>
      <c r="B3099" s="9" t="s">
        <v>5666</v>
      </c>
      <c r="C3099" s="9"/>
      <c r="D3099" s="8" t="s">
        <v>5909</v>
      </c>
      <c r="E3099" s="8">
        <v>1</v>
      </c>
      <c r="F3099" s="8" t="s">
        <v>22</v>
      </c>
      <c r="G3099" s="10" t="s">
        <v>6253</v>
      </c>
      <c r="H3099" s="8" t="s">
        <v>6254</v>
      </c>
      <c r="I3099" s="10" t="s">
        <v>6253</v>
      </c>
      <c r="J3099" s="11" t="s">
        <v>26</v>
      </c>
      <c r="K3099" s="57">
        <v>240</v>
      </c>
      <c r="L3099" s="12">
        <f t="shared" si="256"/>
        <v>400.00000406260193</v>
      </c>
      <c r="M3099" s="8">
        <v>1</v>
      </c>
      <c r="N3099" s="8" t="s">
        <v>27</v>
      </c>
      <c r="O3099" s="13"/>
      <c r="P3099" s="14">
        <v>0.2</v>
      </c>
      <c r="Q3099" s="15">
        <v>0.28000000731268332</v>
      </c>
      <c r="R3099" s="16" t="str">
        <f t="shared" si="255"/>
        <v>LUTRON</v>
      </c>
      <c r="S3099" s="17"/>
      <c r="T3099" s="10" t="str">
        <f t="shared" si="253"/>
        <v>MÓDULO PARA CONEXIÓN DE ACCESO REMOTO DE SISTEMAS RADIO RA2 O HOMEWORKS QS.</v>
      </c>
    </row>
    <row r="3100" spans="1:20" ht="27" customHeight="1" x14ac:dyDescent="0.25">
      <c r="A3100" s="8" t="s">
        <v>5672</v>
      </c>
      <c r="B3100" s="9" t="s">
        <v>5666</v>
      </c>
      <c r="C3100" s="9"/>
      <c r="D3100" s="8" t="s">
        <v>5909</v>
      </c>
      <c r="E3100" s="8">
        <v>1</v>
      </c>
      <c r="F3100" s="8" t="s">
        <v>22</v>
      </c>
      <c r="G3100" s="10" t="s">
        <v>6255</v>
      </c>
      <c r="H3100" s="8" t="s">
        <v>6256</v>
      </c>
      <c r="I3100" s="10" t="s">
        <v>6255</v>
      </c>
      <c r="J3100" s="11" t="s">
        <v>26</v>
      </c>
      <c r="K3100" s="57">
        <v>39</v>
      </c>
      <c r="L3100" s="12">
        <f t="shared" si="256"/>
        <v>78</v>
      </c>
      <c r="M3100" s="8">
        <v>1</v>
      </c>
      <c r="N3100" s="8" t="s">
        <v>27</v>
      </c>
      <c r="O3100" s="13"/>
      <c r="P3100" s="14">
        <v>0.2</v>
      </c>
      <c r="Q3100" s="15">
        <v>0.4</v>
      </c>
      <c r="R3100" s="16" t="str">
        <f t="shared" si="255"/>
        <v>LUTRON</v>
      </c>
      <c r="S3100" s="17"/>
      <c r="T3100" s="10" t="str">
        <f t="shared" si="253"/>
        <v>TOMA CORRIENTE IGFC CON POLO A TIERRA DE 15A.</v>
      </c>
    </row>
    <row r="3101" spans="1:20" ht="27" customHeight="1" x14ac:dyDescent="0.25">
      <c r="A3101" s="8" t="s">
        <v>5672</v>
      </c>
      <c r="B3101" s="9" t="s">
        <v>5666</v>
      </c>
      <c r="C3101" s="9"/>
      <c r="D3101" s="8" t="s">
        <v>5909</v>
      </c>
      <c r="E3101" s="8">
        <v>1</v>
      </c>
      <c r="F3101" s="8" t="s">
        <v>22</v>
      </c>
      <c r="G3101" s="10" t="s">
        <v>6257</v>
      </c>
      <c r="H3101" s="8" t="s">
        <v>6258</v>
      </c>
      <c r="I3101" s="10" t="s">
        <v>6257</v>
      </c>
      <c r="J3101" s="11" t="s">
        <v>26</v>
      </c>
      <c r="K3101" s="57">
        <v>4.05</v>
      </c>
      <c r="L3101" s="12">
        <f t="shared" si="256"/>
        <v>8.1</v>
      </c>
      <c r="M3101" s="8">
        <v>1</v>
      </c>
      <c r="N3101" s="8" t="s">
        <v>27</v>
      </c>
      <c r="O3101" s="13"/>
      <c r="P3101" s="14">
        <v>0.2</v>
      </c>
      <c r="Q3101" s="15">
        <v>0.4</v>
      </c>
      <c r="R3101" s="16" t="str">
        <f t="shared" si="255"/>
        <v>LUTRON</v>
      </c>
      <c r="S3101" s="17"/>
      <c r="T3101" s="10" t="str">
        <f t="shared" si="253"/>
        <v>TOMA DE TELÉFONO</v>
      </c>
    </row>
    <row r="3102" spans="1:20" ht="27" customHeight="1" x14ac:dyDescent="0.25">
      <c r="A3102" s="8" t="s">
        <v>5672</v>
      </c>
      <c r="B3102" s="9" t="s">
        <v>5666</v>
      </c>
      <c r="C3102" s="9"/>
      <c r="D3102" s="8" t="s">
        <v>5909</v>
      </c>
      <c r="E3102" s="8">
        <v>1</v>
      </c>
      <c r="F3102" s="8" t="s">
        <v>22</v>
      </c>
      <c r="G3102" s="10" t="s">
        <v>2456</v>
      </c>
      <c r="H3102" s="8" t="s">
        <v>6259</v>
      </c>
      <c r="I3102" s="10" t="s">
        <v>2456</v>
      </c>
      <c r="J3102" s="11" t="s">
        <v>26</v>
      </c>
      <c r="K3102" s="57">
        <v>4.05</v>
      </c>
      <c r="L3102" s="12">
        <f t="shared" si="256"/>
        <v>8.1</v>
      </c>
      <c r="M3102" s="8">
        <v>1</v>
      </c>
      <c r="N3102" s="8" t="s">
        <v>27</v>
      </c>
      <c r="O3102" s="13"/>
      <c r="P3102" s="14">
        <v>0.2</v>
      </c>
      <c r="Q3102" s="15">
        <v>0.4</v>
      </c>
      <c r="R3102" s="16" t="str">
        <f t="shared" si="255"/>
        <v>LUTRON</v>
      </c>
      <c r="S3102" s="17"/>
      <c r="T3102" s="10" t="str">
        <f t="shared" si="253"/>
        <v>TOMA COAXIAL</v>
      </c>
    </row>
    <row r="3103" spans="1:20" ht="27" customHeight="1" x14ac:dyDescent="0.25">
      <c r="A3103" s="8" t="s">
        <v>5672</v>
      </c>
      <c r="B3103" s="9" t="s">
        <v>5666</v>
      </c>
      <c r="C3103" s="9"/>
      <c r="D3103" s="8" t="s">
        <v>5909</v>
      </c>
      <c r="E3103" s="8">
        <v>1</v>
      </c>
      <c r="F3103" s="8" t="s">
        <v>22</v>
      </c>
      <c r="G3103" s="10" t="s">
        <v>6260</v>
      </c>
      <c r="H3103" s="8" t="s">
        <v>6261</v>
      </c>
      <c r="I3103" s="10" t="s">
        <v>6260</v>
      </c>
      <c r="J3103" s="11" t="s">
        <v>26</v>
      </c>
      <c r="K3103" s="57">
        <v>5.98</v>
      </c>
      <c r="L3103" s="12">
        <f t="shared" si="256"/>
        <v>11.96</v>
      </c>
      <c r="M3103" s="8">
        <v>1</v>
      </c>
      <c r="N3103" s="8" t="s">
        <v>27</v>
      </c>
      <c r="O3103" s="13"/>
      <c r="P3103" s="14">
        <v>0.2</v>
      </c>
      <c r="Q3103" s="15">
        <v>0.4</v>
      </c>
      <c r="R3103" s="16" t="str">
        <f t="shared" si="255"/>
        <v>LUTRON</v>
      </c>
      <c r="S3103" s="17"/>
      <c r="T3103" s="10" t="str">
        <f t="shared" si="253"/>
        <v>INTERRUPTOR SENCILLO DE LA LÍNEA DIVA.</v>
      </c>
    </row>
    <row r="3104" spans="1:20" ht="27" customHeight="1" x14ac:dyDescent="0.25">
      <c r="A3104" s="8" t="s">
        <v>5672</v>
      </c>
      <c r="B3104" s="9" t="s">
        <v>5666</v>
      </c>
      <c r="C3104" s="9"/>
      <c r="D3104" s="8" t="s">
        <v>5909</v>
      </c>
      <c r="E3104" s="8">
        <v>1</v>
      </c>
      <c r="F3104" s="8" t="s">
        <v>22</v>
      </c>
      <c r="G3104" s="10" t="s">
        <v>6262</v>
      </c>
      <c r="H3104" s="8" t="s">
        <v>6263</v>
      </c>
      <c r="I3104" s="10" t="s">
        <v>6262</v>
      </c>
      <c r="J3104" s="11" t="s">
        <v>26</v>
      </c>
      <c r="K3104" s="57">
        <v>10.75</v>
      </c>
      <c r="L3104" s="12">
        <f t="shared" si="256"/>
        <v>21.5</v>
      </c>
      <c r="M3104" s="8">
        <v>1</v>
      </c>
      <c r="N3104" s="8" t="s">
        <v>27</v>
      </c>
      <c r="O3104" s="13"/>
      <c r="P3104" s="14">
        <v>0.2</v>
      </c>
      <c r="Q3104" s="15">
        <v>0.4</v>
      </c>
      <c r="R3104" s="16" t="str">
        <f t="shared" si="255"/>
        <v>LUTRON</v>
      </c>
      <c r="S3104" s="17"/>
      <c r="T3104" s="10" t="str">
        <f t="shared" si="253"/>
        <v>SUPLEMENTO PARA INSTALACIÓN RECESADA DE SENSOR DE PRESENCIA.</v>
      </c>
    </row>
    <row r="3105" spans="1:23" ht="27" customHeight="1" x14ac:dyDescent="0.25">
      <c r="A3105" s="8" t="s">
        <v>5672</v>
      </c>
      <c r="B3105" s="9" t="s">
        <v>5666</v>
      </c>
      <c r="C3105" s="9"/>
      <c r="D3105" s="8" t="s">
        <v>5909</v>
      </c>
      <c r="E3105" s="8">
        <v>1</v>
      </c>
      <c r="F3105" s="8" t="s">
        <v>22</v>
      </c>
      <c r="G3105" s="10" t="s">
        <v>6264</v>
      </c>
      <c r="H3105" s="8" t="s">
        <v>6265</v>
      </c>
      <c r="I3105" s="10" t="s">
        <v>6264</v>
      </c>
      <c r="J3105" s="11" t="s">
        <v>26</v>
      </c>
      <c r="K3105" s="57">
        <v>38.5</v>
      </c>
      <c r="L3105" s="12">
        <f>ROUNDUP(K3105*(1+P3105)/(1-Q3105),0)</f>
        <v>77</v>
      </c>
      <c r="M3105" s="8">
        <v>1</v>
      </c>
      <c r="N3105" s="8" t="s">
        <v>27</v>
      </c>
      <c r="O3105" s="13"/>
      <c r="P3105" s="14">
        <v>0.2</v>
      </c>
      <c r="Q3105" s="15">
        <v>0.4</v>
      </c>
      <c r="R3105" s="16" t="str">
        <f t="shared" si="255"/>
        <v>LUTRON</v>
      </c>
      <c r="S3105" s="17"/>
      <c r="T3105" s="10" t="str">
        <f t="shared" si="253"/>
        <v>CONTROL DE PARED ALAMBRADO</v>
      </c>
    </row>
    <row r="3106" spans="1:23" ht="27" customHeight="1" x14ac:dyDescent="0.25">
      <c r="A3106" s="8" t="s">
        <v>5672</v>
      </c>
      <c r="B3106" s="9" t="s">
        <v>5666</v>
      </c>
      <c r="C3106" s="9"/>
      <c r="D3106" s="8" t="s">
        <v>5909</v>
      </c>
      <c r="E3106" s="8">
        <v>1</v>
      </c>
      <c r="F3106" s="8" t="s">
        <v>22</v>
      </c>
      <c r="G3106" s="10" t="s">
        <v>6266</v>
      </c>
      <c r="H3106" s="8" t="s">
        <v>6267</v>
      </c>
      <c r="I3106" s="10" t="s">
        <v>6266</v>
      </c>
      <c r="J3106" s="11" t="s">
        <v>26</v>
      </c>
      <c r="K3106" s="57">
        <v>17.5</v>
      </c>
      <c r="L3106" s="12">
        <f>ROUNDUP(K3106*(1+P3106)/(1-Q3106),0)</f>
        <v>35</v>
      </c>
      <c r="M3106" s="8">
        <v>1</v>
      </c>
      <c r="N3106" s="8" t="s">
        <v>27</v>
      </c>
      <c r="O3106" s="13"/>
      <c r="P3106" s="14">
        <v>0.2</v>
      </c>
      <c r="Q3106" s="15">
        <v>0.4</v>
      </c>
      <c r="R3106" s="16" t="str">
        <f t="shared" si="255"/>
        <v>LUTRON</v>
      </c>
      <c r="S3106" s="17"/>
      <c r="T3106" s="10" t="str">
        <f t="shared" si="253"/>
        <v>SENSOR ALAMBRADO DE OCUPACIÓN Y LUZ DIA PARA CONTROLADORES FCJ.</v>
      </c>
    </row>
    <row r="3107" spans="1:23" ht="27" customHeight="1" x14ac:dyDescent="0.25">
      <c r="A3107" s="8" t="s">
        <v>5672</v>
      </c>
      <c r="B3107" s="9" t="s">
        <v>5666</v>
      </c>
      <c r="C3107" s="9"/>
      <c r="D3107" s="8" t="s">
        <v>5909</v>
      </c>
      <c r="E3107" s="8">
        <v>1</v>
      </c>
      <c r="F3107" s="8" t="s">
        <v>22</v>
      </c>
      <c r="G3107" s="10" t="s">
        <v>6268</v>
      </c>
      <c r="H3107" s="8" t="s">
        <v>6269</v>
      </c>
      <c r="I3107" s="10" t="s">
        <v>6268</v>
      </c>
      <c r="J3107" s="11" t="s">
        <v>26</v>
      </c>
      <c r="K3107" s="57">
        <f>980/305</f>
        <v>3.2131147540983607</v>
      </c>
      <c r="L3107" s="12">
        <f>ROUNDUP(K3107*(1+P3107)/(1-Q3107),0)</f>
        <v>7</v>
      </c>
      <c r="M3107" s="8">
        <v>1</v>
      </c>
      <c r="N3107" s="8" t="s">
        <v>110</v>
      </c>
      <c r="O3107" s="13"/>
      <c r="P3107" s="14">
        <v>0.2</v>
      </c>
      <c r="Q3107" s="15">
        <v>0.4</v>
      </c>
      <c r="R3107" s="16" t="str">
        <f t="shared" si="255"/>
        <v>LUTRON</v>
      </c>
      <c r="S3107" s="17"/>
      <c r="T3107" s="10" t="str">
        <f t="shared" si="253"/>
        <v>METRO DE CABLE DE CABLE DE COMUNICACIONES 2X16 PARA BUS DE DATOS ECOSYSTEM.</v>
      </c>
    </row>
    <row r="3108" spans="1:23" ht="27" customHeight="1" x14ac:dyDescent="0.25">
      <c r="A3108" s="8" t="s">
        <v>5672</v>
      </c>
      <c r="B3108" s="9" t="s">
        <v>5666</v>
      </c>
      <c r="C3108" s="9"/>
      <c r="D3108" s="8" t="s">
        <v>5909</v>
      </c>
      <c r="E3108" s="8">
        <v>1</v>
      </c>
      <c r="F3108" s="8" t="s">
        <v>22</v>
      </c>
      <c r="G3108" s="10" t="s">
        <v>6270</v>
      </c>
      <c r="H3108" s="8" t="s">
        <v>6271</v>
      </c>
      <c r="I3108" s="10" t="s">
        <v>6270</v>
      </c>
      <c r="J3108" s="11" t="s">
        <v>26</v>
      </c>
      <c r="K3108" s="57">
        <v>650</v>
      </c>
      <c r="L3108" s="12">
        <f>K3108*(1+P3108)/(1-Q3108)</f>
        <v>1287.1288516795742</v>
      </c>
      <c r="M3108" s="8">
        <v>1</v>
      </c>
      <c r="N3108" s="8" t="s">
        <v>110</v>
      </c>
      <c r="O3108" s="13"/>
      <c r="P3108" s="14">
        <v>0.2</v>
      </c>
      <c r="Q3108" s="15">
        <v>0.39400006535306992</v>
      </c>
      <c r="R3108" s="16" t="str">
        <f t="shared" si="255"/>
        <v>LUTRON</v>
      </c>
      <c r="S3108" s="17"/>
      <c r="T3108" s="10" t="str">
        <f t="shared" si="253"/>
        <v>METRO DE CABLE DE DATOS PARA COMUNICACIONES LINK QS</v>
      </c>
      <c r="W3108" s="21">
        <f>L3108*151.5</f>
        <v>195000.02102945547</v>
      </c>
    </row>
    <row r="3109" spans="1:23" ht="27" customHeight="1" x14ac:dyDescent="0.25">
      <c r="A3109" s="8" t="s">
        <v>5672</v>
      </c>
      <c r="B3109" s="9" t="s">
        <v>5666</v>
      </c>
      <c r="C3109" s="9"/>
      <c r="D3109" s="8" t="s">
        <v>5909</v>
      </c>
      <c r="E3109" s="8">
        <v>1</v>
      </c>
      <c r="F3109" s="8" t="s">
        <v>22</v>
      </c>
      <c r="G3109" s="10" t="s">
        <v>6272</v>
      </c>
      <c r="H3109" s="8" t="s">
        <v>6273</v>
      </c>
      <c r="I3109" s="10" t="s">
        <v>6272</v>
      </c>
      <c r="J3109" s="11" t="s">
        <v>26</v>
      </c>
      <c r="K3109" s="57">
        <v>43.45</v>
      </c>
      <c r="L3109" s="12">
        <f>K3109*(1+P3109)/(1-Q3109)</f>
        <v>79.000008102955618</v>
      </c>
      <c r="M3109" s="8">
        <v>1</v>
      </c>
      <c r="N3109" s="8" t="s">
        <v>27</v>
      </c>
      <c r="O3109" s="13"/>
      <c r="P3109" s="14">
        <v>0.2</v>
      </c>
      <c r="Q3109" s="15">
        <v>0.34000006769557162</v>
      </c>
      <c r="R3109" s="16" t="str">
        <f t="shared" si="255"/>
        <v>LUTRON</v>
      </c>
      <c r="S3109" s="17"/>
      <c r="T3109" s="10" t="str">
        <f t="shared" si="253"/>
        <v>CONTROLADOR ECOSYSTEM PARA LUMINARIAS LED O FLUORESCENTES.</v>
      </c>
    </row>
    <row r="3110" spans="1:23" ht="27" customHeight="1" x14ac:dyDescent="0.25">
      <c r="A3110" s="8" t="s">
        <v>5672</v>
      </c>
      <c r="B3110" s="9" t="s">
        <v>5666</v>
      </c>
      <c r="C3110" s="9"/>
      <c r="D3110" s="8" t="s">
        <v>5909</v>
      </c>
      <c r="E3110" s="8">
        <v>1</v>
      </c>
      <c r="F3110" s="8" t="s">
        <v>22</v>
      </c>
      <c r="G3110" s="10" t="s">
        <v>6274</v>
      </c>
      <c r="H3110" s="8" t="s">
        <v>6275</v>
      </c>
      <c r="I3110" s="10" t="s">
        <v>6276</v>
      </c>
      <c r="J3110" s="11" t="s">
        <v>26</v>
      </c>
      <c r="K3110" s="57">
        <v>264</v>
      </c>
      <c r="L3110" s="12">
        <f t="shared" ref="L3110:L3129" si="257">ROUNDUP(K3110*(1+P3110)/(1-Q3110),0)</f>
        <v>440</v>
      </c>
      <c r="M3110" s="8">
        <v>1</v>
      </c>
      <c r="N3110" s="8" t="s">
        <v>27</v>
      </c>
      <c r="O3110" s="13"/>
      <c r="P3110" s="14">
        <v>0.2</v>
      </c>
      <c r="Q3110" s="15">
        <v>0.28000000000000003</v>
      </c>
      <c r="R3110" s="16" t="str">
        <f t="shared" si="255"/>
        <v>LUTRON</v>
      </c>
      <c r="S3110" s="17"/>
      <c r="T3110" s="10" t="str">
        <f t="shared" si="253"/>
        <v>TECLADO HIBRIDO PARA MANEJO DE 6 ESCENAS CON BOTÓN DE SUBIDA Y BAJADA.</v>
      </c>
    </row>
    <row r="3111" spans="1:23" ht="27" customHeight="1" x14ac:dyDescent="0.25">
      <c r="A3111" s="8" t="s">
        <v>5672</v>
      </c>
      <c r="B3111" s="9" t="s">
        <v>5666</v>
      </c>
      <c r="C3111" s="9"/>
      <c r="D3111" s="8" t="s">
        <v>5909</v>
      </c>
      <c r="E3111" s="8">
        <v>1</v>
      </c>
      <c r="F3111" s="8" t="s">
        <v>22</v>
      </c>
      <c r="G3111" s="10" t="s">
        <v>6277</v>
      </c>
      <c r="H3111" s="8" t="s">
        <v>6278</v>
      </c>
      <c r="I3111" s="10" t="s">
        <v>6277</v>
      </c>
      <c r="J3111" s="11" t="s">
        <v>26</v>
      </c>
      <c r="K3111" s="57">
        <v>198</v>
      </c>
      <c r="L3111" s="12">
        <f t="shared" si="257"/>
        <v>330</v>
      </c>
      <c r="M3111" s="8">
        <v>1</v>
      </c>
      <c r="N3111" s="8" t="s">
        <v>27</v>
      </c>
      <c r="O3111" s="13"/>
      <c r="P3111" s="14">
        <v>0.2</v>
      </c>
      <c r="Q3111" s="15">
        <v>0.28000000000000003</v>
      </c>
      <c r="R3111" s="16" t="str">
        <f t="shared" si="255"/>
        <v>LUTRON</v>
      </c>
      <c r="S3111" s="17"/>
      <c r="T3111" s="10" t="str">
        <f t="shared" si="253"/>
        <v>TECLADO DE 5 BOTONES PARA SUBIDA Y BAJADA CON MANEJO DE ESCENAS.</v>
      </c>
    </row>
    <row r="3112" spans="1:23" ht="27" customHeight="1" x14ac:dyDescent="0.25">
      <c r="A3112" s="8" t="s">
        <v>5672</v>
      </c>
      <c r="B3112" s="9" t="s">
        <v>5666</v>
      </c>
      <c r="C3112" s="9"/>
      <c r="D3112" s="8" t="s">
        <v>5909</v>
      </c>
      <c r="E3112" s="8">
        <v>1</v>
      </c>
      <c r="F3112" s="8" t="s">
        <v>22</v>
      </c>
      <c r="G3112" s="10" t="s">
        <v>6279</v>
      </c>
      <c r="H3112" s="8" t="s">
        <v>6280</v>
      </c>
      <c r="I3112" s="10" t="s">
        <v>6281</v>
      </c>
      <c r="J3112" s="11" t="s">
        <v>26</v>
      </c>
      <c r="K3112" s="57">
        <v>22.5</v>
      </c>
      <c r="L3112" s="12">
        <f t="shared" si="257"/>
        <v>45</v>
      </c>
      <c r="M3112" s="8">
        <v>1</v>
      </c>
      <c r="N3112" s="8" t="s">
        <v>27</v>
      </c>
      <c r="O3112" s="13"/>
      <c r="P3112" s="14">
        <v>0.2</v>
      </c>
      <c r="Q3112" s="15">
        <v>0.4</v>
      </c>
      <c r="R3112" s="16" t="str">
        <f t="shared" si="255"/>
        <v>LUTRON</v>
      </c>
      <c r="S3112" s="17"/>
      <c r="T3112" s="10" t="str">
        <f t="shared" si="253"/>
        <v>TECLADO PICO DE 4 BOTONES</v>
      </c>
    </row>
    <row r="3113" spans="1:23" ht="27" customHeight="1" x14ac:dyDescent="0.25">
      <c r="A3113" s="8" t="s">
        <v>5672</v>
      </c>
      <c r="B3113" s="9" t="s">
        <v>5666</v>
      </c>
      <c r="C3113" s="9"/>
      <c r="D3113" s="8" t="s">
        <v>5909</v>
      </c>
      <c r="E3113" s="8">
        <v>1</v>
      </c>
      <c r="F3113" s="8" t="s">
        <v>22</v>
      </c>
      <c r="G3113" s="10" t="s">
        <v>6282</v>
      </c>
      <c r="H3113" s="8" t="s">
        <v>6283</v>
      </c>
      <c r="I3113" s="10" t="s">
        <v>6284</v>
      </c>
      <c r="J3113" s="11" t="s">
        <v>26</v>
      </c>
      <c r="K3113" s="57">
        <v>543.20000000000005</v>
      </c>
      <c r="L3113" s="12">
        <f t="shared" si="257"/>
        <v>970</v>
      </c>
      <c r="M3113" s="8">
        <v>1</v>
      </c>
      <c r="N3113" s="8" t="s">
        <v>27</v>
      </c>
      <c r="O3113" s="13"/>
      <c r="P3113" s="14">
        <v>0.2</v>
      </c>
      <c r="Q3113" s="15">
        <v>0.32756507276507291</v>
      </c>
      <c r="R3113" s="16" t="str">
        <f t="shared" si="255"/>
        <v>LUTRON</v>
      </c>
      <c r="S3113" s="17"/>
      <c r="T3113" s="10" t="str">
        <f t="shared" si="253"/>
        <v>MÓDULO DE POTENCIA CON 6 CIRCUITOS INTEGRADOS PARA CARGAS ELECTRÓNICAS.</v>
      </c>
    </row>
    <row r="3114" spans="1:23" ht="27" customHeight="1" x14ac:dyDescent="0.25">
      <c r="A3114" s="8" t="s">
        <v>5672</v>
      </c>
      <c r="B3114" s="9" t="s">
        <v>5666</v>
      </c>
      <c r="C3114" s="9"/>
      <c r="D3114" s="8" t="s">
        <v>5909</v>
      </c>
      <c r="E3114" s="8">
        <v>1</v>
      </c>
      <c r="F3114" s="8" t="s">
        <v>22</v>
      </c>
      <c r="G3114" s="10" t="s">
        <v>6285</v>
      </c>
      <c r="H3114" s="8" t="s">
        <v>6286</v>
      </c>
      <c r="I3114" s="10" t="s">
        <v>6285</v>
      </c>
      <c r="J3114" s="11" t="s">
        <v>26</v>
      </c>
      <c r="K3114" s="57">
        <v>330</v>
      </c>
      <c r="L3114" s="12">
        <f t="shared" si="257"/>
        <v>550</v>
      </c>
      <c r="M3114" s="8">
        <v>1</v>
      </c>
      <c r="N3114" s="8" t="s">
        <v>27</v>
      </c>
      <c r="O3114" s="13"/>
      <c r="P3114" s="14">
        <v>0.2</v>
      </c>
      <c r="Q3114" s="15">
        <v>0.28000000000000003</v>
      </c>
      <c r="R3114" s="16" t="str">
        <f t="shared" si="255"/>
        <v>LUTRON</v>
      </c>
      <c r="S3114" s="17"/>
      <c r="T3114" s="10" t="str">
        <f t="shared" si="253"/>
        <v>TECLADO DE MESA INALÁMBRICO CON 15 BOTONES.</v>
      </c>
    </row>
    <row r="3115" spans="1:23" ht="27" customHeight="1" x14ac:dyDescent="0.25">
      <c r="A3115" s="8" t="s">
        <v>5672</v>
      </c>
      <c r="B3115" s="9" t="s">
        <v>5666</v>
      </c>
      <c r="C3115" s="9"/>
      <c r="D3115" s="8" t="s">
        <v>5909</v>
      </c>
      <c r="E3115" s="8">
        <v>1</v>
      </c>
      <c r="F3115" s="8" t="s">
        <v>22</v>
      </c>
      <c r="G3115" s="10" t="s">
        <v>6287</v>
      </c>
      <c r="H3115" s="8" t="s">
        <v>6288</v>
      </c>
      <c r="I3115" s="10" t="s">
        <v>6289</v>
      </c>
      <c r="J3115" s="11" t="s">
        <v>26</v>
      </c>
      <c r="K3115" s="57">
        <v>95.4</v>
      </c>
      <c r="L3115" s="12">
        <f t="shared" si="257"/>
        <v>159</v>
      </c>
      <c r="M3115" s="8">
        <v>1</v>
      </c>
      <c r="N3115" s="8" t="s">
        <v>27</v>
      </c>
      <c r="O3115" s="13"/>
      <c r="P3115" s="14">
        <v>0.2</v>
      </c>
      <c r="Q3115" s="15">
        <v>0.28000000000000003</v>
      </c>
      <c r="R3115" s="16" t="str">
        <f t="shared" si="255"/>
        <v>LUTRON</v>
      </c>
      <c r="S3115" s="17"/>
      <c r="T3115" s="10" t="str">
        <f t="shared" si="253"/>
        <v>DIMMER INALÁMBRICO PARA LUMINARIA DE MESA EN COLOR BLANCO NIEVE.</v>
      </c>
    </row>
    <row r="3116" spans="1:23" ht="27" customHeight="1" x14ac:dyDescent="0.25">
      <c r="A3116" s="8" t="s">
        <v>5672</v>
      </c>
      <c r="B3116" s="9" t="s">
        <v>5666</v>
      </c>
      <c r="C3116" s="9"/>
      <c r="D3116" s="8" t="s">
        <v>5909</v>
      </c>
      <c r="E3116" s="8">
        <v>1</v>
      </c>
      <c r="F3116" s="8" t="s">
        <v>22</v>
      </c>
      <c r="G3116" s="10" t="s">
        <v>6290</v>
      </c>
      <c r="H3116" s="8" t="s">
        <v>6291</v>
      </c>
      <c r="I3116" s="10" t="s">
        <v>6290</v>
      </c>
      <c r="J3116" s="11" t="s">
        <v>26</v>
      </c>
      <c r="K3116" s="57">
        <v>24.5</v>
      </c>
      <c r="L3116" s="12">
        <f t="shared" si="257"/>
        <v>49</v>
      </c>
      <c r="M3116" s="8">
        <v>1</v>
      </c>
      <c r="N3116" s="8" t="s">
        <v>27</v>
      </c>
      <c r="O3116" s="13"/>
      <c r="P3116" s="14">
        <v>0.2</v>
      </c>
      <c r="Q3116" s="15">
        <v>0.4</v>
      </c>
      <c r="R3116" s="16" t="str">
        <f t="shared" si="255"/>
        <v>LUTRON</v>
      </c>
      <c r="S3116" s="17"/>
      <c r="T3116" s="10" t="str">
        <f t="shared" si="253"/>
        <v>TECLADO PARA VISOR DE AUTOMÓVIL CON TRES BOTONES</v>
      </c>
    </row>
    <row r="3117" spans="1:23" ht="27" customHeight="1" x14ac:dyDescent="0.25">
      <c r="A3117" s="8" t="s">
        <v>5672</v>
      </c>
      <c r="B3117" s="9" t="s">
        <v>5666</v>
      </c>
      <c r="C3117" s="9"/>
      <c r="D3117" s="8" t="s">
        <v>5909</v>
      </c>
      <c r="E3117" s="8">
        <v>1</v>
      </c>
      <c r="F3117" s="8" t="s">
        <v>22</v>
      </c>
      <c r="G3117" s="10" t="s">
        <v>6292</v>
      </c>
      <c r="H3117" s="8" t="s">
        <v>6293</v>
      </c>
      <c r="I3117" s="10" t="s">
        <v>6294</v>
      </c>
      <c r="J3117" s="11" t="s">
        <v>26</v>
      </c>
      <c r="K3117" s="57">
        <v>157.5</v>
      </c>
      <c r="L3117" s="12">
        <f t="shared" si="257"/>
        <v>315</v>
      </c>
      <c r="M3117" s="8">
        <v>1</v>
      </c>
      <c r="N3117" s="8" t="s">
        <v>27</v>
      </c>
      <c r="O3117" s="13"/>
      <c r="P3117" s="14">
        <v>0.2</v>
      </c>
      <c r="Q3117" s="15">
        <v>0.4</v>
      </c>
      <c r="R3117" s="16" t="str">
        <f t="shared" si="255"/>
        <v>LUTRON</v>
      </c>
      <c r="S3117" s="17"/>
      <c r="T3117" s="10" t="str">
        <f t="shared" si="253"/>
        <v>FACEPLATE PARA UNIDAD GRAFIK QS CON BOTONERA DE ESCENAS Y DOS PARA CORTINAS.</v>
      </c>
    </row>
    <row r="3118" spans="1:23" ht="27" customHeight="1" x14ac:dyDescent="0.25">
      <c r="A3118" s="8" t="s">
        <v>5672</v>
      </c>
      <c r="B3118" s="9" t="s">
        <v>5666</v>
      </c>
      <c r="C3118" s="9"/>
      <c r="D3118" s="8" t="s">
        <v>5909</v>
      </c>
      <c r="E3118" s="8">
        <v>1</v>
      </c>
      <c r="F3118" s="8" t="s">
        <v>22</v>
      </c>
      <c r="G3118" s="10" t="s">
        <v>6295</v>
      </c>
      <c r="H3118" s="8" t="s">
        <v>6273</v>
      </c>
      <c r="I3118" s="10" t="s">
        <v>6296</v>
      </c>
      <c r="J3118" s="11" t="s">
        <v>26</v>
      </c>
      <c r="K3118" s="57">
        <v>43.45</v>
      </c>
      <c r="L3118" s="12">
        <f t="shared" si="257"/>
        <v>79</v>
      </c>
      <c r="M3118" s="8">
        <v>1</v>
      </c>
      <c r="N3118" s="8" t="s">
        <v>27</v>
      </c>
      <c r="O3118" s="13"/>
      <c r="P3118" s="14">
        <v>0.2</v>
      </c>
      <c r="Q3118" s="15">
        <v>0.33600000000000002</v>
      </c>
      <c r="R3118" s="16" t="str">
        <f t="shared" si="255"/>
        <v>LUTRON</v>
      </c>
      <c r="S3118" s="17"/>
      <c r="T3118" s="10" t="str">
        <f t="shared" si="253"/>
        <v>CONTROLADOR POW PACK CON CAPACIDAD HASTA 32 LUMINARIAS ECOSYSTEM.</v>
      </c>
    </row>
    <row r="3119" spans="1:23" ht="27" customHeight="1" x14ac:dyDescent="0.25">
      <c r="A3119" s="8" t="s">
        <v>5672</v>
      </c>
      <c r="B3119" s="9" t="s">
        <v>5666</v>
      </c>
      <c r="C3119" s="9"/>
      <c r="D3119" s="8" t="s">
        <v>5909</v>
      </c>
      <c r="E3119" s="8">
        <v>1</v>
      </c>
      <c r="F3119" s="8" t="s">
        <v>22</v>
      </c>
      <c r="G3119" s="10" t="s">
        <v>6297</v>
      </c>
      <c r="H3119" s="8" t="s">
        <v>6298</v>
      </c>
      <c r="I3119" s="10" t="s">
        <v>6299</v>
      </c>
      <c r="J3119" s="11" t="s">
        <v>26</v>
      </c>
      <c r="K3119" s="57">
        <v>16.2</v>
      </c>
      <c r="L3119" s="12">
        <f t="shared" si="257"/>
        <v>33</v>
      </c>
      <c r="M3119" s="8">
        <v>1</v>
      </c>
      <c r="N3119" s="8" t="s">
        <v>27</v>
      </c>
      <c r="O3119" s="13"/>
      <c r="P3119" s="14">
        <v>0.2</v>
      </c>
      <c r="Q3119" s="15">
        <v>0.4</v>
      </c>
      <c r="R3119" s="16" t="str">
        <f t="shared" si="255"/>
        <v>LUTRON</v>
      </c>
      <c r="S3119" s="17"/>
      <c r="T3119" s="10" t="str">
        <f t="shared" si="253"/>
        <v>TECLADO PICO CON 3 BOTONES, SUBIR/BAJAR. CON ICONO AZUL.</v>
      </c>
    </row>
    <row r="3120" spans="1:23" ht="27" customHeight="1" x14ac:dyDescent="0.25">
      <c r="A3120" s="8" t="s">
        <v>5672</v>
      </c>
      <c r="B3120" s="9" t="s">
        <v>5666</v>
      </c>
      <c r="C3120" s="9"/>
      <c r="D3120" s="8" t="s">
        <v>5909</v>
      </c>
      <c r="E3120" s="8">
        <v>2</v>
      </c>
      <c r="F3120" s="8" t="s">
        <v>22</v>
      </c>
      <c r="G3120" s="10" t="s">
        <v>6300</v>
      </c>
      <c r="H3120" s="8" t="s">
        <v>6301</v>
      </c>
      <c r="I3120" s="10" t="s">
        <v>6300</v>
      </c>
      <c r="J3120" s="11" t="s">
        <v>26</v>
      </c>
      <c r="K3120" s="57">
        <v>69.5</v>
      </c>
      <c r="L3120" s="12">
        <f t="shared" si="257"/>
        <v>139</v>
      </c>
      <c r="M3120" s="8">
        <v>1</v>
      </c>
      <c r="N3120" s="8" t="s">
        <v>27</v>
      </c>
      <c r="O3120" s="13"/>
      <c r="P3120" s="14">
        <v>0.2</v>
      </c>
      <c r="Q3120" s="15">
        <v>0.4</v>
      </c>
      <c r="R3120" s="16" t="str">
        <f t="shared" si="255"/>
        <v>LUTRON</v>
      </c>
      <c r="S3120" s="17"/>
      <c r="T3120" s="10" t="str">
        <f t="shared" si="253"/>
        <v>DRIVER HI-LUME PARA LED, ATENUACIÓN 1%.</v>
      </c>
    </row>
    <row r="3121" spans="1:20" ht="27" customHeight="1" x14ac:dyDescent="0.25">
      <c r="A3121" s="8" t="s">
        <v>5672</v>
      </c>
      <c r="B3121" s="9" t="s">
        <v>5666</v>
      </c>
      <c r="C3121" s="9"/>
      <c r="D3121" s="8" t="s">
        <v>5909</v>
      </c>
      <c r="E3121" s="8">
        <v>3</v>
      </c>
      <c r="F3121" s="8" t="s">
        <v>22</v>
      </c>
      <c r="G3121" s="10" t="s">
        <v>6302</v>
      </c>
      <c r="H3121" s="8" t="s">
        <v>6303</v>
      </c>
      <c r="I3121" s="10" t="s">
        <v>6302</v>
      </c>
      <c r="J3121" s="11" t="s">
        <v>26</v>
      </c>
      <c r="K3121" s="57">
        <v>72</v>
      </c>
      <c r="L3121" s="12">
        <f t="shared" si="257"/>
        <v>120</v>
      </c>
      <c r="M3121" s="8">
        <v>1</v>
      </c>
      <c r="N3121" s="8" t="s">
        <v>27</v>
      </c>
      <c r="O3121" s="13"/>
      <c r="P3121" s="14">
        <v>0.2</v>
      </c>
      <c r="Q3121" s="15">
        <v>0.27623757575757568</v>
      </c>
      <c r="R3121" s="16" t="str">
        <f t="shared" si="255"/>
        <v>LUTRON</v>
      </c>
      <c r="S3121" s="17"/>
      <c r="T3121" s="10" t="str">
        <f t="shared" si="253"/>
        <v>DIMMER CASETA DE 1000W EN COLOR BLANCO</v>
      </c>
    </row>
    <row r="3122" spans="1:20" ht="27" customHeight="1" x14ac:dyDescent="0.25">
      <c r="A3122" s="8" t="s">
        <v>5672</v>
      </c>
      <c r="B3122" s="9" t="s">
        <v>5666</v>
      </c>
      <c r="C3122" s="9"/>
      <c r="D3122" s="8" t="s">
        <v>5909</v>
      </c>
      <c r="E3122" s="8">
        <v>4</v>
      </c>
      <c r="F3122" s="8" t="s">
        <v>22</v>
      </c>
      <c r="G3122" s="10" t="s">
        <v>6304</v>
      </c>
      <c r="H3122" s="8" t="s">
        <v>6305</v>
      </c>
      <c r="I3122" s="10" t="s">
        <v>6304</v>
      </c>
      <c r="J3122" s="11" t="s">
        <v>26</v>
      </c>
      <c r="K3122" s="57">
        <v>203.4</v>
      </c>
      <c r="L3122" s="12">
        <f t="shared" si="257"/>
        <v>339</v>
      </c>
      <c r="M3122" s="8">
        <v>1</v>
      </c>
      <c r="N3122" s="8" t="s">
        <v>27</v>
      </c>
      <c r="O3122" s="13"/>
      <c r="P3122" s="14">
        <v>0.2</v>
      </c>
      <c r="Q3122" s="15">
        <v>0.28000000000000003</v>
      </c>
      <c r="R3122" s="16" t="str">
        <f t="shared" si="255"/>
        <v>LUTRON</v>
      </c>
      <c r="S3122" s="17"/>
      <c r="T3122" s="10" t="str">
        <f t="shared" si="253"/>
        <v>TECLADO INALÁMBRICO DE 6 BOTONES CON RAISE AND LOWER EN COLOR BLANCO.</v>
      </c>
    </row>
    <row r="3123" spans="1:20" ht="27" customHeight="1" x14ac:dyDescent="0.25">
      <c r="A3123" s="8" t="s">
        <v>5672</v>
      </c>
      <c r="B3123" s="9" t="s">
        <v>5666</v>
      </c>
      <c r="C3123" s="9"/>
      <c r="D3123" s="8" t="s">
        <v>5909</v>
      </c>
      <c r="E3123" s="8">
        <v>5</v>
      </c>
      <c r="F3123" s="8" t="s">
        <v>22</v>
      </c>
      <c r="G3123" s="10" t="s">
        <v>6306</v>
      </c>
      <c r="H3123" s="8" t="s">
        <v>6307</v>
      </c>
      <c r="I3123" s="10" t="s">
        <v>6306</v>
      </c>
      <c r="J3123" s="11" t="s">
        <v>26</v>
      </c>
      <c r="K3123" s="57">
        <v>30</v>
      </c>
      <c r="L3123" s="12">
        <f t="shared" si="257"/>
        <v>50</v>
      </c>
      <c r="M3123" s="8">
        <v>1</v>
      </c>
      <c r="N3123" s="8" t="s">
        <v>27</v>
      </c>
      <c r="O3123" s="13"/>
      <c r="P3123" s="14">
        <v>0.2</v>
      </c>
      <c r="Q3123" s="15">
        <v>0.28000000000000003</v>
      </c>
      <c r="R3123" s="16" t="str">
        <f t="shared" si="255"/>
        <v>LUTRON</v>
      </c>
      <c r="S3123" s="17"/>
      <c r="T3123" s="10" t="str">
        <f t="shared" si="253"/>
        <v>DIMMER REMOTO PARA CARGAS CONMUTABLES</v>
      </c>
    </row>
    <row r="3124" spans="1:20" ht="27" customHeight="1" x14ac:dyDescent="0.25">
      <c r="A3124" s="8" t="s">
        <v>5672</v>
      </c>
      <c r="B3124" s="9" t="s">
        <v>5666</v>
      </c>
      <c r="C3124" s="9"/>
      <c r="D3124" s="8" t="s">
        <v>5909</v>
      </c>
      <c r="E3124" s="8">
        <v>6</v>
      </c>
      <c r="F3124" s="8" t="s">
        <v>22</v>
      </c>
      <c r="G3124" s="10" t="s">
        <v>6308</v>
      </c>
      <c r="H3124" s="8" t="s">
        <v>6309</v>
      </c>
      <c r="I3124" s="10" t="s">
        <v>6308</v>
      </c>
      <c r="J3124" s="11" t="s">
        <v>26</v>
      </c>
      <c r="K3124" s="57">
        <v>223</v>
      </c>
      <c r="L3124" s="12">
        <f t="shared" si="257"/>
        <v>446</v>
      </c>
      <c r="M3124" s="8">
        <v>1</v>
      </c>
      <c r="N3124" s="8" t="s">
        <v>110</v>
      </c>
      <c r="O3124" s="13"/>
      <c r="P3124" s="14">
        <v>0.2</v>
      </c>
      <c r="Q3124" s="15">
        <v>0.4</v>
      </c>
      <c r="R3124" s="16" t="str">
        <f t="shared" si="255"/>
        <v>LUTRON</v>
      </c>
      <c r="S3124" s="17"/>
      <c r="T3124" s="10" t="str">
        <f t="shared" si="253"/>
        <v>METRO DE CABLE PARA BUS DE DATOS ECOSYSTEM, ROLLO POR 1000 PIES.</v>
      </c>
    </row>
    <row r="3125" spans="1:20" ht="27" customHeight="1" x14ac:dyDescent="0.25">
      <c r="A3125" s="8" t="s">
        <v>5672</v>
      </c>
      <c r="B3125" s="9" t="s">
        <v>5666</v>
      </c>
      <c r="C3125" s="9"/>
      <c r="D3125" s="8" t="s">
        <v>4058</v>
      </c>
      <c r="E3125" s="8">
        <v>9</v>
      </c>
      <c r="F3125" s="8" t="s">
        <v>22</v>
      </c>
      <c r="G3125" s="10" t="s">
        <v>6310</v>
      </c>
      <c r="H3125" s="8" t="s">
        <v>6311</v>
      </c>
      <c r="I3125" s="10" t="s">
        <v>6310</v>
      </c>
      <c r="J3125" s="11" t="s">
        <v>26</v>
      </c>
      <c r="K3125" s="57">
        <v>18.5</v>
      </c>
      <c r="L3125" s="12">
        <f t="shared" si="257"/>
        <v>37</v>
      </c>
      <c r="M3125" s="8">
        <v>1</v>
      </c>
      <c r="N3125" s="8" t="s">
        <v>27</v>
      </c>
      <c r="O3125" s="13"/>
      <c r="P3125" s="14">
        <v>0.2</v>
      </c>
      <c r="Q3125" s="15">
        <v>0.4</v>
      </c>
      <c r="R3125" s="16" t="str">
        <f t="shared" si="255"/>
        <v>LUTRON</v>
      </c>
      <c r="S3125" s="17"/>
      <c r="T3125" s="10" t="str">
        <f t="shared" ref="T3125:T3188" si="258">G3125</f>
        <v>DIMMER ATENUADOR DE CARGAS LED HASTA 150 VATIOS DE LA LÍNEA DIVA.</v>
      </c>
    </row>
    <row r="3126" spans="1:20" ht="27" customHeight="1" x14ac:dyDescent="0.25">
      <c r="A3126" s="8" t="s">
        <v>5672</v>
      </c>
      <c r="B3126" s="9" t="s">
        <v>5666</v>
      </c>
      <c r="C3126" s="9"/>
      <c r="D3126" s="8" t="s">
        <v>4058</v>
      </c>
      <c r="E3126" s="8">
        <v>9</v>
      </c>
      <c r="F3126" s="8" t="s">
        <v>22</v>
      </c>
      <c r="G3126" s="10" t="s">
        <v>6312</v>
      </c>
      <c r="H3126" s="8" t="s">
        <v>6313</v>
      </c>
      <c r="I3126" s="10" t="s">
        <v>6312</v>
      </c>
      <c r="J3126" s="11" t="s">
        <v>26</v>
      </c>
      <c r="K3126" s="57">
        <v>2025</v>
      </c>
      <c r="L3126" s="12">
        <f t="shared" si="257"/>
        <v>4050</v>
      </c>
      <c r="M3126" s="8">
        <v>1</v>
      </c>
      <c r="N3126" s="8" t="s">
        <v>27</v>
      </c>
      <c r="O3126" s="13"/>
      <c r="P3126" s="14">
        <v>0.2</v>
      </c>
      <c r="Q3126" s="15">
        <v>0.4</v>
      </c>
      <c r="R3126" s="16" t="str">
        <f t="shared" si="255"/>
        <v>LUTRON</v>
      </c>
      <c r="S3126" s="17"/>
      <c r="T3126" s="10" t="str">
        <f t="shared" si="258"/>
        <v>HUB DE ADMINISTRACIÓN DE ILUMINACIÓN CON UN ÚNICO PROCESADOR QUANTUM.</v>
      </c>
    </row>
    <row r="3127" spans="1:20" ht="27" customHeight="1" x14ac:dyDescent="0.25">
      <c r="A3127" s="8" t="s">
        <v>5672</v>
      </c>
      <c r="B3127" s="9" t="s">
        <v>5666</v>
      </c>
      <c r="C3127" s="9"/>
      <c r="D3127" s="8" t="s">
        <v>4058</v>
      </c>
      <c r="E3127" s="8">
        <v>9</v>
      </c>
      <c r="F3127" s="8" t="s">
        <v>22</v>
      </c>
      <c r="G3127" s="10" t="s">
        <v>6314</v>
      </c>
      <c r="H3127" s="8" t="s">
        <v>6315</v>
      </c>
      <c r="I3127" s="10" t="s">
        <v>6314</v>
      </c>
      <c r="J3127" s="11" t="s">
        <v>26</v>
      </c>
      <c r="K3127" s="57">
        <v>1190</v>
      </c>
      <c r="L3127" s="12">
        <f t="shared" si="257"/>
        <v>2380</v>
      </c>
      <c r="M3127" s="8">
        <v>1</v>
      </c>
      <c r="N3127" s="8" t="s">
        <v>27</v>
      </c>
      <c r="O3127" s="13"/>
      <c r="P3127" s="14">
        <v>0.2</v>
      </c>
      <c r="Q3127" s="15">
        <v>0.4</v>
      </c>
      <c r="R3127" s="16" t="str">
        <f t="shared" si="255"/>
        <v>LUTRON</v>
      </c>
      <c r="S3127" s="17"/>
      <c r="T3127" s="10" t="str">
        <f t="shared" si="258"/>
        <v>LICENCIA PARA SUPERVISIÓN Y CONTROL DE LUMINARIAS ASOCIADAS A SISTEMA QUANTUM.</v>
      </c>
    </row>
    <row r="3128" spans="1:20" ht="27" customHeight="1" x14ac:dyDescent="0.25">
      <c r="A3128" s="8" t="s">
        <v>5672</v>
      </c>
      <c r="B3128" s="9" t="s">
        <v>5666</v>
      </c>
      <c r="C3128" s="9"/>
      <c r="D3128" s="8" t="s">
        <v>4058</v>
      </c>
      <c r="E3128" s="8">
        <v>9</v>
      </c>
      <c r="F3128" s="8" t="s">
        <v>22</v>
      </c>
      <c r="G3128" s="10" t="s">
        <v>6316</v>
      </c>
      <c r="H3128" s="8" t="s">
        <v>6317</v>
      </c>
      <c r="I3128" s="10" t="s">
        <v>6316</v>
      </c>
      <c r="J3128" s="11" t="s">
        <v>26</v>
      </c>
      <c r="K3128" s="57">
        <v>13.5</v>
      </c>
      <c r="L3128" s="12">
        <f t="shared" si="257"/>
        <v>27</v>
      </c>
      <c r="M3128" s="8">
        <v>1</v>
      </c>
      <c r="N3128" s="8" t="s">
        <v>27</v>
      </c>
      <c r="O3128" s="13"/>
      <c r="P3128" s="14">
        <v>0.2</v>
      </c>
      <c r="Q3128" s="15">
        <v>0.4</v>
      </c>
      <c r="R3128" s="16" t="str">
        <f t="shared" si="255"/>
        <v>LUTRON</v>
      </c>
      <c r="S3128" s="17"/>
      <c r="T3128" s="10" t="str">
        <f t="shared" si="258"/>
        <v>TECLADO DE 4 BOTONES CON RAISE AND LOWER.</v>
      </c>
    </row>
    <row r="3129" spans="1:20" ht="27" customHeight="1" x14ac:dyDescent="0.25">
      <c r="A3129" s="8" t="s">
        <v>5672</v>
      </c>
      <c r="B3129" s="9" t="s">
        <v>5666</v>
      </c>
      <c r="C3129" s="9"/>
      <c r="D3129" s="8" t="s">
        <v>4058</v>
      </c>
      <c r="E3129" s="8">
        <v>9</v>
      </c>
      <c r="F3129" s="8" t="s">
        <v>22</v>
      </c>
      <c r="G3129" s="10" t="s">
        <v>6318</v>
      </c>
      <c r="H3129" s="8" t="s">
        <v>6319</v>
      </c>
      <c r="I3129" s="10" t="s">
        <v>6320</v>
      </c>
      <c r="J3129" s="11" t="s">
        <v>26</v>
      </c>
      <c r="K3129" s="57">
        <v>62.5</v>
      </c>
      <c r="L3129" s="12">
        <f t="shared" si="257"/>
        <v>125</v>
      </c>
      <c r="M3129" s="8">
        <v>1</v>
      </c>
      <c r="N3129" s="8" t="s">
        <v>27</v>
      </c>
      <c r="O3129" s="13"/>
      <c r="P3129" s="14">
        <v>0.2</v>
      </c>
      <c r="Q3129" s="15">
        <v>0.4</v>
      </c>
      <c r="R3129" s="16" t="str">
        <f t="shared" si="255"/>
        <v>LUTRON</v>
      </c>
      <c r="S3129" s="17"/>
      <c r="T3129" s="10" t="str">
        <f t="shared" si="258"/>
        <v>INTERRUPTOR DUAL PARA DOS CARGAS HASTA 15 AMPERIOS, CON SENSOR ULTRA SÓNICO.</v>
      </c>
    </row>
    <row r="3130" spans="1:20" ht="27" customHeight="1" x14ac:dyDescent="0.25">
      <c r="A3130" s="8" t="s">
        <v>5672</v>
      </c>
      <c r="B3130" s="9" t="s">
        <v>5666</v>
      </c>
      <c r="C3130" s="9"/>
      <c r="D3130" s="8" t="s">
        <v>4058</v>
      </c>
      <c r="E3130" s="8">
        <v>9</v>
      </c>
      <c r="F3130" s="8" t="s">
        <v>22</v>
      </c>
      <c r="G3130" s="10" t="s">
        <v>6321</v>
      </c>
      <c r="H3130" s="8" t="s">
        <v>6010</v>
      </c>
      <c r="I3130" s="10" t="s">
        <v>6321</v>
      </c>
      <c r="J3130" s="11" t="s">
        <v>26</v>
      </c>
      <c r="K3130" s="57">
        <v>44</v>
      </c>
      <c r="L3130" s="12">
        <f>K3130*(1+P3130)/(1-Q3130)</f>
        <v>80.000008205524679</v>
      </c>
      <c r="M3130" s="8">
        <v>1</v>
      </c>
      <c r="N3130" s="8" t="s">
        <v>27</v>
      </c>
      <c r="O3130" s="13"/>
      <c r="P3130" s="14">
        <v>0.2</v>
      </c>
      <c r="Q3130" s="15">
        <v>0.34000006769557167</v>
      </c>
      <c r="R3130" s="16" t="str">
        <f t="shared" si="255"/>
        <v>LUTRON</v>
      </c>
      <c r="S3130" s="17"/>
      <c r="T3130" s="10" t="str">
        <f t="shared" si="258"/>
        <v>KIT DE ATENUACIÓN CON DIMMER DE CONTROL, TECLADO PICO Y WALL PLATE.</v>
      </c>
    </row>
    <row r="3131" spans="1:20" ht="27" customHeight="1" x14ac:dyDescent="0.25">
      <c r="A3131" s="8" t="s">
        <v>5672</v>
      </c>
      <c r="B3131" s="9" t="s">
        <v>5666</v>
      </c>
      <c r="C3131" s="9"/>
      <c r="D3131" s="8" t="s">
        <v>4058</v>
      </c>
      <c r="E3131" s="8">
        <v>9</v>
      </c>
      <c r="F3131" s="8" t="s">
        <v>22</v>
      </c>
      <c r="G3131" s="10" t="s">
        <v>6322</v>
      </c>
      <c r="H3131" s="8" t="s">
        <v>6323</v>
      </c>
      <c r="I3131" s="10" t="s">
        <v>6322</v>
      </c>
      <c r="J3131" s="11" t="s">
        <v>26</v>
      </c>
      <c r="K3131" s="57">
        <v>24.5</v>
      </c>
      <c r="L3131" s="12">
        <f>ROUNDUP(K3131*(1+P3131)/(1-Q3131),0)</f>
        <v>49</v>
      </c>
      <c r="M3131" s="8">
        <v>1</v>
      </c>
      <c r="N3131" s="8" t="s">
        <v>27</v>
      </c>
      <c r="O3131" s="13"/>
      <c r="P3131" s="14">
        <v>0.2</v>
      </c>
      <c r="Q3131" s="15">
        <v>0.4</v>
      </c>
      <c r="R3131" s="16" t="str">
        <f t="shared" si="255"/>
        <v>LUTRON</v>
      </c>
      <c r="S3131" s="17"/>
      <c r="T3131" s="10" t="str">
        <f t="shared" si="258"/>
        <v>TECLADO TIPO PICO PARA EL CONTROL DE EQUIPOS DE AUDIO.</v>
      </c>
    </row>
    <row r="3132" spans="1:20" ht="27" customHeight="1" x14ac:dyDescent="0.25">
      <c r="A3132" s="8" t="s">
        <v>5672</v>
      </c>
      <c r="B3132" s="9" t="s">
        <v>5666</v>
      </c>
      <c r="C3132" s="9"/>
      <c r="D3132" s="8" t="s">
        <v>4058</v>
      </c>
      <c r="E3132" s="8">
        <v>9</v>
      </c>
      <c r="F3132" s="8" t="s">
        <v>22</v>
      </c>
      <c r="G3132" s="10" t="s">
        <v>6324</v>
      </c>
      <c r="H3132" s="8" t="s">
        <v>6325</v>
      </c>
      <c r="I3132" s="10" t="s">
        <v>6326</v>
      </c>
      <c r="J3132" s="11" t="s">
        <v>26</v>
      </c>
      <c r="K3132" s="57">
        <v>53.55</v>
      </c>
      <c r="L3132" s="12">
        <f>K3132*(1+P3132)/(1-Q3132)</f>
        <v>89.249999999999986</v>
      </c>
      <c r="M3132" s="8">
        <v>1</v>
      </c>
      <c r="N3132" s="8" t="s">
        <v>27</v>
      </c>
      <c r="O3132" s="13"/>
      <c r="P3132" s="14">
        <v>0.2</v>
      </c>
      <c r="Q3132" s="15">
        <v>0.28000000000000003</v>
      </c>
      <c r="R3132" s="16" t="str">
        <f t="shared" si="255"/>
        <v>LUTRON</v>
      </c>
      <c r="S3132" s="17"/>
      <c r="T3132" s="10" t="str">
        <f t="shared" si="258"/>
        <v>DIMMER DE FASE ADAPTATIVA CON NEUTRO</v>
      </c>
    </row>
    <row r="3133" spans="1:20" ht="27" customHeight="1" x14ac:dyDescent="0.25">
      <c r="A3133" s="8" t="s">
        <v>5672</v>
      </c>
      <c r="B3133" s="9" t="s">
        <v>5666</v>
      </c>
      <c r="C3133" s="9"/>
      <c r="D3133" s="8" t="s">
        <v>626</v>
      </c>
      <c r="E3133" s="8">
        <v>1</v>
      </c>
      <c r="F3133" s="8" t="s">
        <v>22</v>
      </c>
      <c r="G3133" s="10" t="s">
        <v>6327</v>
      </c>
      <c r="H3133" s="8" t="s">
        <v>6328</v>
      </c>
      <c r="I3133" s="10" t="s">
        <v>6327</v>
      </c>
      <c r="J3133" s="11" t="s">
        <v>26</v>
      </c>
      <c r="K3133" s="57">
        <v>3.5</v>
      </c>
      <c r="L3133" s="12">
        <f>K3133*(1+P3133)/(1-Q3133)</f>
        <v>7.0000000000000009</v>
      </c>
      <c r="M3133" s="8">
        <v>1</v>
      </c>
      <c r="N3133" s="8" t="s">
        <v>27</v>
      </c>
      <c r="O3133" s="13"/>
      <c r="P3133" s="14">
        <v>0.2</v>
      </c>
      <c r="Q3133" s="15">
        <v>0.4</v>
      </c>
      <c r="R3133" s="16" t="str">
        <f t="shared" si="255"/>
        <v>LUTRON</v>
      </c>
      <c r="S3133" s="17"/>
      <c r="T3133" s="10" t="str">
        <f t="shared" si="258"/>
        <v>TAPA CIEGA SENCILLA EN COLOR NEGRO.</v>
      </c>
    </row>
    <row r="3134" spans="1:20" ht="27" customHeight="1" x14ac:dyDescent="0.25">
      <c r="A3134" s="8" t="s">
        <v>5672</v>
      </c>
      <c r="B3134" s="9" t="s">
        <v>5666</v>
      </c>
      <c r="C3134" s="9"/>
      <c r="D3134" s="8" t="s">
        <v>626</v>
      </c>
      <c r="E3134" s="8">
        <v>1</v>
      </c>
      <c r="F3134" s="8" t="s">
        <v>22</v>
      </c>
      <c r="G3134" s="10" t="s">
        <v>6329</v>
      </c>
      <c r="H3134" s="8" t="s">
        <v>6330</v>
      </c>
      <c r="I3134" s="10" t="s">
        <v>6329</v>
      </c>
      <c r="J3134" s="11" t="s">
        <v>26</v>
      </c>
      <c r="K3134" s="57">
        <v>1150</v>
      </c>
      <c r="L3134" s="12">
        <f t="shared" ref="L3134:L3155" si="259">ROUNDUP(K3134*(1+P3134)/(1-Q3134),0)</f>
        <v>2300</v>
      </c>
      <c r="M3134" s="8">
        <v>1</v>
      </c>
      <c r="N3134" s="8" t="s">
        <v>27</v>
      </c>
      <c r="O3134" s="13"/>
      <c r="P3134" s="14">
        <v>0.2</v>
      </c>
      <c r="Q3134" s="15">
        <v>0.4</v>
      </c>
      <c r="R3134" s="16" t="str">
        <f t="shared" si="255"/>
        <v>LUTRON</v>
      </c>
      <c r="S3134" s="17"/>
      <c r="T3134" s="10" t="str">
        <f t="shared" si="258"/>
        <v>PROCESADOR QUANTUM</v>
      </c>
    </row>
    <row r="3135" spans="1:20" ht="27" customHeight="1" x14ac:dyDescent="0.25">
      <c r="A3135" s="8" t="s">
        <v>5672</v>
      </c>
      <c r="B3135" s="9" t="s">
        <v>5666</v>
      </c>
      <c r="C3135" s="9"/>
      <c r="D3135" s="8" t="s">
        <v>626</v>
      </c>
      <c r="E3135" s="8">
        <v>1</v>
      </c>
      <c r="F3135" s="8" t="s">
        <v>22</v>
      </c>
      <c r="G3135" s="10" t="s">
        <v>6331</v>
      </c>
      <c r="H3135" s="8" t="s">
        <v>6332</v>
      </c>
      <c r="I3135" s="10" t="s">
        <v>6331</v>
      </c>
      <c r="J3135" s="11" t="s">
        <v>26</v>
      </c>
      <c r="K3135" s="57">
        <v>350</v>
      </c>
      <c r="L3135" s="12">
        <f t="shared" si="259"/>
        <v>700</v>
      </c>
      <c r="M3135" s="8">
        <v>1</v>
      </c>
      <c r="N3135" s="8" t="s">
        <v>27</v>
      </c>
      <c r="O3135" s="13"/>
      <c r="P3135" s="14">
        <v>0.2</v>
      </c>
      <c r="Q3135" s="15">
        <v>0.4</v>
      </c>
      <c r="R3135" s="16" t="str">
        <f t="shared" si="255"/>
        <v>LUTRON</v>
      </c>
      <c r="S3135" s="17"/>
      <c r="T3135" s="10" t="str">
        <f t="shared" si="258"/>
        <v>VISITA POR PARTE DE REPRESENTANTE DE LUTRON</v>
      </c>
    </row>
    <row r="3136" spans="1:20" ht="27" customHeight="1" x14ac:dyDescent="0.25">
      <c r="A3136" s="8" t="s">
        <v>5672</v>
      </c>
      <c r="B3136" s="9" t="s">
        <v>5666</v>
      </c>
      <c r="C3136" s="9"/>
      <c r="D3136" s="8" t="s">
        <v>626</v>
      </c>
      <c r="E3136" s="8">
        <v>1</v>
      </c>
      <c r="F3136" s="8" t="s">
        <v>22</v>
      </c>
      <c r="G3136" s="10" t="s">
        <v>6333</v>
      </c>
      <c r="H3136" s="8" t="s">
        <v>6334</v>
      </c>
      <c r="I3136" s="10" t="s">
        <v>6333</v>
      </c>
      <c r="J3136" s="11" t="s">
        <v>26</v>
      </c>
      <c r="K3136" s="57">
        <v>740</v>
      </c>
      <c r="L3136" s="12">
        <f t="shared" si="259"/>
        <v>1480</v>
      </c>
      <c r="M3136" s="8">
        <v>1</v>
      </c>
      <c r="N3136" s="8" t="s">
        <v>27</v>
      </c>
      <c r="O3136" s="13"/>
      <c r="P3136" s="14">
        <v>0.2</v>
      </c>
      <c r="Q3136" s="15">
        <v>0.4</v>
      </c>
      <c r="R3136" s="16" t="str">
        <f t="shared" si="255"/>
        <v>LUTRON</v>
      </c>
      <c r="S3136" s="17"/>
      <c r="T3136" s="10" t="str">
        <f t="shared" si="258"/>
        <v>SENSOR INFRA ROJO DE PARTICIÓN</v>
      </c>
    </row>
    <row r="3137" spans="1:20" ht="27" customHeight="1" x14ac:dyDescent="0.25">
      <c r="A3137" s="8" t="s">
        <v>5672</v>
      </c>
      <c r="B3137" s="9" t="s">
        <v>5666</v>
      </c>
      <c r="C3137" s="9"/>
      <c r="D3137" s="8" t="s">
        <v>626</v>
      </c>
      <c r="E3137" s="8">
        <v>1</v>
      </c>
      <c r="F3137" s="8" t="s">
        <v>22</v>
      </c>
      <c r="G3137" s="10" t="s">
        <v>6335</v>
      </c>
      <c r="H3137" s="8" t="s">
        <v>6336</v>
      </c>
      <c r="I3137" s="10" t="s">
        <v>6335</v>
      </c>
      <c r="J3137" s="11" t="s">
        <v>26</v>
      </c>
      <c r="K3137" s="57">
        <v>351</v>
      </c>
      <c r="L3137" s="12">
        <f t="shared" si="259"/>
        <v>650</v>
      </c>
      <c r="M3137" s="8">
        <v>1</v>
      </c>
      <c r="N3137" s="8" t="s">
        <v>27</v>
      </c>
      <c r="O3137" s="13"/>
      <c r="P3137" s="14">
        <v>0.2</v>
      </c>
      <c r="Q3137" s="15">
        <v>0.35124627329192559</v>
      </c>
      <c r="R3137" s="16" t="str">
        <f t="shared" ref="R3137:R3181" si="260">A3137</f>
        <v>LUTRON</v>
      </c>
      <c r="S3137" s="17"/>
      <c r="T3137" s="10" t="str">
        <f t="shared" si="258"/>
        <v>MÓDULO DE CONMUTACIÓN DE 4 SALIDAS A 16A</v>
      </c>
    </row>
    <row r="3138" spans="1:20" ht="27" customHeight="1" x14ac:dyDescent="0.25">
      <c r="A3138" s="8" t="s">
        <v>5672</v>
      </c>
      <c r="B3138" s="9" t="s">
        <v>5666</v>
      </c>
      <c r="C3138" s="9"/>
      <c r="D3138" s="8" t="s">
        <v>626</v>
      </c>
      <c r="E3138" s="8">
        <v>1</v>
      </c>
      <c r="F3138" s="8" t="s">
        <v>22</v>
      </c>
      <c r="G3138" s="10" t="s">
        <v>6337</v>
      </c>
      <c r="H3138" s="8" t="s">
        <v>6338</v>
      </c>
      <c r="I3138" s="10" t="s">
        <v>6337</v>
      </c>
      <c r="J3138" s="11" t="s">
        <v>26</v>
      </c>
      <c r="K3138" s="57">
        <v>442.4</v>
      </c>
      <c r="L3138" s="12">
        <f t="shared" si="259"/>
        <v>885</v>
      </c>
      <c r="M3138" s="8">
        <v>1</v>
      </c>
      <c r="N3138" s="8" t="s">
        <v>27</v>
      </c>
      <c r="O3138" s="13"/>
      <c r="P3138" s="14">
        <v>0.2</v>
      </c>
      <c r="Q3138" s="15">
        <v>0.4</v>
      </c>
      <c r="R3138" s="16" t="str">
        <f t="shared" si="260"/>
        <v>LUTRON</v>
      </c>
      <c r="S3138" s="17"/>
      <c r="T3138" s="10" t="str">
        <f t="shared" si="258"/>
        <v>MÓDULO DE CONMUTACIÓN DE 4 SALIDAS 5A CON CONTROL 0-10</v>
      </c>
    </row>
    <row r="3139" spans="1:20" ht="27" customHeight="1" x14ac:dyDescent="0.25">
      <c r="A3139" s="8" t="s">
        <v>5672</v>
      </c>
      <c r="B3139" s="9" t="s">
        <v>5666</v>
      </c>
      <c r="C3139" s="9"/>
      <c r="D3139" s="8" t="s">
        <v>626</v>
      </c>
      <c r="E3139" s="8">
        <v>1</v>
      </c>
      <c r="F3139" s="8" t="s">
        <v>22</v>
      </c>
      <c r="G3139" s="10" t="s">
        <v>6339</v>
      </c>
      <c r="H3139" s="8" t="s">
        <v>6340</v>
      </c>
      <c r="I3139" s="10" t="s">
        <v>6339</v>
      </c>
      <c r="J3139" s="11" t="s">
        <v>26</v>
      </c>
      <c r="K3139" s="57">
        <v>123</v>
      </c>
      <c r="L3139" s="12">
        <f t="shared" si="259"/>
        <v>205</v>
      </c>
      <c r="M3139" s="8">
        <v>1</v>
      </c>
      <c r="N3139" s="8" t="s">
        <v>27</v>
      </c>
      <c r="O3139" s="13"/>
      <c r="P3139" s="14">
        <v>0.2</v>
      </c>
      <c r="Q3139" s="15">
        <v>0.27796969696969698</v>
      </c>
      <c r="R3139" s="16" t="str">
        <f t="shared" si="260"/>
        <v>LUTRON</v>
      </c>
      <c r="S3139" s="17"/>
      <c r="T3139" s="10" t="str">
        <f t="shared" si="258"/>
        <v>SENSOR DE LUZ NATURAL</v>
      </c>
    </row>
    <row r="3140" spans="1:20" ht="27" customHeight="1" x14ac:dyDescent="0.25">
      <c r="A3140" s="8" t="s">
        <v>5672</v>
      </c>
      <c r="B3140" s="9" t="s">
        <v>5666</v>
      </c>
      <c r="C3140" s="9"/>
      <c r="D3140" s="8" t="s">
        <v>626</v>
      </c>
      <c r="E3140" s="8">
        <v>1</v>
      </c>
      <c r="F3140" s="8" t="s">
        <v>22</v>
      </c>
      <c r="G3140" s="10" t="s">
        <v>6055</v>
      </c>
      <c r="H3140" s="8" t="s">
        <v>6341</v>
      </c>
      <c r="I3140" s="10" t="s">
        <v>6342</v>
      </c>
      <c r="J3140" s="11" t="s">
        <v>26</v>
      </c>
      <c r="K3140" s="57">
        <v>245</v>
      </c>
      <c r="L3140" s="12">
        <f t="shared" si="259"/>
        <v>490</v>
      </c>
      <c r="M3140" s="8">
        <v>1</v>
      </c>
      <c r="N3140" s="8" t="s">
        <v>27</v>
      </c>
      <c r="O3140" s="13"/>
      <c r="P3140" s="14">
        <v>0.2</v>
      </c>
      <c r="Q3140" s="15">
        <v>0.4</v>
      </c>
      <c r="R3140" s="16" t="str">
        <f t="shared" si="260"/>
        <v>LUTRON</v>
      </c>
      <c r="S3140" s="17"/>
      <c r="T3140" s="10" t="str">
        <f t="shared" si="258"/>
        <v>MÓDULO DE POTENCIA PARA ATENUACIÓN DE CARGAS CON FASE ADAPTATIVA.</v>
      </c>
    </row>
    <row r="3141" spans="1:20" ht="27" customHeight="1" x14ac:dyDescent="0.25">
      <c r="A3141" s="8" t="s">
        <v>5672</v>
      </c>
      <c r="B3141" s="9" t="s">
        <v>5666</v>
      </c>
      <c r="C3141" s="9"/>
      <c r="D3141" s="8" t="s">
        <v>5909</v>
      </c>
      <c r="E3141" s="8">
        <v>1</v>
      </c>
      <c r="F3141" s="8" t="s">
        <v>22</v>
      </c>
      <c r="G3141" s="10" t="s">
        <v>6343</v>
      </c>
      <c r="H3141" s="8" t="s">
        <v>6305</v>
      </c>
      <c r="I3141" s="10" t="s">
        <v>6343</v>
      </c>
      <c r="J3141" s="11" t="s">
        <v>26</v>
      </c>
      <c r="K3141" s="57">
        <v>198</v>
      </c>
      <c r="L3141" s="12">
        <f t="shared" si="259"/>
        <v>330</v>
      </c>
      <c r="M3141" s="8">
        <v>1</v>
      </c>
      <c r="N3141" s="8" t="s">
        <v>27</v>
      </c>
      <c r="O3141" s="13"/>
      <c r="P3141" s="14">
        <v>0.2</v>
      </c>
      <c r="Q3141" s="15">
        <v>0.28000000000000003</v>
      </c>
      <c r="R3141" s="16" t="str">
        <f t="shared" si="260"/>
        <v>LUTRON</v>
      </c>
      <c r="S3141" s="17"/>
      <c r="T3141" s="10" t="str">
        <f t="shared" si="258"/>
        <v>TECLADO DE 6 BOTONES CON SUBIDA Y BAJADA CON MANEJO DE ESCENAS.</v>
      </c>
    </row>
    <row r="3142" spans="1:20" ht="27" customHeight="1" x14ac:dyDescent="0.25">
      <c r="A3142" s="8" t="s">
        <v>5672</v>
      </c>
      <c r="B3142" s="9" t="s">
        <v>5666</v>
      </c>
      <c r="C3142" s="9"/>
      <c r="D3142" s="8" t="s">
        <v>5909</v>
      </c>
      <c r="E3142" s="8">
        <v>1</v>
      </c>
      <c r="F3142" s="8" t="s">
        <v>22</v>
      </c>
      <c r="G3142" s="10" t="s">
        <v>6344</v>
      </c>
      <c r="H3142" s="8" t="s">
        <v>6345</v>
      </c>
      <c r="I3142" s="10" t="s">
        <v>6344</v>
      </c>
      <c r="J3142" s="11" t="s">
        <v>26</v>
      </c>
      <c r="K3142" s="57">
        <v>60.5</v>
      </c>
      <c r="L3142" s="12">
        <f t="shared" si="259"/>
        <v>110</v>
      </c>
      <c r="M3142" s="8">
        <v>1</v>
      </c>
      <c r="N3142" s="8" t="s">
        <v>27</v>
      </c>
      <c r="O3142" s="13"/>
      <c r="P3142" s="14">
        <v>0.2</v>
      </c>
      <c r="Q3142" s="15">
        <v>0.33631111111111162</v>
      </c>
      <c r="R3142" s="16" t="str">
        <f t="shared" si="260"/>
        <v>LUTRON</v>
      </c>
      <c r="S3142" s="17"/>
      <c r="T3142" s="10" t="str">
        <f t="shared" si="258"/>
        <v>DIMMER DE FASE ADAPTATIVA DE LA SERIE MAESTRO WIRELESS</v>
      </c>
    </row>
    <row r="3143" spans="1:20" ht="27" customHeight="1" x14ac:dyDescent="0.25">
      <c r="A3143" s="8" t="s">
        <v>5672</v>
      </c>
      <c r="B3143" s="9" t="s">
        <v>5666</v>
      </c>
      <c r="C3143" s="9"/>
      <c r="D3143" s="8" t="s">
        <v>5909</v>
      </c>
      <c r="E3143" s="8">
        <v>1</v>
      </c>
      <c r="F3143" s="8" t="s">
        <v>22</v>
      </c>
      <c r="G3143" s="10" t="s">
        <v>6346</v>
      </c>
      <c r="H3143" s="8" t="s">
        <v>6347</v>
      </c>
      <c r="I3143" s="10" t="s">
        <v>6346</v>
      </c>
      <c r="J3143" s="11" t="s">
        <v>26</v>
      </c>
      <c r="K3143" s="57">
        <f>98/2</f>
        <v>49</v>
      </c>
      <c r="L3143" s="12">
        <f t="shared" si="259"/>
        <v>98</v>
      </c>
      <c r="M3143" s="8">
        <v>1</v>
      </c>
      <c r="N3143" s="8" t="s">
        <v>27</v>
      </c>
      <c r="O3143" s="13"/>
      <c r="P3143" s="14">
        <v>0.2</v>
      </c>
      <c r="Q3143" s="15">
        <v>0.4</v>
      </c>
      <c r="R3143" s="16" t="str">
        <f t="shared" si="260"/>
        <v>LUTRON</v>
      </c>
      <c r="S3143" s="17"/>
      <c r="T3143" s="10" t="str">
        <f t="shared" si="258"/>
        <v>DRIVER PARA LUMINARIA SOFT DIM</v>
      </c>
    </row>
    <row r="3144" spans="1:20" ht="27" customHeight="1" x14ac:dyDescent="0.25">
      <c r="A3144" s="8" t="s">
        <v>5672</v>
      </c>
      <c r="B3144" s="9" t="s">
        <v>5666</v>
      </c>
      <c r="C3144" s="9"/>
      <c r="D3144" s="8" t="s">
        <v>5909</v>
      </c>
      <c r="E3144" s="8">
        <v>1</v>
      </c>
      <c r="F3144" s="8" t="s">
        <v>22</v>
      </c>
      <c r="G3144" s="10" t="s">
        <v>6348</v>
      </c>
      <c r="H3144" s="8" t="s">
        <v>6349</v>
      </c>
      <c r="I3144" s="10" t="s">
        <v>6348</v>
      </c>
      <c r="J3144" s="11" t="s">
        <v>26</v>
      </c>
      <c r="K3144" s="57">
        <v>80</v>
      </c>
      <c r="L3144" s="12">
        <f t="shared" si="259"/>
        <v>160</v>
      </c>
      <c r="M3144" s="8">
        <v>1</v>
      </c>
      <c r="N3144" s="8" t="s">
        <v>27</v>
      </c>
      <c r="O3144" s="13"/>
      <c r="P3144" s="14">
        <v>0.2</v>
      </c>
      <c r="Q3144" s="15">
        <v>0.4</v>
      </c>
      <c r="R3144" s="16" t="str">
        <f t="shared" si="260"/>
        <v>LUTRON</v>
      </c>
      <c r="S3144" s="17"/>
      <c r="T3144" s="10" t="str">
        <f t="shared" si="258"/>
        <v>INTERFAZ PARA CONTROL DE CARGAS DE BAJO VOLTAJE.</v>
      </c>
    </row>
    <row r="3145" spans="1:20" ht="27" customHeight="1" x14ac:dyDescent="0.25">
      <c r="A3145" s="8" t="s">
        <v>5672</v>
      </c>
      <c r="B3145" s="9" t="s">
        <v>5666</v>
      </c>
      <c r="C3145" s="9"/>
      <c r="D3145" s="8" t="s">
        <v>5909</v>
      </c>
      <c r="E3145" s="8">
        <v>1</v>
      </c>
      <c r="F3145" s="8" t="s">
        <v>22</v>
      </c>
      <c r="G3145" s="10" t="s">
        <v>6350</v>
      </c>
      <c r="H3145" s="8" t="s">
        <v>6351</v>
      </c>
      <c r="I3145" s="10" t="s">
        <v>6350</v>
      </c>
      <c r="J3145" s="11" t="s">
        <v>26</v>
      </c>
      <c r="K3145" s="57">
        <v>1674</v>
      </c>
      <c r="L3145" s="12">
        <f t="shared" si="259"/>
        <v>3100</v>
      </c>
      <c r="M3145" s="8">
        <v>1</v>
      </c>
      <c r="N3145" s="8" t="s">
        <v>27</v>
      </c>
      <c r="O3145" s="13"/>
      <c r="P3145" s="14">
        <v>0.2</v>
      </c>
      <c r="Q3145" s="15">
        <v>0.35194918173987938</v>
      </c>
      <c r="R3145" s="16" t="str">
        <f t="shared" si="260"/>
        <v>LUTRON</v>
      </c>
      <c r="S3145" s="17"/>
      <c r="T3145" s="10" t="str">
        <f t="shared" si="258"/>
        <v xml:space="preserve">PANEL DE CONTROL CON DOS LAZOS ECOSYSTEM DE 64 DIRECCIONES. </v>
      </c>
    </row>
    <row r="3146" spans="1:20" ht="27" customHeight="1" x14ac:dyDescent="0.25">
      <c r="A3146" s="8" t="s">
        <v>5672</v>
      </c>
      <c r="B3146" s="9" t="s">
        <v>5666</v>
      </c>
      <c r="C3146" s="9"/>
      <c r="D3146" s="8" t="s">
        <v>5909</v>
      </c>
      <c r="E3146" s="8">
        <v>1</v>
      </c>
      <c r="F3146" s="8" t="s">
        <v>22</v>
      </c>
      <c r="G3146" s="10" t="s">
        <v>6352</v>
      </c>
      <c r="H3146" s="8" t="s">
        <v>6353</v>
      </c>
      <c r="I3146" s="10" t="s">
        <v>6352</v>
      </c>
      <c r="J3146" s="11" t="s">
        <v>26</v>
      </c>
      <c r="K3146" s="57">
        <v>604.79999999999995</v>
      </c>
      <c r="L3146" s="12">
        <f t="shared" si="259"/>
        <v>1120</v>
      </c>
      <c r="M3146" s="8">
        <v>1</v>
      </c>
      <c r="N3146" s="8" t="s">
        <v>27</v>
      </c>
      <c r="O3146" s="13"/>
      <c r="P3146" s="14">
        <v>0.2</v>
      </c>
      <c r="Q3146" s="15">
        <v>0.35194918173987938</v>
      </c>
      <c r="R3146" s="16" t="str">
        <f t="shared" si="260"/>
        <v>LUTRON</v>
      </c>
      <c r="S3146" s="17"/>
      <c r="T3146" s="10" t="str">
        <f t="shared" si="258"/>
        <v xml:space="preserve">PANEL DE CONTROL CON DOS LAZOS DALÍ DE 64 DIRECCIONES. </v>
      </c>
    </row>
    <row r="3147" spans="1:20" ht="27" customHeight="1" x14ac:dyDescent="0.25">
      <c r="A3147" s="8" t="s">
        <v>5672</v>
      </c>
      <c r="B3147" s="9" t="s">
        <v>5666</v>
      </c>
      <c r="C3147" s="9"/>
      <c r="D3147" s="8" t="s">
        <v>5909</v>
      </c>
      <c r="E3147" s="8">
        <v>1</v>
      </c>
      <c r="F3147" s="8" t="s">
        <v>22</v>
      </c>
      <c r="G3147" s="10" t="s">
        <v>6354</v>
      </c>
      <c r="H3147" s="8" t="s">
        <v>6355</v>
      </c>
      <c r="I3147" s="10" t="s">
        <v>6354</v>
      </c>
      <c r="J3147" s="11" t="s">
        <v>26</v>
      </c>
      <c r="K3147" s="57">
        <v>350</v>
      </c>
      <c r="L3147" s="12">
        <f t="shared" si="259"/>
        <v>700</v>
      </c>
      <c r="M3147" s="8">
        <v>1</v>
      </c>
      <c r="N3147" s="8" t="s">
        <v>27</v>
      </c>
      <c r="O3147" s="13"/>
      <c r="P3147" s="14">
        <v>0.2</v>
      </c>
      <c r="Q3147" s="15">
        <v>0.4</v>
      </c>
      <c r="R3147" s="16" t="str">
        <f t="shared" si="260"/>
        <v>LUTRON</v>
      </c>
      <c r="S3147" s="17"/>
      <c r="T3147" s="10" t="str">
        <f t="shared" si="258"/>
        <v>INTERFAZ PARA CONTROL MEDIANTE PROTOCOLO DMX.</v>
      </c>
    </row>
    <row r="3148" spans="1:20" ht="27" customHeight="1" x14ac:dyDescent="0.25">
      <c r="A3148" s="8" t="s">
        <v>5672</v>
      </c>
      <c r="B3148" s="9" t="s">
        <v>5666</v>
      </c>
      <c r="C3148" s="9"/>
      <c r="D3148" s="8" t="s">
        <v>5909</v>
      </c>
      <c r="E3148" s="8">
        <v>1</v>
      </c>
      <c r="F3148" s="8" t="s">
        <v>22</v>
      </c>
      <c r="G3148" s="10" t="s">
        <v>6356</v>
      </c>
      <c r="H3148" s="8" t="s">
        <v>6347</v>
      </c>
      <c r="I3148" s="10" t="s">
        <v>6356</v>
      </c>
      <c r="J3148" s="11" t="s">
        <v>26</v>
      </c>
      <c r="K3148" s="57">
        <f>98/2</f>
        <v>49</v>
      </c>
      <c r="L3148" s="12">
        <f t="shared" si="259"/>
        <v>98</v>
      </c>
      <c r="M3148" s="8">
        <v>1</v>
      </c>
      <c r="N3148" s="8" t="s">
        <v>27</v>
      </c>
      <c r="O3148" s="13"/>
      <c r="P3148" s="14">
        <v>0.2</v>
      </c>
      <c r="Q3148" s="15">
        <v>0.4</v>
      </c>
      <c r="R3148" s="16" t="str">
        <f t="shared" si="260"/>
        <v>LUTRON</v>
      </c>
      <c r="S3148" s="17"/>
      <c r="T3148" s="10" t="str">
        <f t="shared" si="258"/>
        <v>DRIVER PARA LUMINARIAS SOFT DIM</v>
      </c>
    </row>
    <row r="3149" spans="1:20" ht="27" customHeight="1" x14ac:dyDescent="0.25">
      <c r="A3149" s="8" t="s">
        <v>5672</v>
      </c>
      <c r="B3149" s="9"/>
      <c r="C3149" s="9"/>
      <c r="D3149" s="8"/>
      <c r="E3149" s="8"/>
      <c r="F3149" s="8" t="s">
        <v>22</v>
      </c>
      <c r="G3149" s="10" t="s">
        <v>6357</v>
      </c>
      <c r="H3149" s="8" t="s">
        <v>6358</v>
      </c>
      <c r="I3149" s="10" t="s">
        <v>6357</v>
      </c>
      <c r="J3149" s="11" t="s">
        <v>26</v>
      </c>
      <c r="K3149" s="57">
        <v>160</v>
      </c>
      <c r="L3149" s="12">
        <f t="shared" si="259"/>
        <v>320</v>
      </c>
      <c r="M3149" s="8">
        <v>1</v>
      </c>
      <c r="N3149" s="8" t="s">
        <v>27</v>
      </c>
      <c r="O3149" s="13"/>
      <c r="P3149" s="14">
        <v>0.2</v>
      </c>
      <c r="Q3149" s="15">
        <v>0.4</v>
      </c>
      <c r="R3149" s="16" t="str">
        <f t="shared" si="260"/>
        <v>LUTRON</v>
      </c>
      <c r="S3149" s="17"/>
      <c r="T3149" s="10" t="str">
        <f t="shared" si="258"/>
        <v>INTERFAZ PARA PROGRAMACIÓN DE SISTEMAS ENERGY SAVR</v>
      </c>
    </row>
    <row r="3150" spans="1:20" ht="27" customHeight="1" x14ac:dyDescent="0.25">
      <c r="A3150" s="8" t="s">
        <v>5672</v>
      </c>
      <c r="B3150" s="9"/>
      <c r="C3150" s="9"/>
      <c r="D3150" s="8"/>
      <c r="E3150" s="8"/>
      <c r="F3150" s="8" t="s">
        <v>22</v>
      </c>
      <c r="G3150" s="10" t="s">
        <v>6359</v>
      </c>
      <c r="H3150" s="8" t="s">
        <v>6360</v>
      </c>
      <c r="I3150" s="10" t="s">
        <v>6359</v>
      </c>
      <c r="J3150" s="11" t="s">
        <v>26</v>
      </c>
      <c r="K3150" s="57">
        <v>325</v>
      </c>
      <c r="L3150" s="12">
        <f t="shared" si="259"/>
        <v>650</v>
      </c>
      <c r="M3150" s="8">
        <v>1</v>
      </c>
      <c r="N3150" s="8" t="s">
        <v>27</v>
      </c>
      <c r="O3150" s="13"/>
      <c r="P3150" s="14">
        <v>0.2</v>
      </c>
      <c r="Q3150" s="15">
        <v>0.4</v>
      </c>
      <c r="R3150" s="16" t="str">
        <f t="shared" si="260"/>
        <v>LUTRON</v>
      </c>
      <c r="S3150" s="17"/>
      <c r="T3150" s="10" t="str">
        <f t="shared" si="258"/>
        <v>INTERFAZ PARA CONTROL HORARIO EN SISTEMAS ENERGY SAVR.</v>
      </c>
    </row>
    <row r="3151" spans="1:20" ht="27" customHeight="1" x14ac:dyDescent="0.25">
      <c r="A3151" s="8" t="s">
        <v>5672</v>
      </c>
      <c r="B3151" s="9"/>
      <c r="C3151" s="9"/>
      <c r="D3151" s="8"/>
      <c r="E3151" s="8"/>
      <c r="F3151" s="8" t="s">
        <v>22</v>
      </c>
      <c r="G3151" s="10" t="s">
        <v>6361</v>
      </c>
      <c r="H3151" s="8" t="s">
        <v>6362</v>
      </c>
      <c r="I3151" s="10" t="s">
        <v>6361</v>
      </c>
      <c r="J3151" s="11" t="s">
        <v>26</v>
      </c>
      <c r="K3151" s="57">
        <v>175</v>
      </c>
      <c r="L3151" s="12">
        <f t="shared" si="259"/>
        <v>350</v>
      </c>
      <c r="M3151" s="8">
        <v>1</v>
      </c>
      <c r="N3151" s="8" t="s">
        <v>27</v>
      </c>
      <c r="O3151" s="13"/>
      <c r="P3151" s="14">
        <v>0.2</v>
      </c>
      <c r="Q3151" s="15">
        <v>0.4</v>
      </c>
      <c r="R3151" s="16" t="str">
        <f t="shared" si="260"/>
        <v>LUTRON</v>
      </c>
      <c r="S3151" s="17"/>
      <c r="T3151" s="10" t="str">
        <f t="shared" si="258"/>
        <v>INTERFAZ PARA INTEGRACIÓN DE SISTEMAS MEDIANTE CONTACTO SECO.</v>
      </c>
    </row>
    <row r="3152" spans="1:20" ht="27" customHeight="1" x14ac:dyDescent="0.25">
      <c r="A3152" s="8" t="s">
        <v>5672</v>
      </c>
      <c r="B3152" s="9"/>
      <c r="C3152" s="9"/>
      <c r="D3152" s="8"/>
      <c r="E3152" s="8"/>
      <c r="F3152" s="8" t="s">
        <v>22</v>
      </c>
      <c r="G3152" s="10" t="s">
        <v>6363</v>
      </c>
      <c r="H3152" s="8" t="s">
        <v>6364</v>
      </c>
      <c r="I3152" s="10" t="s">
        <v>6363</v>
      </c>
      <c r="J3152" s="11" t="s">
        <v>26</v>
      </c>
      <c r="K3152" s="57">
        <v>23.1</v>
      </c>
      <c r="L3152" s="12">
        <f t="shared" si="259"/>
        <v>47</v>
      </c>
      <c r="M3152" s="8">
        <v>1</v>
      </c>
      <c r="N3152" s="8" t="s">
        <v>27</v>
      </c>
      <c r="O3152" s="13"/>
      <c r="P3152" s="14">
        <v>0.2</v>
      </c>
      <c r="Q3152" s="15">
        <v>0.4</v>
      </c>
      <c r="R3152" s="16" t="str">
        <f t="shared" si="260"/>
        <v>LUTRON</v>
      </c>
      <c r="S3152" s="17"/>
      <c r="T3152" s="10" t="str">
        <f t="shared" si="258"/>
        <v>INTERRUPTOR DIGITAL DE LA LÍNEA MAESTRO DE LUTRON</v>
      </c>
    </row>
    <row r="3153" spans="1:20" ht="27" customHeight="1" x14ac:dyDescent="0.25">
      <c r="A3153" s="8" t="s">
        <v>5672</v>
      </c>
      <c r="B3153" s="9"/>
      <c r="C3153" s="9"/>
      <c r="D3153" s="8"/>
      <c r="E3153" s="8"/>
      <c r="F3153" s="8" t="s">
        <v>22</v>
      </c>
      <c r="G3153" s="10" t="s">
        <v>6365</v>
      </c>
      <c r="H3153" s="8" t="s">
        <v>6366</v>
      </c>
      <c r="I3153" s="10" t="s">
        <v>6365</v>
      </c>
      <c r="J3153" s="11" t="s">
        <v>26</v>
      </c>
      <c r="K3153" s="57">
        <v>3360</v>
      </c>
      <c r="L3153" s="12">
        <f t="shared" si="259"/>
        <v>6720</v>
      </c>
      <c r="M3153" s="8">
        <v>1</v>
      </c>
      <c r="N3153" s="8" t="s">
        <v>27</v>
      </c>
      <c r="O3153" s="13"/>
      <c r="P3153" s="14">
        <v>0.2</v>
      </c>
      <c r="Q3153" s="15">
        <v>0.4</v>
      </c>
      <c r="R3153" s="16" t="str">
        <f t="shared" si="260"/>
        <v>LUTRON</v>
      </c>
      <c r="S3153" s="17"/>
      <c r="T3153" s="10" t="str">
        <f t="shared" si="258"/>
        <v>PROCESADOR LUTRON HOMEWORKS SERIE 4 CON LINK DE CONEXIÓN HIBRIDA.</v>
      </c>
    </row>
    <row r="3154" spans="1:20" ht="27" customHeight="1" x14ac:dyDescent="0.25">
      <c r="A3154" s="8" t="s">
        <v>5672</v>
      </c>
      <c r="B3154" s="9"/>
      <c r="C3154" s="9"/>
      <c r="D3154" s="8"/>
      <c r="E3154" s="8"/>
      <c r="F3154" s="8" t="s">
        <v>22</v>
      </c>
      <c r="G3154" s="10" t="s">
        <v>6367</v>
      </c>
      <c r="H3154" s="8" t="s">
        <v>6368</v>
      </c>
      <c r="I3154" s="10" t="s">
        <v>6369</v>
      </c>
      <c r="J3154" s="11" t="s">
        <v>26</v>
      </c>
      <c r="K3154" s="57">
        <v>110</v>
      </c>
      <c r="L3154" s="12">
        <f t="shared" si="259"/>
        <v>200</v>
      </c>
      <c r="M3154" s="8">
        <v>1</v>
      </c>
      <c r="N3154" s="8" t="s">
        <v>27</v>
      </c>
      <c r="O3154" s="13"/>
      <c r="P3154" s="14">
        <v>0.2</v>
      </c>
      <c r="Q3154" s="15">
        <v>0.33880701754385972</v>
      </c>
      <c r="R3154" s="16" t="str">
        <f t="shared" si="260"/>
        <v>LUTRON</v>
      </c>
      <c r="S3154" s="17"/>
      <c r="T3154" s="10" t="str">
        <f t="shared" si="258"/>
        <v>KIT DE CONTROL CON: 1 CONTROLADOR L-BDGPRO2-WH, 1 DIMMER PD-6WCL-WH.</v>
      </c>
    </row>
    <row r="3155" spans="1:20" ht="27" customHeight="1" x14ac:dyDescent="0.25">
      <c r="A3155" s="8" t="s">
        <v>5672</v>
      </c>
      <c r="B3155" s="9"/>
      <c r="C3155" s="9"/>
      <c r="D3155" s="8"/>
      <c r="E3155" s="8"/>
      <c r="F3155" s="8" t="s">
        <v>22</v>
      </c>
      <c r="G3155" s="10" t="s">
        <v>6370</v>
      </c>
      <c r="H3155" s="8" t="s">
        <v>6371</v>
      </c>
      <c r="I3155" s="10" t="s">
        <v>6370</v>
      </c>
      <c r="J3155" s="11" t="s">
        <v>26</v>
      </c>
      <c r="K3155" s="57">
        <v>23.5</v>
      </c>
      <c r="L3155" s="12">
        <f t="shared" si="259"/>
        <v>47</v>
      </c>
      <c r="M3155" s="8">
        <v>1</v>
      </c>
      <c r="N3155" s="8" t="s">
        <v>27</v>
      </c>
      <c r="O3155" s="13"/>
      <c r="P3155" s="14">
        <v>0.2</v>
      </c>
      <c r="Q3155" s="15">
        <v>0.4</v>
      </c>
      <c r="R3155" s="16" t="str">
        <f t="shared" si="260"/>
        <v>LUTRON</v>
      </c>
      <c r="S3155" s="17"/>
      <c r="T3155" s="10" t="str">
        <f t="shared" si="258"/>
        <v>DIMMER DE LA LÍNEA DIVA EN COLOR BLANCO MATE</v>
      </c>
    </row>
    <row r="3156" spans="1:20" ht="27" customHeight="1" x14ac:dyDescent="0.25">
      <c r="A3156" s="8" t="s">
        <v>5672</v>
      </c>
      <c r="B3156" s="9"/>
      <c r="C3156" s="9"/>
      <c r="D3156" s="8"/>
      <c r="E3156" s="8"/>
      <c r="F3156" s="8" t="s">
        <v>22</v>
      </c>
      <c r="G3156" s="10" t="s">
        <v>6372</v>
      </c>
      <c r="H3156" s="8" t="s">
        <v>6373</v>
      </c>
      <c r="I3156" s="10" t="s">
        <v>6372</v>
      </c>
      <c r="J3156" s="11" t="s">
        <v>26</v>
      </c>
      <c r="K3156" s="57">
        <v>10.1</v>
      </c>
      <c r="L3156" s="12">
        <f>K3156*(1+P3156)/(1-Q3156)</f>
        <v>20.2</v>
      </c>
      <c r="M3156" s="8">
        <v>1</v>
      </c>
      <c r="N3156" s="8" t="s">
        <v>27</v>
      </c>
      <c r="O3156" s="13"/>
      <c r="P3156" s="14">
        <v>0.2</v>
      </c>
      <c r="Q3156" s="15">
        <v>0.4</v>
      </c>
      <c r="R3156" s="16" t="str">
        <f t="shared" si="260"/>
        <v>LUTRON</v>
      </c>
      <c r="S3156" s="17"/>
      <c r="T3156" s="10" t="str">
        <f t="shared" si="258"/>
        <v>DIMMER DE LA LÍNEA DIVA EN COLOR BLANCO MATE.</v>
      </c>
    </row>
    <row r="3157" spans="1:20" ht="27" customHeight="1" x14ac:dyDescent="0.25">
      <c r="A3157" s="8" t="s">
        <v>5672</v>
      </c>
      <c r="B3157" s="9"/>
      <c r="C3157" s="9"/>
      <c r="D3157" s="8"/>
      <c r="E3157" s="8"/>
      <c r="F3157" s="8" t="s">
        <v>22</v>
      </c>
      <c r="G3157" s="10" t="s">
        <v>6374</v>
      </c>
      <c r="H3157" s="8" t="s">
        <v>6375</v>
      </c>
      <c r="I3157" s="10" t="s">
        <v>6374</v>
      </c>
      <c r="J3157" s="11" t="s">
        <v>26</v>
      </c>
      <c r="K3157" s="57">
        <v>6.85</v>
      </c>
      <c r="L3157" s="12">
        <f>K3157*(1+P3157)/(1-Q3157)</f>
        <v>13.7</v>
      </c>
      <c r="M3157" s="8">
        <v>1</v>
      </c>
      <c r="N3157" s="8" t="s">
        <v>27</v>
      </c>
      <c r="O3157" s="13"/>
      <c r="P3157" s="14">
        <v>0.2</v>
      </c>
      <c r="Q3157" s="15">
        <v>0.4</v>
      </c>
      <c r="R3157" s="16" t="str">
        <f t="shared" si="260"/>
        <v>LUTRON</v>
      </c>
      <c r="S3157" s="17"/>
      <c r="T3157" s="10" t="str">
        <f t="shared" si="258"/>
        <v>SALIDA COAXIAL BLANCO MATE.</v>
      </c>
    </row>
    <row r="3158" spans="1:20" ht="27" customHeight="1" x14ac:dyDescent="0.25">
      <c r="A3158" s="8" t="s">
        <v>5672</v>
      </c>
      <c r="B3158" s="9"/>
      <c r="C3158" s="9"/>
      <c r="D3158" s="8"/>
      <c r="E3158" s="8"/>
      <c r="F3158" s="8" t="s">
        <v>22</v>
      </c>
      <c r="G3158" s="10" t="s">
        <v>6376</v>
      </c>
      <c r="H3158" s="8" t="s">
        <v>6377</v>
      </c>
      <c r="I3158" s="10" t="s">
        <v>6376</v>
      </c>
      <c r="J3158" s="11" t="s">
        <v>26</v>
      </c>
      <c r="K3158" s="57">
        <v>6.85</v>
      </c>
      <c r="L3158" s="12">
        <f>ROUNDUP(K3158*(1+P3158)/(1-Q3158),0)</f>
        <v>14</v>
      </c>
      <c r="M3158" s="8">
        <v>1</v>
      </c>
      <c r="N3158" s="8" t="s">
        <v>27</v>
      </c>
      <c r="O3158" s="13"/>
      <c r="P3158" s="14">
        <v>0.2</v>
      </c>
      <c r="Q3158" s="15">
        <v>0.4</v>
      </c>
      <c r="R3158" s="16" t="str">
        <f t="shared" si="260"/>
        <v>LUTRON</v>
      </c>
      <c r="S3158" s="17"/>
      <c r="T3158" s="10" t="str">
        <f t="shared" si="258"/>
        <v>SALIDA PARA LÍNEA TELEFÓNICA BLANCO MATE.</v>
      </c>
    </row>
    <row r="3159" spans="1:20" ht="27" customHeight="1" x14ac:dyDescent="0.25">
      <c r="A3159" s="8" t="s">
        <v>5672</v>
      </c>
      <c r="B3159" s="9"/>
      <c r="C3159" s="9"/>
      <c r="D3159" s="8"/>
      <c r="E3159" s="8"/>
      <c r="F3159" s="8" t="s">
        <v>22</v>
      </c>
      <c r="G3159" s="10" t="s">
        <v>6378</v>
      </c>
      <c r="H3159" s="8" t="s">
        <v>6379</v>
      </c>
      <c r="I3159" s="10" t="s">
        <v>6378</v>
      </c>
      <c r="J3159" s="11" t="s">
        <v>26</v>
      </c>
      <c r="K3159" s="57">
        <v>8.3000000000000007</v>
      </c>
      <c r="L3159" s="12">
        <f>K3159*(1+P3159)/(1-Q3159)</f>
        <v>16.600000000000001</v>
      </c>
      <c r="M3159" s="8">
        <v>1</v>
      </c>
      <c r="N3159" s="8" t="s">
        <v>27</v>
      </c>
      <c r="O3159" s="13"/>
      <c r="P3159" s="14">
        <v>0.2</v>
      </c>
      <c r="Q3159" s="15">
        <v>0.4</v>
      </c>
      <c r="R3159" s="16" t="str">
        <f t="shared" si="260"/>
        <v>LUTRON</v>
      </c>
      <c r="S3159" s="17"/>
      <c r="T3159" s="10" t="str">
        <f t="shared" si="258"/>
        <v>TOMA CORRIENTE ELÉCTRICA DE 15 AMPERIOS BLANCO MATE.</v>
      </c>
    </row>
    <row r="3160" spans="1:20" ht="27" customHeight="1" x14ac:dyDescent="0.25">
      <c r="A3160" s="8" t="s">
        <v>5672</v>
      </c>
      <c r="B3160" s="9"/>
      <c r="C3160" s="9"/>
      <c r="D3160" s="8"/>
      <c r="E3160" s="8"/>
      <c r="F3160" s="8" t="s">
        <v>22</v>
      </c>
      <c r="G3160" s="10" t="s">
        <v>6380</v>
      </c>
      <c r="H3160" s="8" t="s">
        <v>6381</v>
      </c>
      <c r="I3160" s="10" t="s">
        <v>6382</v>
      </c>
      <c r="J3160" s="11" t="s">
        <v>26</v>
      </c>
      <c r="K3160" s="57">
        <v>44.5</v>
      </c>
      <c r="L3160" s="12">
        <f>K3160*(1+P3160)/(1-Q3160)</f>
        <v>89</v>
      </c>
      <c r="M3160" s="8">
        <v>1</v>
      </c>
      <c r="N3160" s="8" t="s">
        <v>27</v>
      </c>
      <c r="O3160" s="13"/>
      <c r="P3160" s="14">
        <v>0.2</v>
      </c>
      <c r="Q3160" s="15">
        <v>0.4</v>
      </c>
      <c r="R3160" s="16" t="str">
        <f t="shared" si="260"/>
        <v>LUTRON</v>
      </c>
      <c r="S3160" s="17"/>
      <c r="T3160" s="10" t="str">
        <f t="shared" si="258"/>
        <v>TOMA CORRIENTE ELÉCTRICA GFCI DE 15 AMPERIOS BLANCO MATE.</v>
      </c>
    </row>
    <row r="3161" spans="1:20" ht="27" customHeight="1" x14ac:dyDescent="0.25">
      <c r="A3161" s="8" t="s">
        <v>5672</v>
      </c>
      <c r="B3161" s="9"/>
      <c r="C3161" s="9"/>
      <c r="D3161" s="8"/>
      <c r="E3161" s="8"/>
      <c r="F3161" s="8" t="s">
        <v>22</v>
      </c>
      <c r="G3161" s="10" t="s">
        <v>6383</v>
      </c>
      <c r="H3161" s="8" t="s">
        <v>6384</v>
      </c>
      <c r="I3161" s="10" t="s">
        <v>6383</v>
      </c>
      <c r="J3161" s="11" t="s">
        <v>26</v>
      </c>
      <c r="K3161" s="57">
        <v>57.25</v>
      </c>
      <c r="L3161" s="12">
        <f>(K3161*(1+P3161)/(1-Q3161))</f>
        <v>114.50000000000001</v>
      </c>
      <c r="M3161" s="8">
        <v>1</v>
      </c>
      <c r="N3161" s="8" t="s">
        <v>27</v>
      </c>
      <c r="O3161" s="13"/>
      <c r="P3161" s="14">
        <v>0.2</v>
      </c>
      <c r="Q3161" s="15">
        <v>0.4</v>
      </c>
      <c r="R3161" s="16" t="str">
        <f t="shared" si="260"/>
        <v>LUTRON</v>
      </c>
      <c r="S3161" s="17"/>
      <c r="T3161" s="10" t="str">
        <f t="shared" si="258"/>
        <v>TOMA CORRIENTE DE 15 AMPERIOS CON CARGADOR USB</v>
      </c>
    </row>
    <row r="3162" spans="1:20" ht="27" customHeight="1" x14ac:dyDescent="0.25">
      <c r="A3162" s="8" t="s">
        <v>5672</v>
      </c>
      <c r="B3162" s="9"/>
      <c r="C3162" s="9"/>
      <c r="D3162" s="8"/>
      <c r="E3162" s="8"/>
      <c r="F3162" s="8" t="s">
        <v>22</v>
      </c>
      <c r="G3162" s="10" t="s">
        <v>6385</v>
      </c>
      <c r="H3162" s="8" t="s">
        <v>6386</v>
      </c>
      <c r="I3162" s="10" t="s">
        <v>6385</v>
      </c>
      <c r="J3162" s="11" t="s">
        <v>26</v>
      </c>
      <c r="K3162" s="57">
        <v>95.4</v>
      </c>
      <c r="L3162" s="12">
        <f>ROUNDUP(K3162*(1+P3162)/(1-Q3162),0)</f>
        <v>159</v>
      </c>
      <c r="M3162" s="8">
        <v>1</v>
      </c>
      <c r="N3162" s="8" t="s">
        <v>27</v>
      </c>
      <c r="O3162" s="13"/>
      <c r="P3162" s="14">
        <v>0.2</v>
      </c>
      <c r="Q3162" s="15">
        <v>0.28000000000000003</v>
      </c>
      <c r="R3162" s="16" t="str">
        <f t="shared" si="260"/>
        <v>LUTRON</v>
      </c>
      <c r="S3162" s="17"/>
      <c r="T3162" s="10" t="str">
        <f t="shared" si="258"/>
        <v>DIMMER INALÁMBRICO EN COLOR BLANCO MATE.</v>
      </c>
    </row>
    <row r="3163" spans="1:20" ht="27" customHeight="1" x14ac:dyDescent="0.25">
      <c r="A3163" s="8" t="s">
        <v>5672</v>
      </c>
      <c r="B3163" s="9"/>
      <c r="C3163" s="9"/>
      <c r="D3163" s="8"/>
      <c r="E3163" s="8"/>
      <c r="F3163" s="8" t="s">
        <v>22</v>
      </c>
      <c r="G3163" s="10" t="s">
        <v>6387</v>
      </c>
      <c r="H3163" s="8" t="s">
        <v>6388</v>
      </c>
      <c r="I3163" s="10" t="s">
        <v>6387</v>
      </c>
      <c r="J3163" s="11" t="s">
        <v>26</v>
      </c>
      <c r="K3163" s="57">
        <v>5.55</v>
      </c>
      <c r="L3163" s="12">
        <f>K3163*(1+P3163)/(1-Q3163)</f>
        <v>11.1</v>
      </c>
      <c r="M3163" s="8">
        <v>1</v>
      </c>
      <c r="N3163" s="8" t="s">
        <v>27</v>
      </c>
      <c r="O3163" s="13"/>
      <c r="P3163" s="14">
        <v>0.2</v>
      </c>
      <c r="Q3163" s="15">
        <v>0.4</v>
      </c>
      <c r="R3163" s="16" t="str">
        <f t="shared" si="260"/>
        <v>LUTRON</v>
      </c>
      <c r="S3163" s="17"/>
      <c r="T3163" s="10" t="str">
        <f t="shared" si="258"/>
        <v>TAPA DECORATIVA EN COLOR BLANCO MATE.</v>
      </c>
    </row>
    <row r="3164" spans="1:20" ht="27" customHeight="1" x14ac:dyDescent="0.25">
      <c r="A3164" s="8" t="s">
        <v>5672</v>
      </c>
      <c r="B3164" s="9"/>
      <c r="C3164" s="9"/>
      <c r="D3164" s="8"/>
      <c r="E3164" s="8"/>
      <c r="F3164" s="8" t="s">
        <v>22</v>
      </c>
      <c r="G3164" s="10" t="s">
        <v>6389</v>
      </c>
      <c r="H3164" s="8" t="s">
        <v>6390</v>
      </c>
      <c r="I3164" s="10" t="s">
        <v>6389</v>
      </c>
      <c r="J3164" s="11" t="s">
        <v>26</v>
      </c>
      <c r="K3164" s="57">
        <v>8.1999999999999993</v>
      </c>
      <c r="L3164" s="12">
        <f>K3164*(1+P3164)/(1-Q3164)</f>
        <v>16.200006217120535</v>
      </c>
      <c r="M3164" s="8">
        <v>1</v>
      </c>
      <c r="N3164" s="8" t="s">
        <v>27</v>
      </c>
      <c r="O3164" s="13"/>
      <c r="P3164" s="14">
        <v>0.2</v>
      </c>
      <c r="Q3164" s="15">
        <v>0.39259282569898879</v>
      </c>
      <c r="R3164" s="16" t="str">
        <f t="shared" si="260"/>
        <v>LUTRON</v>
      </c>
      <c r="S3164" s="17"/>
      <c r="T3164" s="10" t="str">
        <f t="shared" si="258"/>
        <v>TAPA DECORATIVA DOBLE EN COLOR BLANCO MATE.</v>
      </c>
    </row>
    <row r="3165" spans="1:20" ht="27" customHeight="1" x14ac:dyDescent="0.25">
      <c r="A3165" s="8" t="s">
        <v>5672</v>
      </c>
      <c r="B3165" s="9"/>
      <c r="C3165" s="9"/>
      <c r="D3165" s="8"/>
      <c r="E3165" s="8"/>
      <c r="F3165" s="8" t="s">
        <v>22</v>
      </c>
      <c r="G3165" s="10" t="s">
        <v>6391</v>
      </c>
      <c r="H3165" s="8" t="s">
        <v>6392</v>
      </c>
      <c r="I3165" s="10" t="s">
        <v>6391</v>
      </c>
      <c r="J3165" s="11" t="s">
        <v>26</v>
      </c>
      <c r="K3165" s="57">
        <v>10.6</v>
      </c>
      <c r="L3165" s="12">
        <f>K3165*(1+P3165)/(1-Q3165)</f>
        <v>21.2</v>
      </c>
      <c r="M3165" s="8">
        <v>1</v>
      </c>
      <c r="N3165" s="8" t="s">
        <v>27</v>
      </c>
      <c r="O3165" s="13"/>
      <c r="P3165" s="14">
        <v>0.2</v>
      </c>
      <c r="Q3165" s="15">
        <v>0.4</v>
      </c>
      <c r="R3165" s="16" t="str">
        <f t="shared" si="260"/>
        <v>LUTRON</v>
      </c>
      <c r="S3165" s="17"/>
      <c r="T3165" s="10" t="str">
        <f t="shared" si="258"/>
        <v>TAPA DECORATIVA TRIPLE EN COLOR BLANCO MATE.</v>
      </c>
    </row>
    <row r="3166" spans="1:20" ht="27" customHeight="1" x14ac:dyDescent="0.25">
      <c r="A3166" s="8" t="s">
        <v>5672</v>
      </c>
      <c r="B3166" s="9"/>
      <c r="C3166" s="9"/>
      <c r="D3166" s="8"/>
      <c r="E3166" s="8"/>
      <c r="F3166" s="8" t="s">
        <v>22</v>
      </c>
      <c r="G3166" s="10" t="s">
        <v>6393</v>
      </c>
      <c r="H3166" s="8" t="s">
        <v>6394</v>
      </c>
      <c r="I3166" s="10" t="s">
        <v>6393</v>
      </c>
      <c r="J3166" s="11" t="s">
        <v>26</v>
      </c>
      <c r="K3166" s="57">
        <v>13.1</v>
      </c>
      <c r="L3166" s="12">
        <f>K3166*(1+P3166)/(1-Q3166)</f>
        <v>26.2</v>
      </c>
      <c r="M3166" s="8">
        <v>1</v>
      </c>
      <c r="N3166" s="8" t="s">
        <v>27</v>
      </c>
      <c r="O3166" s="13"/>
      <c r="P3166" s="14">
        <v>0.2</v>
      </c>
      <c r="Q3166" s="15">
        <v>0.4</v>
      </c>
      <c r="R3166" s="16" t="str">
        <f t="shared" si="260"/>
        <v>LUTRON</v>
      </c>
      <c r="S3166" s="17"/>
      <c r="T3166" s="10" t="str">
        <f t="shared" si="258"/>
        <v>TAPA DECORATIVA CUÁDRUPLE EN COLOR BLANCO MATE.</v>
      </c>
    </row>
    <row r="3167" spans="1:20" ht="27" customHeight="1" x14ac:dyDescent="0.25">
      <c r="A3167" s="8" t="s">
        <v>5672</v>
      </c>
      <c r="B3167" s="9"/>
      <c r="C3167" s="9"/>
      <c r="D3167" s="8"/>
      <c r="E3167" s="8"/>
      <c r="F3167" s="8" t="s">
        <v>22</v>
      </c>
      <c r="G3167" s="10" t="s">
        <v>6395</v>
      </c>
      <c r="H3167" s="8" t="s">
        <v>6396</v>
      </c>
      <c r="I3167" s="10" t="s">
        <v>6395</v>
      </c>
      <c r="J3167" s="11" t="s">
        <v>26</v>
      </c>
      <c r="K3167" s="57">
        <v>68</v>
      </c>
      <c r="L3167" s="12">
        <f>ROUNDUP(K3167*(1+P3167)/(1-Q3167),0)</f>
        <v>136</v>
      </c>
      <c r="M3167" s="8">
        <v>1</v>
      </c>
      <c r="N3167" s="8" t="s">
        <v>27</v>
      </c>
      <c r="O3167" s="13"/>
      <c r="P3167" s="14">
        <v>0.2</v>
      </c>
      <c r="Q3167" s="15">
        <v>0.4</v>
      </c>
      <c r="R3167" s="16" t="str">
        <f t="shared" si="260"/>
        <v>LUTRON</v>
      </c>
      <c r="S3167" s="17"/>
      <c r="T3167" s="10" t="str">
        <f t="shared" si="258"/>
        <v>DIMMER DE FASE ADAPTATIVA CON PILOTO Y NEUTRO. COLOR BLANCO MATE.</v>
      </c>
    </row>
    <row r="3168" spans="1:20" ht="27" customHeight="1" x14ac:dyDescent="0.25">
      <c r="A3168" s="8" t="s">
        <v>5672</v>
      </c>
      <c r="B3168" s="9"/>
      <c r="C3168" s="9"/>
      <c r="D3168" s="8"/>
      <c r="E3168" s="8"/>
      <c r="F3168" s="8" t="s">
        <v>22</v>
      </c>
      <c r="G3168" s="10" t="s">
        <v>6397</v>
      </c>
      <c r="H3168" s="8" t="s">
        <v>6398</v>
      </c>
      <c r="I3168" s="10" t="s">
        <v>6397</v>
      </c>
      <c r="J3168" s="11" t="s">
        <v>26</v>
      </c>
      <c r="K3168" s="57">
        <v>35</v>
      </c>
      <c r="L3168" s="12">
        <f>ROUNDUP(K3168*(1+P3168)/(1-Q3168),0)</f>
        <v>70</v>
      </c>
      <c r="M3168" s="8">
        <v>1</v>
      </c>
      <c r="N3168" s="8" t="s">
        <v>27</v>
      </c>
      <c r="O3168" s="13"/>
      <c r="P3168" s="14">
        <v>0.2</v>
      </c>
      <c r="Q3168" s="15">
        <v>0.4</v>
      </c>
      <c r="R3168" s="16" t="str">
        <f t="shared" si="260"/>
        <v>LUTRON</v>
      </c>
      <c r="S3168" s="17"/>
      <c r="T3168" s="10" t="str">
        <f t="shared" si="258"/>
        <v>BOTONERA CON MARCACIÓN LASER PARA UNIDAD GRAFIK EYE.</v>
      </c>
    </row>
    <row r="3169" spans="1:24" ht="27" customHeight="1" x14ac:dyDescent="0.25">
      <c r="A3169" s="8" t="s">
        <v>5672</v>
      </c>
      <c r="B3169" s="9" t="s">
        <v>5666</v>
      </c>
      <c r="C3169" s="9"/>
      <c r="D3169" s="8" t="s">
        <v>2057</v>
      </c>
      <c r="E3169" s="8">
        <v>31</v>
      </c>
      <c r="F3169" s="8" t="s">
        <v>22</v>
      </c>
      <c r="G3169" s="10" t="s">
        <v>6399</v>
      </c>
      <c r="H3169" s="8" t="s">
        <v>6400</v>
      </c>
      <c r="I3169" s="10" t="s">
        <v>6401</v>
      </c>
      <c r="J3169" s="11" t="s">
        <v>26</v>
      </c>
      <c r="K3169" s="57">
        <v>26.5</v>
      </c>
      <c r="L3169" s="12">
        <f>ROUNDUP(K3169*(1+P3169)/(1-Q3169),0)</f>
        <v>53</v>
      </c>
      <c r="M3169" s="8">
        <v>1</v>
      </c>
      <c r="N3169" s="8" t="s">
        <v>27</v>
      </c>
      <c r="O3169" s="13"/>
      <c r="P3169" s="14">
        <v>0.2</v>
      </c>
      <c r="Q3169" s="15">
        <v>0.4</v>
      </c>
      <c r="R3169" s="16" t="str">
        <f t="shared" si="260"/>
        <v>LUTRON</v>
      </c>
      <c r="S3169" s="17"/>
      <c r="T3169" s="10" t="str">
        <f t="shared" si="258"/>
        <v>INTERRUPTOR CON SENSOR DE PRESENCIA</v>
      </c>
    </row>
    <row r="3170" spans="1:24" ht="27" customHeight="1" x14ac:dyDescent="0.25">
      <c r="A3170" s="8" t="s">
        <v>5672</v>
      </c>
      <c r="B3170" s="9"/>
      <c r="C3170" s="9"/>
      <c r="D3170" s="8"/>
      <c r="E3170" s="8"/>
      <c r="F3170" s="8" t="s">
        <v>22</v>
      </c>
      <c r="G3170" s="10" t="s">
        <v>6402</v>
      </c>
      <c r="H3170" s="8" t="s">
        <v>6403</v>
      </c>
      <c r="I3170" s="10" t="s">
        <v>6402</v>
      </c>
      <c r="J3170" s="11" t="s">
        <v>26</v>
      </c>
      <c r="K3170" s="57">
        <v>92.5</v>
      </c>
      <c r="L3170" s="12">
        <f>ROUNDUP(K3170*(1+P3170)/(1-Q3170),0)</f>
        <v>185</v>
      </c>
      <c r="M3170" s="8">
        <v>1</v>
      </c>
      <c r="N3170" s="8" t="s">
        <v>27</v>
      </c>
      <c r="O3170" s="13"/>
      <c r="P3170" s="14">
        <v>0.2</v>
      </c>
      <c r="Q3170" s="15">
        <v>0.4</v>
      </c>
      <c r="R3170" s="16" t="str">
        <f t="shared" si="260"/>
        <v>LUTRON</v>
      </c>
      <c r="S3170" s="17"/>
      <c r="T3170" s="10" t="str">
        <f t="shared" si="258"/>
        <v>BALASTRO ELECTRÓNICO DE ATENUACIÓN A 3 HILOS PARADOS TUBOS T5 DE 54 VATIOS.</v>
      </c>
    </row>
    <row r="3171" spans="1:24" ht="27" customHeight="1" x14ac:dyDescent="0.25">
      <c r="A3171" s="8" t="s">
        <v>5672</v>
      </c>
      <c r="B3171" s="9"/>
      <c r="C3171" s="9"/>
      <c r="D3171" s="8"/>
      <c r="E3171" s="8"/>
      <c r="F3171" s="8" t="s">
        <v>22</v>
      </c>
      <c r="G3171" s="10" t="s">
        <v>6404</v>
      </c>
      <c r="H3171" s="8" t="s">
        <v>6405</v>
      </c>
      <c r="I3171" s="10" t="s">
        <v>6404</v>
      </c>
      <c r="J3171" s="11" t="s">
        <v>26</v>
      </c>
      <c r="K3171" s="57">
        <v>380</v>
      </c>
      <c r="L3171" s="12">
        <f>K3171*(1+P3171)/(1-Q3171)</f>
        <v>760</v>
      </c>
      <c r="M3171" s="8">
        <v>1</v>
      </c>
      <c r="N3171" s="8" t="s">
        <v>27</v>
      </c>
      <c r="O3171" s="13"/>
      <c r="P3171" s="14">
        <v>0.2</v>
      </c>
      <c r="Q3171" s="15">
        <v>0.4</v>
      </c>
      <c r="R3171" s="16" t="str">
        <f t="shared" si="260"/>
        <v>LUTRON</v>
      </c>
      <c r="S3171" s="17"/>
      <c r="T3171" s="10" t="str">
        <f t="shared" si="258"/>
        <v>PANEL DE ATENUACIÓN DE 4 ZONAS, CON CARGAS HASTA DE UN AMPERIO.</v>
      </c>
      <c r="X3171">
        <f>324*1.2/0.8*4100</f>
        <v>1992600</v>
      </c>
    </row>
    <row r="3172" spans="1:24" ht="27" customHeight="1" x14ac:dyDescent="0.25">
      <c r="A3172" s="8" t="s">
        <v>5672</v>
      </c>
      <c r="B3172" s="9"/>
      <c r="C3172" s="9"/>
      <c r="D3172" s="8"/>
      <c r="E3172" s="8"/>
      <c r="F3172" s="8" t="s">
        <v>22</v>
      </c>
      <c r="G3172" s="10" t="s">
        <v>6406</v>
      </c>
      <c r="H3172" s="8" t="s">
        <v>6407</v>
      </c>
      <c r="I3172" s="10" t="s">
        <v>6406</v>
      </c>
      <c r="J3172" s="11" t="s">
        <v>26</v>
      </c>
      <c r="K3172" s="57">
        <v>431.2</v>
      </c>
      <c r="L3172" s="12">
        <f t="shared" ref="L3172:L3188" si="261">ROUNDUP(K3172*(1+P3172)/(1-Q3172),0)</f>
        <v>770</v>
      </c>
      <c r="M3172" s="8">
        <v>1</v>
      </c>
      <c r="N3172" s="8" t="s">
        <v>27</v>
      </c>
      <c r="O3172" s="13"/>
      <c r="P3172" s="14">
        <v>0.2</v>
      </c>
      <c r="Q3172" s="15">
        <v>0.32785636031649429</v>
      </c>
      <c r="R3172" s="16" t="str">
        <f t="shared" si="260"/>
        <v>LUTRON</v>
      </c>
      <c r="S3172" s="17"/>
      <c r="T3172" s="10" t="str">
        <f t="shared" si="258"/>
        <v>PANEL DE ATENUACIÓN DE 4 ZONAS, CON CARGAS HASTA DE DOS AMPERIOS.</v>
      </c>
    </row>
    <row r="3173" spans="1:24" ht="27" customHeight="1" x14ac:dyDescent="0.25">
      <c r="A3173" s="8" t="s">
        <v>5672</v>
      </c>
      <c r="B3173" s="9"/>
      <c r="C3173" s="9"/>
      <c r="D3173" s="8"/>
      <c r="E3173" s="8"/>
      <c r="F3173" s="8" t="s">
        <v>22</v>
      </c>
      <c r="G3173" s="10" t="s">
        <v>6408</v>
      </c>
      <c r="H3173" s="8" t="s">
        <v>6409</v>
      </c>
      <c r="I3173" s="10" t="s">
        <v>6408</v>
      </c>
      <c r="J3173" s="11" t="s">
        <v>26</v>
      </c>
      <c r="K3173" s="57">
        <v>168</v>
      </c>
      <c r="L3173" s="12">
        <f t="shared" si="261"/>
        <v>300</v>
      </c>
      <c r="M3173" s="8">
        <v>1</v>
      </c>
      <c r="N3173" s="8" t="s">
        <v>27</v>
      </c>
      <c r="O3173" s="13"/>
      <c r="P3173" s="14">
        <v>0.2</v>
      </c>
      <c r="Q3173" s="15">
        <v>0.32785636031649429</v>
      </c>
      <c r="R3173" s="16" t="str">
        <f t="shared" si="260"/>
        <v>LUTRON</v>
      </c>
      <c r="S3173" s="17"/>
      <c r="T3173" s="10" t="str">
        <f t="shared" si="258"/>
        <v>TABLERO ELÉCTRICO PARA INSTALACIÓN DE HASTA 4 MÓDULOS EN RIEL DIM</v>
      </c>
    </row>
    <row r="3174" spans="1:24" ht="27" customHeight="1" x14ac:dyDescent="0.25">
      <c r="A3174" s="8" t="s">
        <v>5672</v>
      </c>
      <c r="B3174" s="9"/>
      <c r="C3174" s="9"/>
      <c r="D3174" s="8"/>
      <c r="E3174" s="8"/>
      <c r="F3174" s="8" t="s">
        <v>22</v>
      </c>
      <c r="G3174" s="10" t="s">
        <v>6410</v>
      </c>
      <c r="H3174" s="8" t="s">
        <v>6411</v>
      </c>
      <c r="I3174" s="10" t="s">
        <v>6410</v>
      </c>
      <c r="J3174" s="11" t="s">
        <v>26</v>
      </c>
      <c r="K3174" s="57">
        <v>78.400000000000006</v>
      </c>
      <c r="L3174" s="12">
        <f t="shared" si="261"/>
        <v>140</v>
      </c>
      <c r="M3174" s="8">
        <v>1</v>
      </c>
      <c r="N3174" s="8" t="s">
        <v>27</v>
      </c>
      <c r="O3174" s="13"/>
      <c r="P3174" s="14">
        <v>0.2</v>
      </c>
      <c r="Q3174" s="15">
        <v>0.32785636031649429</v>
      </c>
      <c r="R3174" s="16" t="str">
        <f t="shared" si="260"/>
        <v>LUTRON</v>
      </c>
      <c r="S3174" s="17"/>
      <c r="T3174" s="10" t="str">
        <f t="shared" si="258"/>
        <v>BORNERA PARA LINK QS DE 4 EQUIPOS</v>
      </c>
    </row>
    <row r="3175" spans="1:24" ht="27" customHeight="1" x14ac:dyDescent="0.25">
      <c r="A3175" s="8" t="s">
        <v>5672</v>
      </c>
      <c r="B3175" s="9"/>
      <c r="C3175" s="9"/>
      <c r="D3175" s="8"/>
      <c r="E3175" s="8"/>
      <c r="F3175" s="8" t="s">
        <v>22</v>
      </c>
      <c r="G3175" s="10" t="s">
        <v>6412</v>
      </c>
      <c r="H3175" s="8" t="s">
        <v>6413</v>
      </c>
      <c r="I3175" s="10" t="s">
        <v>6412</v>
      </c>
      <c r="J3175" s="11" t="s">
        <v>26</v>
      </c>
      <c r="K3175" s="57">
        <v>182</v>
      </c>
      <c r="L3175" s="12">
        <f t="shared" si="261"/>
        <v>325</v>
      </c>
      <c r="M3175" s="8">
        <v>1</v>
      </c>
      <c r="N3175" s="8" t="s">
        <v>27</v>
      </c>
      <c r="O3175" s="13"/>
      <c r="P3175" s="14">
        <v>0.2</v>
      </c>
      <c r="Q3175" s="15">
        <v>0.32785636031649429</v>
      </c>
      <c r="R3175" s="16" t="str">
        <f t="shared" si="260"/>
        <v>LUTRON</v>
      </c>
      <c r="S3175" s="17"/>
      <c r="T3175" s="10" t="str">
        <f t="shared" si="258"/>
        <v>TECLADO DE 5 BOTONES EN COLOR BLANCO</v>
      </c>
    </row>
    <row r="3176" spans="1:24" ht="27" customHeight="1" x14ac:dyDescent="0.25">
      <c r="A3176" s="8" t="s">
        <v>5672</v>
      </c>
      <c r="B3176" s="9"/>
      <c r="C3176" s="9"/>
      <c r="D3176" s="8"/>
      <c r="E3176" s="8"/>
      <c r="F3176" s="8" t="s">
        <v>22</v>
      </c>
      <c r="G3176" s="10" t="s">
        <v>6414</v>
      </c>
      <c r="H3176" s="8" t="s">
        <v>6415</v>
      </c>
      <c r="I3176" s="10" t="s">
        <v>6414</v>
      </c>
      <c r="J3176" s="11" t="s">
        <v>26</v>
      </c>
      <c r="K3176" s="57">
        <v>50.93</v>
      </c>
      <c r="L3176" s="12">
        <f t="shared" si="261"/>
        <v>102</v>
      </c>
      <c r="M3176" s="8">
        <v>1</v>
      </c>
      <c r="N3176" s="8" t="s">
        <v>27</v>
      </c>
      <c r="O3176" s="13"/>
      <c r="P3176" s="14">
        <v>0.2</v>
      </c>
      <c r="Q3176" s="15">
        <v>0.4</v>
      </c>
      <c r="R3176" s="16" t="str">
        <f t="shared" si="260"/>
        <v>LUTRON</v>
      </c>
      <c r="S3176" s="17"/>
      <c r="T3176" s="10" t="str">
        <f t="shared" si="258"/>
        <v>DIMMER DE LA LÍNEA DIVA CON CONTROL 0-10VDV EN COLOR BLANCO.</v>
      </c>
    </row>
    <row r="3177" spans="1:24" ht="27" customHeight="1" x14ac:dyDescent="0.25">
      <c r="A3177" s="8" t="s">
        <v>5672</v>
      </c>
      <c r="B3177" s="9"/>
      <c r="C3177" s="9"/>
      <c r="D3177" s="8"/>
      <c r="E3177" s="8"/>
      <c r="F3177" s="8" t="s">
        <v>22</v>
      </c>
      <c r="G3177" s="10" t="s">
        <v>6416</v>
      </c>
      <c r="H3177" s="8" t="s">
        <v>6417</v>
      </c>
      <c r="I3177" s="10" t="s">
        <v>6416</v>
      </c>
      <c r="J3177" s="11" t="s">
        <v>26</v>
      </c>
      <c r="K3177" s="57">
        <v>69.5</v>
      </c>
      <c r="L3177" s="12">
        <f t="shared" si="261"/>
        <v>139</v>
      </c>
      <c r="M3177" s="8">
        <v>1</v>
      </c>
      <c r="N3177" s="8" t="s">
        <v>27</v>
      </c>
      <c r="O3177" s="13"/>
      <c r="P3177" s="14">
        <v>0.2</v>
      </c>
      <c r="Q3177" s="15">
        <v>0.4</v>
      </c>
      <c r="R3177" s="16" t="str">
        <f t="shared" si="260"/>
        <v>LUTRON</v>
      </c>
      <c r="S3177" s="17"/>
      <c r="T3177" s="10" t="str">
        <f t="shared" si="258"/>
        <v>DRIVER PROGRAMADO LED</v>
      </c>
    </row>
    <row r="3178" spans="1:24" ht="27" customHeight="1" x14ac:dyDescent="0.25">
      <c r="A3178" s="8" t="s">
        <v>5672</v>
      </c>
      <c r="B3178" s="9"/>
      <c r="C3178" s="9"/>
      <c r="D3178" s="8"/>
      <c r="E3178" s="8"/>
      <c r="F3178" s="8" t="s">
        <v>22</v>
      </c>
      <c r="G3178" s="10" t="s">
        <v>6418</v>
      </c>
      <c r="H3178" s="8" t="s">
        <v>6419</v>
      </c>
      <c r="I3178" s="10" t="s">
        <v>6418</v>
      </c>
      <c r="J3178" s="11" t="s">
        <v>26</v>
      </c>
      <c r="K3178" s="57">
        <v>302.39999999999998</v>
      </c>
      <c r="L3178" s="12">
        <f t="shared" si="261"/>
        <v>540</v>
      </c>
      <c r="M3178" s="8">
        <v>1</v>
      </c>
      <c r="N3178" s="8" t="s">
        <v>27</v>
      </c>
      <c r="O3178" s="13"/>
      <c r="P3178" s="14">
        <v>0.2</v>
      </c>
      <c r="Q3178" s="15">
        <v>0.32785636031649429</v>
      </c>
      <c r="R3178" s="16" t="str">
        <f t="shared" si="260"/>
        <v>LUTRON</v>
      </c>
      <c r="S3178" s="17"/>
      <c r="T3178" s="10" t="str">
        <f t="shared" si="258"/>
        <v>TECLADO HIBRIDO DE 6 BOTONES DE COLOR NEGRO. LÍNEA SEETOUCH.</v>
      </c>
    </row>
    <row r="3179" spans="1:24" ht="27" customHeight="1" x14ac:dyDescent="0.25">
      <c r="A3179" s="8" t="s">
        <v>5672</v>
      </c>
      <c r="B3179" s="9"/>
      <c r="C3179" s="9"/>
      <c r="D3179" s="8"/>
      <c r="E3179" s="8"/>
      <c r="F3179" s="8" t="s">
        <v>22</v>
      </c>
      <c r="G3179" s="10" t="s">
        <v>6420</v>
      </c>
      <c r="H3179" s="8" t="s">
        <v>6421</v>
      </c>
      <c r="I3179" s="10" t="s">
        <v>6420</v>
      </c>
      <c r="J3179" s="11" t="s">
        <v>26</v>
      </c>
      <c r="K3179" s="57">
        <v>302.39999999999998</v>
      </c>
      <c r="L3179" s="12">
        <f t="shared" si="261"/>
        <v>540</v>
      </c>
      <c r="M3179" s="8">
        <v>1</v>
      </c>
      <c r="N3179" s="8" t="s">
        <v>27</v>
      </c>
      <c r="O3179" s="13"/>
      <c r="P3179" s="14">
        <v>0.2</v>
      </c>
      <c r="Q3179" s="15">
        <v>0.32785636031649429</v>
      </c>
      <c r="R3179" s="16" t="str">
        <f t="shared" si="260"/>
        <v>LUTRON</v>
      </c>
      <c r="S3179" s="17"/>
      <c r="T3179" s="10" t="str">
        <f t="shared" si="258"/>
        <v>TECLADO DE 6 BOTONES DE COLOR NEGRO. LÍNEA SEETOUCH.</v>
      </c>
    </row>
    <row r="3180" spans="1:24" ht="27" customHeight="1" x14ac:dyDescent="0.25">
      <c r="A3180" s="8" t="s">
        <v>5672</v>
      </c>
      <c r="B3180" s="9"/>
      <c r="C3180" s="9"/>
      <c r="D3180" s="8"/>
      <c r="E3180" s="8"/>
      <c r="F3180" s="8" t="s">
        <v>22</v>
      </c>
      <c r="G3180" s="10" t="s">
        <v>6422</v>
      </c>
      <c r="H3180" s="8" t="s">
        <v>6423</v>
      </c>
      <c r="I3180" s="10" t="s">
        <v>6424</v>
      </c>
      <c r="J3180" s="11" t="s">
        <v>26</v>
      </c>
      <c r="K3180" s="57">
        <v>60</v>
      </c>
      <c r="L3180" s="12">
        <f t="shared" si="261"/>
        <v>100</v>
      </c>
      <c r="M3180" s="8">
        <v>1</v>
      </c>
      <c r="N3180" s="8" t="s">
        <v>27</v>
      </c>
      <c r="O3180" s="13"/>
      <c r="P3180" s="14">
        <v>0.2</v>
      </c>
      <c r="Q3180" s="15">
        <v>0.28000000000000003</v>
      </c>
      <c r="R3180" s="16" t="str">
        <f t="shared" si="260"/>
        <v>LUTRON</v>
      </c>
      <c r="S3180" s="17"/>
      <c r="T3180" s="10" t="str">
        <f t="shared" si="258"/>
        <v>PEDESTAL DE SOBRE PONER EN MESA PARA TRES MANDOS A DISTANCIA PICO.</v>
      </c>
    </row>
    <row r="3181" spans="1:24" ht="27" customHeight="1" x14ac:dyDescent="0.25">
      <c r="A3181" s="8" t="s">
        <v>5672</v>
      </c>
      <c r="B3181" s="9"/>
      <c r="C3181" s="9"/>
      <c r="D3181" s="8"/>
      <c r="E3181" s="8"/>
      <c r="F3181" s="8" t="s">
        <v>22</v>
      </c>
      <c r="G3181" s="10" t="s">
        <v>6425</v>
      </c>
      <c r="H3181" s="8" t="s">
        <v>6426</v>
      </c>
      <c r="I3181" s="10" t="s">
        <v>6427</v>
      </c>
      <c r="J3181" s="11" t="s">
        <v>26</v>
      </c>
      <c r="K3181" s="57">
        <v>16.02</v>
      </c>
      <c r="L3181" s="12">
        <f t="shared" si="261"/>
        <v>33</v>
      </c>
      <c r="M3181" s="8">
        <v>1</v>
      </c>
      <c r="N3181" s="8" t="s">
        <v>27</v>
      </c>
      <c r="O3181" s="13"/>
      <c r="P3181" s="14">
        <v>0.2</v>
      </c>
      <c r="Q3181" s="15">
        <v>0.4</v>
      </c>
      <c r="R3181" s="16" t="str">
        <f t="shared" si="260"/>
        <v>LUTRON</v>
      </c>
      <c r="S3181" s="17"/>
      <c r="T3181" s="10" t="str">
        <f t="shared" si="258"/>
        <v>TECLADO PICO EN COLOR BLANCO CON AJUSTADOR Y BOTÓN DE ESCENA FAVORITA.</v>
      </c>
    </row>
    <row r="3182" spans="1:24" ht="27" customHeight="1" x14ac:dyDescent="0.25">
      <c r="A3182" s="8" t="s">
        <v>5672</v>
      </c>
      <c r="B3182" s="9"/>
      <c r="C3182" s="9"/>
      <c r="D3182" s="8"/>
      <c r="E3182" s="8"/>
      <c r="F3182" s="8" t="s">
        <v>22</v>
      </c>
      <c r="G3182" s="10" t="s">
        <v>6428</v>
      </c>
      <c r="H3182" s="71" t="s">
        <v>6429</v>
      </c>
      <c r="I3182" s="10" t="s">
        <v>6430</v>
      </c>
      <c r="J3182" s="11" t="s">
        <v>26</v>
      </c>
      <c r="K3182" s="57">
        <v>450</v>
      </c>
      <c r="L3182" s="12">
        <f t="shared" si="261"/>
        <v>900</v>
      </c>
      <c r="M3182" s="8">
        <v>1</v>
      </c>
      <c r="N3182" s="8" t="s">
        <v>27</v>
      </c>
      <c r="O3182" s="13"/>
      <c r="P3182" s="14">
        <v>0.2</v>
      </c>
      <c r="Q3182" s="15">
        <v>0.4</v>
      </c>
      <c r="R3182" s="16" t="s">
        <v>6431</v>
      </c>
      <c r="S3182" s="17"/>
      <c r="T3182" s="10" t="str">
        <f t="shared" si="258"/>
        <v>MODULO SAVR PARA CONTROL DE DOS BUSES DE DATOS DALÍ HASTA 64 DISPOSITIVOS:</v>
      </c>
    </row>
    <row r="3183" spans="1:24" ht="27" customHeight="1" x14ac:dyDescent="0.25">
      <c r="A3183" s="8" t="s">
        <v>5672</v>
      </c>
      <c r="B3183" s="9"/>
      <c r="C3183" s="9"/>
      <c r="D3183" s="8"/>
      <c r="E3183" s="8"/>
      <c r="F3183" s="8" t="s">
        <v>22</v>
      </c>
      <c r="G3183" s="10" t="s">
        <v>6432</v>
      </c>
      <c r="H3183" s="8" t="s">
        <v>6433</v>
      </c>
      <c r="I3183" s="10" t="s">
        <v>6432</v>
      </c>
      <c r="J3183" s="11" t="s">
        <v>26</v>
      </c>
      <c r="K3183" s="57">
        <v>580</v>
      </c>
      <c r="L3183" s="12">
        <f t="shared" si="261"/>
        <v>1160</v>
      </c>
      <c r="M3183" s="8">
        <v>1</v>
      </c>
      <c r="N3183" s="8" t="s">
        <v>27</v>
      </c>
      <c r="O3183" s="13"/>
      <c r="P3183" s="14">
        <v>0.2</v>
      </c>
      <c r="Q3183" s="15">
        <v>0.4</v>
      </c>
      <c r="R3183" s="16" t="str">
        <f t="shared" ref="R3183:R3246" si="262">A3183</f>
        <v>LUTRON</v>
      </c>
      <c r="S3183" s="17"/>
      <c r="T3183" s="10" t="str">
        <f t="shared" si="258"/>
        <v>CONTROLADOR DE ILUMINACIÓN CON BUS DE DATOS DALÍ.</v>
      </c>
    </row>
    <row r="3184" spans="1:24" ht="27" customHeight="1" x14ac:dyDescent="0.25">
      <c r="A3184" s="8" t="s">
        <v>5672</v>
      </c>
      <c r="B3184" s="9"/>
      <c r="C3184" s="9"/>
      <c r="D3184" s="8"/>
      <c r="E3184" s="8"/>
      <c r="F3184" s="8" t="s">
        <v>22</v>
      </c>
      <c r="G3184" s="10" t="s">
        <v>6434</v>
      </c>
      <c r="H3184" s="8" t="s">
        <v>6435</v>
      </c>
      <c r="I3184" s="10" t="s">
        <v>6434</v>
      </c>
      <c r="J3184" s="11" t="s">
        <v>26</v>
      </c>
      <c r="K3184" s="57">
        <v>385</v>
      </c>
      <c r="L3184" s="12">
        <f t="shared" si="261"/>
        <v>770</v>
      </c>
      <c r="M3184" s="8">
        <v>1</v>
      </c>
      <c r="N3184" s="8" t="s">
        <v>27</v>
      </c>
      <c r="O3184" s="13"/>
      <c r="P3184" s="14">
        <v>0.2</v>
      </c>
      <c r="Q3184" s="15">
        <v>0.4</v>
      </c>
      <c r="R3184" s="16" t="str">
        <f t="shared" si="262"/>
        <v>LUTRON</v>
      </c>
      <c r="S3184" s="17"/>
      <c r="T3184" s="10" t="str">
        <f t="shared" si="258"/>
        <v>LICENCIA PARA INTEGRACIÓN DE SISTEMA QUANTUM MEDIANTE PROTOCOLO BACNET IP</v>
      </c>
    </row>
    <row r="3185" spans="1:20" ht="27" customHeight="1" x14ac:dyDescent="0.25">
      <c r="A3185" s="8" t="s">
        <v>5672</v>
      </c>
      <c r="B3185" s="9"/>
      <c r="C3185" s="9"/>
      <c r="D3185" s="8"/>
      <c r="E3185" s="8"/>
      <c r="F3185" s="8" t="s">
        <v>22</v>
      </c>
      <c r="G3185" s="10" t="s">
        <v>6436</v>
      </c>
      <c r="H3185" s="8" t="s">
        <v>6437</v>
      </c>
      <c r="I3185" s="10" t="s">
        <v>6436</v>
      </c>
      <c r="J3185" s="11" t="s">
        <v>26</v>
      </c>
      <c r="K3185" s="57">
        <v>52.5</v>
      </c>
      <c r="L3185" s="12">
        <f t="shared" si="261"/>
        <v>105</v>
      </c>
      <c r="M3185" s="8">
        <v>1</v>
      </c>
      <c r="N3185" s="8" t="s">
        <v>27</v>
      </c>
      <c r="O3185" s="13"/>
      <c r="P3185" s="14">
        <v>0.2</v>
      </c>
      <c r="Q3185" s="15">
        <v>0.4</v>
      </c>
      <c r="R3185" s="16" t="str">
        <f t="shared" si="262"/>
        <v>LUTRON</v>
      </c>
      <c r="S3185" s="17"/>
      <c r="T3185" s="10" t="str">
        <f t="shared" si="258"/>
        <v>CONTROL DE PARED TIPO DIMMER CON CONTROL 0-10V</v>
      </c>
    </row>
    <row r="3186" spans="1:20" ht="27" customHeight="1" x14ac:dyDescent="0.25">
      <c r="A3186" s="8" t="s">
        <v>5672</v>
      </c>
      <c r="B3186" s="9"/>
      <c r="C3186" s="9"/>
      <c r="D3186" s="8"/>
      <c r="E3186" s="8"/>
      <c r="F3186" s="8" t="s">
        <v>22</v>
      </c>
      <c r="G3186" s="10" t="s">
        <v>6052</v>
      </c>
      <c r="H3186" s="8" t="s">
        <v>6438</v>
      </c>
      <c r="I3186" s="10" t="s">
        <v>6439</v>
      </c>
      <c r="J3186" s="11" t="s">
        <v>26</v>
      </c>
      <c r="K3186" s="57">
        <v>740</v>
      </c>
      <c r="L3186" s="12">
        <f t="shared" si="261"/>
        <v>1480</v>
      </c>
      <c r="M3186" s="8">
        <v>1</v>
      </c>
      <c r="N3186" s="8" t="s">
        <v>27</v>
      </c>
      <c r="O3186" s="13"/>
      <c r="P3186" s="14">
        <v>0.2</v>
      </c>
      <c r="Q3186" s="15">
        <v>0.4</v>
      </c>
      <c r="R3186" s="16" t="str">
        <f t="shared" si="262"/>
        <v>LUTRON</v>
      </c>
      <c r="S3186" s="17"/>
      <c r="T3186" s="10" t="str">
        <f t="shared" si="258"/>
        <v>MODULO DE ATENUACIÓN DE 6 CANALES PARA CARGAS MAGNÉTICAS Y ELECTRÓNICAS.</v>
      </c>
    </row>
    <row r="3187" spans="1:20" ht="27" customHeight="1" x14ac:dyDescent="0.25">
      <c r="A3187" s="8" t="s">
        <v>5672</v>
      </c>
      <c r="B3187" s="9"/>
      <c r="C3187" s="9"/>
      <c r="D3187" s="8"/>
      <c r="E3187" s="8"/>
      <c r="F3187" s="8" t="s">
        <v>22</v>
      </c>
      <c r="G3187" s="10" t="s">
        <v>6440</v>
      </c>
      <c r="H3187" s="8" t="s">
        <v>6441</v>
      </c>
      <c r="I3187" s="10" t="s">
        <v>6440</v>
      </c>
      <c r="J3187" s="11" t="s">
        <v>26</v>
      </c>
      <c r="K3187" s="57">
        <v>203.4</v>
      </c>
      <c r="L3187" s="12">
        <f t="shared" si="261"/>
        <v>339</v>
      </c>
      <c r="M3187" s="8">
        <v>1</v>
      </c>
      <c r="N3187" s="8" t="s">
        <v>27</v>
      </c>
      <c r="O3187" s="13"/>
      <c r="P3187" s="14">
        <v>0.2</v>
      </c>
      <c r="Q3187" s="15">
        <v>0.28000000000000003</v>
      </c>
      <c r="R3187" s="16" t="str">
        <f t="shared" si="262"/>
        <v>LUTRON</v>
      </c>
      <c r="S3187" s="17"/>
      <c r="T3187" s="10" t="str">
        <f t="shared" si="258"/>
        <v>TECLADO RADIO RA2 DE 7 BOTONES</v>
      </c>
    </row>
    <row r="3188" spans="1:20" ht="27" customHeight="1" x14ac:dyDescent="0.25">
      <c r="A3188" s="8" t="s">
        <v>5672</v>
      </c>
      <c r="B3188" s="9"/>
      <c r="C3188" s="9"/>
      <c r="D3188" s="8"/>
      <c r="E3188" s="8"/>
      <c r="F3188" s="8" t="s">
        <v>22</v>
      </c>
      <c r="G3188" s="10" t="s">
        <v>6442</v>
      </c>
      <c r="H3188" s="8" t="s">
        <v>6443</v>
      </c>
      <c r="I3188" s="10" t="s">
        <v>6442</v>
      </c>
      <c r="J3188" s="11" t="s">
        <v>26</v>
      </c>
      <c r="K3188" s="57">
        <v>41.25</v>
      </c>
      <c r="L3188" s="12">
        <f t="shared" si="261"/>
        <v>82</v>
      </c>
      <c r="M3188" s="8">
        <v>1</v>
      </c>
      <c r="N3188" s="8" t="s">
        <v>27</v>
      </c>
      <c r="O3188" s="13"/>
      <c r="P3188" s="14">
        <v>0.2</v>
      </c>
      <c r="Q3188" s="15">
        <v>0.39600000000000002</v>
      </c>
      <c r="R3188" s="16" t="str">
        <f t="shared" si="262"/>
        <v>LUTRON</v>
      </c>
      <c r="S3188" s="17"/>
      <c r="T3188" s="10" t="str">
        <f t="shared" si="258"/>
        <v>INTERRUPTOR Y ATENUADOR DE PARED DE 300 VATIOS.</v>
      </c>
    </row>
    <row r="3189" spans="1:20" ht="27" customHeight="1" x14ac:dyDescent="0.25">
      <c r="A3189" s="8" t="s">
        <v>5672</v>
      </c>
      <c r="B3189" s="9"/>
      <c r="C3189" s="9"/>
      <c r="D3189" s="8"/>
      <c r="E3189" s="8"/>
      <c r="F3189" s="8" t="s">
        <v>22</v>
      </c>
      <c r="G3189" s="10" t="s">
        <v>6444</v>
      </c>
      <c r="H3189" s="8" t="s">
        <v>6445</v>
      </c>
      <c r="I3189" s="10" t="s">
        <v>6444</v>
      </c>
      <c r="J3189" s="11" t="s">
        <v>26</v>
      </c>
      <c r="K3189" s="57">
        <v>20.75</v>
      </c>
      <c r="L3189" s="12">
        <f>K3189*(1+P3189)/(1-Q3189)</f>
        <v>41.5</v>
      </c>
      <c r="M3189" s="8">
        <v>1</v>
      </c>
      <c r="N3189" s="8" t="s">
        <v>27</v>
      </c>
      <c r="O3189" s="13"/>
      <c r="P3189" s="14">
        <v>0.2</v>
      </c>
      <c r="Q3189" s="15">
        <v>0.4</v>
      </c>
      <c r="R3189" s="16" t="str">
        <f t="shared" si="262"/>
        <v>LUTRON</v>
      </c>
      <c r="S3189" s="17"/>
      <c r="T3189" s="10" t="str">
        <f t="shared" ref="T3189:T3250" si="263">G3189</f>
        <v>INTERRUPTOR CON SENSOR DE VACANCIA</v>
      </c>
    </row>
    <row r="3190" spans="1:20" ht="27" customHeight="1" x14ac:dyDescent="0.25">
      <c r="A3190" s="8" t="s">
        <v>5672</v>
      </c>
      <c r="B3190" s="9"/>
      <c r="C3190" s="9"/>
      <c r="D3190" s="8"/>
      <c r="E3190" s="8"/>
      <c r="F3190" s="8" t="s">
        <v>22</v>
      </c>
      <c r="G3190" s="10" t="s">
        <v>6446</v>
      </c>
      <c r="H3190" s="8" t="s">
        <v>6447</v>
      </c>
      <c r="I3190" s="10" t="s">
        <v>6446</v>
      </c>
      <c r="J3190" s="11" t="s">
        <v>26</v>
      </c>
      <c r="K3190" s="57">
        <v>119.4</v>
      </c>
      <c r="L3190" s="12">
        <f t="shared" ref="L3190:L3200" si="264">ROUNDUP(K3190*(1+P3190)/(1-Q3190),0)</f>
        <v>199</v>
      </c>
      <c r="M3190" s="8">
        <v>1</v>
      </c>
      <c r="N3190" s="8" t="s">
        <v>27</v>
      </c>
      <c r="O3190" s="13"/>
      <c r="P3190" s="14">
        <v>0.2</v>
      </c>
      <c r="Q3190" s="15">
        <v>0.28000000000000003</v>
      </c>
      <c r="R3190" s="16" t="str">
        <f t="shared" si="262"/>
        <v>LUTRON</v>
      </c>
      <c r="S3190" s="17"/>
      <c r="T3190" s="10" t="str">
        <f t="shared" si="263"/>
        <v>REPETIDORA AUXILIAR RADIO RA SELECT.</v>
      </c>
    </row>
    <row r="3191" spans="1:20" ht="27" customHeight="1" x14ac:dyDescent="0.25">
      <c r="A3191" s="8" t="s">
        <v>5672</v>
      </c>
      <c r="B3191" s="9"/>
      <c r="C3191" s="9"/>
      <c r="D3191" s="8"/>
      <c r="E3191" s="8"/>
      <c r="F3191" s="8" t="s">
        <v>22</v>
      </c>
      <c r="G3191" s="10" t="s">
        <v>6448</v>
      </c>
      <c r="H3191" s="8" t="s">
        <v>6449</v>
      </c>
      <c r="I3191" s="10" t="s">
        <v>6450</v>
      </c>
      <c r="J3191" s="11" t="s">
        <v>26</v>
      </c>
      <c r="K3191" s="57">
        <v>230.4</v>
      </c>
      <c r="L3191" s="12">
        <f t="shared" si="264"/>
        <v>384</v>
      </c>
      <c r="M3191" s="8">
        <v>1</v>
      </c>
      <c r="N3191" s="8" t="s">
        <v>27</v>
      </c>
      <c r="O3191" s="13"/>
      <c r="P3191" s="14">
        <v>0.2</v>
      </c>
      <c r="Q3191" s="15">
        <v>0.28000000000000003</v>
      </c>
      <c r="R3191" s="16" t="str">
        <f t="shared" si="262"/>
        <v>LUTRON</v>
      </c>
      <c r="S3191" s="17"/>
      <c r="T3191" s="10" t="str">
        <f t="shared" si="263"/>
        <v>MAIN REPEATER DE LA LÍNEA RADIO RA2 SELECT.</v>
      </c>
    </row>
    <row r="3192" spans="1:20" ht="27" customHeight="1" x14ac:dyDescent="0.25">
      <c r="A3192" s="8" t="s">
        <v>5672</v>
      </c>
      <c r="B3192" s="9" t="s">
        <v>5666</v>
      </c>
      <c r="C3192" s="9"/>
      <c r="D3192" s="8" t="s">
        <v>2057</v>
      </c>
      <c r="E3192" s="8">
        <v>31</v>
      </c>
      <c r="F3192" s="8" t="s">
        <v>22</v>
      </c>
      <c r="G3192" s="10" t="s">
        <v>6451</v>
      </c>
      <c r="H3192" s="8" t="s">
        <v>6452</v>
      </c>
      <c r="I3192" s="10" t="s">
        <v>6453</v>
      </c>
      <c r="J3192" s="11" t="s">
        <v>26</v>
      </c>
      <c r="K3192" s="57">
        <v>33.6</v>
      </c>
      <c r="L3192" s="12">
        <f t="shared" si="264"/>
        <v>68</v>
      </c>
      <c r="M3192" s="8">
        <v>1</v>
      </c>
      <c r="N3192" s="8" t="s">
        <v>27</v>
      </c>
      <c r="O3192" s="13"/>
      <c r="P3192" s="14">
        <v>0.2</v>
      </c>
      <c r="Q3192" s="15">
        <v>0.4</v>
      </c>
      <c r="R3192" s="16" t="str">
        <f t="shared" si="262"/>
        <v>LUTRON</v>
      </c>
      <c r="S3192" s="17"/>
      <c r="T3192" s="10" t="str">
        <f t="shared" si="263"/>
        <v>INTERRUPTOR DOBLE CON SENSOR DE OCUPACIÓN SIN REQUERIMIENTO DE NEUTRA.</v>
      </c>
    </row>
    <row r="3193" spans="1:20" ht="27" customHeight="1" x14ac:dyDescent="0.25">
      <c r="A3193" s="8" t="s">
        <v>5672</v>
      </c>
      <c r="B3193" s="9"/>
      <c r="C3193" s="9"/>
      <c r="D3193" s="8"/>
      <c r="E3193" s="8"/>
      <c r="F3193" s="8" t="s">
        <v>22</v>
      </c>
      <c r="G3193" s="10" t="s">
        <v>6454</v>
      </c>
      <c r="H3193" s="8" t="s">
        <v>6455</v>
      </c>
      <c r="I3193" s="10" t="s">
        <v>6456</v>
      </c>
      <c r="J3193" s="11" t="s">
        <v>26</v>
      </c>
      <c r="K3193" s="57">
        <v>74.099999999999994</v>
      </c>
      <c r="L3193" s="12">
        <f t="shared" si="264"/>
        <v>130</v>
      </c>
      <c r="M3193" s="8">
        <v>1</v>
      </c>
      <c r="N3193" s="8" t="s">
        <v>27</v>
      </c>
      <c r="O3193" s="13"/>
      <c r="P3193" s="14">
        <v>0.2</v>
      </c>
      <c r="Q3193" s="15">
        <v>0.31144000000000022</v>
      </c>
      <c r="R3193" s="16" t="str">
        <f t="shared" si="262"/>
        <v>LUTRON</v>
      </c>
      <c r="S3193" s="17"/>
      <c r="T3193" s="10" t="str">
        <f t="shared" si="263"/>
        <v>DIMMER MAESTRO PARA CARGAS LED HASTA 150 VATIOS O 600 VATIOS EN HALÓGENAS.</v>
      </c>
    </row>
    <row r="3194" spans="1:20" ht="27" customHeight="1" x14ac:dyDescent="0.25">
      <c r="A3194" s="8" t="s">
        <v>5672</v>
      </c>
      <c r="B3194" s="9"/>
      <c r="C3194" s="9"/>
      <c r="D3194" s="8"/>
      <c r="E3194" s="8"/>
      <c r="F3194" s="8" t="s">
        <v>22</v>
      </c>
      <c r="G3194" s="10" t="s">
        <v>6457</v>
      </c>
      <c r="H3194" s="8" t="s">
        <v>6458</v>
      </c>
      <c r="I3194" s="10" t="s">
        <v>6457</v>
      </c>
      <c r="J3194" s="11" t="s">
        <v>26</v>
      </c>
      <c r="K3194" s="57">
        <v>135</v>
      </c>
      <c r="L3194" s="12">
        <f t="shared" si="264"/>
        <v>246</v>
      </c>
      <c r="M3194" s="8">
        <v>1</v>
      </c>
      <c r="N3194" s="8" t="s">
        <v>27</v>
      </c>
      <c r="O3194" s="13"/>
      <c r="P3194" s="14">
        <v>0.2</v>
      </c>
      <c r="Q3194" s="15">
        <v>0.34</v>
      </c>
      <c r="R3194" s="16" t="str">
        <f t="shared" si="262"/>
        <v>LUTRON</v>
      </c>
      <c r="S3194" s="17"/>
      <c r="T3194" s="10" t="str">
        <f t="shared" si="263"/>
        <v>SENSOR DE OCUPACIÓN PARA APLICACIONES DE ALTURA ELEVADA. COBERTURA 360 GRADOS.</v>
      </c>
    </row>
    <row r="3195" spans="1:20" ht="27" customHeight="1" x14ac:dyDescent="0.25">
      <c r="A3195" s="8" t="s">
        <v>5672</v>
      </c>
      <c r="B3195" s="9"/>
      <c r="C3195" s="9"/>
      <c r="D3195" s="8"/>
      <c r="E3195" s="8"/>
      <c r="F3195" s="8" t="s">
        <v>22</v>
      </c>
      <c r="G3195" s="10" t="s">
        <v>6459</v>
      </c>
      <c r="H3195" s="8" t="s">
        <v>6460</v>
      </c>
      <c r="I3195" s="10" t="s">
        <v>6459</v>
      </c>
      <c r="J3195" s="11" t="s">
        <v>26</v>
      </c>
      <c r="K3195" s="57">
        <v>112.8</v>
      </c>
      <c r="L3195" s="12">
        <f t="shared" si="264"/>
        <v>188</v>
      </c>
      <c r="M3195" s="8">
        <v>1</v>
      </c>
      <c r="N3195" s="8" t="s">
        <v>27</v>
      </c>
      <c r="O3195" s="13"/>
      <c r="P3195" s="14">
        <v>0.2</v>
      </c>
      <c r="Q3195" s="15">
        <v>0.27831428571428568</v>
      </c>
      <c r="R3195" s="16" t="str">
        <f t="shared" si="262"/>
        <v>LUTRON</v>
      </c>
      <c r="S3195" s="17"/>
      <c r="T3195" s="10" t="str">
        <f t="shared" si="263"/>
        <v>DIMMER DE 150 WATIOS CON CARGA Y NEUTRO.</v>
      </c>
    </row>
    <row r="3196" spans="1:20" ht="27" customHeight="1" x14ac:dyDescent="0.25">
      <c r="A3196" s="8" t="s">
        <v>5672</v>
      </c>
      <c r="B3196" s="9"/>
      <c r="C3196" s="9"/>
      <c r="D3196" s="8"/>
      <c r="E3196" s="8"/>
      <c r="F3196" s="8" t="s">
        <v>22</v>
      </c>
      <c r="G3196" s="10" t="s">
        <v>6432</v>
      </c>
      <c r="H3196" s="8" t="s">
        <v>6461</v>
      </c>
      <c r="I3196" s="10" t="s">
        <v>6432</v>
      </c>
      <c r="J3196" s="11" t="s">
        <v>26</v>
      </c>
      <c r="K3196" s="57">
        <v>500</v>
      </c>
      <c r="L3196" s="12">
        <f t="shared" si="264"/>
        <v>832</v>
      </c>
      <c r="M3196" s="8">
        <v>1</v>
      </c>
      <c r="N3196" s="8" t="s">
        <v>27</v>
      </c>
      <c r="O3196" s="13"/>
      <c r="P3196" s="14">
        <v>0.2</v>
      </c>
      <c r="Q3196" s="15">
        <v>0.27831428571428568</v>
      </c>
      <c r="R3196" s="16" t="str">
        <f t="shared" si="262"/>
        <v>LUTRON</v>
      </c>
      <c r="S3196" s="17"/>
      <c r="T3196" s="10" t="str">
        <f t="shared" si="263"/>
        <v>CONTROLADOR DE ILUMINACIÓN CON BUS DE DATOS DALÍ.</v>
      </c>
    </row>
    <row r="3197" spans="1:20" ht="27" customHeight="1" x14ac:dyDescent="0.25">
      <c r="A3197" s="8" t="s">
        <v>5672</v>
      </c>
      <c r="B3197" s="9"/>
      <c r="C3197" s="9"/>
      <c r="D3197" s="8"/>
      <c r="E3197" s="8"/>
      <c r="F3197" s="8" t="s">
        <v>22</v>
      </c>
      <c r="G3197" s="10" t="s">
        <v>6462</v>
      </c>
      <c r="H3197" s="8" t="s">
        <v>6463</v>
      </c>
      <c r="I3197" s="10" t="s">
        <v>6462</v>
      </c>
      <c r="J3197" s="11" t="s">
        <v>26</v>
      </c>
      <c r="K3197" s="57">
        <v>125.4</v>
      </c>
      <c r="L3197" s="12">
        <f t="shared" si="264"/>
        <v>209</v>
      </c>
      <c r="M3197" s="8">
        <v>1</v>
      </c>
      <c r="N3197" s="8" t="s">
        <v>27</v>
      </c>
      <c r="O3197" s="13"/>
      <c r="P3197" s="14">
        <v>0.2</v>
      </c>
      <c r="Q3197" s="15">
        <v>0.27831428571428568</v>
      </c>
      <c r="R3197" s="16" t="str">
        <f t="shared" si="262"/>
        <v>LUTRON</v>
      </c>
      <c r="S3197" s="17"/>
      <c r="T3197" s="10" t="str">
        <f t="shared" si="263"/>
        <v>CONTROLADOR DE VENTILADOR CON CARGA INDUCTIVA</v>
      </c>
    </row>
    <row r="3198" spans="1:20" ht="27" customHeight="1" x14ac:dyDescent="0.25">
      <c r="A3198" s="8" t="s">
        <v>5672</v>
      </c>
      <c r="B3198" s="9"/>
      <c r="C3198" s="9"/>
      <c r="D3198" s="8"/>
      <c r="E3198" s="8"/>
      <c r="F3198" s="8" t="s">
        <v>22</v>
      </c>
      <c r="G3198" s="10" t="s">
        <v>6464</v>
      </c>
      <c r="H3198" s="8" t="s">
        <v>6465</v>
      </c>
      <c r="I3198" s="10" t="s">
        <v>6464</v>
      </c>
      <c r="J3198" s="11" t="s">
        <v>26</v>
      </c>
      <c r="K3198" s="57">
        <v>14.5</v>
      </c>
      <c r="L3198" s="12">
        <f t="shared" si="264"/>
        <v>29</v>
      </c>
      <c r="M3198" s="8">
        <v>1</v>
      </c>
      <c r="N3198" s="8" t="s">
        <v>27</v>
      </c>
      <c r="O3198" s="13"/>
      <c r="P3198" s="14">
        <v>0.2</v>
      </c>
      <c r="Q3198" s="15">
        <v>0.39439999999999997</v>
      </c>
      <c r="R3198" s="16" t="str">
        <f t="shared" si="262"/>
        <v>LUTRON</v>
      </c>
      <c r="S3198" s="17"/>
      <c r="T3198" s="10" t="str">
        <f t="shared" si="263"/>
        <v>DIMMER CON INTERRUPTOR DE LA SERIE SKYLARK. 1000W.</v>
      </c>
    </row>
    <row r="3199" spans="1:20" ht="27" customHeight="1" x14ac:dyDescent="0.25">
      <c r="A3199" s="8" t="s">
        <v>5672</v>
      </c>
      <c r="B3199" s="9"/>
      <c r="C3199" s="9"/>
      <c r="D3199" s="8"/>
      <c r="E3199" s="8"/>
      <c r="F3199" s="8" t="s">
        <v>22</v>
      </c>
      <c r="G3199" s="10" t="s">
        <v>6464</v>
      </c>
      <c r="H3199" s="8" t="s">
        <v>6466</v>
      </c>
      <c r="I3199" s="10" t="s">
        <v>6464</v>
      </c>
      <c r="J3199" s="11" t="s">
        <v>26</v>
      </c>
      <c r="K3199" s="57">
        <v>62.5</v>
      </c>
      <c r="L3199" s="12">
        <f t="shared" si="264"/>
        <v>125</v>
      </c>
      <c r="M3199" s="8">
        <v>1</v>
      </c>
      <c r="N3199" s="8" t="s">
        <v>27</v>
      </c>
      <c r="O3199" s="13"/>
      <c r="P3199" s="14">
        <v>0.2</v>
      </c>
      <c r="Q3199" s="15">
        <v>0.4</v>
      </c>
      <c r="R3199" s="16" t="str">
        <f t="shared" si="262"/>
        <v>LUTRON</v>
      </c>
      <c r="S3199" s="17"/>
      <c r="T3199" s="10" t="str">
        <f t="shared" si="263"/>
        <v>DIMMER CON INTERRUPTOR DE LA SERIE SKYLARK. 1000W.</v>
      </c>
    </row>
    <row r="3200" spans="1:20" ht="27" customHeight="1" x14ac:dyDescent="0.25">
      <c r="A3200" s="8" t="s">
        <v>5672</v>
      </c>
      <c r="B3200" s="9"/>
      <c r="C3200" s="9"/>
      <c r="D3200" s="8"/>
      <c r="E3200" s="8"/>
      <c r="F3200" s="8" t="s">
        <v>22</v>
      </c>
      <c r="G3200" s="10" t="s">
        <v>6467</v>
      </c>
      <c r="H3200" s="8" t="s">
        <v>6468</v>
      </c>
      <c r="I3200" s="10" t="s">
        <v>6467</v>
      </c>
      <c r="J3200" s="11" t="s">
        <v>26</v>
      </c>
      <c r="K3200" s="57">
        <v>10000</v>
      </c>
      <c r="L3200" s="12">
        <f t="shared" si="264"/>
        <v>16628</v>
      </c>
      <c r="M3200" s="8">
        <v>1</v>
      </c>
      <c r="N3200" s="8" t="s">
        <v>27</v>
      </c>
      <c r="O3200" s="13"/>
      <c r="P3200" s="14">
        <v>0.2</v>
      </c>
      <c r="Q3200" s="15">
        <v>0.27831428571428568</v>
      </c>
      <c r="R3200" s="16" t="str">
        <f t="shared" si="262"/>
        <v>LUTRON</v>
      </c>
      <c r="S3200" s="17"/>
      <c r="T3200" s="10" t="str">
        <f t="shared" si="263"/>
        <v>SISTEMA DE CORTINAS DE ACUERDO A ESPECIFICACIÓN ANEXA</v>
      </c>
    </row>
    <row r="3201" spans="1:21" ht="27" customHeight="1" x14ac:dyDescent="0.25">
      <c r="A3201" s="8" t="s">
        <v>5672</v>
      </c>
      <c r="B3201" s="9"/>
      <c r="C3201" s="9"/>
      <c r="D3201" s="8"/>
      <c r="E3201" s="8"/>
      <c r="F3201" s="8" t="s">
        <v>22</v>
      </c>
      <c r="G3201" s="10" t="s">
        <v>6469</v>
      </c>
      <c r="H3201" s="8" t="s">
        <v>6470</v>
      </c>
      <c r="I3201" s="10" t="s">
        <v>6469</v>
      </c>
      <c r="J3201" s="11" t="s">
        <v>26</v>
      </c>
      <c r="K3201" s="57">
        <v>31</v>
      </c>
      <c r="L3201" s="12">
        <f>IF(J3201="P",ROUNDUP(K3201/(1-Q3201),-2),K3201*(1+P3201)/(1-Q3201))</f>
        <v>61.999999999999993</v>
      </c>
      <c r="M3201" s="8">
        <v>1</v>
      </c>
      <c r="N3201" s="8" t="s">
        <v>27</v>
      </c>
      <c r="O3201" s="13" t="s">
        <v>588</v>
      </c>
      <c r="P3201" s="14">
        <v>0.2</v>
      </c>
      <c r="Q3201" s="15">
        <v>0.4</v>
      </c>
      <c r="R3201" s="16" t="str">
        <f t="shared" si="262"/>
        <v>LUTRON</v>
      </c>
      <c r="S3201" s="17"/>
      <c r="T3201" s="10" t="str">
        <f t="shared" si="263"/>
        <v>SOPORTE ANGULAR PARA SENSOR DE PARED O ESQUINA</v>
      </c>
    </row>
    <row r="3202" spans="1:21" ht="27" customHeight="1" x14ac:dyDescent="0.25">
      <c r="A3202" s="8" t="s">
        <v>5672</v>
      </c>
      <c r="B3202" s="9"/>
      <c r="C3202" s="9"/>
      <c r="D3202" s="8"/>
      <c r="E3202" s="8"/>
      <c r="F3202" s="8" t="s">
        <v>22</v>
      </c>
      <c r="G3202" s="10" t="s">
        <v>6471</v>
      </c>
      <c r="H3202" s="8" t="s">
        <v>6472</v>
      </c>
      <c r="I3202" s="10" t="s">
        <v>6471</v>
      </c>
      <c r="J3202" s="11" t="s">
        <v>26</v>
      </c>
      <c r="K3202" s="57">
        <v>140</v>
      </c>
      <c r="L3202" s="12">
        <f>IF(J3202="P",ROUNDUP(K3202/(1-Q3202),-2),K3202*(1+P3202)/(1-Q3202))</f>
        <v>280</v>
      </c>
      <c r="M3202" s="8">
        <v>1</v>
      </c>
      <c r="N3202" s="8" t="s">
        <v>27</v>
      </c>
      <c r="O3202" s="13" t="s">
        <v>588</v>
      </c>
      <c r="P3202" s="14">
        <v>0.2</v>
      </c>
      <c r="Q3202" s="15">
        <v>0.4</v>
      </c>
      <c r="R3202" s="16" t="str">
        <f t="shared" si="262"/>
        <v>LUTRON</v>
      </c>
      <c r="S3202" s="17"/>
      <c r="T3202" s="10" t="str">
        <f t="shared" si="263"/>
        <v>TECLADO SEETOUCH DE 7 BOTONES DE LA LÍNEA QS.</v>
      </c>
    </row>
    <row r="3203" spans="1:21" ht="27" customHeight="1" x14ac:dyDescent="0.25">
      <c r="A3203" s="8" t="s">
        <v>5672</v>
      </c>
      <c r="B3203" s="9" t="s">
        <v>5666</v>
      </c>
      <c r="C3203" s="9"/>
      <c r="D3203" s="8" t="s">
        <v>4058</v>
      </c>
      <c r="E3203" s="8">
        <v>2</v>
      </c>
      <c r="F3203" s="8" t="s">
        <v>22</v>
      </c>
      <c r="G3203" s="10" t="s">
        <v>6473</v>
      </c>
      <c r="H3203" s="8" t="s">
        <v>6474</v>
      </c>
      <c r="I3203" s="10" t="s">
        <v>6473</v>
      </c>
      <c r="J3203" s="11" t="s">
        <v>26</v>
      </c>
      <c r="K3203" s="57">
        <v>15.9</v>
      </c>
      <c r="L3203" s="12">
        <f>K3203*(1+P3203)/(1-Q3203)</f>
        <v>31.799651698179396</v>
      </c>
      <c r="M3203" s="8">
        <v>1</v>
      </c>
      <c r="N3203" s="8" t="s">
        <v>27</v>
      </c>
      <c r="O3203" s="13"/>
      <c r="P3203" s="14">
        <v>0.2</v>
      </c>
      <c r="Q3203" s="15">
        <v>0.39999342819555561</v>
      </c>
      <c r="R3203" s="16" t="str">
        <f t="shared" si="262"/>
        <v>LUTRON</v>
      </c>
      <c r="S3203" s="17"/>
      <c r="T3203" s="10" t="str">
        <f t="shared" si="263"/>
        <v>TAPA DECORATIVA DE TRES GANG EN COLOR ALUMINIO SATINADO.</v>
      </c>
    </row>
    <row r="3204" spans="1:21" ht="27" customHeight="1" x14ac:dyDescent="0.25">
      <c r="A3204" s="8" t="s">
        <v>5672</v>
      </c>
      <c r="B3204" s="9"/>
      <c r="C3204" s="9"/>
      <c r="D3204" s="8" t="s">
        <v>45</v>
      </c>
      <c r="E3204" s="8"/>
      <c r="F3204" s="8" t="s">
        <v>22</v>
      </c>
      <c r="G3204" s="10" t="s">
        <v>6475</v>
      </c>
      <c r="H3204" s="8" t="s">
        <v>6476</v>
      </c>
      <c r="I3204" s="10" t="s">
        <v>6475</v>
      </c>
      <c r="J3204" s="11" t="s">
        <v>26</v>
      </c>
      <c r="K3204" s="57">
        <v>5.55</v>
      </c>
      <c r="L3204" s="12">
        <f>K3204*(1+P3204)/(1-Q3204)</f>
        <v>11.099878422949413</v>
      </c>
      <c r="M3204" s="8">
        <v>1</v>
      </c>
      <c r="N3204" s="8" t="s">
        <v>27</v>
      </c>
      <c r="O3204" s="13"/>
      <c r="P3204" s="14">
        <v>0.2</v>
      </c>
      <c r="Q3204" s="15">
        <v>0.39999342819555561</v>
      </c>
      <c r="R3204" s="16" t="str">
        <f t="shared" si="262"/>
        <v>LUTRON</v>
      </c>
      <c r="S3204" s="17"/>
      <c r="T3204" s="10" t="str">
        <f t="shared" si="263"/>
        <v>TAPA DECORATIVA DE UN GANG EN COLOR SIENNA</v>
      </c>
    </row>
    <row r="3205" spans="1:21" ht="27" customHeight="1" x14ac:dyDescent="0.25">
      <c r="A3205" s="8" t="s">
        <v>5672</v>
      </c>
      <c r="B3205" s="9"/>
      <c r="C3205" s="9"/>
      <c r="D3205" s="8" t="s">
        <v>45</v>
      </c>
      <c r="E3205" s="8"/>
      <c r="F3205" s="8" t="s">
        <v>22</v>
      </c>
      <c r="G3205" s="10" t="s">
        <v>6477</v>
      </c>
      <c r="H3205" s="8" t="s">
        <v>6478</v>
      </c>
      <c r="I3205" s="10" t="s">
        <v>6477</v>
      </c>
      <c r="J3205" s="11" t="s">
        <v>26</v>
      </c>
      <c r="K3205" s="57">
        <v>44.5</v>
      </c>
      <c r="L3205" s="12">
        <f>K3205*(1+P3205)/(1-Q3205)</f>
        <v>89</v>
      </c>
      <c r="M3205" s="8">
        <v>1</v>
      </c>
      <c r="N3205" s="8" t="s">
        <v>27</v>
      </c>
      <c r="O3205" s="13"/>
      <c r="P3205" s="14">
        <v>0.2</v>
      </c>
      <c r="Q3205" s="15">
        <v>0.4</v>
      </c>
      <c r="R3205" s="16" t="str">
        <f t="shared" si="262"/>
        <v>LUTRON</v>
      </c>
      <c r="S3205" s="17"/>
      <c r="T3205" s="10" t="str">
        <f t="shared" si="263"/>
        <v>TOMA CORRIENTE GFCI EN COLOR SIENNA</v>
      </c>
    </row>
    <row r="3206" spans="1:21" ht="27" customHeight="1" x14ac:dyDescent="0.25">
      <c r="A3206" s="8" t="s">
        <v>5672</v>
      </c>
      <c r="B3206" s="9"/>
      <c r="C3206" s="9"/>
      <c r="D3206" s="8" t="s">
        <v>45</v>
      </c>
      <c r="E3206" s="8"/>
      <c r="F3206" s="8" t="s">
        <v>22</v>
      </c>
      <c r="G3206" s="10" t="s">
        <v>6479</v>
      </c>
      <c r="H3206" s="8" t="s">
        <v>6480</v>
      </c>
      <c r="I3206" s="10" t="s">
        <v>6479</v>
      </c>
      <c r="J3206" s="11" t="s">
        <v>26</v>
      </c>
      <c r="K3206" s="57">
        <v>11.15</v>
      </c>
      <c r="L3206" s="12">
        <f>K3206*(1+P3206)/(1-Q3206)</f>
        <v>22.299755750610082</v>
      </c>
      <c r="M3206" s="8">
        <v>1</v>
      </c>
      <c r="N3206" s="8" t="s">
        <v>27</v>
      </c>
      <c r="O3206" s="13"/>
      <c r="P3206" s="14">
        <v>0.2</v>
      </c>
      <c r="Q3206" s="15">
        <v>0.39999342819555561</v>
      </c>
      <c r="R3206" s="16" t="str">
        <f t="shared" si="262"/>
        <v>LUTRON</v>
      </c>
      <c r="S3206" s="17"/>
      <c r="T3206" s="10" t="str">
        <f t="shared" si="263"/>
        <v>TOMA CORRIENTE EN COLOR SIENNA</v>
      </c>
    </row>
    <row r="3207" spans="1:21" ht="27" customHeight="1" x14ac:dyDescent="0.25">
      <c r="A3207" s="8" t="s">
        <v>5672</v>
      </c>
      <c r="B3207" s="9"/>
      <c r="C3207" s="9"/>
      <c r="D3207" s="8" t="s">
        <v>45</v>
      </c>
      <c r="E3207" s="8"/>
      <c r="F3207" s="8" t="s">
        <v>22</v>
      </c>
      <c r="G3207" s="10" t="s">
        <v>6481</v>
      </c>
      <c r="H3207" s="8" t="s">
        <v>6482</v>
      </c>
      <c r="I3207" s="10" t="s">
        <v>6481</v>
      </c>
      <c r="J3207" s="11" t="s">
        <v>26</v>
      </c>
      <c r="K3207" s="57">
        <v>2.5499999999999998</v>
      </c>
      <c r="L3207" s="12">
        <f>ROUNDUP(K3207*(1+P3207)/(1-Q3207),0)</f>
        <v>5</v>
      </c>
      <c r="M3207" s="8">
        <v>1</v>
      </c>
      <c r="N3207" s="8" t="s">
        <v>27</v>
      </c>
      <c r="O3207" s="13"/>
      <c r="P3207" s="14">
        <v>0.2</v>
      </c>
      <c r="Q3207" s="15">
        <v>0.38400000000000001</v>
      </c>
      <c r="R3207" s="16" t="str">
        <f t="shared" si="262"/>
        <v>LUTRON</v>
      </c>
      <c r="S3207" s="17"/>
      <c r="T3207" s="10" t="str">
        <f t="shared" si="263"/>
        <v>TAPA DECORATIVA SATÍN CAFÉ</v>
      </c>
    </row>
    <row r="3208" spans="1:21" ht="27" customHeight="1" x14ac:dyDescent="0.25">
      <c r="A3208" s="8" t="s">
        <v>5672</v>
      </c>
      <c r="B3208" s="9"/>
      <c r="C3208" s="9"/>
      <c r="D3208" s="8" t="s">
        <v>45</v>
      </c>
      <c r="E3208" s="8"/>
      <c r="F3208" s="8" t="s">
        <v>22</v>
      </c>
      <c r="G3208" s="10" t="s">
        <v>6483</v>
      </c>
      <c r="H3208" s="8" t="s">
        <v>6484</v>
      </c>
      <c r="I3208" s="10" t="s">
        <v>6483</v>
      </c>
      <c r="J3208" s="11" t="s">
        <v>26</v>
      </c>
      <c r="K3208" s="57">
        <v>34.25</v>
      </c>
      <c r="L3208" s="12">
        <f>ROUNDUP(K3208*(1+P3208)/(1-Q3208),0)</f>
        <v>68</v>
      </c>
      <c r="M3208" s="8">
        <v>1</v>
      </c>
      <c r="N3208" s="8" t="s">
        <v>27</v>
      </c>
      <c r="O3208" s="13"/>
      <c r="P3208" s="14">
        <v>0.2</v>
      </c>
      <c r="Q3208" s="15">
        <v>0.39200000000000002</v>
      </c>
      <c r="R3208" s="16" t="str">
        <f t="shared" si="262"/>
        <v>LUTRON</v>
      </c>
      <c r="S3208" s="17"/>
      <c r="T3208" s="10" t="str">
        <f t="shared" si="263"/>
        <v>TOMA CORRIENTE GFCI EN COLOR CAFÉ</v>
      </c>
    </row>
    <row r="3209" spans="1:21" ht="27" customHeight="1" x14ac:dyDescent="0.25">
      <c r="A3209" s="8" t="s">
        <v>5672</v>
      </c>
      <c r="B3209" s="9"/>
      <c r="C3209" s="9"/>
      <c r="D3209" s="8" t="s">
        <v>45</v>
      </c>
      <c r="E3209" s="8"/>
      <c r="F3209" s="8" t="s">
        <v>22</v>
      </c>
      <c r="G3209" s="10" t="s">
        <v>6485</v>
      </c>
      <c r="H3209" s="8" t="s">
        <v>6486</v>
      </c>
      <c r="I3209" s="10" t="s">
        <v>6485</v>
      </c>
      <c r="J3209" s="11" t="s">
        <v>26</v>
      </c>
      <c r="K3209" s="57">
        <v>3.85</v>
      </c>
      <c r="L3209" s="12">
        <f>K3209*(1+P3209)/(1-Q3209)</f>
        <v>7.6999156627667098</v>
      </c>
      <c r="M3209" s="8">
        <v>1</v>
      </c>
      <c r="N3209" s="8" t="s">
        <v>27</v>
      </c>
      <c r="O3209" s="13"/>
      <c r="P3209" s="14">
        <v>0.2</v>
      </c>
      <c r="Q3209" s="15">
        <v>0.39999342819555561</v>
      </c>
      <c r="R3209" s="16" t="str">
        <f t="shared" si="262"/>
        <v>LUTRON</v>
      </c>
      <c r="S3209" s="17"/>
      <c r="T3209" s="10" t="str">
        <f t="shared" si="263"/>
        <v>TOMA CORRIENTE EN COLOR CAFÉ</v>
      </c>
    </row>
    <row r="3210" spans="1:21" ht="27" customHeight="1" x14ac:dyDescent="0.25">
      <c r="A3210" s="8" t="s">
        <v>5672</v>
      </c>
      <c r="B3210" s="9"/>
      <c r="C3210" s="9"/>
      <c r="D3210" s="8" t="s">
        <v>45</v>
      </c>
      <c r="E3210" s="8"/>
      <c r="F3210" s="8" t="s">
        <v>22</v>
      </c>
      <c r="G3210" s="10" t="s">
        <v>6487</v>
      </c>
      <c r="H3210" s="8" t="s">
        <v>6488</v>
      </c>
      <c r="I3210" s="10" t="s">
        <v>6487</v>
      </c>
      <c r="J3210" s="11" t="s">
        <v>26</v>
      </c>
      <c r="K3210" s="57">
        <v>99</v>
      </c>
      <c r="L3210" s="12">
        <f>ROUNDUP(K3210*(1+P3210)/(1-Q3210),0)</f>
        <v>165</v>
      </c>
      <c r="M3210" s="8">
        <v>1</v>
      </c>
      <c r="N3210" s="8" t="s">
        <v>27</v>
      </c>
      <c r="O3210" s="13"/>
      <c r="P3210" s="14">
        <v>0.2</v>
      </c>
      <c r="Q3210" s="15">
        <v>0.27700000000000002</v>
      </c>
      <c r="R3210" s="16" t="str">
        <f t="shared" si="262"/>
        <v>LUTRON</v>
      </c>
      <c r="S3210" s="17"/>
      <c r="T3210" s="10" t="str">
        <f t="shared" si="263"/>
        <v>MODULO DE RELÉ SOFTSWITCH DE 16 AMPERIOS</v>
      </c>
    </row>
    <row r="3211" spans="1:21" ht="27" customHeight="1" x14ac:dyDescent="0.25">
      <c r="A3211" s="8" t="s">
        <v>5672</v>
      </c>
      <c r="B3211" s="9"/>
      <c r="C3211" s="9"/>
      <c r="D3211" s="8" t="s">
        <v>45</v>
      </c>
      <c r="E3211" s="8"/>
      <c r="F3211" s="8" t="s">
        <v>22</v>
      </c>
      <c r="G3211" s="10" t="s">
        <v>6489</v>
      </c>
      <c r="H3211" s="8" t="s">
        <v>6490</v>
      </c>
      <c r="I3211" s="10" t="s">
        <v>6489</v>
      </c>
      <c r="J3211" s="11" t="s">
        <v>26</v>
      </c>
      <c r="K3211" s="57">
        <v>34.1</v>
      </c>
      <c r="L3211" s="12">
        <f t="shared" ref="L3211:L3218" si="265">IF(J3211="P",ROUNDUP(K3211/(1-Q3211),-2),K3211*(1+P3211)/(1-Q3211))</f>
        <v>56.833330229065162</v>
      </c>
      <c r="M3211" s="8">
        <v>1</v>
      </c>
      <c r="N3211" s="8" t="s">
        <v>27</v>
      </c>
      <c r="O3211" s="13"/>
      <c r="P3211" s="14">
        <v>0.15</v>
      </c>
      <c r="Q3211" s="15">
        <v>0.30999996231181542</v>
      </c>
      <c r="R3211" s="16" t="str">
        <f t="shared" si="262"/>
        <v>LUTRON</v>
      </c>
      <c r="S3211" s="17"/>
      <c r="T3211" s="10" t="str">
        <f t="shared" si="263"/>
        <v>TECLADO NEGRO PICO CON ENGRAVING DE CORTINAS</v>
      </c>
    </row>
    <row r="3212" spans="1:21" ht="27" customHeight="1" x14ac:dyDescent="0.25">
      <c r="A3212" s="8" t="s">
        <v>5672</v>
      </c>
      <c r="B3212" s="9"/>
      <c r="C3212" s="9"/>
      <c r="D3212" s="8" t="s">
        <v>45</v>
      </c>
      <c r="E3212" s="8"/>
      <c r="F3212" s="8" t="s">
        <v>22</v>
      </c>
      <c r="G3212" s="10" t="s">
        <v>6491</v>
      </c>
      <c r="H3212" s="8" t="s">
        <v>6492</v>
      </c>
      <c r="I3212" s="10" t="s">
        <v>6491</v>
      </c>
      <c r="J3212" s="11" t="s">
        <v>26</v>
      </c>
      <c r="K3212" s="57">
        <v>4.5999999999999996</v>
      </c>
      <c r="L3212" s="12">
        <f t="shared" si="265"/>
        <v>9.199993532527257</v>
      </c>
      <c r="M3212" s="8">
        <v>1</v>
      </c>
      <c r="N3212" s="8" t="s">
        <v>27</v>
      </c>
      <c r="O3212" s="13"/>
      <c r="P3212" s="14">
        <v>0.15</v>
      </c>
      <c r="Q3212" s="15">
        <v>0.42499959578266949</v>
      </c>
      <c r="R3212" s="16" t="str">
        <f t="shared" si="262"/>
        <v>LUTRON</v>
      </c>
      <c r="S3212" s="17"/>
      <c r="T3212" s="10" t="str">
        <f t="shared" si="263"/>
        <v>INTERRUPTOR SENCILLO LÍNEA DIVA DE LUTRON EN COLOR NEGRO.</v>
      </c>
    </row>
    <row r="3213" spans="1:21" ht="27" customHeight="1" x14ac:dyDescent="0.25">
      <c r="A3213" s="8" t="s">
        <v>5672</v>
      </c>
      <c r="B3213" s="9"/>
      <c r="C3213" s="9"/>
      <c r="D3213" s="8" t="s">
        <v>45</v>
      </c>
      <c r="E3213" s="8"/>
      <c r="F3213" s="8" t="s">
        <v>22</v>
      </c>
      <c r="G3213" s="10" t="s">
        <v>6493</v>
      </c>
      <c r="H3213" s="8" t="s">
        <v>6494</v>
      </c>
      <c r="I3213" s="10" t="s">
        <v>6495</v>
      </c>
      <c r="J3213" s="11" t="s">
        <v>26</v>
      </c>
      <c r="K3213" s="57">
        <v>1000</v>
      </c>
      <c r="L3213" s="12">
        <f t="shared" si="265"/>
        <v>1666.6666666666667</v>
      </c>
      <c r="M3213" s="8">
        <v>1</v>
      </c>
      <c r="N3213" s="8" t="s">
        <v>27</v>
      </c>
      <c r="O3213" s="13"/>
      <c r="P3213" s="14">
        <v>0</v>
      </c>
      <c r="Q3213" s="15">
        <v>0.4</v>
      </c>
      <c r="R3213" s="16" t="str">
        <f t="shared" si="262"/>
        <v>LUTRON</v>
      </c>
      <c r="S3213" s="17"/>
      <c r="T3213" s="10" t="str">
        <f t="shared" si="263"/>
        <v>CORTINA TIPO TRIATHLON DE LUTRON.</v>
      </c>
    </row>
    <row r="3214" spans="1:21" ht="27" customHeight="1" x14ac:dyDescent="0.25">
      <c r="A3214" s="8" t="s">
        <v>5672</v>
      </c>
      <c r="B3214" s="9"/>
      <c r="C3214" s="9"/>
      <c r="D3214" s="8" t="s">
        <v>45</v>
      </c>
      <c r="E3214" s="8"/>
      <c r="F3214" s="8" t="s">
        <v>22</v>
      </c>
      <c r="G3214" s="10" t="s">
        <v>6496</v>
      </c>
      <c r="H3214" s="8" t="s">
        <v>6497</v>
      </c>
      <c r="I3214" s="10" t="s">
        <v>6496</v>
      </c>
      <c r="J3214" s="11" t="s">
        <v>26</v>
      </c>
      <c r="K3214" s="57">
        <v>24</v>
      </c>
      <c r="L3214" s="12">
        <f t="shared" si="265"/>
        <v>40</v>
      </c>
      <c r="M3214" s="8">
        <v>1</v>
      </c>
      <c r="N3214" s="8" t="s">
        <v>27</v>
      </c>
      <c r="O3214" s="13"/>
      <c r="P3214" s="14">
        <v>0</v>
      </c>
      <c r="Q3214" s="15">
        <v>0.4</v>
      </c>
      <c r="R3214" s="16" t="str">
        <f t="shared" si="262"/>
        <v>LUTRON</v>
      </c>
      <c r="S3214" s="17"/>
      <c r="T3214" s="10" t="str">
        <f t="shared" si="263"/>
        <v>FUENTE DE ALIMENTACIÓN 12V PARA CORTINA TRIATHLON.</v>
      </c>
    </row>
    <row r="3215" spans="1:21" ht="27" customHeight="1" x14ac:dyDescent="0.25">
      <c r="A3215" s="8" t="s">
        <v>5672</v>
      </c>
      <c r="B3215" s="9"/>
      <c r="C3215" s="9"/>
      <c r="D3215" s="8" t="s">
        <v>45</v>
      </c>
      <c r="E3215" s="8"/>
      <c r="F3215" s="8" t="s">
        <v>22</v>
      </c>
      <c r="G3215" s="10" t="s">
        <v>6498</v>
      </c>
      <c r="H3215" s="8" t="s">
        <v>6499</v>
      </c>
      <c r="I3215" s="10" t="s">
        <v>6498</v>
      </c>
      <c r="J3215" s="11" t="s">
        <v>26</v>
      </c>
      <c r="K3215" s="57">
        <f>3245*0.6</f>
        <v>1947</v>
      </c>
      <c r="L3215" s="12">
        <f t="shared" si="265"/>
        <v>3245.0000329578584</v>
      </c>
      <c r="M3215" s="8">
        <v>1</v>
      </c>
      <c r="N3215" s="8" t="s">
        <v>27</v>
      </c>
      <c r="O3215" s="13"/>
      <c r="P3215" s="14">
        <v>0.2</v>
      </c>
      <c r="Q3215" s="15">
        <v>0.28000000731268332</v>
      </c>
      <c r="R3215" s="16" t="str">
        <f t="shared" si="262"/>
        <v>LUTRON</v>
      </c>
      <c r="S3215" s="17"/>
      <c r="T3215" s="10" t="str">
        <f t="shared" si="263"/>
        <v>HUB SISTEMA VIVE</v>
      </c>
      <c r="U3215">
        <f>1974/0.9</f>
        <v>2193.3333333333335</v>
      </c>
    </row>
    <row r="3216" spans="1:21" ht="27" customHeight="1" x14ac:dyDescent="0.25">
      <c r="A3216" s="8" t="s">
        <v>5672</v>
      </c>
      <c r="B3216" s="9"/>
      <c r="C3216" s="9"/>
      <c r="D3216" s="8" t="s">
        <v>45</v>
      </c>
      <c r="E3216" s="8"/>
      <c r="F3216" s="8" t="s">
        <v>22</v>
      </c>
      <c r="G3216" s="10" t="s">
        <v>6500</v>
      </c>
      <c r="H3216" s="8" t="s">
        <v>6501</v>
      </c>
      <c r="I3216" s="10" t="s">
        <v>6500</v>
      </c>
      <c r="J3216" s="11" t="s">
        <v>26</v>
      </c>
      <c r="K3216" s="57">
        <f>1000*0.6</f>
        <v>600</v>
      </c>
      <c r="L3216" s="12">
        <f t="shared" si="265"/>
        <v>1000.0000101565048</v>
      </c>
      <c r="M3216" s="8">
        <v>1</v>
      </c>
      <c r="N3216" s="8" t="s">
        <v>27</v>
      </c>
      <c r="O3216" s="13"/>
      <c r="P3216" s="14">
        <v>0.2</v>
      </c>
      <c r="Q3216" s="15">
        <v>0.28000000731268332</v>
      </c>
      <c r="R3216" s="16" t="str">
        <f t="shared" si="262"/>
        <v>LUTRON</v>
      </c>
      <c r="S3216" s="17"/>
      <c r="T3216" s="10" t="str">
        <f t="shared" si="263"/>
        <v>LICENCIA DE SOFTWARE VIVE</v>
      </c>
    </row>
    <row r="3217" spans="1:28" ht="27" customHeight="1" x14ac:dyDescent="0.25">
      <c r="A3217" s="8" t="s">
        <v>5672</v>
      </c>
      <c r="B3217" s="9"/>
      <c r="C3217" s="9"/>
      <c r="D3217" s="8" t="s">
        <v>45</v>
      </c>
      <c r="E3217" s="8"/>
      <c r="F3217" s="8" t="s">
        <v>22</v>
      </c>
      <c r="G3217" s="10" t="s">
        <v>6502</v>
      </c>
      <c r="H3217" s="8" t="s">
        <v>6503</v>
      </c>
      <c r="I3217" s="10" t="s">
        <v>6502</v>
      </c>
      <c r="J3217" s="11" t="s">
        <v>26</v>
      </c>
      <c r="K3217" s="57">
        <f>2400*0.6</f>
        <v>1440</v>
      </c>
      <c r="L3217" s="12">
        <f t="shared" si="265"/>
        <v>2400.0000243756117</v>
      </c>
      <c r="M3217" s="8">
        <v>1</v>
      </c>
      <c r="N3217" s="8" t="s">
        <v>27</v>
      </c>
      <c r="O3217" s="13"/>
      <c r="P3217" s="14">
        <v>0.2</v>
      </c>
      <c r="Q3217" s="15">
        <v>0.28000000731268332</v>
      </c>
      <c r="R3217" s="16" t="str">
        <f t="shared" si="262"/>
        <v>LUTRON</v>
      </c>
      <c r="S3217" s="17"/>
      <c r="T3217" s="10" t="str">
        <f t="shared" si="263"/>
        <v>ARRANQUE DEL SISTEMA POR PARTE DE INGENIERÍA DE FABRICA</v>
      </c>
    </row>
    <row r="3218" spans="1:28" ht="27" customHeight="1" x14ac:dyDescent="0.25">
      <c r="A3218" s="8" t="s">
        <v>5672</v>
      </c>
      <c r="B3218" s="9"/>
      <c r="C3218" s="9"/>
      <c r="D3218" s="8" t="s">
        <v>45</v>
      </c>
      <c r="E3218" s="8"/>
      <c r="F3218" s="8" t="s">
        <v>22</v>
      </c>
      <c r="G3218" s="10" t="s">
        <v>6504</v>
      </c>
      <c r="H3218" s="8" t="s">
        <v>6505</v>
      </c>
      <c r="I3218" s="10" t="s">
        <v>6504</v>
      </c>
      <c r="J3218" s="11" t="s">
        <v>33</v>
      </c>
      <c r="K3218" s="57">
        <v>7000000</v>
      </c>
      <c r="L3218" s="12">
        <f t="shared" si="265"/>
        <v>11666700</v>
      </c>
      <c r="M3218" s="8">
        <v>1</v>
      </c>
      <c r="N3218" s="8" t="s">
        <v>27</v>
      </c>
      <c r="O3218" s="13"/>
      <c r="P3218" s="14">
        <v>0</v>
      </c>
      <c r="Q3218" s="15">
        <v>0.4</v>
      </c>
      <c r="R3218" s="16" t="str">
        <f t="shared" si="262"/>
        <v>LUTRON</v>
      </c>
      <c r="S3218" s="17"/>
      <c r="T3218" s="10" t="str">
        <f t="shared" si="263"/>
        <v>PANEL DE SWITCHEO PROGRAMABLE DE 24 CIRCUITOS DE 16 AMPERIOS CADA UNO.</v>
      </c>
    </row>
    <row r="3219" spans="1:28" ht="27" customHeight="1" x14ac:dyDescent="0.25">
      <c r="A3219" s="8" t="s">
        <v>5672</v>
      </c>
      <c r="B3219" s="9" t="s">
        <v>5666</v>
      </c>
      <c r="C3219" s="9"/>
      <c r="D3219" s="8" t="s">
        <v>6178</v>
      </c>
      <c r="E3219" s="8">
        <v>4</v>
      </c>
      <c r="F3219" s="8" t="s">
        <v>22</v>
      </c>
      <c r="G3219" s="10" t="s">
        <v>6506</v>
      </c>
      <c r="H3219" s="8" t="s">
        <v>6507</v>
      </c>
      <c r="I3219" s="10" t="s">
        <v>6508</v>
      </c>
      <c r="J3219" s="11" t="s">
        <v>26</v>
      </c>
      <c r="K3219" s="57">
        <v>39.25</v>
      </c>
      <c r="L3219" s="12">
        <f>K3219*(1+P3219)/(1-Q3219)</f>
        <v>78.5</v>
      </c>
      <c r="M3219" s="8">
        <v>1</v>
      </c>
      <c r="N3219" s="8" t="s">
        <v>27</v>
      </c>
      <c r="O3219" s="13"/>
      <c r="P3219" s="14">
        <v>0.2</v>
      </c>
      <c r="Q3219" s="15">
        <v>0.4</v>
      </c>
      <c r="R3219" s="16" t="str">
        <f t="shared" si="262"/>
        <v>LUTRON</v>
      </c>
      <c r="S3219" s="17"/>
      <c r="T3219" s="10" t="str">
        <f t="shared" si="263"/>
        <v>TOMA CORRIENTE GFCI EN COLOR NEGRO</v>
      </c>
    </row>
    <row r="3220" spans="1:28" ht="27" customHeight="1" x14ac:dyDescent="0.25">
      <c r="A3220" s="8" t="s">
        <v>5672</v>
      </c>
      <c r="B3220" s="9"/>
      <c r="C3220" s="9"/>
      <c r="D3220" s="8" t="s">
        <v>45</v>
      </c>
      <c r="E3220" s="8"/>
      <c r="F3220" s="8" t="s">
        <v>22</v>
      </c>
      <c r="G3220" s="10" t="s">
        <v>6509</v>
      </c>
      <c r="H3220" s="8" t="s">
        <v>6510</v>
      </c>
      <c r="I3220" s="10" t="s">
        <v>6509</v>
      </c>
      <c r="J3220" s="11" t="s">
        <v>26</v>
      </c>
      <c r="K3220" s="57">
        <v>2240</v>
      </c>
      <c r="L3220" s="12">
        <f>ROUNDUP(K3220*(1+P3220)/(1-Q3220),0)</f>
        <v>3200</v>
      </c>
      <c r="M3220" s="8">
        <v>1</v>
      </c>
      <c r="N3220" s="8" t="s">
        <v>27</v>
      </c>
      <c r="O3220" s="13"/>
      <c r="P3220" s="14">
        <v>0</v>
      </c>
      <c r="Q3220" s="15">
        <v>0.3</v>
      </c>
      <c r="R3220" s="16" t="str">
        <f t="shared" si="262"/>
        <v>LUTRON</v>
      </c>
      <c r="S3220" s="17"/>
      <c r="T3220" s="10" t="str">
        <f t="shared" si="263"/>
        <v>PROCESADOR LUTRON HOMEWORKS SERIE 4</v>
      </c>
    </row>
    <row r="3221" spans="1:28" ht="27" customHeight="1" x14ac:dyDescent="0.25">
      <c r="A3221" s="8" t="s">
        <v>5672</v>
      </c>
      <c r="B3221" s="9"/>
      <c r="C3221" s="9"/>
      <c r="D3221" s="8" t="s">
        <v>45</v>
      </c>
      <c r="E3221" s="8"/>
      <c r="F3221" s="8" t="s">
        <v>22</v>
      </c>
      <c r="G3221" s="10" t="s">
        <v>6511</v>
      </c>
      <c r="H3221" s="8" t="s">
        <v>6512</v>
      </c>
      <c r="I3221" s="10" t="s">
        <v>6511</v>
      </c>
      <c r="J3221" s="11" t="s">
        <v>26</v>
      </c>
      <c r="K3221" s="57">
        <v>420</v>
      </c>
      <c r="L3221" s="12">
        <f>ROUNDUP(K3221*(1+P3221)/(1-Q3221),0)</f>
        <v>700</v>
      </c>
      <c r="M3221" s="8">
        <v>1</v>
      </c>
      <c r="N3221" s="8" t="s">
        <v>27</v>
      </c>
      <c r="O3221" s="13"/>
      <c r="P3221" s="14">
        <v>0</v>
      </c>
      <c r="Q3221" s="15">
        <v>0.4</v>
      </c>
      <c r="R3221" s="16" t="str">
        <f t="shared" si="262"/>
        <v>LUTRON</v>
      </c>
      <c r="S3221" s="17"/>
      <c r="T3221" s="10" t="str">
        <f t="shared" si="263"/>
        <v>MODULO PARA MANEJO DE 6 CARGAS CONTROLADAS HASTA 2000W.</v>
      </c>
      <c r="AB3221" s="112">
        <v>2</v>
      </c>
    </row>
    <row r="3222" spans="1:28" ht="27" customHeight="1" x14ac:dyDescent="0.25">
      <c r="A3222" s="8" t="s">
        <v>5672</v>
      </c>
      <c r="B3222" s="9"/>
      <c r="C3222" s="9"/>
      <c r="D3222" s="8" t="s">
        <v>45</v>
      </c>
      <c r="E3222" s="8"/>
      <c r="F3222" s="8" t="s">
        <v>22</v>
      </c>
      <c r="G3222" s="10" t="s">
        <v>6513</v>
      </c>
      <c r="H3222" s="8" t="s">
        <v>6514</v>
      </c>
      <c r="I3222" s="10" t="s">
        <v>6513</v>
      </c>
      <c r="J3222" s="11" t="s">
        <v>33</v>
      </c>
      <c r="K3222" s="57">
        <v>100.1</v>
      </c>
      <c r="L3222" s="12">
        <f>ROUNDUP(K3222*(1+P3222)/(1-Q3222),0)</f>
        <v>182</v>
      </c>
      <c r="M3222" s="8">
        <v>1</v>
      </c>
      <c r="N3222" s="8" t="s">
        <v>27</v>
      </c>
      <c r="O3222" s="13"/>
      <c r="P3222" s="14">
        <v>0.2</v>
      </c>
      <c r="Q3222" s="15">
        <v>0.33919822222222218</v>
      </c>
      <c r="R3222" s="16" t="str">
        <f t="shared" si="262"/>
        <v>LUTRON</v>
      </c>
      <c r="S3222" s="17"/>
      <c r="T3222" s="10" t="str">
        <f t="shared" si="263"/>
        <v>MODULO POW PACK DE CONMUTACIÓN CON RELÉ SOFTSWITCH DE  AMPERIOS</v>
      </c>
    </row>
    <row r="3223" spans="1:28" ht="27" customHeight="1" x14ac:dyDescent="0.25">
      <c r="A3223" s="8" t="s">
        <v>5672</v>
      </c>
      <c r="B3223" s="9" t="s">
        <v>5666</v>
      </c>
      <c r="C3223" s="9"/>
      <c r="D3223" s="8" t="s">
        <v>6178</v>
      </c>
      <c r="E3223" s="8">
        <v>3</v>
      </c>
      <c r="F3223" s="8" t="s">
        <v>22</v>
      </c>
      <c r="G3223" s="10" t="s">
        <v>6515</v>
      </c>
      <c r="H3223" s="8" t="s">
        <v>6516</v>
      </c>
      <c r="I3223" s="10" t="s">
        <v>6515</v>
      </c>
      <c r="J3223" s="11" t="s">
        <v>26</v>
      </c>
      <c r="K3223" s="57">
        <v>3.85</v>
      </c>
      <c r="L3223" s="12">
        <f>K3223*(1+P3223)/(1-Q3223)</f>
        <v>7.7</v>
      </c>
      <c r="M3223" s="8">
        <v>1</v>
      </c>
      <c r="N3223" s="8" t="s">
        <v>27</v>
      </c>
      <c r="O3223" s="13"/>
      <c r="P3223" s="14">
        <v>0.2</v>
      </c>
      <c r="Q3223" s="15">
        <v>0.4</v>
      </c>
      <c r="R3223" s="16" t="str">
        <f t="shared" si="262"/>
        <v>LUTRON</v>
      </c>
      <c r="S3223" s="17"/>
      <c r="T3223" s="10" t="str">
        <f t="shared" si="263"/>
        <v>TOMA CORRIENTE EN COLOR NEGRO. MARCA: LUTRON.</v>
      </c>
    </row>
    <row r="3224" spans="1:28" ht="27" customHeight="1" x14ac:dyDescent="0.25">
      <c r="A3224" s="8" t="s">
        <v>5672</v>
      </c>
      <c r="B3224" s="9"/>
      <c r="C3224" s="9"/>
      <c r="D3224" s="8" t="s">
        <v>45</v>
      </c>
      <c r="E3224" s="8"/>
      <c r="F3224" s="8" t="s">
        <v>22</v>
      </c>
      <c r="G3224" s="10" t="s">
        <v>6517</v>
      </c>
      <c r="H3224" s="8" t="s">
        <v>6518</v>
      </c>
      <c r="I3224" s="10" t="s">
        <v>6519</v>
      </c>
      <c r="J3224" s="11" t="s">
        <v>26</v>
      </c>
      <c r="K3224" s="57">
        <v>131.37</v>
      </c>
      <c r="L3224" s="12">
        <f>IF(J3224="P",ROUNDUP(K3224/(1-Q3224),-2),K3224*(1+P3224)/(1-Q3224))</f>
        <v>219.49923541906705</v>
      </c>
      <c r="M3224" s="8">
        <v>1</v>
      </c>
      <c r="N3224" s="8" t="s">
        <v>27</v>
      </c>
      <c r="O3224" s="13" t="s">
        <v>588</v>
      </c>
      <c r="P3224" s="14">
        <v>0.2</v>
      </c>
      <c r="Q3224" s="15">
        <v>0.28180159853847908</v>
      </c>
      <c r="R3224" s="16" t="str">
        <f t="shared" si="262"/>
        <v>LUTRON</v>
      </c>
      <c r="S3224" s="17"/>
      <c r="T3224" s="10" t="str">
        <f t="shared" si="263"/>
        <v>DIMMER DE FASE ADAPTATIVA PARA CARGAS INCANDESCENTES O LED HASTA POR 250W.</v>
      </c>
    </row>
    <row r="3225" spans="1:28" ht="27" customHeight="1" x14ac:dyDescent="0.25">
      <c r="A3225" s="8" t="s">
        <v>5672</v>
      </c>
      <c r="B3225" s="9"/>
      <c r="C3225" s="9"/>
      <c r="D3225" s="8" t="s">
        <v>45</v>
      </c>
      <c r="E3225" s="8"/>
      <c r="F3225" s="8" t="s">
        <v>22</v>
      </c>
      <c r="G3225" s="10" t="s">
        <v>6520</v>
      </c>
      <c r="H3225" s="8" t="s">
        <v>6521</v>
      </c>
      <c r="I3225" s="10" t="s">
        <v>6520</v>
      </c>
      <c r="J3225" s="11" t="s">
        <v>26</v>
      </c>
      <c r="K3225" s="57">
        <v>125.4</v>
      </c>
      <c r="L3225" s="12">
        <f>IF(J3225="P",ROUNDUP(K3225/(1-Q3225),-2),K3225*(1+P3225)/(1-Q3225))</f>
        <v>209</v>
      </c>
      <c r="M3225" s="8">
        <v>1</v>
      </c>
      <c r="N3225" s="8" t="s">
        <v>27</v>
      </c>
      <c r="O3225" s="13" t="s">
        <v>588</v>
      </c>
      <c r="P3225" s="14">
        <v>0.2</v>
      </c>
      <c r="Q3225" s="15">
        <v>0.28000000000000003</v>
      </c>
      <c r="R3225" s="16" t="str">
        <f t="shared" si="262"/>
        <v>LUTRON</v>
      </c>
      <c r="S3225" s="17"/>
      <c r="T3225" s="10" t="str">
        <f t="shared" si="263"/>
        <v>DIMMER CON NEUTRO TIPO POW PACK CON CAPACIDAD HASTA 1000W.</v>
      </c>
    </row>
    <row r="3226" spans="1:28" ht="27" customHeight="1" x14ac:dyDescent="0.25">
      <c r="A3226" s="8" t="s">
        <v>5672</v>
      </c>
      <c r="B3226" s="9" t="s">
        <v>5666</v>
      </c>
      <c r="C3226" s="9"/>
      <c r="D3226" s="8" t="s">
        <v>6178</v>
      </c>
      <c r="E3226" s="8">
        <v>2</v>
      </c>
      <c r="F3226" s="8" t="s">
        <v>22</v>
      </c>
      <c r="G3226" s="10" t="s">
        <v>6522</v>
      </c>
      <c r="H3226" s="8" t="s">
        <v>6523</v>
      </c>
      <c r="I3226" s="10" t="s">
        <v>6522</v>
      </c>
      <c r="J3226" s="11" t="s">
        <v>26</v>
      </c>
      <c r="K3226" s="57">
        <v>5.0999999999999996</v>
      </c>
      <c r="L3226" s="12">
        <f>K3226*(1+P3226)/(1-Q3226)</f>
        <v>10.199999999999999</v>
      </c>
      <c r="M3226" s="8">
        <v>1</v>
      </c>
      <c r="N3226" s="8" t="s">
        <v>27</v>
      </c>
      <c r="O3226" s="13"/>
      <c r="P3226" s="14">
        <v>0.2</v>
      </c>
      <c r="Q3226" s="15">
        <v>0.4</v>
      </c>
      <c r="R3226" s="16" t="str">
        <f t="shared" si="262"/>
        <v>LUTRON</v>
      </c>
      <c r="S3226" s="17"/>
      <c r="T3226" s="10" t="str">
        <f t="shared" si="263"/>
        <v>INTERRUPTOR PARA CARGAS HASTA 15 AMPERIOS. EN COLOR NEGRO.</v>
      </c>
    </row>
    <row r="3227" spans="1:28" ht="27" customHeight="1" x14ac:dyDescent="0.25">
      <c r="A3227" s="8" t="s">
        <v>5672</v>
      </c>
      <c r="B3227" s="9" t="s">
        <v>5666</v>
      </c>
      <c r="C3227" s="9"/>
      <c r="D3227" s="8" t="s">
        <v>6178</v>
      </c>
      <c r="E3227" s="8">
        <v>2</v>
      </c>
      <c r="F3227" s="8" t="s">
        <v>22</v>
      </c>
      <c r="G3227" s="10" t="s">
        <v>6524</v>
      </c>
      <c r="H3227" s="8" t="s">
        <v>6525</v>
      </c>
      <c r="I3227" s="10" t="s">
        <v>6526</v>
      </c>
      <c r="J3227" s="11" t="s">
        <v>26</v>
      </c>
      <c r="K3227" s="57">
        <v>39.5</v>
      </c>
      <c r="L3227" s="12">
        <f>K3227*(1+P3227)/(1-Q3227)</f>
        <v>79</v>
      </c>
      <c r="M3227" s="8">
        <v>1</v>
      </c>
      <c r="N3227" s="8" t="s">
        <v>27</v>
      </c>
      <c r="O3227" s="13"/>
      <c r="P3227" s="14">
        <v>0.2</v>
      </c>
      <c r="Q3227" s="15">
        <v>0.4</v>
      </c>
      <c r="R3227" s="16" t="str">
        <f t="shared" si="262"/>
        <v>LUTRON</v>
      </c>
      <c r="S3227" s="17"/>
      <c r="T3227" s="10" t="str">
        <f t="shared" si="263"/>
        <v>REGULADOR DE INTENSIDAD DE FASE SELECCIONABLE PARA CARGAS TIPO LED.</v>
      </c>
    </row>
    <row r="3228" spans="1:28" ht="27" customHeight="1" x14ac:dyDescent="0.25">
      <c r="A3228" s="8" t="s">
        <v>5672</v>
      </c>
      <c r="B3228" s="9" t="s">
        <v>5666</v>
      </c>
      <c r="C3228" s="9"/>
      <c r="D3228" s="8" t="s">
        <v>6178</v>
      </c>
      <c r="E3228" s="8">
        <v>2</v>
      </c>
      <c r="F3228" s="8" t="s">
        <v>22</v>
      </c>
      <c r="G3228" s="10" t="s">
        <v>6524</v>
      </c>
      <c r="H3228" s="8" t="s">
        <v>6527</v>
      </c>
      <c r="I3228" s="10" t="s">
        <v>6528</v>
      </c>
      <c r="J3228" s="11" t="s">
        <v>26</v>
      </c>
      <c r="K3228" s="57">
        <v>39.5</v>
      </c>
      <c r="L3228" s="12">
        <f>K3228*(1+P3228)/(1-Q3228)</f>
        <v>79</v>
      </c>
      <c r="M3228" s="8">
        <v>1</v>
      </c>
      <c r="N3228" s="8" t="s">
        <v>27</v>
      </c>
      <c r="O3228" s="13"/>
      <c r="P3228" s="14">
        <v>0.2</v>
      </c>
      <c r="Q3228" s="15">
        <v>0.4</v>
      </c>
      <c r="R3228" s="16" t="str">
        <f t="shared" si="262"/>
        <v>LUTRON</v>
      </c>
      <c r="S3228" s="17"/>
      <c r="T3228" s="10" t="str">
        <f t="shared" si="263"/>
        <v>REGULADOR DE INTENSIDAD DE FASE SELECCIONABLE PARA CARGAS TIPO LED.</v>
      </c>
    </row>
    <row r="3229" spans="1:28" ht="27" customHeight="1" x14ac:dyDescent="0.25">
      <c r="A3229" s="8" t="s">
        <v>5672</v>
      </c>
      <c r="B3229" s="9" t="s">
        <v>5666</v>
      </c>
      <c r="C3229" s="9"/>
      <c r="D3229" s="8" t="s">
        <v>5909</v>
      </c>
      <c r="E3229" s="8">
        <v>1</v>
      </c>
      <c r="F3229" s="8" t="s">
        <v>22</v>
      </c>
      <c r="G3229" s="10" t="s">
        <v>6529</v>
      </c>
      <c r="H3229" s="8" t="s">
        <v>6530</v>
      </c>
      <c r="I3229" s="10" t="s">
        <v>6529</v>
      </c>
      <c r="J3229" s="11" t="s">
        <v>26</v>
      </c>
      <c r="K3229" s="57">
        <v>34.25</v>
      </c>
      <c r="L3229" s="12">
        <f>K3229*(1+P3229)/(1-Q3229)</f>
        <v>68.5</v>
      </c>
      <c r="M3229" s="8">
        <v>1</v>
      </c>
      <c r="N3229" s="8" t="s">
        <v>27</v>
      </c>
      <c r="O3229" s="13"/>
      <c r="P3229" s="14">
        <v>0.2</v>
      </c>
      <c r="Q3229" s="15">
        <v>0.4</v>
      </c>
      <c r="R3229" s="16" t="str">
        <f t="shared" si="262"/>
        <v>LUTRON</v>
      </c>
      <c r="S3229" s="17"/>
      <c r="T3229" s="10" t="str">
        <f t="shared" si="263"/>
        <v>TOMA CORRIENTE IGFC CON POLO A TIERRA DE 15A. COLOR NEGRO.</v>
      </c>
    </row>
    <row r="3230" spans="1:28" ht="27" customHeight="1" x14ac:dyDescent="0.25">
      <c r="A3230" s="8" t="s">
        <v>5672</v>
      </c>
      <c r="B3230" s="9"/>
      <c r="C3230" s="9"/>
      <c r="D3230" s="8"/>
      <c r="E3230" s="8"/>
      <c r="F3230" s="8" t="s">
        <v>22</v>
      </c>
      <c r="G3230" s="10" t="s">
        <v>6531</v>
      </c>
      <c r="H3230" s="8" t="s">
        <v>6532</v>
      </c>
      <c r="I3230" s="10" t="s">
        <v>6533</v>
      </c>
      <c r="J3230" s="11" t="s">
        <v>26</v>
      </c>
      <c r="K3230" s="57">
        <v>830</v>
      </c>
      <c r="L3230" s="12">
        <f>ROUNDUP(K3230*(1+P3230)/(1-Q3230),0)</f>
        <v>1660</v>
      </c>
      <c r="M3230" s="8">
        <v>1</v>
      </c>
      <c r="N3230" s="8" t="s">
        <v>27</v>
      </c>
      <c r="O3230" s="13"/>
      <c r="P3230" s="14">
        <v>0.2</v>
      </c>
      <c r="Q3230" s="15">
        <v>0.4</v>
      </c>
      <c r="R3230" s="16" t="str">
        <f t="shared" si="262"/>
        <v>LUTRON</v>
      </c>
      <c r="S3230" s="17"/>
      <c r="T3230" s="10" t="str">
        <f t="shared" si="263"/>
        <v>MODULO CON DOS BUSES DE DATOS DALÍ HASTA 64 DISPOSITIVOS.</v>
      </c>
    </row>
    <row r="3231" spans="1:28" ht="27" customHeight="1" x14ac:dyDescent="0.25">
      <c r="A3231" s="8" t="s">
        <v>5672</v>
      </c>
      <c r="B3231" s="9"/>
      <c r="C3231" s="9"/>
      <c r="D3231" s="8" t="s">
        <v>45</v>
      </c>
      <c r="E3231" s="8"/>
      <c r="F3231" s="8" t="s">
        <v>22</v>
      </c>
      <c r="G3231" s="10" t="s">
        <v>6534</v>
      </c>
      <c r="H3231" s="8" t="s">
        <v>6535</v>
      </c>
      <c r="I3231" s="10" t="s">
        <v>6534</v>
      </c>
      <c r="J3231" s="11" t="s">
        <v>26</v>
      </c>
      <c r="K3231" s="57">
        <v>232.5</v>
      </c>
      <c r="L3231" s="12">
        <f>ROUNDUP(K3231*(1+P3231)/(1-Q3231),0)</f>
        <v>465</v>
      </c>
      <c r="M3231" s="8">
        <v>1</v>
      </c>
      <c r="N3231" s="8" t="s">
        <v>27</v>
      </c>
      <c r="O3231" s="13"/>
      <c r="P3231" s="14">
        <v>0.2</v>
      </c>
      <c r="Q3231" s="15">
        <v>0.4</v>
      </c>
      <c r="R3231" s="16" t="str">
        <f t="shared" si="262"/>
        <v>LUTRON</v>
      </c>
      <c r="S3231" s="17"/>
      <c r="T3231" s="10" t="str">
        <f t="shared" si="263"/>
        <v>LICENCIA PARA REPORTE EN SOFTWARE QUANTUM</v>
      </c>
    </row>
    <row r="3232" spans="1:28" ht="27" customHeight="1" x14ac:dyDescent="0.25">
      <c r="A3232" s="8" t="s">
        <v>5672</v>
      </c>
      <c r="B3232" s="9" t="s">
        <v>5666</v>
      </c>
      <c r="C3232" s="9"/>
      <c r="D3232" s="8" t="s">
        <v>6178</v>
      </c>
      <c r="E3232" s="8">
        <v>4</v>
      </c>
      <c r="F3232" s="8" t="s">
        <v>22</v>
      </c>
      <c r="G3232" s="10" t="s">
        <v>6229</v>
      </c>
      <c r="H3232" s="8" t="s">
        <v>6536</v>
      </c>
      <c r="I3232" s="10" t="s">
        <v>6537</v>
      </c>
      <c r="J3232" s="11" t="s">
        <v>26</v>
      </c>
      <c r="K3232" s="57">
        <v>25</v>
      </c>
      <c r="L3232" s="12">
        <f>ROUNDUP(K3232*(1+P3232)/(1-Q3232),0)</f>
        <v>50</v>
      </c>
      <c r="M3232" s="8">
        <v>1</v>
      </c>
      <c r="N3232" s="8" t="s">
        <v>27</v>
      </c>
      <c r="O3232" s="13"/>
      <c r="P3232" s="14">
        <v>0.2</v>
      </c>
      <c r="Q3232" s="15">
        <v>0.4</v>
      </c>
      <c r="R3232" s="16" t="str">
        <f t="shared" si="262"/>
        <v>LUTRON</v>
      </c>
      <c r="S3232" s="17"/>
      <c r="T3232" s="10" t="str">
        <f t="shared" si="263"/>
        <v xml:space="preserve">TOMA CORRIENTE GFCI EN COLOR BLANCO. </v>
      </c>
    </row>
    <row r="3233" spans="1:20" ht="27" customHeight="1" x14ac:dyDescent="0.25">
      <c r="A3233" s="8" t="s">
        <v>5672</v>
      </c>
      <c r="B3233" s="9"/>
      <c r="C3233" s="9"/>
      <c r="D3233" s="8" t="s">
        <v>45</v>
      </c>
      <c r="E3233" s="8"/>
      <c r="F3233" s="8" t="s">
        <v>22</v>
      </c>
      <c r="G3233" s="10" t="s">
        <v>6538</v>
      </c>
      <c r="H3233" s="8" t="s">
        <v>6539</v>
      </c>
      <c r="I3233" s="10" t="s">
        <v>6538</v>
      </c>
      <c r="J3233" s="11" t="s">
        <v>26</v>
      </c>
      <c r="K3233" s="57">
        <v>5.7</v>
      </c>
      <c r="L3233" s="12">
        <f t="shared" ref="L3233:L3248" si="266">K3233*(1+P3233)/(1-Q3233)</f>
        <v>11.4</v>
      </c>
      <c r="M3233" s="8">
        <v>1</v>
      </c>
      <c r="N3233" s="8" t="s">
        <v>27</v>
      </c>
      <c r="O3233" s="13"/>
      <c r="P3233" s="14">
        <v>0.2</v>
      </c>
      <c r="Q3233" s="15">
        <v>0.4</v>
      </c>
      <c r="R3233" s="16" t="str">
        <f t="shared" si="262"/>
        <v>LUTRON</v>
      </c>
      <c r="S3233" s="17"/>
      <c r="T3233" s="10" t="str">
        <f t="shared" si="263"/>
        <v>JACK CONECTOR RJ45 CATEGORIA 5E</v>
      </c>
    </row>
    <row r="3234" spans="1:20" ht="27" customHeight="1" x14ac:dyDescent="0.25">
      <c r="A3234" s="8" t="s">
        <v>5672</v>
      </c>
      <c r="B3234" s="9"/>
      <c r="C3234" s="9"/>
      <c r="D3234" s="8" t="s">
        <v>45</v>
      </c>
      <c r="E3234" s="8"/>
      <c r="F3234" s="8" t="s">
        <v>22</v>
      </c>
      <c r="G3234" s="10" t="str">
        <f t="shared" ref="G3234:G3250" si="267">B3234&amp;"-"&amp;D3234&amp;"-"&amp;E3234&amp;F3234</f>
        <v>-PROG_-BLANCO</v>
      </c>
      <c r="H3234" s="8" t="s">
        <v>6540</v>
      </c>
      <c r="I3234" s="10" t="s">
        <v>6541</v>
      </c>
      <c r="J3234" s="11" t="s">
        <v>26</v>
      </c>
      <c r="K3234" s="57">
        <v>60</v>
      </c>
      <c r="L3234" s="12">
        <f t="shared" si="266"/>
        <v>100</v>
      </c>
      <c r="M3234" s="8">
        <v>1</v>
      </c>
      <c r="N3234" s="8" t="s">
        <v>27</v>
      </c>
      <c r="O3234" s="13"/>
      <c r="P3234" s="14">
        <v>0.2</v>
      </c>
      <c r="Q3234" s="15">
        <v>0.28000000000000003</v>
      </c>
      <c r="R3234" s="16" t="str">
        <f t="shared" si="262"/>
        <v>LUTRON</v>
      </c>
      <c r="S3234" s="17"/>
      <c r="T3234" s="10" t="str">
        <f t="shared" si="263"/>
        <v>-PROG_-BLANCO</v>
      </c>
    </row>
    <row r="3235" spans="1:20" ht="27" customHeight="1" x14ac:dyDescent="0.25">
      <c r="A3235" s="8" t="s">
        <v>5672</v>
      </c>
      <c r="B3235" s="9"/>
      <c r="C3235" s="9"/>
      <c r="D3235" s="8" t="s">
        <v>45</v>
      </c>
      <c r="E3235" s="8"/>
      <c r="F3235" s="8" t="s">
        <v>22</v>
      </c>
      <c r="G3235" s="10" t="str">
        <f t="shared" si="267"/>
        <v>-PROG_-BLANCO</v>
      </c>
      <c r="H3235" s="8" t="s">
        <v>6542</v>
      </c>
      <c r="I3235" s="10" t="s">
        <v>6543</v>
      </c>
      <c r="J3235" s="11" t="s">
        <v>26</v>
      </c>
      <c r="K3235" s="57">
        <v>77</v>
      </c>
      <c r="L3235" s="12">
        <f t="shared" si="266"/>
        <v>140.00000370095333</v>
      </c>
      <c r="M3235" s="8">
        <v>1</v>
      </c>
      <c r="N3235" s="8" t="s">
        <v>27</v>
      </c>
      <c r="O3235" s="13"/>
      <c r="P3235" s="14">
        <v>0.2</v>
      </c>
      <c r="Q3235" s="15">
        <v>0.34000001744735098</v>
      </c>
      <c r="R3235" s="16" t="str">
        <f t="shared" si="262"/>
        <v>LUTRON</v>
      </c>
      <c r="S3235" s="17"/>
      <c r="T3235" s="10" t="str">
        <f t="shared" si="263"/>
        <v>-PROG_-BLANCO</v>
      </c>
    </row>
    <row r="3236" spans="1:20" ht="27" customHeight="1" x14ac:dyDescent="0.25">
      <c r="A3236" s="8" t="s">
        <v>5672</v>
      </c>
      <c r="B3236" s="9"/>
      <c r="C3236" s="9"/>
      <c r="D3236" s="8" t="s">
        <v>45</v>
      </c>
      <c r="E3236" s="8"/>
      <c r="F3236" s="8" t="s">
        <v>22</v>
      </c>
      <c r="G3236" s="10" t="str">
        <f t="shared" si="267"/>
        <v>-PROG_-BLANCO</v>
      </c>
      <c r="H3236" s="8" t="s">
        <v>6544</v>
      </c>
      <c r="I3236" s="10" t="s">
        <v>6545</v>
      </c>
      <c r="J3236" s="11" t="s">
        <v>26</v>
      </c>
      <c r="K3236" s="57">
        <v>69.5</v>
      </c>
      <c r="L3236" s="12">
        <f t="shared" si="266"/>
        <v>139</v>
      </c>
      <c r="M3236" s="8">
        <v>1</v>
      </c>
      <c r="N3236" s="8" t="s">
        <v>27</v>
      </c>
      <c r="O3236" s="13"/>
      <c r="P3236" s="14">
        <v>0.2</v>
      </c>
      <c r="Q3236" s="15">
        <v>0.4</v>
      </c>
      <c r="R3236" s="16" t="str">
        <f t="shared" si="262"/>
        <v>LUTRON</v>
      </c>
      <c r="S3236" s="17"/>
      <c r="T3236" s="10" t="str">
        <f t="shared" si="263"/>
        <v>-PROG_-BLANCO</v>
      </c>
    </row>
    <row r="3237" spans="1:20" ht="27" customHeight="1" x14ac:dyDescent="0.25">
      <c r="A3237" s="8" t="s">
        <v>5672</v>
      </c>
      <c r="B3237" s="9"/>
      <c r="C3237" s="9"/>
      <c r="D3237" s="8" t="s">
        <v>45</v>
      </c>
      <c r="E3237" s="8"/>
      <c r="F3237" s="8" t="s">
        <v>22</v>
      </c>
      <c r="G3237" s="10" t="str">
        <f t="shared" si="267"/>
        <v>-PROG_-BLANCO</v>
      </c>
      <c r="H3237" s="8" t="s">
        <v>6546</v>
      </c>
      <c r="I3237" s="10" t="s">
        <v>6547</v>
      </c>
      <c r="J3237" s="11" t="s">
        <v>26</v>
      </c>
      <c r="K3237" s="57">
        <v>240.8</v>
      </c>
      <c r="L3237" s="12">
        <f t="shared" si="266"/>
        <v>430.00000028739549</v>
      </c>
      <c r="M3237" s="8">
        <v>1</v>
      </c>
      <c r="N3237" s="8" t="s">
        <v>27</v>
      </c>
      <c r="O3237" s="13"/>
      <c r="P3237" s="14">
        <v>0.2</v>
      </c>
      <c r="Q3237" s="15">
        <v>0.32800000044913902</v>
      </c>
      <c r="R3237" s="16" t="str">
        <f t="shared" si="262"/>
        <v>LUTRON</v>
      </c>
      <c r="S3237" s="17"/>
      <c r="T3237" s="10" t="str">
        <f t="shared" si="263"/>
        <v>-PROG_-BLANCO</v>
      </c>
    </row>
    <row r="3238" spans="1:20" ht="27" customHeight="1" x14ac:dyDescent="0.25">
      <c r="A3238" s="8" t="s">
        <v>5672</v>
      </c>
      <c r="B3238" s="9"/>
      <c r="C3238" s="9"/>
      <c r="D3238" s="8" t="s">
        <v>45</v>
      </c>
      <c r="E3238" s="8"/>
      <c r="F3238" s="8" t="s">
        <v>22</v>
      </c>
      <c r="G3238" s="10" t="str">
        <f t="shared" si="267"/>
        <v>-PROG_-BLANCO</v>
      </c>
      <c r="H3238" s="8" t="s">
        <v>6548</v>
      </c>
      <c r="I3238" s="10" t="s">
        <v>6549</v>
      </c>
      <c r="J3238" s="11" t="s">
        <v>26</v>
      </c>
      <c r="K3238" s="57">
        <v>414.4</v>
      </c>
      <c r="L3238" s="12">
        <f t="shared" si="266"/>
        <v>740.00000049458754</v>
      </c>
      <c r="M3238" s="8">
        <v>1</v>
      </c>
      <c r="N3238" s="8" t="s">
        <v>27</v>
      </c>
      <c r="O3238" s="13"/>
      <c r="P3238" s="14">
        <v>0.2</v>
      </c>
      <c r="Q3238" s="15">
        <v>0.32800000044913902</v>
      </c>
      <c r="R3238" s="16" t="str">
        <f t="shared" si="262"/>
        <v>LUTRON</v>
      </c>
      <c r="S3238" s="17"/>
      <c r="T3238" s="10" t="str">
        <f t="shared" si="263"/>
        <v>-PROG_-BLANCO</v>
      </c>
    </row>
    <row r="3239" spans="1:20" ht="27" customHeight="1" x14ac:dyDescent="0.25">
      <c r="A3239" s="8" t="s">
        <v>5672</v>
      </c>
      <c r="B3239" s="9"/>
      <c r="C3239" s="9"/>
      <c r="D3239" s="8" t="s">
        <v>45</v>
      </c>
      <c r="E3239" s="8"/>
      <c r="F3239" s="8" t="s">
        <v>22</v>
      </c>
      <c r="G3239" s="10" t="str">
        <f t="shared" si="267"/>
        <v>-PROG_-BLANCO</v>
      </c>
      <c r="H3239" s="8" t="s">
        <v>5929</v>
      </c>
      <c r="I3239" s="10" t="s">
        <v>6550</v>
      </c>
      <c r="J3239" s="11" t="s">
        <v>26</v>
      </c>
      <c r="K3239" s="57">
        <v>31</v>
      </c>
      <c r="L3239" s="12">
        <f t="shared" si="266"/>
        <v>61.999999999999993</v>
      </c>
      <c r="M3239" s="8">
        <v>1</v>
      </c>
      <c r="N3239" s="8" t="s">
        <v>27</v>
      </c>
      <c r="O3239" s="13"/>
      <c r="P3239" s="14">
        <v>0.2</v>
      </c>
      <c r="Q3239" s="15">
        <v>0.4</v>
      </c>
      <c r="R3239" s="16" t="str">
        <f t="shared" si="262"/>
        <v>LUTRON</v>
      </c>
      <c r="S3239" s="17"/>
      <c r="T3239" s="10" t="str">
        <f t="shared" si="263"/>
        <v>-PROG_-BLANCO</v>
      </c>
    </row>
    <row r="3240" spans="1:20" ht="27" customHeight="1" x14ac:dyDescent="0.25">
      <c r="A3240" s="8" t="s">
        <v>5672</v>
      </c>
      <c r="B3240" s="9"/>
      <c r="C3240" s="9"/>
      <c r="D3240" s="8" t="s">
        <v>45</v>
      </c>
      <c r="E3240" s="8"/>
      <c r="F3240" s="8" t="s">
        <v>22</v>
      </c>
      <c r="G3240" s="10" t="str">
        <f t="shared" si="267"/>
        <v>-PROG_-BLANCO</v>
      </c>
      <c r="H3240" s="8" t="s">
        <v>6551</v>
      </c>
      <c r="I3240" s="10" t="s">
        <v>6552</v>
      </c>
      <c r="J3240" s="11" t="s">
        <v>26</v>
      </c>
      <c r="K3240" s="57">
        <v>21</v>
      </c>
      <c r="L3240" s="12">
        <f t="shared" si="266"/>
        <v>42</v>
      </c>
      <c r="M3240" s="8">
        <v>1</v>
      </c>
      <c r="N3240" s="8" t="s">
        <v>27</v>
      </c>
      <c r="O3240" s="13"/>
      <c r="P3240" s="14">
        <v>0.2</v>
      </c>
      <c r="Q3240" s="15">
        <v>0.4</v>
      </c>
      <c r="R3240" s="16" t="str">
        <f t="shared" si="262"/>
        <v>LUTRON</v>
      </c>
      <c r="S3240" s="17"/>
      <c r="T3240" s="10" t="str">
        <f t="shared" si="263"/>
        <v>-PROG_-BLANCO</v>
      </c>
    </row>
    <row r="3241" spans="1:20" ht="27" customHeight="1" x14ac:dyDescent="0.25">
      <c r="A3241" s="8" t="s">
        <v>5672</v>
      </c>
      <c r="B3241" s="9"/>
      <c r="C3241" s="9"/>
      <c r="D3241" s="8" t="s">
        <v>45</v>
      </c>
      <c r="E3241" s="8"/>
      <c r="F3241" s="8" t="s">
        <v>22</v>
      </c>
      <c r="G3241" s="10" t="str">
        <f t="shared" si="267"/>
        <v>-PROG_-BLANCO</v>
      </c>
      <c r="H3241" s="8" t="s">
        <v>6542</v>
      </c>
      <c r="I3241" s="10" t="s">
        <v>6553</v>
      </c>
      <c r="J3241" s="11" t="s">
        <v>26</v>
      </c>
      <c r="K3241" s="57">
        <v>77</v>
      </c>
      <c r="L3241" s="12">
        <f t="shared" si="266"/>
        <v>140</v>
      </c>
      <c r="M3241" s="8">
        <v>1</v>
      </c>
      <c r="N3241" s="8" t="s">
        <v>27</v>
      </c>
      <c r="O3241" s="13"/>
      <c r="P3241" s="14">
        <v>0.2</v>
      </c>
      <c r="Q3241" s="15">
        <v>0.34</v>
      </c>
      <c r="R3241" s="16" t="str">
        <f t="shared" si="262"/>
        <v>LUTRON</v>
      </c>
      <c r="S3241" s="17"/>
      <c r="T3241" s="10" t="str">
        <f t="shared" si="263"/>
        <v>-PROG_-BLANCO</v>
      </c>
    </row>
    <row r="3242" spans="1:20" ht="27" customHeight="1" x14ac:dyDescent="0.25">
      <c r="A3242" s="8" t="s">
        <v>5672</v>
      </c>
      <c r="B3242" s="9"/>
      <c r="C3242" s="9"/>
      <c r="D3242" s="8" t="s">
        <v>45</v>
      </c>
      <c r="E3242" s="8"/>
      <c r="F3242" s="8" t="s">
        <v>22</v>
      </c>
      <c r="G3242" s="10" t="str">
        <f t="shared" si="267"/>
        <v>-PROG_-BLANCO</v>
      </c>
      <c r="H3242" s="8" t="s">
        <v>6554</v>
      </c>
      <c r="I3242" s="10" t="s">
        <v>6555</v>
      </c>
      <c r="J3242" s="11" t="s">
        <v>26</v>
      </c>
      <c r="K3242" s="57">
        <v>140.25</v>
      </c>
      <c r="L3242" s="12">
        <f t="shared" si="266"/>
        <v>255</v>
      </c>
      <c r="M3242" s="8">
        <v>1</v>
      </c>
      <c r="N3242" s="8" t="s">
        <v>27</v>
      </c>
      <c r="O3242" s="13"/>
      <c r="P3242" s="14">
        <v>0.2</v>
      </c>
      <c r="Q3242" s="15">
        <v>0.34</v>
      </c>
      <c r="R3242" s="16" t="str">
        <f t="shared" si="262"/>
        <v>LUTRON</v>
      </c>
      <c r="S3242" s="17"/>
      <c r="T3242" s="10" t="str">
        <f t="shared" si="263"/>
        <v>-PROG_-BLANCO</v>
      </c>
    </row>
    <row r="3243" spans="1:20" ht="27" customHeight="1" x14ac:dyDescent="0.25">
      <c r="A3243" s="8" t="s">
        <v>5672</v>
      </c>
      <c r="B3243" s="9"/>
      <c r="C3243" s="9"/>
      <c r="D3243" s="8" t="s">
        <v>45</v>
      </c>
      <c r="E3243" s="8"/>
      <c r="F3243" s="8" t="s">
        <v>22</v>
      </c>
      <c r="G3243" s="10" t="str">
        <f t="shared" si="267"/>
        <v>-PROG_-BLANCO</v>
      </c>
      <c r="H3243" s="8" t="s">
        <v>6556</v>
      </c>
      <c r="I3243" s="10" t="s">
        <v>6557</v>
      </c>
      <c r="J3243" s="11" t="s">
        <v>26</v>
      </c>
      <c r="K3243" s="57">
        <v>160.19999999999999</v>
      </c>
      <c r="L3243" s="12">
        <f t="shared" si="266"/>
        <v>267</v>
      </c>
      <c r="M3243" s="8">
        <v>1</v>
      </c>
      <c r="N3243" s="8" t="s">
        <v>27</v>
      </c>
      <c r="O3243" s="13"/>
      <c r="P3243" s="14">
        <v>0.2</v>
      </c>
      <c r="Q3243" s="15">
        <v>0.28000000000000003</v>
      </c>
      <c r="R3243" s="16" t="str">
        <f t="shared" si="262"/>
        <v>LUTRON</v>
      </c>
      <c r="S3243" s="17"/>
      <c r="T3243" s="10" t="str">
        <f t="shared" si="263"/>
        <v>-PROG_-BLANCO</v>
      </c>
    </row>
    <row r="3244" spans="1:20" ht="27" customHeight="1" x14ac:dyDescent="0.25">
      <c r="A3244" s="8" t="s">
        <v>5672</v>
      </c>
      <c r="B3244" s="9"/>
      <c r="C3244" s="9"/>
      <c r="D3244" s="8" t="s">
        <v>45</v>
      </c>
      <c r="E3244" s="8"/>
      <c r="F3244" s="8" t="s">
        <v>22</v>
      </c>
      <c r="G3244" s="10" t="str">
        <f t="shared" si="267"/>
        <v>-PROG_-BLANCO</v>
      </c>
      <c r="H3244" s="8" t="s">
        <v>6368</v>
      </c>
      <c r="I3244" s="10" t="s">
        <v>6558</v>
      </c>
      <c r="J3244" s="11" t="s">
        <v>26</v>
      </c>
      <c r="K3244" s="57">
        <v>110</v>
      </c>
      <c r="L3244" s="12">
        <f t="shared" si="266"/>
        <v>200.00000000000003</v>
      </c>
      <c r="M3244" s="8">
        <v>1</v>
      </c>
      <c r="N3244" s="8" t="s">
        <v>27</v>
      </c>
      <c r="O3244" s="13"/>
      <c r="P3244" s="14">
        <v>0.2</v>
      </c>
      <c r="Q3244" s="15">
        <v>0.34</v>
      </c>
      <c r="R3244" s="16" t="str">
        <f t="shared" si="262"/>
        <v>LUTRON</v>
      </c>
      <c r="S3244" s="17"/>
      <c r="T3244" s="10" t="str">
        <f t="shared" si="263"/>
        <v>-PROG_-BLANCO</v>
      </c>
    </row>
    <row r="3245" spans="1:20" ht="27" customHeight="1" x14ac:dyDescent="0.25">
      <c r="A3245" s="8" t="s">
        <v>5672</v>
      </c>
      <c r="B3245" s="9"/>
      <c r="C3245" s="9"/>
      <c r="D3245" s="8" t="s">
        <v>45</v>
      </c>
      <c r="E3245" s="8"/>
      <c r="F3245" s="8" t="s">
        <v>22</v>
      </c>
      <c r="G3245" s="10" t="str">
        <f t="shared" si="267"/>
        <v>-PROG_-BLANCO</v>
      </c>
      <c r="H3245" s="8" t="s">
        <v>6559</v>
      </c>
      <c r="I3245" s="10" t="s">
        <v>6560</v>
      </c>
      <c r="J3245" s="11" t="s">
        <v>26</v>
      </c>
      <c r="K3245" s="57">
        <v>11.2</v>
      </c>
      <c r="L3245" s="12">
        <f t="shared" si="266"/>
        <v>22.4</v>
      </c>
      <c r="M3245" s="8">
        <v>1</v>
      </c>
      <c r="N3245" s="8" t="s">
        <v>27</v>
      </c>
      <c r="O3245" s="13"/>
      <c r="P3245" s="14">
        <v>0.2</v>
      </c>
      <c r="Q3245" s="15">
        <v>0.4</v>
      </c>
      <c r="R3245" s="16" t="str">
        <f t="shared" si="262"/>
        <v>LUTRON</v>
      </c>
      <c r="S3245" s="17"/>
      <c r="T3245" s="10" t="str">
        <f t="shared" si="263"/>
        <v>-PROG_-BLANCO</v>
      </c>
    </row>
    <row r="3246" spans="1:20" ht="27" customHeight="1" x14ac:dyDescent="0.25">
      <c r="A3246" s="8" t="s">
        <v>5672</v>
      </c>
      <c r="B3246" s="9"/>
      <c r="C3246" s="9"/>
      <c r="D3246" s="8" t="s">
        <v>45</v>
      </c>
      <c r="E3246" s="8"/>
      <c r="F3246" s="8" t="s">
        <v>22</v>
      </c>
      <c r="G3246" s="10" t="str">
        <f t="shared" si="267"/>
        <v>-PROG_-BLANCO</v>
      </c>
      <c r="H3246" s="8" t="s">
        <v>6561</v>
      </c>
      <c r="I3246" s="10" t="s">
        <v>6562</v>
      </c>
      <c r="J3246" s="11" t="s">
        <v>26</v>
      </c>
      <c r="K3246" s="57">
        <v>4.8499999999999996</v>
      </c>
      <c r="L3246" s="12">
        <f t="shared" si="266"/>
        <v>9.6999999999999993</v>
      </c>
      <c r="M3246" s="8">
        <v>1</v>
      </c>
      <c r="N3246" s="8" t="s">
        <v>27</v>
      </c>
      <c r="O3246" s="13"/>
      <c r="P3246" s="14">
        <v>0.2</v>
      </c>
      <c r="Q3246" s="15">
        <v>0.4</v>
      </c>
      <c r="R3246" s="16" t="str">
        <f t="shared" si="262"/>
        <v>LUTRON</v>
      </c>
      <c r="S3246" s="17"/>
      <c r="T3246" s="10" t="str">
        <f t="shared" si="263"/>
        <v>-PROG_-BLANCO</v>
      </c>
    </row>
    <row r="3247" spans="1:20" ht="27" customHeight="1" x14ac:dyDescent="0.25">
      <c r="A3247" s="8" t="s">
        <v>5672</v>
      </c>
      <c r="B3247" s="9"/>
      <c r="C3247" s="9"/>
      <c r="D3247" s="8" t="s">
        <v>45</v>
      </c>
      <c r="E3247" s="8"/>
      <c r="F3247" s="8" t="s">
        <v>22</v>
      </c>
      <c r="G3247" s="10" t="str">
        <f t="shared" si="267"/>
        <v>-PROG_-BLANCO</v>
      </c>
      <c r="H3247" s="8" t="s">
        <v>6539</v>
      </c>
      <c r="I3247" s="10" t="s">
        <v>6563</v>
      </c>
      <c r="J3247" s="11" t="s">
        <v>26</v>
      </c>
      <c r="K3247" s="57">
        <v>5.7</v>
      </c>
      <c r="L3247" s="12">
        <f t="shared" si="266"/>
        <v>11.4</v>
      </c>
      <c r="M3247" s="8">
        <v>1</v>
      </c>
      <c r="N3247" s="8" t="s">
        <v>27</v>
      </c>
      <c r="O3247" s="13"/>
      <c r="P3247" s="14">
        <v>0.2</v>
      </c>
      <c r="Q3247" s="15">
        <v>0.4</v>
      </c>
      <c r="R3247" s="16" t="str">
        <f t="shared" ref="R3247:R3310" si="268">A3247</f>
        <v>LUTRON</v>
      </c>
      <c r="S3247" s="17"/>
      <c r="T3247" s="10" t="str">
        <f t="shared" si="263"/>
        <v>-PROG_-BLANCO</v>
      </c>
    </row>
    <row r="3248" spans="1:20" ht="27" customHeight="1" x14ac:dyDescent="0.25">
      <c r="A3248" s="8" t="s">
        <v>5672</v>
      </c>
      <c r="B3248" s="9"/>
      <c r="C3248" s="9"/>
      <c r="D3248" s="8" t="s">
        <v>45</v>
      </c>
      <c r="E3248" s="8"/>
      <c r="F3248" s="8" t="s">
        <v>22</v>
      </c>
      <c r="G3248" s="10" t="str">
        <f t="shared" si="267"/>
        <v>-PROG_-BLANCO</v>
      </c>
      <c r="H3248" s="8" t="s">
        <v>6564</v>
      </c>
      <c r="I3248" s="10" t="s">
        <v>6565</v>
      </c>
      <c r="J3248" s="11" t="s">
        <v>26</v>
      </c>
      <c r="K3248" s="57">
        <v>50</v>
      </c>
      <c r="L3248" s="12">
        <f t="shared" si="266"/>
        <v>100</v>
      </c>
      <c r="M3248" s="8">
        <v>1</v>
      </c>
      <c r="N3248" s="8" t="s">
        <v>27</v>
      </c>
      <c r="O3248" s="13"/>
      <c r="P3248" s="14">
        <v>0.2</v>
      </c>
      <c r="Q3248" s="15">
        <v>0.4</v>
      </c>
      <c r="R3248" s="16" t="str">
        <f t="shared" si="268"/>
        <v>LUTRON</v>
      </c>
      <c r="S3248" s="17"/>
      <c r="T3248" s="10" t="str">
        <f t="shared" si="263"/>
        <v>-PROG_-BLANCO</v>
      </c>
    </row>
    <row r="3249" spans="1:25" ht="27" customHeight="1" x14ac:dyDescent="0.25">
      <c r="A3249" s="8" t="s">
        <v>5672</v>
      </c>
      <c r="B3249" s="9"/>
      <c r="C3249" s="9"/>
      <c r="D3249" s="8" t="s">
        <v>45</v>
      </c>
      <c r="E3249" s="8"/>
      <c r="F3249" s="8" t="s">
        <v>22</v>
      </c>
      <c r="G3249" s="10" t="str">
        <f t="shared" si="267"/>
        <v>-PROG_-BLANCO</v>
      </c>
      <c r="H3249" s="8" t="s">
        <v>6566</v>
      </c>
      <c r="I3249" s="10" t="s">
        <v>6567</v>
      </c>
      <c r="J3249" s="11" t="s">
        <v>26</v>
      </c>
      <c r="K3249" s="57">
        <v>22.5</v>
      </c>
      <c r="L3249" s="12">
        <f>IF(J3249="P",ROUNDUP(K3249/(1-Q3249),-2),K3249*(1+P3249)/(1-Q3249))</f>
        <v>45</v>
      </c>
      <c r="M3249" s="8">
        <v>1</v>
      </c>
      <c r="N3249" s="8" t="s">
        <v>27</v>
      </c>
      <c r="O3249" s="13"/>
      <c r="P3249" s="14">
        <v>0.2</v>
      </c>
      <c r="Q3249" s="15">
        <v>0.4</v>
      </c>
      <c r="R3249" s="16" t="str">
        <f t="shared" si="268"/>
        <v>LUTRON</v>
      </c>
      <c r="S3249" s="17"/>
      <c r="T3249" s="10" t="str">
        <f t="shared" si="263"/>
        <v>-PROG_-BLANCO</v>
      </c>
    </row>
    <row r="3250" spans="1:25" ht="27" customHeight="1" x14ac:dyDescent="0.25">
      <c r="A3250" s="8" t="s">
        <v>5672</v>
      </c>
      <c r="B3250" s="9"/>
      <c r="C3250" s="9"/>
      <c r="D3250" s="8" t="s">
        <v>45</v>
      </c>
      <c r="E3250" s="8"/>
      <c r="F3250" s="8" t="s">
        <v>22</v>
      </c>
      <c r="G3250" s="10" t="str">
        <f t="shared" si="267"/>
        <v>-PROG_-BLANCO</v>
      </c>
      <c r="H3250" s="8" t="s">
        <v>6568</v>
      </c>
      <c r="I3250" s="10" t="s">
        <v>6569</v>
      </c>
      <c r="J3250" s="11" t="s">
        <v>26</v>
      </c>
      <c r="K3250" s="57">
        <v>47.3</v>
      </c>
      <c r="L3250" s="12">
        <f>IF(J3250="P",ROUNDUP(K3250/(1-Q3250),-2),K3250*(1+P3250)/(1-Q3250))</f>
        <v>86.000000000000014</v>
      </c>
      <c r="M3250" s="8">
        <v>1</v>
      </c>
      <c r="N3250" s="8" t="s">
        <v>27</v>
      </c>
      <c r="O3250" s="13"/>
      <c r="P3250" s="14">
        <v>0.2</v>
      </c>
      <c r="Q3250" s="15">
        <v>0.34</v>
      </c>
      <c r="R3250" s="16" t="str">
        <f t="shared" si="268"/>
        <v>LUTRON</v>
      </c>
      <c r="S3250" s="17"/>
      <c r="T3250" s="10" t="str">
        <f t="shared" si="263"/>
        <v>-PROG_-BLANCO</v>
      </c>
    </row>
    <row r="3251" spans="1:25" ht="27" customHeight="1" x14ac:dyDescent="0.25">
      <c r="A3251" s="8" t="s">
        <v>5672</v>
      </c>
      <c r="B3251" s="9"/>
      <c r="C3251" s="9"/>
      <c r="D3251" s="8"/>
      <c r="E3251" s="8"/>
      <c r="F3251" s="8"/>
      <c r="G3251" s="10"/>
      <c r="H3251" s="8" t="s">
        <v>6570</v>
      </c>
      <c r="I3251" s="10" t="s">
        <v>6571</v>
      </c>
      <c r="J3251" s="11" t="s">
        <v>26</v>
      </c>
      <c r="K3251" s="57">
        <v>48.5</v>
      </c>
      <c r="L3251" s="12">
        <f>IF(J3251="P",ROUNDUP(K3251/(1-Q3251),-2),K3251*(1+P3251)/(1-Q3251))</f>
        <v>97</v>
      </c>
      <c r="M3251" s="8">
        <v>1</v>
      </c>
      <c r="N3251" s="8" t="s">
        <v>27</v>
      </c>
      <c r="O3251" s="13"/>
      <c r="P3251" s="14">
        <v>0.2</v>
      </c>
      <c r="Q3251" s="15">
        <v>0.4</v>
      </c>
      <c r="R3251" s="16" t="str">
        <f t="shared" si="268"/>
        <v>LUTRON</v>
      </c>
      <c r="S3251" s="17"/>
      <c r="T3251" s="10"/>
    </row>
    <row r="3252" spans="1:25" ht="27" customHeight="1" x14ac:dyDescent="0.25">
      <c r="A3252" s="8" t="s">
        <v>5672</v>
      </c>
      <c r="B3252" s="9"/>
      <c r="C3252" s="9"/>
      <c r="D3252" s="8"/>
      <c r="E3252" s="8"/>
      <c r="F3252" s="8"/>
      <c r="G3252" s="10"/>
      <c r="H3252" s="8" t="s">
        <v>6572</v>
      </c>
      <c r="I3252" s="10" t="s">
        <v>6573</v>
      </c>
      <c r="J3252" s="11" t="s">
        <v>26</v>
      </c>
      <c r="K3252" s="57">
        <v>1977.25</v>
      </c>
      <c r="L3252" s="12">
        <f>IF(J3252="P",ROUNDUP(K3252/(1-Q3252),-2),K3252*(1+P3252)/(1-Q3252))</f>
        <v>3595</v>
      </c>
      <c r="M3252" s="8">
        <v>1</v>
      </c>
      <c r="N3252" s="8" t="s">
        <v>27</v>
      </c>
      <c r="O3252" s="13"/>
      <c r="P3252" s="14">
        <v>0.2</v>
      </c>
      <c r="Q3252" s="15">
        <v>0.34</v>
      </c>
      <c r="R3252" s="16" t="str">
        <f t="shared" si="268"/>
        <v>LUTRON</v>
      </c>
      <c r="S3252" s="17"/>
      <c r="T3252" s="10"/>
      <c r="Y3252" s="21">
        <f>K3252*1.2/0.9</f>
        <v>2636.333333333333</v>
      </c>
    </row>
    <row r="3253" spans="1:25" ht="27" customHeight="1" x14ac:dyDescent="0.25">
      <c r="A3253" s="8" t="s">
        <v>5672</v>
      </c>
      <c r="B3253" s="9"/>
      <c r="C3253" s="9"/>
      <c r="D3253" s="8"/>
      <c r="E3253" s="8"/>
      <c r="F3253" s="8"/>
      <c r="G3253" s="10"/>
      <c r="H3253" s="8" t="s">
        <v>6574</v>
      </c>
      <c r="I3253" s="10" t="s">
        <v>6575</v>
      </c>
      <c r="J3253" s="11" t="s">
        <v>26</v>
      </c>
      <c r="K3253" s="57">
        <v>6.25</v>
      </c>
      <c r="L3253" s="12">
        <f>IF(J3253="P",ROUNDUP(K3253/(1-Q3253),-2),K3253*(1+P3253)/(1-Q3253))</f>
        <v>12.5</v>
      </c>
      <c r="M3253" s="8">
        <v>1</v>
      </c>
      <c r="N3253" s="8" t="s">
        <v>27</v>
      </c>
      <c r="O3253" s="13"/>
      <c r="P3253" s="14">
        <v>0.2</v>
      </c>
      <c r="Q3253" s="15">
        <v>0.4</v>
      </c>
      <c r="R3253" s="16" t="str">
        <f t="shared" si="268"/>
        <v>LUTRON</v>
      </c>
      <c r="S3253" s="17"/>
      <c r="T3253" s="10"/>
    </row>
    <row r="3254" spans="1:25" ht="27" customHeight="1" x14ac:dyDescent="0.25">
      <c r="A3254" s="8" t="s">
        <v>5672</v>
      </c>
      <c r="B3254" s="9"/>
      <c r="C3254" s="9"/>
      <c r="D3254" s="8"/>
      <c r="E3254" s="8"/>
      <c r="F3254" s="8"/>
      <c r="G3254" s="10"/>
      <c r="H3254" s="8" t="s">
        <v>6546</v>
      </c>
      <c r="I3254" s="10" t="s">
        <v>6576</v>
      </c>
      <c r="J3254" s="11" t="s">
        <v>26</v>
      </c>
      <c r="K3254" s="57">
        <v>236.5</v>
      </c>
      <c r="L3254" s="12">
        <f t="shared" ref="L3254:L3269" si="269">K3254*(1+P3254)/(1-Q3254)</f>
        <v>430.00000000000006</v>
      </c>
      <c r="M3254" s="8">
        <v>1</v>
      </c>
      <c r="N3254" s="8" t="s">
        <v>27</v>
      </c>
      <c r="O3254" s="13"/>
      <c r="P3254" s="14">
        <v>0.2</v>
      </c>
      <c r="Q3254" s="15">
        <v>0.34</v>
      </c>
      <c r="R3254" s="16" t="str">
        <f t="shared" si="268"/>
        <v>LUTRON</v>
      </c>
      <c r="S3254" s="17"/>
      <c r="T3254" s="10"/>
    </row>
    <row r="3255" spans="1:25" ht="27" customHeight="1" x14ac:dyDescent="0.25">
      <c r="A3255" s="8" t="s">
        <v>5672</v>
      </c>
      <c r="B3255" s="9"/>
      <c r="C3255" s="9"/>
      <c r="D3255" s="8"/>
      <c r="E3255" s="8"/>
      <c r="F3255" s="8"/>
      <c r="G3255" s="10"/>
      <c r="H3255" s="8" t="s">
        <v>6577</v>
      </c>
      <c r="I3255" s="10" t="s">
        <v>6578</v>
      </c>
      <c r="J3255" s="11" t="s">
        <v>26</v>
      </c>
      <c r="K3255" s="57">
        <v>134.5</v>
      </c>
      <c r="L3255" s="12">
        <f t="shared" si="269"/>
        <v>244.54545454545459</v>
      </c>
      <c r="M3255" s="8">
        <v>1</v>
      </c>
      <c r="N3255" s="8" t="s">
        <v>27</v>
      </c>
      <c r="O3255" s="13"/>
      <c r="P3255" s="14">
        <v>0.2</v>
      </c>
      <c r="Q3255" s="15">
        <v>0.34</v>
      </c>
      <c r="R3255" s="16" t="str">
        <f t="shared" si="268"/>
        <v>LUTRON</v>
      </c>
      <c r="S3255" s="17"/>
      <c r="T3255" s="10"/>
    </row>
    <row r="3256" spans="1:25" ht="27" customHeight="1" x14ac:dyDescent="0.25">
      <c r="A3256" s="8" t="s">
        <v>5672</v>
      </c>
      <c r="B3256" s="9"/>
      <c r="C3256" s="9"/>
      <c r="D3256" s="8"/>
      <c r="E3256" s="8"/>
      <c r="F3256" s="8"/>
      <c r="G3256" s="10"/>
      <c r="H3256" s="8" t="s">
        <v>6579</v>
      </c>
      <c r="I3256" s="10" t="s">
        <v>6580</v>
      </c>
      <c r="J3256" s="11" t="s">
        <v>26</v>
      </c>
      <c r="K3256" s="57">
        <v>712</v>
      </c>
      <c r="L3256" s="12">
        <f t="shared" si="269"/>
        <v>1319.9999984728838</v>
      </c>
      <c r="M3256" s="8">
        <v>1</v>
      </c>
      <c r="N3256" s="8" t="s">
        <v>27</v>
      </c>
      <c r="O3256" s="13"/>
      <c r="P3256" s="14">
        <v>0.2</v>
      </c>
      <c r="Q3256" s="15">
        <v>0.35272727197843889</v>
      </c>
      <c r="R3256" s="16" t="str">
        <f t="shared" si="268"/>
        <v>LUTRON</v>
      </c>
      <c r="S3256" s="17"/>
      <c r="T3256" s="10"/>
    </row>
    <row r="3257" spans="1:25" ht="27" customHeight="1" x14ac:dyDescent="0.25">
      <c r="A3257" s="8" t="s">
        <v>5672</v>
      </c>
      <c r="B3257" s="9"/>
      <c r="C3257" s="9"/>
      <c r="D3257" s="8"/>
      <c r="E3257" s="8"/>
      <c r="F3257" s="8"/>
      <c r="G3257" s="10"/>
      <c r="H3257" s="8" t="s">
        <v>6581</v>
      </c>
      <c r="I3257" s="10" t="s">
        <v>6582</v>
      </c>
      <c r="J3257" s="11" t="s">
        <v>26</v>
      </c>
      <c r="K3257" s="57">
        <v>335.5</v>
      </c>
      <c r="L3257" s="12">
        <f t="shared" si="269"/>
        <v>610</v>
      </c>
      <c r="M3257" s="8">
        <v>1</v>
      </c>
      <c r="N3257" s="8" t="s">
        <v>27</v>
      </c>
      <c r="O3257" s="13"/>
      <c r="P3257" s="14">
        <v>0.2</v>
      </c>
      <c r="Q3257" s="15">
        <v>0.34</v>
      </c>
      <c r="R3257" s="16" t="str">
        <f t="shared" si="268"/>
        <v>LUTRON</v>
      </c>
      <c r="S3257" s="17"/>
      <c r="T3257" s="10"/>
    </row>
    <row r="3258" spans="1:25" ht="27" customHeight="1" x14ac:dyDescent="0.25">
      <c r="A3258" s="8" t="s">
        <v>5672</v>
      </c>
      <c r="B3258" s="9"/>
      <c r="C3258" s="9"/>
      <c r="D3258" s="8"/>
      <c r="E3258" s="8"/>
      <c r="F3258" s="8"/>
      <c r="G3258" s="10"/>
      <c r="H3258" s="8" t="s">
        <v>6583</v>
      </c>
      <c r="I3258" s="10" t="s">
        <v>6320</v>
      </c>
      <c r="J3258" s="11" t="s">
        <v>26</v>
      </c>
      <c r="K3258" s="57">
        <v>65.5</v>
      </c>
      <c r="L3258" s="12">
        <f t="shared" si="269"/>
        <v>131</v>
      </c>
      <c r="M3258" s="8">
        <v>1</v>
      </c>
      <c r="N3258" s="8" t="s">
        <v>27</v>
      </c>
      <c r="O3258" s="13"/>
      <c r="P3258" s="14">
        <v>0.2</v>
      </c>
      <c r="Q3258" s="15">
        <v>0.4</v>
      </c>
      <c r="R3258" s="16" t="str">
        <f t="shared" si="268"/>
        <v>LUTRON</v>
      </c>
      <c r="S3258" s="17"/>
      <c r="T3258" s="10"/>
    </row>
    <row r="3259" spans="1:25" ht="27" customHeight="1" x14ac:dyDescent="0.25">
      <c r="A3259" s="8" t="s">
        <v>5672</v>
      </c>
      <c r="B3259" s="9"/>
      <c r="C3259" s="9"/>
      <c r="D3259" s="8"/>
      <c r="E3259" s="8"/>
      <c r="F3259" s="8"/>
      <c r="G3259" s="10"/>
      <c r="H3259" s="8" t="s">
        <v>6584</v>
      </c>
      <c r="I3259" s="10" t="s">
        <v>6174</v>
      </c>
      <c r="J3259" s="11" t="s">
        <v>26</v>
      </c>
      <c r="K3259" s="57">
        <v>32</v>
      </c>
      <c r="L3259" s="12">
        <f t="shared" si="269"/>
        <v>64</v>
      </c>
      <c r="M3259" s="8">
        <v>1</v>
      </c>
      <c r="N3259" s="8" t="s">
        <v>27</v>
      </c>
      <c r="O3259" s="13"/>
      <c r="P3259" s="14">
        <v>0.2</v>
      </c>
      <c r="Q3259" s="15">
        <v>0.4</v>
      </c>
      <c r="R3259" s="16" t="str">
        <f t="shared" si="268"/>
        <v>LUTRON</v>
      </c>
      <c r="S3259" s="17"/>
      <c r="T3259" s="10"/>
    </row>
    <row r="3260" spans="1:25" ht="27" customHeight="1" x14ac:dyDescent="0.25">
      <c r="A3260" s="8" t="s">
        <v>5672</v>
      </c>
      <c r="B3260" s="9"/>
      <c r="C3260" s="9"/>
      <c r="D3260" s="8"/>
      <c r="E3260" s="8"/>
      <c r="F3260" s="8"/>
      <c r="G3260" s="10"/>
      <c r="H3260" s="8" t="s">
        <v>6585</v>
      </c>
      <c r="I3260" s="10" t="s">
        <v>6586</v>
      </c>
      <c r="J3260" s="11" t="s">
        <v>26</v>
      </c>
      <c r="K3260" s="57">
        <v>20.55</v>
      </c>
      <c r="L3260" s="12">
        <f t="shared" si="269"/>
        <v>41.1</v>
      </c>
      <c r="M3260" s="8">
        <v>1</v>
      </c>
      <c r="N3260" s="8" t="s">
        <v>27</v>
      </c>
      <c r="O3260" s="13"/>
      <c r="P3260" s="14">
        <v>0.2</v>
      </c>
      <c r="Q3260" s="15">
        <v>0.4</v>
      </c>
      <c r="R3260" s="16" t="str">
        <f t="shared" si="268"/>
        <v>LUTRON</v>
      </c>
      <c r="S3260" s="17"/>
      <c r="T3260" s="10"/>
    </row>
    <row r="3261" spans="1:25" ht="27" customHeight="1" x14ac:dyDescent="0.25">
      <c r="A3261" s="8" t="s">
        <v>5672</v>
      </c>
      <c r="B3261" s="9"/>
      <c r="C3261" s="9"/>
      <c r="D3261" s="8"/>
      <c r="E3261" s="8"/>
      <c r="F3261" s="8"/>
      <c r="G3261" s="10"/>
      <c r="H3261" s="8" t="s">
        <v>6587</v>
      </c>
      <c r="I3261" s="10" t="s">
        <v>6588</v>
      </c>
      <c r="J3261" s="11" t="s">
        <v>26</v>
      </c>
      <c r="K3261" s="57">
        <v>40</v>
      </c>
      <c r="L3261" s="12">
        <f t="shared" si="269"/>
        <v>80</v>
      </c>
      <c r="M3261" s="8">
        <v>1</v>
      </c>
      <c r="N3261" s="8" t="s">
        <v>27</v>
      </c>
      <c r="O3261" s="13"/>
      <c r="P3261" s="14">
        <v>0.2</v>
      </c>
      <c r="Q3261" s="15">
        <v>0.4</v>
      </c>
      <c r="R3261" s="16" t="str">
        <f t="shared" si="268"/>
        <v>LUTRON</v>
      </c>
      <c r="S3261" s="17"/>
      <c r="T3261" s="10"/>
    </row>
    <row r="3262" spans="1:25" ht="27" customHeight="1" x14ac:dyDescent="0.25">
      <c r="A3262" s="8" t="s">
        <v>5672</v>
      </c>
      <c r="B3262" s="9"/>
      <c r="C3262" s="9"/>
      <c r="D3262" s="8"/>
      <c r="E3262" s="8"/>
      <c r="F3262" s="8"/>
      <c r="G3262" s="10"/>
      <c r="H3262" s="8" t="s">
        <v>6589</v>
      </c>
      <c r="I3262" s="10" t="s">
        <v>6590</v>
      </c>
      <c r="J3262" s="11" t="s">
        <v>26</v>
      </c>
      <c r="K3262" s="57">
        <v>40</v>
      </c>
      <c r="L3262" s="12">
        <f t="shared" si="269"/>
        <v>80</v>
      </c>
      <c r="M3262" s="8">
        <v>1</v>
      </c>
      <c r="N3262" s="8" t="s">
        <v>27</v>
      </c>
      <c r="O3262" s="13"/>
      <c r="P3262" s="14">
        <v>0.2</v>
      </c>
      <c r="Q3262" s="15">
        <v>0.4</v>
      </c>
      <c r="R3262" s="16" t="str">
        <f t="shared" si="268"/>
        <v>LUTRON</v>
      </c>
      <c r="S3262" s="17"/>
      <c r="T3262" s="10"/>
    </row>
    <row r="3263" spans="1:25" ht="27" customHeight="1" x14ac:dyDescent="0.25">
      <c r="A3263" s="8" t="s">
        <v>5672</v>
      </c>
      <c r="B3263" s="9"/>
      <c r="C3263" s="9"/>
      <c r="D3263" s="8"/>
      <c r="E3263" s="8"/>
      <c r="F3263" s="8"/>
      <c r="G3263" s="10"/>
      <c r="H3263" s="8" t="s">
        <v>6591</v>
      </c>
      <c r="I3263" s="10" t="s">
        <v>6592</v>
      </c>
      <c r="J3263" s="11" t="s">
        <v>26</v>
      </c>
      <c r="K3263" s="57">
        <v>48</v>
      </c>
      <c r="L3263" s="12">
        <f t="shared" si="269"/>
        <v>79.99938160264314</v>
      </c>
      <c r="M3263" s="8">
        <v>1</v>
      </c>
      <c r="N3263" s="8" t="s">
        <v>27</v>
      </c>
      <c r="O3263" s="13"/>
      <c r="P3263" s="14">
        <v>0.2</v>
      </c>
      <c r="Q3263" s="15">
        <v>0.27999443438076638</v>
      </c>
      <c r="R3263" s="16" t="str">
        <f t="shared" si="268"/>
        <v>LUTRON</v>
      </c>
      <c r="S3263" s="17"/>
      <c r="T3263" s="10"/>
    </row>
    <row r="3264" spans="1:25" ht="27" customHeight="1" x14ac:dyDescent="0.25">
      <c r="A3264" s="8" t="s">
        <v>5672</v>
      </c>
      <c r="B3264" s="9"/>
      <c r="C3264" s="9"/>
      <c r="D3264" s="8"/>
      <c r="E3264" s="8"/>
      <c r="F3264" s="8"/>
      <c r="G3264" s="10"/>
      <c r="H3264" s="8" t="s">
        <v>6593</v>
      </c>
      <c r="I3264" s="10" t="s">
        <v>6594</v>
      </c>
      <c r="J3264" s="11" t="s">
        <v>26</v>
      </c>
      <c r="K3264" s="57">
        <v>48</v>
      </c>
      <c r="L3264" s="12">
        <f t="shared" si="269"/>
        <v>79.99938160264314</v>
      </c>
      <c r="M3264" s="8">
        <v>1</v>
      </c>
      <c r="N3264" s="8" t="s">
        <v>27</v>
      </c>
      <c r="O3264" s="13"/>
      <c r="P3264" s="14">
        <v>0.2</v>
      </c>
      <c r="Q3264" s="15">
        <v>0.27999443438076638</v>
      </c>
      <c r="R3264" s="16" t="str">
        <f t="shared" si="268"/>
        <v>LUTRON</v>
      </c>
      <c r="S3264" s="17"/>
      <c r="T3264" s="10"/>
    </row>
    <row r="3265" spans="1:20" ht="27" customHeight="1" x14ac:dyDescent="0.25">
      <c r="A3265" s="8" t="s">
        <v>5672</v>
      </c>
      <c r="B3265" s="9"/>
      <c r="C3265" s="9"/>
      <c r="D3265" s="8"/>
      <c r="E3265" s="8"/>
      <c r="F3265" s="8"/>
      <c r="G3265" s="10"/>
      <c r="H3265" s="8" t="s">
        <v>6595</v>
      </c>
      <c r="I3265" s="10" t="s">
        <v>6596</v>
      </c>
      <c r="J3265" s="11" t="s">
        <v>26</v>
      </c>
      <c r="K3265" s="57">
        <v>48</v>
      </c>
      <c r="L3265" s="12">
        <f t="shared" si="269"/>
        <v>79.99938160264314</v>
      </c>
      <c r="M3265" s="8">
        <v>1</v>
      </c>
      <c r="N3265" s="8" t="s">
        <v>27</v>
      </c>
      <c r="O3265" s="13"/>
      <c r="P3265" s="14">
        <v>0.2</v>
      </c>
      <c r="Q3265" s="15">
        <v>0.27999443438076638</v>
      </c>
      <c r="R3265" s="16" t="str">
        <f t="shared" si="268"/>
        <v>LUTRON</v>
      </c>
      <c r="S3265" s="17"/>
      <c r="T3265" s="10"/>
    </row>
    <row r="3266" spans="1:20" ht="27" customHeight="1" x14ac:dyDescent="0.25">
      <c r="A3266" s="8" t="s">
        <v>5672</v>
      </c>
      <c r="B3266" s="9"/>
      <c r="C3266" s="9"/>
      <c r="D3266" s="8"/>
      <c r="E3266" s="8"/>
      <c r="F3266" s="8"/>
      <c r="G3266" s="10"/>
      <c r="H3266" s="8" t="s">
        <v>6597</v>
      </c>
      <c r="I3266" s="10" t="s">
        <v>6598</v>
      </c>
      <c r="J3266" s="11" t="s">
        <v>26</v>
      </c>
      <c r="K3266" s="57">
        <v>40</v>
      </c>
      <c r="L3266" s="12">
        <f t="shared" si="269"/>
        <v>80</v>
      </c>
      <c r="M3266" s="8">
        <v>1</v>
      </c>
      <c r="N3266" s="8" t="s">
        <v>27</v>
      </c>
      <c r="O3266" s="13"/>
      <c r="P3266" s="14">
        <v>0.2</v>
      </c>
      <c r="Q3266" s="15">
        <v>0.4</v>
      </c>
      <c r="R3266" s="16" t="str">
        <f t="shared" si="268"/>
        <v>LUTRON</v>
      </c>
      <c r="S3266" s="17"/>
      <c r="T3266" s="10"/>
    </row>
    <row r="3267" spans="1:20" ht="27" customHeight="1" x14ac:dyDescent="0.25">
      <c r="A3267" s="8" t="s">
        <v>5672</v>
      </c>
      <c r="B3267" s="9"/>
      <c r="C3267" s="9"/>
      <c r="D3267" s="8"/>
      <c r="E3267" s="8"/>
      <c r="F3267" s="8"/>
      <c r="G3267" s="10"/>
      <c r="H3267" s="8" t="s">
        <v>6599</v>
      </c>
      <c r="I3267" s="10" t="s">
        <v>6600</v>
      </c>
      <c r="J3267" s="11" t="s">
        <v>26</v>
      </c>
      <c r="K3267" s="57">
        <v>75</v>
      </c>
      <c r="L3267" s="12">
        <f t="shared" si="269"/>
        <v>150</v>
      </c>
      <c r="M3267" s="8">
        <v>1</v>
      </c>
      <c r="N3267" s="8" t="s">
        <v>27</v>
      </c>
      <c r="O3267" s="13"/>
      <c r="P3267" s="14">
        <v>0.2</v>
      </c>
      <c r="Q3267" s="15">
        <v>0.4</v>
      </c>
      <c r="R3267" s="16" t="str">
        <f t="shared" si="268"/>
        <v>LUTRON</v>
      </c>
      <c r="S3267" s="17"/>
      <c r="T3267" s="10"/>
    </row>
    <row r="3268" spans="1:20" ht="27" customHeight="1" x14ac:dyDescent="0.25">
      <c r="A3268" s="8" t="s">
        <v>5672</v>
      </c>
      <c r="B3268" s="9"/>
      <c r="C3268" s="9"/>
      <c r="D3268" s="8"/>
      <c r="E3268" s="8"/>
      <c r="F3268" s="8"/>
      <c r="G3268" s="10"/>
      <c r="H3268" s="8" t="s">
        <v>6601</v>
      </c>
      <c r="I3268" s="10" t="s">
        <v>6602</v>
      </c>
      <c r="J3268" s="11" t="s">
        <v>26</v>
      </c>
      <c r="K3268" s="57">
        <v>60.5</v>
      </c>
      <c r="L3268" s="12">
        <f t="shared" si="269"/>
        <v>110</v>
      </c>
      <c r="M3268" s="8">
        <v>1</v>
      </c>
      <c r="N3268" s="8" t="s">
        <v>27</v>
      </c>
      <c r="O3268" s="13"/>
      <c r="P3268" s="14">
        <v>0.2</v>
      </c>
      <c r="Q3268" s="15">
        <v>0.34</v>
      </c>
      <c r="R3268" s="16" t="str">
        <f t="shared" si="268"/>
        <v>LUTRON</v>
      </c>
      <c r="S3268" s="17"/>
      <c r="T3268" s="10"/>
    </row>
    <row r="3269" spans="1:20" ht="27" customHeight="1" x14ac:dyDescent="0.25">
      <c r="A3269" s="8" t="s">
        <v>5672</v>
      </c>
      <c r="B3269" s="9"/>
      <c r="C3269" s="9"/>
      <c r="D3269" s="8"/>
      <c r="E3269" s="8"/>
      <c r="F3269" s="8"/>
      <c r="G3269" s="10"/>
      <c r="H3269" s="8" t="s">
        <v>6603</v>
      </c>
      <c r="I3269" s="10" t="s">
        <v>6604</v>
      </c>
      <c r="J3269" s="11" t="s">
        <v>26</v>
      </c>
      <c r="K3269" s="57">
        <v>75</v>
      </c>
      <c r="L3269" s="12">
        <f t="shared" si="269"/>
        <v>150</v>
      </c>
      <c r="M3269" s="8">
        <v>1</v>
      </c>
      <c r="N3269" s="8" t="s">
        <v>27</v>
      </c>
      <c r="O3269" s="13"/>
      <c r="P3269" s="14">
        <v>0.2</v>
      </c>
      <c r="Q3269" s="15">
        <v>0.4</v>
      </c>
      <c r="R3269" s="16" t="str">
        <f t="shared" si="268"/>
        <v>LUTRON</v>
      </c>
      <c r="S3269" s="17"/>
      <c r="T3269" s="10"/>
    </row>
    <row r="3270" spans="1:20" ht="27" customHeight="1" x14ac:dyDescent="0.25">
      <c r="A3270" s="8" t="s">
        <v>5672</v>
      </c>
      <c r="B3270" s="9"/>
      <c r="C3270" s="9"/>
      <c r="D3270" s="8"/>
      <c r="E3270" s="8"/>
      <c r="F3270" s="8"/>
      <c r="G3270" s="10"/>
      <c r="H3270" s="8" t="s">
        <v>6605</v>
      </c>
      <c r="I3270" s="10"/>
      <c r="J3270" s="11"/>
      <c r="K3270" s="57"/>
      <c r="L3270" s="12"/>
      <c r="M3270" s="8"/>
      <c r="N3270" s="8"/>
      <c r="O3270" s="13"/>
      <c r="P3270" s="14"/>
      <c r="Q3270" s="15"/>
      <c r="R3270" s="16" t="str">
        <f t="shared" si="268"/>
        <v>LUTRON</v>
      </c>
      <c r="S3270" s="17"/>
      <c r="T3270" s="10"/>
    </row>
    <row r="3271" spans="1:20" ht="27" customHeight="1" x14ac:dyDescent="0.25">
      <c r="A3271" s="8" t="s">
        <v>5672</v>
      </c>
      <c r="B3271" s="9"/>
      <c r="C3271" s="9"/>
      <c r="D3271" s="8"/>
      <c r="E3271" s="8"/>
      <c r="F3271" s="8"/>
      <c r="G3271" s="10"/>
      <c r="H3271" s="8" t="s">
        <v>6606</v>
      </c>
      <c r="I3271" s="10"/>
      <c r="J3271" s="11"/>
      <c r="K3271" s="57"/>
      <c r="L3271" s="12"/>
      <c r="M3271" s="8"/>
      <c r="N3271" s="8"/>
      <c r="O3271" s="13"/>
      <c r="P3271" s="14"/>
      <c r="Q3271" s="15"/>
      <c r="R3271" s="16" t="str">
        <f t="shared" si="268"/>
        <v>LUTRON</v>
      </c>
      <c r="S3271" s="17"/>
      <c r="T3271" s="10"/>
    </row>
    <row r="3272" spans="1:20" ht="27" customHeight="1" x14ac:dyDescent="0.25">
      <c r="A3272" s="8" t="s">
        <v>5672</v>
      </c>
      <c r="B3272" s="9"/>
      <c r="C3272" s="9"/>
      <c r="D3272" s="8"/>
      <c r="E3272" s="8"/>
      <c r="F3272" s="8"/>
      <c r="G3272" s="10"/>
      <c r="H3272" s="8" t="s">
        <v>6607</v>
      </c>
      <c r="I3272" s="10" t="s">
        <v>6608</v>
      </c>
      <c r="J3272" s="11" t="s">
        <v>26</v>
      </c>
      <c r="K3272" s="57">
        <v>24.5</v>
      </c>
      <c r="L3272" s="12">
        <f t="shared" ref="L3272:L3282" si="270">K3272*(1+P3272)/(1-Q3272)</f>
        <v>49</v>
      </c>
      <c r="M3272" s="8">
        <v>1</v>
      </c>
      <c r="N3272" s="8" t="s">
        <v>27</v>
      </c>
      <c r="O3272" s="13"/>
      <c r="P3272" s="14">
        <v>0.2</v>
      </c>
      <c r="Q3272" s="15">
        <v>0.4</v>
      </c>
      <c r="R3272" s="16" t="str">
        <f t="shared" si="268"/>
        <v>LUTRON</v>
      </c>
      <c r="S3272" s="17"/>
      <c r="T3272" s="10"/>
    </row>
    <row r="3273" spans="1:20" ht="27" customHeight="1" x14ac:dyDescent="0.25">
      <c r="A3273" s="8" t="s">
        <v>5672</v>
      </c>
      <c r="B3273" s="9"/>
      <c r="C3273" s="9"/>
      <c r="D3273" s="8"/>
      <c r="E3273" s="8"/>
      <c r="F3273" s="8"/>
      <c r="G3273" s="10"/>
      <c r="H3273" s="8" t="s">
        <v>6609</v>
      </c>
      <c r="I3273" s="10" t="s">
        <v>6610</v>
      </c>
      <c r="J3273" s="11" t="s">
        <v>26</v>
      </c>
      <c r="K3273" s="57">
        <v>962.5</v>
      </c>
      <c r="L3273" s="12">
        <f t="shared" si="270"/>
        <v>1750.0000000000002</v>
      </c>
      <c r="M3273" s="8">
        <v>1</v>
      </c>
      <c r="N3273" s="8" t="s">
        <v>27</v>
      </c>
      <c r="O3273" s="13"/>
      <c r="P3273" s="14">
        <v>0.2</v>
      </c>
      <c r="Q3273" s="15">
        <v>0.34</v>
      </c>
      <c r="R3273" s="16" t="str">
        <f t="shared" si="268"/>
        <v>LUTRON</v>
      </c>
      <c r="S3273" s="17"/>
      <c r="T3273" s="10"/>
    </row>
    <row r="3274" spans="1:20" ht="27" customHeight="1" x14ac:dyDescent="0.25">
      <c r="A3274" s="8" t="s">
        <v>5672</v>
      </c>
      <c r="B3274" s="9"/>
      <c r="C3274" s="9"/>
      <c r="D3274" s="8"/>
      <c r="E3274" s="8"/>
      <c r="F3274" s="8"/>
      <c r="G3274" s="10"/>
      <c r="H3274" s="8" t="s">
        <v>6611</v>
      </c>
      <c r="I3274" s="10" t="s">
        <v>6612</v>
      </c>
      <c r="J3274" s="11" t="s">
        <v>26</v>
      </c>
      <c r="K3274" s="57">
        <v>324</v>
      </c>
      <c r="L3274" s="12">
        <f t="shared" si="270"/>
        <v>589.99998809319823</v>
      </c>
      <c r="M3274" s="8">
        <v>1</v>
      </c>
      <c r="N3274" s="8" t="s">
        <v>27</v>
      </c>
      <c r="O3274" s="13"/>
      <c r="P3274" s="14">
        <v>0.2</v>
      </c>
      <c r="Q3274" s="15">
        <v>0.341016935853592</v>
      </c>
      <c r="R3274" s="16" t="str">
        <f t="shared" si="268"/>
        <v>LUTRON</v>
      </c>
      <c r="S3274" s="17"/>
      <c r="T3274" s="10"/>
    </row>
    <row r="3275" spans="1:20" ht="27" customHeight="1" x14ac:dyDescent="0.25">
      <c r="A3275" s="8" t="s">
        <v>5672</v>
      </c>
      <c r="B3275" s="9"/>
      <c r="C3275" s="9"/>
      <c r="D3275" s="8"/>
      <c r="E3275" s="8"/>
      <c r="F3275" s="8"/>
      <c r="G3275" s="10"/>
      <c r="H3275" s="8" t="s">
        <v>6613</v>
      </c>
      <c r="I3275" s="10" t="s">
        <v>6614</v>
      </c>
      <c r="J3275" s="11" t="s">
        <v>26</v>
      </c>
      <c r="K3275" s="57">
        <v>233.75</v>
      </c>
      <c r="L3275" s="12">
        <f t="shared" si="270"/>
        <v>425.00000861035068</v>
      </c>
      <c r="M3275" s="8">
        <v>1</v>
      </c>
      <c r="N3275" s="8" t="s">
        <v>27</v>
      </c>
      <c r="O3275" s="13"/>
      <c r="P3275" s="14">
        <v>0.2</v>
      </c>
      <c r="Q3275" s="15">
        <v>0.34000001337136793</v>
      </c>
      <c r="R3275" s="16" t="str">
        <f t="shared" si="268"/>
        <v>LUTRON</v>
      </c>
      <c r="S3275" s="17"/>
      <c r="T3275" s="10"/>
    </row>
    <row r="3276" spans="1:20" ht="27" customHeight="1" x14ac:dyDescent="0.25">
      <c r="A3276" s="8" t="s">
        <v>5672</v>
      </c>
      <c r="B3276" s="9"/>
      <c r="C3276" s="9"/>
      <c r="D3276" s="8"/>
      <c r="E3276" s="8"/>
      <c r="F3276" s="8"/>
      <c r="G3276" s="10"/>
      <c r="H3276" s="8" t="s">
        <v>6615</v>
      </c>
      <c r="I3276" s="10" t="s">
        <v>6616</v>
      </c>
      <c r="J3276" s="11" t="s">
        <v>26</v>
      </c>
      <c r="K3276" s="57">
        <v>233.75</v>
      </c>
      <c r="L3276" s="12">
        <f t="shared" si="270"/>
        <v>425.00000861035068</v>
      </c>
      <c r="M3276" s="8">
        <v>1</v>
      </c>
      <c r="N3276" s="8" t="s">
        <v>27</v>
      </c>
      <c r="O3276" s="13"/>
      <c r="P3276" s="14">
        <v>0.2</v>
      </c>
      <c r="Q3276" s="15">
        <v>0.34000001337136793</v>
      </c>
      <c r="R3276" s="16" t="str">
        <f t="shared" si="268"/>
        <v>LUTRON</v>
      </c>
      <c r="S3276" s="17"/>
      <c r="T3276" s="10"/>
    </row>
    <row r="3277" spans="1:20" ht="27" customHeight="1" x14ac:dyDescent="0.25">
      <c r="A3277" s="8" t="s">
        <v>5672</v>
      </c>
      <c r="B3277" s="9"/>
      <c r="C3277" s="9"/>
      <c r="D3277" s="8"/>
      <c r="E3277" s="8"/>
      <c r="F3277" s="8"/>
      <c r="G3277" s="10"/>
      <c r="H3277" s="8" t="s">
        <v>6617</v>
      </c>
      <c r="I3277" s="10" t="s">
        <v>6618</v>
      </c>
      <c r="J3277" s="11" t="s">
        <v>26</v>
      </c>
      <c r="K3277" s="57">
        <v>324.5</v>
      </c>
      <c r="L3277" s="12">
        <f t="shared" si="270"/>
        <v>590.00001195319271</v>
      </c>
      <c r="M3277" s="8">
        <v>1</v>
      </c>
      <c r="N3277" s="8" t="s">
        <v>27</v>
      </c>
      <c r="O3277" s="13"/>
      <c r="P3277" s="14">
        <v>0.2</v>
      </c>
      <c r="Q3277" s="15">
        <v>0.34000001337136793</v>
      </c>
      <c r="R3277" s="16" t="str">
        <f t="shared" si="268"/>
        <v>LUTRON</v>
      </c>
      <c r="S3277" s="17"/>
      <c r="T3277" s="10"/>
    </row>
    <row r="3278" spans="1:20" ht="27" customHeight="1" x14ac:dyDescent="0.25">
      <c r="A3278" s="8" t="s">
        <v>5672</v>
      </c>
      <c r="B3278" s="9"/>
      <c r="C3278" s="9"/>
      <c r="D3278" s="8"/>
      <c r="E3278" s="8"/>
      <c r="F3278" s="8"/>
      <c r="G3278" s="10"/>
      <c r="H3278" s="8" t="s">
        <v>6619</v>
      </c>
      <c r="I3278" s="10" t="s">
        <v>6620</v>
      </c>
      <c r="J3278" s="11" t="s">
        <v>26</v>
      </c>
      <c r="K3278" s="57">
        <v>123.75</v>
      </c>
      <c r="L3278" s="12">
        <f t="shared" si="270"/>
        <v>225.00000455842095</v>
      </c>
      <c r="M3278" s="8">
        <v>1</v>
      </c>
      <c r="N3278" s="8" t="s">
        <v>27</v>
      </c>
      <c r="O3278" s="13"/>
      <c r="P3278" s="14">
        <v>0.2</v>
      </c>
      <c r="Q3278" s="15">
        <v>0.34000001337136793</v>
      </c>
      <c r="R3278" s="16" t="str">
        <f t="shared" si="268"/>
        <v>LUTRON</v>
      </c>
      <c r="S3278" s="17"/>
      <c r="T3278" s="10"/>
    </row>
    <row r="3279" spans="1:20" ht="27" customHeight="1" x14ac:dyDescent="0.25">
      <c r="A3279" s="8" t="s">
        <v>5672</v>
      </c>
      <c r="B3279" s="9"/>
      <c r="C3279" s="9"/>
      <c r="D3279" s="8"/>
      <c r="E3279" s="8"/>
      <c r="F3279" s="8"/>
      <c r="G3279" s="10"/>
      <c r="H3279" s="8" t="s">
        <v>6621</v>
      </c>
      <c r="I3279" s="10" t="s">
        <v>6622</v>
      </c>
      <c r="J3279" s="11" t="s">
        <v>26</v>
      </c>
      <c r="K3279" s="57">
        <v>123.75</v>
      </c>
      <c r="L3279" s="12">
        <f t="shared" si="270"/>
        <v>225.00000455842095</v>
      </c>
      <c r="M3279" s="8">
        <v>1</v>
      </c>
      <c r="N3279" s="8" t="s">
        <v>27</v>
      </c>
      <c r="O3279" s="13"/>
      <c r="P3279" s="14">
        <v>0.2</v>
      </c>
      <c r="Q3279" s="15">
        <v>0.34000001337136793</v>
      </c>
      <c r="R3279" s="16" t="str">
        <f t="shared" si="268"/>
        <v>LUTRON</v>
      </c>
      <c r="S3279" s="17"/>
      <c r="T3279" s="10"/>
    </row>
    <row r="3280" spans="1:20" ht="27" customHeight="1" x14ac:dyDescent="0.25">
      <c r="A3280" s="8" t="s">
        <v>5672</v>
      </c>
      <c r="B3280" s="9"/>
      <c r="C3280" s="9"/>
      <c r="D3280" s="8"/>
      <c r="E3280" s="8"/>
      <c r="F3280" s="8"/>
      <c r="G3280" s="10"/>
      <c r="H3280" s="8" t="s">
        <v>6623</v>
      </c>
      <c r="I3280" s="10" t="s">
        <v>6624</v>
      </c>
      <c r="J3280" s="11" t="s">
        <v>26</v>
      </c>
      <c r="K3280" s="57">
        <v>462</v>
      </c>
      <c r="L3280" s="12">
        <f t="shared" si="270"/>
        <v>840.00001701810493</v>
      </c>
      <c r="M3280" s="8">
        <v>1</v>
      </c>
      <c r="N3280" s="8" t="s">
        <v>27</v>
      </c>
      <c r="O3280" s="13"/>
      <c r="P3280" s="14">
        <v>0.2</v>
      </c>
      <c r="Q3280" s="15">
        <v>0.34000001337136793</v>
      </c>
      <c r="R3280" s="16" t="str">
        <f t="shared" si="268"/>
        <v>LUTRON</v>
      </c>
      <c r="S3280" s="17"/>
      <c r="T3280" s="10"/>
    </row>
    <row r="3281" spans="1:20" ht="27" customHeight="1" x14ac:dyDescent="0.25">
      <c r="A3281" s="8" t="s">
        <v>5672</v>
      </c>
      <c r="B3281" s="9"/>
      <c r="C3281" s="9"/>
      <c r="D3281" s="8"/>
      <c r="E3281" s="8"/>
      <c r="F3281" s="8"/>
      <c r="G3281" s="10"/>
      <c r="H3281" s="8" t="s">
        <v>6625</v>
      </c>
      <c r="I3281" s="10" t="s">
        <v>6626</v>
      </c>
      <c r="J3281" s="11" t="s">
        <v>26</v>
      </c>
      <c r="K3281" s="57">
        <v>145</v>
      </c>
      <c r="L3281" s="12">
        <f t="shared" si="270"/>
        <v>289.99986208907973</v>
      </c>
      <c r="M3281" s="8">
        <v>1</v>
      </c>
      <c r="N3281" s="8" t="s">
        <v>27</v>
      </c>
      <c r="O3281" s="13"/>
      <c r="P3281" s="14">
        <v>0.2</v>
      </c>
      <c r="Q3281" s="15">
        <v>0.39999971466692591</v>
      </c>
      <c r="R3281" s="16" t="str">
        <f t="shared" si="268"/>
        <v>LUTRON</v>
      </c>
      <c r="S3281" s="17"/>
      <c r="T3281" s="10"/>
    </row>
    <row r="3282" spans="1:20" ht="27" customHeight="1" x14ac:dyDescent="0.25">
      <c r="A3282" s="8" t="s">
        <v>5672</v>
      </c>
      <c r="B3282" s="9"/>
      <c r="C3282" s="9"/>
      <c r="D3282" s="8"/>
      <c r="E3282" s="8"/>
      <c r="F3282" s="8"/>
      <c r="G3282" s="10"/>
      <c r="H3282" s="8" t="s">
        <v>6379</v>
      </c>
      <c r="I3282" s="10" t="s">
        <v>5145</v>
      </c>
      <c r="J3282" s="11" t="s">
        <v>26</v>
      </c>
      <c r="K3282" s="57">
        <v>7.8</v>
      </c>
      <c r="L3282" s="12">
        <f t="shared" si="270"/>
        <v>15.6</v>
      </c>
      <c r="M3282" s="8">
        <v>1</v>
      </c>
      <c r="N3282" s="8" t="s">
        <v>27</v>
      </c>
      <c r="O3282" s="13"/>
      <c r="P3282" s="14">
        <v>0.2</v>
      </c>
      <c r="Q3282" s="15">
        <v>0.4</v>
      </c>
      <c r="R3282" s="16" t="str">
        <f t="shared" si="268"/>
        <v>LUTRON</v>
      </c>
      <c r="S3282" s="17"/>
      <c r="T3282" s="10"/>
    </row>
    <row r="3283" spans="1:20" ht="27" customHeight="1" x14ac:dyDescent="0.25">
      <c r="A3283" s="8" t="s">
        <v>5672</v>
      </c>
      <c r="B3283" s="9"/>
      <c r="C3283" s="9"/>
      <c r="D3283" s="8"/>
      <c r="E3283" s="8"/>
      <c r="F3283" s="8" t="s">
        <v>22</v>
      </c>
      <c r="G3283" s="10" t="s">
        <v>6454</v>
      </c>
      <c r="H3283" s="8" t="s">
        <v>6601</v>
      </c>
      <c r="I3283" s="10" t="s">
        <v>6456</v>
      </c>
      <c r="J3283" s="11" t="s">
        <v>26</v>
      </c>
      <c r="K3283" s="57">
        <v>60.5</v>
      </c>
      <c r="L3283" s="12">
        <f>ROUNDUP(K3283*(1+P3283)/(1-Q3283),0)</f>
        <v>110</v>
      </c>
      <c r="M3283" s="8">
        <v>1</v>
      </c>
      <c r="N3283" s="8" t="s">
        <v>27</v>
      </c>
      <c r="O3283" s="13"/>
      <c r="P3283" s="14">
        <v>0.2</v>
      </c>
      <c r="Q3283" s="15">
        <v>0.34</v>
      </c>
      <c r="R3283" s="16" t="str">
        <f t="shared" si="268"/>
        <v>LUTRON</v>
      </c>
      <c r="S3283" s="17"/>
      <c r="T3283" s="10" t="str">
        <f>G3283</f>
        <v>DIMMER MAESTRO PARA CARGAS LED HASTA 150 VATIOS O 600 VATIOS EN HALÓGENAS.</v>
      </c>
    </row>
    <row r="3284" spans="1:20" ht="27" customHeight="1" x14ac:dyDescent="0.25">
      <c r="A3284" s="8" t="s">
        <v>5672</v>
      </c>
      <c r="B3284" s="9"/>
      <c r="C3284" s="9"/>
      <c r="D3284" s="8"/>
      <c r="E3284" s="8"/>
      <c r="F3284" s="8"/>
      <c r="G3284" s="10"/>
      <c r="H3284" s="8" t="s">
        <v>6627</v>
      </c>
      <c r="I3284" s="10" t="s">
        <v>6628</v>
      </c>
      <c r="J3284" s="11" t="s">
        <v>26</v>
      </c>
      <c r="K3284" s="57">
        <v>75</v>
      </c>
      <c r="L3284" s="12">
        <f t="shared" ref="L3284:L3305" si="271">K3284*(1+P3284)/(1-Q3284)</f>
        <v>150</v>
      </c>
      <c r="M3284" s="8">
        <v>1</v>
      </c>
      <c r="N3284" s="8" t="s">
        <v>27</v>
      </c>
      <c r="O3284" s="13"/>
      <c r="P3284" s="14">
        <v>0.2</v>
      </c>
      <c r="Q3284" s="15">
        <v>0.4</v>
      </c>
      <c r="R3284" s="16" t="str">
        <f t="shared" si="268"/>
        <v>LUTRON</v>
      </c>
      <c r="S3284" s="17"/>
      <c r="T3284" s="10"/>
    </row>
    <row r="3285" spans="1:20" ht="27" customHeight="1" x14ac:dyDescent="0.25">
      <c r="A3285" s="8" t="s">
        <v>5672</v>
      </c>
      <c r="B3285" s="9"/>
      <c r="C3285" s="9"/>
      <c r="D3285" s="8"/>
      <c r="E3285" s="8"/>
      <c r="F3285" s="8"/>
      <c r="G3285" s="10"/>
      <c r="H3285" s="8" t="s">
        <v>6629</v>
      </c>
      <c r="I3285" s="10" t="s">
        <v>6630</v>
      </c>
      <c r="J3285" s="11" t="s">
        <v>26</v>
      </c>
      <c r="K3285" s="57">
        <v>44.88</v>
      </c>
      <c r="L3285" s="12">
        <f t="shared" si="271"/>
        <v>74.799774333132206</v>
      </c>
      <c r="M3285" s="8">
        <v>1</v>
      </c>
      <c r="N3285" s="8" t="s">
        <v>27</v>
      </c>
      <c r="O3285" s="13"/>
      <c r="P3285" s="14">
        <v>0.2</v>
      </c>
      <c r="Q3285" s="15">
        <v>0.27999782779899712</v>
      </c>
      <c r="R3285" s="16" t="str">
        <f t="shared" si="268"/>
        <v>LUTRON</v>
      </c>
      <c r="S3285" s="17"/>
      <c r="T3285" s="10">
        <f>1600000*1.19</f>
        <v>1904000</v>
      </c>
    </row>
    <row r="3286" spans="1:20" ht="27" customHeight="1" x14ac:dyDescent="0.25">
      <c r="A3286" s="8" t="s">
        <v>5672</v>
      </c>
      <c r="B3286" s="9"/>
      <c r="C3286" s="9"/>
      <c r="D3286" s="8"/>
      <c r="E3286" s="8"/>
      <c r="F3286" s="8"/>
      <c r="G3286" s="10"/>
      <c r="H3286" s="8" t="s">
        <v>6631</v>
      </c>
      <c r="I3286" s="10" t="s">
        <v>6632</v>
      </c>
      <c r="J3286" s="11" t="s">
        <v>26</v>
      </c>
      <c r="K3286" s="57">
        <v>83.73</v>
      </c>
      <c r="L3286" s="12">
        <f t="shared" si="271"/>
        <v>146.90000491365882</v>
      </c>
      <c r="M3286" s="8">
        <v>1</v>
      </c>
      <c r="N3286" s="8" t="s">
        <v>27</v>
      </c>
      <c r="O3286" s="13"/>
      <c r="P3286" s="14">
        <v>0.2</v>
      </c>
      <c r="Q3286" s="15">
        <v>0.31602452934528319</v>
      </c>
      <c r="R3286" s="16" t="str">
        <f t="shared" si="268"/>
        <v>LUTRON</v>
      </c>
      <c r="S3286" s="17"/>
      <c r="T3286" s="10"/>
    </row>
    <row r="3287" spans="1:20" ht="27" customHeight="1" x14ac:dyDescent="0.25">
      <c r="A3287" s="8" t="s">
        <v>5672</v>
      </c>
      <c r="B3287" s="9"/>
      <c r="C3287" s="9"/>
      <c r="D3287" s="8"/>
      <c r="E3287" s="8"/>
      <c r="F3287" s="8"/>
      <c r="G3287" s="10"/>
      <c r="H3287" s="8" t="s">
        <v>6633</v>
      </c>
      <c r="I3287" s="10" t="s">
        <v>6634</v>
      </c>
      <c r="J3287" s="11" t="s">
        <v>26</v>
      </c>
      <c r="K3287" s="57">
        <v>95.15</v>
      </c>
      <c r="L3287" s="12">
        <f t="shared" si="271"/>
        <v>173.00000000000003</v>
      </c>
      <c r="M3287" s="8">
        <v>1</v>
      </c>
      <c r="N3287" s="8" t="s">
        <v>27</v>
      </c>
      <c r="O3287" s="13"/>
      <c r="P3287" s="14">
        <v>0.2</v>
      </c>
      <c r="Q3287" s="15">
        <v>0.34</v>
      </c>
      <c r="R3287" s="16" t="str">
        <f t="shared" si="268"/>
        <v>LUTRON</v>
      </c>
      <c r="S3287" s="17"/>
      <c r="T3287" s="10"/>
    </row>
    <row r="3288" spans="1:20" ht="27" customHeight="1" x14ac:dyDescent="0.25">
      <c r="A3288" s="8" t="s">
        <v>5672</v>
      </c>
      <c r="B3288" s="9"/>
      <c r="C3288" s="9"/>
      <c r="D3288" s="8"/>
      <c r="E3288" s="8"/>
      <c r="F3288" s="8"/>
      <c r="G3288" s="10"/>
      <c r="H3288" s="8" t="s">
        <v>6635</v>
      </c>
      <c r="I3288" s="10" t="s">
        <v>6632</v>
      </c>
      <c r="J3288" s="11" t="s">
        <v>26</v>
      </c>
      <c r="K3288" s="57">
        <v>60.5</v>
      </c>
      <c r="L3288" s="12">
        <f t="shared" si="271"/>
        <v>110</v>
      </c>
      <c r="M3288" s="8">
        <v>1</v>
      </c>
      <c r="N3288" s="8" t="s">
        <v>27</v>
      </c>
      <c r="O3288" s="13"/>
      <c r="P3288" s="14">
        <v>0.2</v>
      </c>
      <c r="Q3288" s="15">
        <v>0.34</v>
      </c>
      <c r="R3288" s="16" t="str">
        <f t="shared" si="268"/>
        <v>LUTRON</v>
      </c>
      <c r="S3288" s="17"/>
      <c r="T3288" s="10"/>
    </row>
    <row r="3289" spans="1:20" ht="27" customHeight="1" x14ac:dyDescent="0.25">
      <c r="A3289" s="8" t="s">
        <v>5672</v>
      </c>
      <c r="B3289" s="9"/>
      <c r="C3289" s="9"/>
      <c r="D3289" s="8"/>
      <c r="E3289" s="8"/>
      <c r="F3289" s="8"/>
      <c r="G3289" s="10"/>
      <c r="H3289" s="8" t="s">
        <v>6636</v>
      </c>
      <c r="I3289" s="10" t="s">
        <v>6637</v>
      </c>
      <c r="J3289" s="11" t="s">
        <v>26</v>
      </c>
      <c r="K3289" s="57">
        <v>11.25</v>
      </c>
      <c r="L3289" s="12">
        <f t="shared" si="271"/>
        <v>22.5</v>
      </c>
      <c r="M3289" s="8">
        <v>1</v>
      </c>
      <c r="N3289" s="8" t="s">
        <v>27</v>
      </c>
      <c r="O3289" s="13"/>
      <c r="P3289" s="14">
        <v>0.2</v>
      </c>
      <c r="Q3289" s="15">
        <v>0.4</v>
      </c>
      <c r="R3289" s="16" t="str">
        <f t="shared" si="268"/>
        <v>LUTRON</v>
      </c>
      <c r="S3289" s="17"/>
      <c r="T3289" s="10"/>
    </row>
    <row r="3290" spans="1:20" ht="27" customHeight="1" x14ac:dyDescent="0.25">
      <c r="A3290" s="8" t="s">
        <v>5672</v>
      </c>
      <c r="B3290" s="9"/>
      <c r="C3290" s="9"/>
      <c r="D3290" s="8"/>
      <c r="E3290" s="8"/>
      <c r="F3290" s="8"/>
      <c r="G3290" s="10"/>
      <c r="H3290" s="8" t="s">
        <v>6638</v>
      </c>
      <c r="I3290" s="10" t="s">
        <v>6639</v>
      </c>
      <c r="J3290" s="11" t="s">
        <v>26</v>
      </c>
      <c r="K3290" s="57">
        <v>4.05</v>
      </c>
      <c r="L3290" s="12">
        <f t="shared" si="271"/>
        <v>8.1</v>
      </c>
      <c r="M3290" s="8">
        <v>1</v>
      </c>
      <c r="N3290" s="8" t="s">
        <v>27</v>
      </c>
      <c r="O3290" s="13"/>
      <c r="P3290" s="14">
        <v>0.2</v>
      </c>
      <c r="Q3290" s="15">
        <v>0.4</v>
      </c>
      <c r="R3290" s="16" t="str">
        <f t="shared" si="268"/>
        <v>LUTRON</v>
      </c>
      <c r="S3290" s="17"/>
      <c r="T3290" s="10"/>
    </row>
    <row r="3291" spans="1:20" ht="27" customHeight="1" x14ac:dyDescent="0.25">
      <c r="A3291" s="8" t="s">
        <v>5672</v>
      </c>
      <c r="B3291" s="9"/>
      <c r="C3291" s="9"/>
      <c r="D3291" s="8"/>
      <c r="E3291" s="8"/>
      <c r="F3291" s="8"/>
      <c r="G3291" s="10"/>
      <c r="H3291" s="8" t="s">
        <v>6640</v>
      </c>
      <c r="I3291" s="10" t="s">
        <v>6641</v>
      </c>
      <c r="J3291" s="11" t="s">
        <v>26</v>
      </c>
      <c r="K3291" s="57">
        <v>4.05</v>
      </c>
      <c r="L3291" s="12">
        <f t="shared" si="271"/>
        <v>8.1</v>
      </c>
      <c r="M3291" s="8">
        <v>1</v>
      </c>
      <c r="N3291" s="8" t="s">
        <v>27</v>
      </c>
      <c r="O3291" s="13"/>
      <c r="P3291" s="14">
        <v>0.2</v>
      </c>
      <c r="Q3291" s="15">
        <v>0.4</v>
      </c>
      <c r="R3291" s="16" t="str">
        <f t="shared" si="268"/>
        <v>LUTRON</v>
      </c>
      <c r="S3291" s="17"/>
      <c r="T3291" s="10"/>
    </row>
    <row r="3292" spans="1:20" ht="27" customHeight="1" x14ac:dyDescent="0.25">
      <c r="A3292" s="8" t="s">
        <v>5672</v>
      </c>
      <c r="B3292" s="9"/>
      <c r="C3292" s="9"/>
      <c r="D3292" s="8"/>
      <c r="E3292" s="8"/>
      <c r="F3292" s="8"/>
      <c r="G3292" s="10"/>
      <c r="H3292" s="8" t="s">
        <v>6642</v>
      </c>
      <c r="I3292" s="10" t="s">
        <v>6643</v>
      </c>
      <c r="J3292" s="11" t="s">
        <v>26</v>
      </c>
      <c r="K3292" s="57">
        <v>187.5</v>
      </c>
      <c r="L3292" s="12">
        <f t="shared" si="271"/>
        <v>375</v>
      </c>
      <c r="M3292" s="8">
        <v>1</v>
      </c>
      <c r="N3292" s="8" t="s">
        <v>27</v>
      </c>
      <c r="O3292" s="13"/>
      <c r="P3292" s="14">
        <v>0.2</v>
      </c>
      <c r="Q3292" s="15">
        <v>0.4</v>
      </c>
      <c r="R3292" s="16" t="str">
        <f t="shared" si="268"/>
        <v>LUTRON</v>
      </c>
      <c r="S3292" s="17"/>
      <c r="T3292" s="10"/>
    </row>
    <row r="3293" spans="1:20" ht="27" customHeight="1" x14ac:dyDescent="0.25">
      <c r="A3293" s="8" t="s">
        <v>5672</v>
      </c>
      <c r="B3293" s="9"/>
      <c r="C3293" s="9"/>
      <c r="D3293" s="8"/>
      <c r="E3293" s="8"/>
      <c r="F3293" s="8"/>
      <c r="G3293" s="10"/>
      <c r="H3293" s="8" t="s">
        <v>6644</v>
      </c>
      <c r="I3293" s="10" t="s">
        <v>6645</v>
      </c>
      <c r="J3293" s="11" t="s">
        <v>26</v>
      </c>
      <c r="K3293" s="57">
        <v>178.75</v>
      </c>
      <c r="L3293" s="12">
        <f t="shared" si="271"/>
        <v>325.00000000000006</v>
      </c>
      <c r="M3293" s="8">
        <v>1</v>
      </c>
      <c r="N3293" s="8" t="s">
        <v>27</v>
      </c>
      <c r="O3293" s="13"/>
      <c r="P3293" s="14">
        <v>0.2</v>
      </c>
      <c r="Q3293" s="15">
        <v>0.34</v>
      </c>
      <c r="R3293" s="16" t="str">
        <f t="shared" si="268"/>
        <v>LUTRON</v>
      </c>
      <c r="S3293" s="17"/>
      <c r="T3293" s="10"/>
    </row>
    <row r="3294" spans="1:20" ht="27" customHeight="1" x14ac:dyDescent="0.25">
      <c r="A3294" s="8" t="s">
        <v>5672</v>
      </c>
      <c r="B3294" s="9"/>
      <c r="C3294" s="9"/>
      <c r="D3294" s="8"/>
      <c r="E3294" s="8"/>
      <c r="F3294" s="8"/>
      <c r="G3294" s="10"/>
      <c r="H3294" s="8" t="s">
        <v>6646</v>
      </c>
      <c r="I3294" s="10" t="s">
        <v>6647</v>
      </c>
      <c r="J3294" s="11" t="s">
        <v>26</v>
      </c>
      <c r="K3294" s="57">
        <v>139.30000000000001</v>
      </c>
      <c r="L3294" s="12">
        <f t="shared" si="271"/>
        <v>198.99975742136928</v>
      </c>
      <c r="M3294" s="8">
        <v>1</v>
      </c>
      <c r="N3294" s="8" t="s">
        <v>27</v>
      </c>
      <c r="O3294" s="13"/>
      <c r="P3294" s="14">
        <v>0.2</v>
      </c>
      <c r="Q3294" s="15">
        <v>0.15999897604875279</v>
      </c>
      <c r="R3294" s="16" t="str">
        <f t="shared" si="268"/>
        <v>LUTRON</v>
      </c>
      <c r="S3294" s="17"/>
      <c r="T3294" s="10"/>
    </row>
    <row r="3295" spans="1:20" ht="27" customHeight="1" x14ac:dyDescent="0.25">
      <c r="A3295" s="8" t="s">
        <v>5672</v>
      </c>
      <c r="B3295" s="9"/>
      <c r="C3295" s="9"/>
      <c r="D3295" s="8"/>
      <c r="E3295" s="8"/>
      <c r="F3295" s="8"/>
      <c r="G3295" s="10"/>
      <c r="H3295" s="8" t="s">
        <v>6648</v>
      </c>
      <c r="I3295" s="10" t="s">
        <v>6649</v>
      </c>
      <c r="J3295" s="11" t="s">
        <v>26</v>
      </c>
      <c r="K3295" s="57">
        <v>101.75</v>
      </c>
      <c r="L3295" s="12">
        <f t="shared" si="271"/>
        <v>185</v>
      </c>
      <c r="M3295" s="8">
        <v>1</v>
      </c>
      <c r="N3295" s="8" t="s">
        <v>27</v>
      </c>
      <c r="O3295" s="13"/>
      <c r="P3295" s="14">
        <v>0.2</v>
      </c>
      <c r="Q3295" s="15">
        <v>0.34</v>
      </c>
      <c r="R3295" s="16" t="str">
        <f t="shared" si="268"/>
        <v>LUTRON</v>
      </c>
      <c r="S3295" s="17"/>
      <c r="T3295" s="10"/>
    </row>
    <row r="3296" spans="1:20" ht="27" customHeight="1" x14ac:dyDescent="0.25">
      <c r="A3296" s="8" t="s">
        <v>5672</v>
      </c>
      <c r="B3296" s="9"/>
      <c r="C3296" s="9"/>
      <c r="D3296" s="8"/>
      <c r="E3296" s="8"/>
      <c r="F3296" s="8"/>
      <c r="G3296" s="10"/>
      <c r="H3296" s="8" t="s">
        <v>6650</v>
      </c>
      <c r="I3296" s="10" t="s">
        <v>6651</v>
      </c>
      <c r="J3296" s="11" t="s">
        <v>26</v>
      </c>
      <c r="K3296" s="57">
        <v>20</v>
      </c>
      <c r="L3296" s="12">
        <f t="shared" si="271"/>
        <v>40</v>
      </c>
      <c r="M3296" s="8">
        <v>1</v>
      </c>
      <c r="N3296" s="8" t="s">
        <v>27</v>
      </c>
      <c r="O3296" s="13"/>
      <c r="P3296" s="14">
        <v>0.2</v>
      </c>
      <c r="Q3296" s="15">
        <v>0.4</v>
      </c>
      <c r="R3296" s="16" t="str">
        <f t="shared" si="268"/>
        <v>LUTRON</v>
      </c>
      <c r="S3296" s="17"/>
      <c r="T3296" s="10"/>
    </row>
    <row r="3297" spans="1:20" ht="27" customHeight="1" x14ac:dyDescent="0.25">
      <c r="A3297" s="8" t="s">
        <v>5672</v>
      </c>
      <c r="B3297" s="9"/>
      <c r="C3297" s="9"/>
      <c r="D3297" s="8"/>
      <c r="E3297" s="8"/>
      <c r="F3297" s="8"/>
      <c r="G3297" s="10"/>
      <c r="H3297" s="8" t="s">
        <v>6652</v>
      </c>
      <c r="I3297" s="10" t="s">
        <v>6653</v>
      </c>
      <c r="J3297" s="11" t="s">
        <v>26</v>
      </c>
      <c r="K3297" s="57">
        <v>750</v>
      </c>
      <c r="L3297" s="12">
        <f t="shared" si="271"/>
        <v>1500</v>
      </c>
      <c r="M3297" s="8">
        <v>1</v>
      </c>
      <c r="N3297" s="8" t="s">
        <v>27</v>
      </c>
      <c r="O3297" s="13"/>
      <c r="P3297" s="14">
        <v>0.2</v>
      </c>
      <c r="Q3297" s="15">
        <v>0.4</v>
      </c>
      <c r="R3297" s="16" t="str">
        <f t="shared" si="268"/>
        <v>LUTRON</v>
      </c>
      <c r="S3297" s="17"/>
      <c r="T3297" s="10"/>
    </row>
    <row r="3298" spans="1:20" ht="27" customHeight="1" x14ac:dyDescent="0.25">
      <c r="A3298" s="8" t="s">
        <v>5672</v>
      </c>
      <c r="B3298" s="9"/>
      <c r="C3298" s="9"/>
      <c r="D3298" s="8"/>
      <c r="E3298" s="8"/>
      <c r="F3298" s="8"/>
      <c r="G3298" s="10"/>
      <c r="H3298" s="8" t="s">
        <v>6654</v>
      </c>
      <c r="I3298" s="10" t="s">
        <v>6655</v>
      </c>
      <c r="J3298" s="11" t="s">
        <v>26</v>
      </c>
      <c r="K3298" s="57">
        <v>750</v>
      </c>
      <c r="L3298" s="12">
        <f t="shared" si="271"/>
        <v>1500</v>
      </c>
      <c r="M3298" s="8">
        <v>1</v>
      </c>
      <c r="N3298" s="8" t="s">
        <v>27</v>
      </c>
      <c r="O3298" s="13"/>
      <c r="P3298" s="14">
        <v>0.2</v>
      </c>
      <c r="Q3298" s="15">
        <v>0.4</v>
      </c>
      <c r="R3298" s="16" t="str">
        <f t="shared" si="268"/>
        <v>LUTRON</v>
      </c>
      <c r="S3298" s="17"/>
      <c r="T3298" s="10"/>
    </row>
    <row r="3299" spans="1:20" ht="27" customHeight="1" x14ac:dyDescent="0.25">
      <c r="A3299" s="8" t="s">
        <v>5672</v>
      </c>
      <c r="B3299" s="9"/>
      <c r="C3299" s="9"/>
      <c r="D3299" s="8"/>
      <c r="E3299" s="8"/>
      <c r="F3299" s="8"/>
      <c r="G3299" s="10"/>
      <c r="H3299" s="8" t="s">
        <v>6656</v>
      </c>
      <c r="I3299" s="10" t="s">
        <v>6657</v>
      </c>
      <c r="J3299" s="11" t="s">
        <v>26</v>
      </c>
      <c r="K3299" s="57">
        <v>123.75</v>
      </c>
      <c r="L3299" s="12">
        <f t="shared" si="271"/>
        <v>225.00000000000003</v>
      </c>
      <c r="M3299" s="8">
        <v>1</v>
      </c>
      <c r="N3299" s="8" t="s">
        <v>27</v>
      </c>
      <c r="O3299" s="13"/>
      <c r="P3299" s="14">
        <v>0.2</v>
      </c>
      <c r="Q3299" s="15">
        <v>0.34</v>
      </c>
      <c r="R3299" s="16" t="str">
        <f t="shared" si="268"/>
        <v>LUTRON</v>
      </c>
      <c r="S3299" s="17"/>
      <c r="T3299" s="10"/>
    </row>
    <row r="3300" spans="1:20" ht="27" customHeight="1" x14ac:dyDescent="0.25">
      <c r="A3300" s="8" t="s">
        <v>5672</v>
      </c>
      <c r="B3300" s="9"/>
      <c r="C3300" s="9"/>
      <c r="D3300" s="8"/>
      <c r="E3300" s="8"/>
      <c r="F3300" s="8"/>
      <c r="G3300" s="10"/>
      <c r="H3300" s="8" t="s">
        <v>6658</v>
      </c>
      <c r="I3300" s="10" t="s">
        <v>6659</v>
      </c>
      <c r="J3300" s="11" t="s">
        <v>26</v>
      </c>
      <c r="K3300" s="57">
        <v>123.75</v>
      </c>
      <c r="L3300" s="12">
        <f t="shared" si="271"/>
        <v>225.00000000000003</v>
      </c>
      <c r="M3300" s="8">
        <v>1</v>
      </c>
      <c r="N3300" s="8" t="s">
        <v>27</v>
      </c>
      <c r="O3300" s="13"/>
      <c r="P3300" s="14">
        <v>0.2</v>
      </c>
      <c r="Q3300" s="15">
        <v>0.34</v>
      </c>
      <c r="R3300" s="16" t="str">
        <f t="shared" si="268"/>
        <v>LUTRON</v>
      </c>
      <c r="S3300" s="17"/>
      <c r="T3300" s="10"/>
    </row>
    <row r="3301" spans="1:20" ht="27" customHeight="1" x14ac:dyDescent="0.25">
      <c r="A3301" s="8" t="s">
        <v>5672</v>
      </c>
      <c r="B3301" s="9"/>
      <c r="C3301" s="9"/>
      <c r="D3301" s="8"/>
      <c r="E3301" s="8"/>
      <c r="F3301" s="8"/>
      <c r="G3301" s="10" t="s">
        <v>6475</v>
      </c>
      <c r="H3301" s="8" t="s">
        <v>6660</v>
      </c>
      <c r="I3301" s="61" t="s">
        <v>6661</v>
      </c>
      <c r="J3301" s="11" t="s">
        <v>26</v>
      </c>
      <c r="K3301" s="57">
        <v>5.83</v>
      </c>
      <c r="L3301" s="12">
        <f t="shared" si="271"/>
        <v>11.66</v>
      </c>
      <c r="M3301" s="8">
        <v>1</v>
      </c>
      <c r="N3301" s="8" t="s">
        <v>27</v>
      </c>
      <c r="O3301" s="13"/>
      <c r="P3301" s="14">
        <v>0.2</v>
      </c>
      <c r="Q3301" s="15">
        <v>0.4</v>
      </c>
      <c r="R3301" s="16" t="str">
        <f t="shared" si="268"/>
        <v>LUTRON</v>
      </c>
      <c r="S3301" s="17"/>
      <c r="T3301" s="10"/>
    </row>
    <row r="3302" spans="1:20" ht="27" customHeight="1" x14ac:dyDescent="0.25">
      <c r="A3302" s="8" t="s">
        <v>5672</v>
      </c>
      <c r="B3302" s="9"/>
      <c r="C3302" s="9"/>
      <c r="D3302" s="8"/>
      <c r="E3302" s="8"/>
      <c r="F3302" s="8"/>
      <c r="G3302" s="10"/>
      <c r="H3302" s="8" t="s">
        <v>6662</v>
      </c>
      <c r="I3302" s="61" t="s">
        <v>6663</v>
      </c>
      <c r="J3302" s="11" t="s">
        <v>26</v>
      </c>
      <c r="K3302" s="57">
        <v>44.5</v>
      </c>
      <c r="L3302" s="12">
        <f t="shared" si="271"/>
        <v>89</v>
      </c>
      <c r="M3302" s="8">
        <v>1</v>
      </c>
      <c r="N3302" s="8" t="s">
        <v>27</v>
      </c>
      <c r="O3302" s="13"/>
      <c r="P3302" s="14">
        <v>0.2</v>
      </c>
      <c r="Q3302" s="15">
        <v>0.4</v>
      </c>
      <c r="R3302" s="16" t="str">
        <f t="shared" si="268"/>
        <v>LUTRON</v>
      </c>
      <c r="S3302" s="17"/>
      <c r="T3302" s="10"/>
    </row>
    <row r="3303" spans="1:20" ht="27" customHeight="1" x14ac:dyDescent="0.25">
      <c r="A3303" s="8" t="s">
        <v>5672</v>
      </c>
      <c r="B3303" s="9"/>
      <c r="C3303" s="9"/>
      <c r="D3303" s="8"/>
      <c r="E3303" s="8"/>
      <c r="F3303" s="8"/>
      <c r="G3303" s="10"/>
      <c r="H3303" s="8" t="s">
        <v>6664</v>
      </c>
      <c r="I3303" s="10" t="s">
        <v>6665</v>
      </c>
      <c r="J3303" s="11" t="s">
        <v>26</v>
      </c>
      <c r="K3303" s="57">
        <v>9</v>
      </c>
      <c r="L3303" s="12">
        <f t="shared" si="271"/>
        <v>18</v>
      </c>
      <c r="M3303" s="8">
        <v>1</v>
      </c>
      <c r="N3303" s="8" t="s">
        <v>27</v>
      </c>
      <c r="O3303" s="13"/>
      <c r="P3303" s="14">
        <v>0.2</v>
      </c>
      <c r="Q3303" s="15">
        <v>0.4</v>
      </c>
      <c r="R3303" s="16" t="str">
        <f t="shared" si="268"/>
        <v>LUTRON</v>
      </c>
      <c r="S3303" s="17"/>
      <c r="T3303" s="10"/>
    </row>
    <row r="3304" spans="1:20" ht="27" customHeight="1" x14ac:dyDescent="0.25">
      <c r="A3304" s="8" t="s">
        <v>5672</v>
      </c>
      <c r="B3304" s="9"/>
      <c r="C3304" s="9"/>
      <c r="D3304" s="8"/>
      <c r="E3304" s="8"/>
      <c r="F3304" s="8" t="s">
        <v>22</v>
      </c>
      <c r="G3304" s="10" t="s">
        <v>6393</v>
      </c>
      <c r="H3304" s="8" t="s">
        <v>6666</v>
      </c>
      <c r="I3304" s="10" t="s">
        <v>6667</v>
      </c>
      <c r="J3304" s="11" t="s">
        <v>26</v>
      </c>
      <c r="K3304" s="57">
        <f>5.55*6</f>
        <v>33.299999999999997</v>
      </c>
      <c r="L3304" s="12">
        <f t="shared" si="271"/>
        <v>66.599999999999994</v>
      </c>
      <c r="M3304" s="8">
        <v>1</v>
      </c>
      <c r="N3304" s="8" t="s">
        <v>27</v>
      </c>
      <c r="O3304" s="13"/>
      <c r="P3304" s="14">
        <v>0.2</v>
      </c>
      <c r="Q3304" s="15">
        <v>0.4</v>
      </c>
      <c r="R3304" s="16" t="str">
        <f t="shared" si="268"/>
        <v>LUTRON</v>
      </c>
      <c r="S3304" s="17"/>
      <c r="T3304" s="10"/>
    </row>
    <row r="3305" spans="1:20" ht="27" customHeight="1" x14ac:dyDescent="0.25">
      <c r="A3305" s="8" t="s">
        <v>5672</v>
      </c>
      <c r="B3305" s="9"/>
      <c r="C3305" s="9"/>
      <c r="D3305" s="8"/>
      <c r="E3305" s="8"/>
      <c r="F3305" s="8"/>
      <c r="G3305" s="10" t="s">
        <v>6372</v>
      </c>
      <c r="H3305" s="8" t="s">
        <v>6668</v>
      </c>
      <c r="I3305" s="10" t="s">
        <v>6669</v>
      </c>
      <c r="J3305" s="11" t="s">
        <v>26</v>
      </c>
      <c r="K3305" s="57">
        <v>13.13</v>
      </c>
      <c r="L3305" s="12">
        <f t="shared" si="271"/>
        <v>26.26</v>
      </c>
      <c r="M3305" s="8">
        <v>1</v>
      </c>
      <c r="N3305" s="8" t="s">
        <v>27</v>
      </c>
      <c r="O3305" s="13"/>
      <c r="P3305" s="14">
        <v>0.2</v>
      </c>
      <c r="Q3305" s="15">
        <v>0.4</v>
      </c>
      <c r="R3305" s="16" t="str">
        <f t="shared" si="268"/>
        <v>LUTRON</v>
      </c>
      <c r="S3305" s="17"/>
      <c r="T3305" s="10"/>
    </row>
    <row r="3306" spans="1:20" ht="27" customHeight="1" x14ac:dyDescent="0.25">
      <c r="A3306" s="8" t="s">
        <v>5672</v>
      </c>
      <c r="B3306" s="9"/>
      <c r="C3306" s="9"/>
      <c r="D3306" s="8"/>
      <c r="E3306" s="8"/>
      <c r="F3306" s="8"/>
      <c r="G3306" s="10"/>
      <c r="H3306" s="8" t="s">
        <v>6670</v>
      </c>
      <c r="I3306" s="10" t="s">
        <v>6671</v>
      </c>
      <c r="J3306" s="11" t="s">
        <v>26</v>
      </c>
      <c r="K3306" s="57">
        <v>48.6</v>
      </c>
      <c r="L3306" s="12">
        <f t="shared" ref="L3306:L3312" si="272">IF(J3306="P",ROUNDUP(K3306/(1-Q3306),-2),K3306*(1+P3306)/(1-Q3306))</f>
        <v>81</v>
      </c>
      <c r="M3306" s="8">
        <v>1</v>
      </c>
      <c r="N3306" s="8" t="s">
        <v>27</v>
      </c>
      <c r="O3306" s="13"/>
      <c r="P3306" s="14">
        <v>0.2</v>
      </c>
      <c r="Q3306" s="15">
        <v>0.28000000000000003</v>
      </c>
      <c r="R3306" s="16" t="str">
        <f t="shared" si="268"/>
        <v>LUTRON</v>
      </c>
      <c r="S3306" s="17"/>
      <c r="T3306" s="10"/>
    </row>
    <row r="3307" spans="1:20" ht="27" customHeight="1" x14ac:dyDescent="0.25">
      <c r="A3307" s="8" t="s">
        <v>5672</v>
      </c>
      <c r="B3307" s="9"/>
      <c r="C3307" s="9"/>
      <c r="D3307" s="8"/>
      <c r="E3307" s="8"/>
      <c r="F3307" s="8"/>
      <c r="G3307" s="10"/>
      <c r="H3307" s="8" t="s">
        <v>6672</v>
      </c>
      <c r="I3307" s="10" t="s">
        <v>6673</v>
      </c>
      <c r="J3307" s="11"/>
      <c r="K3307" s="57">
        <v>24.5</v>
      </c>
      <c r="L3307" s="12">
        <f t="shared" si="272"/>
        <v>49</v>
      </c>
      <c r="M3307" s="8">
        <v>1</v>
      </c>
      <c r="N3307" s="8" t="s">
        <v>110</v>
      </c>
      <c r="O3307" s="13"/>
      <c r="P3307" s="14">
        <v>0.2</v>
      </c>
      <c r="Q3307" s="15">
        <v>0.4</v>
      </c>
      <c r="R3307" s="16" t="str">
        <f t="shared" si="268"/>
        <v>LUTRON</v>
      </c>
      <c r="S3307" s="17"/>
      <c r="T3307" s="10"/>
    </row>
    <row r="3308" spans="1:20" ht="27" customHeight="1" x14ac:dyDescent="0.25">
      <c r="A3308" s="8" t="s">
        <v>5672</v>
      </c>
      <c r="B3308" s="9"/>
      <c r="C3308" s="9"/>
      <c r="D3308" s="8"/>
      <c r="E3308" s="8"/>
      <c r="F3308" s="8"/>
      <c r="G3308" s="10"/>
      <c r="H3308" s="8" t="s">
        <v>6674</v>
      </c>
      <c r="I3308" s="10" t="s">
        <v>6675</v>
      </c>
      <c r="J3308" s="11" t="s">
        <v>26</v>
      </c>
      <c r="K3308" s="57">
        <v>2000</v>
      </c>
      <c r="L3308" s="12">
        <f t="shared" si="272"/>
        <v>4000</v>
      </c>
      <c r="M3308" s="8">
        <v>1</v>
      </c>
      <c r="N3308" s="8" t="s">
        <v>110</v>
      </c>
      <c r="O3308" s="13"/>
      <c r="P3308" s="14">
        <v>0.2</v>
      </c>
      <c r="Q3308" s="15">
        <v>0.4</v>
      </c>
      <c r="R3308" s="16" t="str">
        <f t="shared" si="268"/>
        <v>LUTRON</v>
      </c>
      <c r="S3308" s="17"/>
      <c r="T3308" s="10"/>
    </row>
    <row r="3309" spans="1:20" ht="27" customHeight="1" x14ac:dyDescent="0.25">
      <c r="A3309" s="8" t="s">
        <v>5672</v>
      </c>
      <c r="B3309" s="9"/>
      <c r="C3309" s="9"/>
      <c r="D3309" s="8"/>
      <c r="E3309" s="8"/>
      <c r="F3309" s="8"/>
      <c r="G3309" s="10" t="s">
        <v>6676</v>
      </c>
      <c r="H3309" s="8" t="s">
        <v>6570</v>
      </c>
      <c r="I3309" s="10" t="s">
        <v>6571</v>
      </c>
      <c r="J3309" s="11" t="s">
        <v>26</v>
      </c>
      <c r="K3309" s="57">
        <v>48.5</v>
      </c>
      <c r="L3309" s="12">
        <f t="shared" si="272"/>
        <v>97</v>
      </c>
      <c r="M3309" s="8">
        <v>1</v>
      </c>
      <c r="N3309" s="8" t="s">
        <v>27</v>
      </c>
      <c r="O3309" s="13"/>
      <c r="P3309" s="14">
        <v>0.2</v>
      </c>
      <c r="Q3309" s="15">
        <v>0.4</v>
      </c>
      <c r="R3309" s="16" t="str">
        <f t="shared" si="268"/>
        <v>LUTRON</v>
      </c>
      <c r="S3309" s="17"/>
      <c r="T3309" s="10"/>
    </row>
    <row r="3310" spans="1:20" ht="27" customHeight="1" x14ac:dyDescent="0.25">
      <c r="A3310" s="8" t="s">
        <v>5672</v>
      </c>
      <c r="B3310" s="9"/>
      <c r="C3310" s="9"/>
      <c r="D3310" s="8"/>
      <c r="E3310" s="8"/>
      <c r="F3310" s="8"/>
      <c r="G3310" s="10"/>
      <c r="H3310" s="8" t="s">
        <v>6677</v>
      </c>
      <c r="I3310" s="10" t="s">
        <v>6678</v>
      </c>
      <c r="J3310" s="11" t="s">
        <v>26</v>
      </c>
      <c r="K3310" s="57">
        <v>64.5</v>
      </c>
      <c r="L3310" s="12">
        <f t="shared" si="272"/>
        <v>129</v>
      </c>
      <c r="M3310" s="8">
        <v>1</v>
      </c>
      <c r="N3310" s="8" t="s">
        <v>27</v>
      </c>
      <c r="O3310" s="13"/>
      <c r="P3310" s="14">
        <v>0.2</v>
      </c>
      <c r="Q3310" s="15">
        <v>0.4</v>
      </c>
      <c r="R3310" s="16" t="str">
        <f t="shared" si="268"/>
        <v>LUTRON</v>
      </c>
      <c r="S3310" s="17"/>
      <c r="T3310" s="10"/>
    </row>
    <row r="3311" spans="1:20" ht="27" customHeight="1" x14ac:dyDescent="0.25">
      <c r="A3311" s="8" t="s">
        <v>5672</v>
      </c>
      <c r="B3311" s="9"/>
      <c r="C3311" s="9"/>
      <c r="D3311" s="8"/>
      <c r="E3311" s="8"/>
      <c r="F3311" s="8"/>
      <c r="G3311" s="10"/>
      <c r="H3311" s="8" t="s">
        <v>6679</v>
      </c>
      <c r="I3311" s="10" t="s">
        <v>6680</v>
      </c>
      <c r="J3311" s="11" t="s">
        <v>26</v>
      </c>
      <c r="K3311" s="57">
        <v>231</v>
      </c>
      <c r="L3311" s="12">
        <f t="shared" si="272"/>
        <v>330.00093587567</v>
      </c>
      <c r="M3311" s="8">
        <v>1</v>
      </c>
      <c r="N3311" s="8" t="s">
        <v>27</v>
      </c>
      <c r="O3311" s="13"/>
      <c r="P3311" s="14">
        <v>0.2</v>
      </c>
      <c r="Q3311" s="15">
        <v>0.16000238222222229</v>
      </c>
      <c r="R3311" s="16" t="str">
        <f t="shared" ref="R3311:R3374" si="273">A3311</f>
        <v>LUTRON</v>
      </c>
      <c r="S3311" s="17"/>
      <c r="T3311" s="10"/>
    </row>
    <row r="3312" spans="1:20" ht="27" customHeight="1" x14ac:dyDescent="0.25">
      <c r="A3312" s="8" t="s">
        <v>5672</v>
      </c>
      <c r="B3312" s="9"/>
      <c r="C3312" s="9"/>
      <c r="D3312" s="8"/>
      <c r="E3312" s="8"/>
      <c r="F3312" s="8"/>
      <c r="G3312" s="10"/>
      <c r="H3312" s="8" t="s">
        <v>6488</v>
      </c>
      <c r="I3312" s="10" t="s">
        <v>6681</v>
      </c>
      <c r="J3312" s="11" t="s">
        <v>26</v>
      </c>
      <c r="K3312" s="57">
        <v>99</v>
      </c>
      <c r="L3312" s="12">
        <f t="shared" si="272"/>
        <v>164.99999820307815</v>
      </c>
      <c r="M3312" s="8">
        <v>1</v>
      </c>
      <c r="N3312" s="8" t="s">
        <v>27</v>
      </c>
      <c r="O3312" s="13"/>
      <c r="P3312" s="14">
        <v>0.2</v>
      </c>
      <c r="Q3312" s="15">
        <v>0.27999999215888638</v>
      </c>
      <c r="R3312" s="16" t="str">
        <f t="shared" si="273"/>
        <v>LUTRON</v>
      </c>
      <c r="S3312" s="17"/>
      <c r="T3312" s="10"/>
    </row>
    <row r="3313" spans="1:20" ht="27" customHeight="1" x14ac:dyDescent="0.25">
      <c r="A3313" s="8" t="s">
        <v>5672</v>
      </c>
      <c r="B3313" s="9"/>
      <c r="C3313" s="9"/>
      <c r="D3313" s="8"/>
      <c r="E3313" s="8"/>
      <c r="F3313" s="8"/>
      <c r="G3313" s="10"/>
      <c r="H3313" s="8" t="s">
        <v>6682</v>
      </c>
      <c r="I3313" s="10" t="s">
        <v>6683</v>
      </c>
      <c r="J3313" s="11" t="s">
        <v>26</v>
      </c>
      <c r="K3313" s="57">
        <v>3200</v>
      </c>
      <c r="L3313" s="12">
        <f t="shared" ref="L3313:L3319" si="274">K3313*(1+P3313)/(1-Q3313)</f>
        <v>6400</v>
      </c>
      <c r="M3313" s="8">
        <v>1</v>
      </c>
      <c r="N3313" s="8" t="s">
        <v>27</v>
      </c>
      <c r="O3313" s="13"/>
      <c r="P3313" s="14">
        <v>0.2</v>
      </c>
      <c r="Q3313" s="15">
        <v>0.4</v>
      </c>
      <c r="R3313" s="16" t="str">
        <f t="shared" si="273"/>
        <v>LUTRON</v>
      </c>
      <c r="S3313" s="17"/>
      <c r="T3313" s="10"/>
    </row>
    <row r="3314" spans="1:20" ht="27" customHeight="1" x14ac:dyDescent="0.25">
      <c r="A3314" s="8" t="s">
        <v>5672</v>
      </c>
      <c r="B3314" s="9"/>
      <c r="C3314" s="9"/>
      <c r="D3314" s="8"/>
      <c r="E3314" s="8"/>
      <c r="F3314" s="8"/>
      <c r="G3314" s="10"/>
      <c r="H3314" s="8" t="s">
        <v>6265</v>
      </c>
      <c r="I3314" s="10" t="s">
        <v>6684</v>
      </c>
      <c r="J3314" s="11" t="s">
        <v>26</v>
      </c>
      <c r="K3314" s="57">
        <v>38.5</v>
      </c>
      <c r="L3314" s="12">
        <f t="shared" si="274"/>
        <v>77</v>
      </c>
      <c r="M3314" s="8">
        <v>1</v>
      </c>
      <c r="N3314" s="8" t="s">
        <v>27</v>
      </c>
      <c r="O3314" s="13"/>
      <c r="P3314" s="14">
        <v>0.2</v>
      </c>
      <c r="Q3314" s="15">
        <v>0.4</v>
      </c>
      <c r="R3314" s="16" t="str">
        <f t="shared" si="273"/>
        <v>LUTRON</v>
      </c>
      <c r="S3314" s="17"/>
      <c r="T3314" s="10"/>
    </row>
    <row r="3315" spans="1:20" ht="27" customHeight="1" x14ac:dyDescent="0.25">
      <c r="A3315" s="8" t="s">
        <v>5672</v>
      </c>
      <c r="B3315" s="9" t="s">
        <v>5666</v>
      </c>
      <c r="C3315" s="9"/>
      <c r="D3315" s="8" t="s">
        <v>188</v>
      </c>
      <c r="E3315" s="8">
        <v>36</v>
      </c>
      <c r="F3315" s="8" t="s">
        <v>22</v>
      </c>
      <c r="G3315" s="10" t="s">
        <v>6003</v>
      </c>
      <c r="H3315" s="8" t="s">
        <v>6472</v>
      </c>
      <c r="I3315" s="10" t="s">
        <v>6685</v>
      </c>
      <c r="J3315" s="11" t="s">
        <v>26</v>
      </c>
      <c r="K3315" s="57">
        <v>140</v>
      </c>
      <c r="L3315" s="12">
        <f t="shared" si="274"/>
        <v>280</v>
      </c>
      <c r="M3315" s="8">
        <v>1</v>
      </c>
      <c r="N3315" s="8" t="s">
        <v>27</v>
      </c>
      <c r="O3315" s="13"/>
      <c r="P3315" s="14">
        <v>0.2</v>
      </c>
      <c r="Q3315" s="15">
        <v>0.4</v>
      </c>
      <c r="R3315" s="16" t="str">
        <f t="shared" si="273"/>
        <v>LUTRON</v>
      </c>
      <c r="S3315" s="17"/>
      <c r="T3315" s="10"/>
    </row>
    <row r="3316" spans="1:20" ht="27" customHeight="1" x14ac:dyDescent="0.25">
      <c r="A3316" s="8" t="s">
        <v>5672</v>
      </c>
      <c r="B3316" s="9"/>
      <c r="C3316" s="9"/>
      <c r="D3316" s="8"/>
      <c r="E3316" s="8"/>
      <c r="F3316" s="8"/>
      <c r="G3316" s="10"/>
      <c r="H3316" s="8" t="s">
        <v>6686</v>
      </c>
      <c r="I3316" s="10" t="s">
        <v>6687</v>
      </c>
      <c r="J3316" s="11" t="s">
        <v>26</v>
      </c>
      <c r="K3316" s="57">
        <v>140</v>
      </c>
      <c r="L3316" s="12">
        <f t="shared" si="274"/>
        <v>280</v>
      </c>
      <c r="M3316" s="8">
        <v>1</v>
      </c>
      <c r="N3316" s="8" t="s">
        <v>27</v>
      </c>
      <c r="O3316" s="13"/>
      <c r="P3316" s="14">
        <v>0.2</v>
      </c>
      <c r="Q3316" s="15">
        <v>0.4</v>
      </c>
      <c r="R3316" s="16" t="str">
        <f t="shared" si="273"/>
        <v>LUTRON</v>
      </c>
      <c r="S3316" s="17"/>
      <c r="T3316" s="10"/>
    </row>
    <row r="3317" spans="1:20" ht="27" customHeight="1" x14ac:dyDescent="0.25">
      <c r="A3317" s="8" t="s">
        <v>5672</v>
      </c>
      <c r="B3317" s="9"/>
      <c r="C3317" s="9"/>
      <c r="D3317" s="8"/>
      <c r="E3317" s="8"/>
      <c r="F3317" s="8"/>
      <c r="G3317" s="10"/>
      <c r="H3317" s="8" t="s">
        <v>6688</v>
      </c>
      <c r="I3317" s="10" t="s">
        <v>6689</v>
      </c>
      <c r="J3317" s="11" t="s">
        <v>26</v>
      </c>
      <c r="K3317" s="57">
        <v>57.5</v>
      </c>
      <c r="L3317" s="12">
        <f t="shared" si="274"/>
        <v>115</v>
      </c>
      <c r="M3317" s="8">
        <v>1</v>
      </c>
      <c r="N3317" s="8" t="s">
        <v>27</v>
      </c>
      <c r="O3317" s="13"/>
      <c r="P3317" s="14">
        <v>0.2</v>
      </c>
      <c r="Q3317" s="15">
        <v>0.4</v>
      </c>
      <c r="R3317" s="16" t="str">
        <f t="shared" si="273"/>
        <v>LUTRON</v>
      </c>
      <c r="S3317" s="17"/>
      <c r="T3317" s="10"/>
    </row>
    <row r="3318" spans="1:20" ht="27" customHeight="1" x14ac:dyDescent="0.25">
      <c r="A3318" s="8" t="s">
        <v>5672</v>
      </c>
      <c r="B3318" s="9"/>
      <c r="C3318" s="9"/>
      <c r="D3318" s="8"/>
      <c r="E3318" s="8"/>
      <c r="F3318" s="8"/>
      <c r="G3318" s="10"/>
      <c r="H3318" s="8" t="s">
        <v>6690</v>
      </c>
      <c r="I3318" s="10" t="s">
        <v>6691</v>
      </c>
      <c r="J3318" s="11" t="s">
        <v>26</v>
      </c>
      <c r="K3318" s="57">
        <v>90</v>
      </c>
      <c r="L3318" s="12">
        <f t="shared" si="274"/>
        <v>180</v>
      </c>
      <c r="M3318" s="8">
        <v>1</v>
      </c>
      <c r="N3318" s="8" t="s">
        <v>27</v>
      </c>
      <c r="O3318" s="13"/>
      <c r="P3318" s="14">
        <v>0.2</v>
      </c>
      <c r="Q3318" s="15">
        <v>0.4</v>
      </c>
      <c r="R3318" s="16" t="str">
        <f t="shared" si="273"/>
        <v>LUTRON</v>
      </c>
      <c r="S3318" s="17"/>
      <c r="T3318" s="10"/>
    </row>
    <row r="3319" spans="1:20" ht="27" customHeight="1" x14ac:dyDescent="0.25">
      <c r="A3319" s="8" t="s">
        <v>5672</v>
      </c>
      <c r="B3319" s="9"/>
      <c r="C3319" s="9"/>
      <c r="D3319" s="8"/>
      <c r="E3319" s="8"/>
      <c r="F3319" s="8"/>
      <c r="G3319" s="10"/>
      <c r="H3319" s="8" t="s">
        <v>6692</v>
      </c>
      <c r="I3319" s="10" t="s">
        <v>6693</v>
      </c>
      <c r="J3319" s="11" t="s">
        <v>26</v>
      </c>
      <c r="K3319" s="57">
        <v>217.5</v>
      </c>
      <c r="L3319" s="12">
        <f t="shared" si="274"/>
        <v>435</v>
      </c>
      <c r="M3319" s="8">
        <v>1</v>
      </c>
      <c r="N3319" s="8" t="s">
        <v>27</v>
      </c>
      <c r="O3319" s="13"/>
      <c r="P3319" s="14">
        <v>0.2</v>
      </c>
      <c r="Q3319" s="15">
        <v>0.4</v>
      </c>
      <c r="R3319" s="16" t="str">
        <f t="shared" si="273"/>
        <v>LUTRON</v>
      </c>
      <c r="S3319" s="17"/>
      <c r="T3319" s="10"/>
    </row>
    <row r="3320" spans="1:20" ht="27" customHeight="1" x14ac:dyDescent="0.25">
      <c r="A3320" s="8" t="s">
        <v>5672</v>
      </c>
      <c r="B3320" s="9"/>
      <c r="C3320" s="9"/>
      <c r="D3320" s="8"/>
      <c r="E3320" s="8"/>
      <c r="F3320" s="8"/>
      <c r="G3320" s="10"/>
      <c r="H3320" s="8" t="s">
        <v>6694</v>
      </c>
      <c r="I3320" s="10" t="s">
        <v>6695</v>
      </c>
      <c r="J3320" s="11" t="s">
        <v>26</v>
      </c>
      <c r="K3320" s="57">
        <f>775/130</f>
        <v>5.9615384615384617</v>
      </c>
      <c r="L3320" s="12">
        <f>IF(J3320="P",ROUNDUP(K3320/(1-Q3320),-2),K3320*(1+P3320)/(1-Q3320))</f>
        <v>10.219780219780221</v>
      </c>
      <c r="M3320" s="8">
        <v>1</v>
      </c>
      <c r="N3320" s="8" t="s">
        <v>27</v>
      </c>
      <c r="O3320" s="13"/>
      <c r="P3320" s="14">
        <v>0.2</v>
      </c>
      <c r="Q3320" s="15">
        <v>0.3</v>
      </c>
      <c r="R3320" s="16" t="str">
        <f t="shared" si="273"/>
        <v>LUTRON</v>
      </c>
      <c r="S3320" s="17"/>
      <c r="T3320" s="10"/>
    </row>
    <row r="3321" spans="1:20" ht="27" customHeight="1" x14ac:dyDescent="0.25">
      <c r="A3321" s="8" t="s">
        <v>5672</v>
      </c>
      <c r="B3321" s="9"/>
      <c r="C3321" s="9"/>
      <c r="D3321" s="8"/>
      <c r="E3321" s="8"/>
      <c r="F3321" s="8"/>
      <c r="G3321" s="10"/>
      <c r="H3321" s="8" t="s">
        <v>6696</v>
      </c>
      <c r="I3321" s="10" t="s">
        <v>6188</v>
      </c>
      <c r="J3321" s="11" t="s">
        <v>26</v>
      </c>
      <c r="K3321" s="57">
        <v>28</v>
      </c>
      <c r="L3321" s="12">
        <f>ROUNDUP(K3321*(1+P3321)/(1-Q3321),0)</f>
        <v>56</v>
      </c>
      <c r="M3321" s="8">
        <v>1</v>
      </c>
      <c r="N3321" s="8" t="s">
        <v>27</v>
      </c>
      <c r="O3321" s="13"/>
      <c r="P3321" s="14">
        <v>0.2</v>
      </c>
      <c r="Q3321" s="15">
        <v>0.39</v>
      </c>
      <c r="R3321" s="16" t="str">
        <f t="shared" si="273"/>
        <v>LUTRON</v>
      </c>
      <c r="S3321" s="17"/>
      <c r="T3321" s="10">
        <f>G3321</f>
        <v>0</v>
      </c>
    </row>
    <row r="3322" spans="1:20" ht="27" customHeight="1" x14ac:dyDescent="0.25">
      <c r="A3322" s="8" t="s">
        <v>5672</v>
      </c>
      <c r="B3322" s="9"/>
      <c r="C3322" s="9"/>
      <c r="D3322" s="8"/>
      <c r="E3322" s="8"/>
      <c r="F3322" s="8"/>
      <c r="G3322" s="10"/>
      <c r="H3322" s="8" t="s">
        <v>6697</v>
      </c>
      <c r="I3322" s="10" t="s">
        <v>6698</v>
      </c>
      <c r="J3322" s="11" t="s">
        <v>26</v>
      </c>
      <c r="K3322" s="57">
        <v>1000</v>
      </c>
      <c r="L3322" s="12">
        <f>ROUNDUP(K3322*(1+P3322)/(1-Q3322),0)</f>
        <v>1968</v>
      </c>
      <c r="M3322" s="8">
        <v>1</v>
      </c>
      <c r="N3322" s="8" t="s">
        <v>27</v>
      </c>
      <c r="O3322" s="13"/>
      <c r="P3322" s="14">
        <v>0.2</v>
      </c>
      <c r="Q3322" s="15">
        <v>0.39</v>
      </c>
      <c r="R3322" s="16" t="str">
        <f t="shared" si="273"/>
        <v>LUTRON</v>
      </c>
      <c r="S3322" s="17"/>
      <c r="T3322" s="10"/>
    </row>
    <row r="3323" spans="1:20" ht="27" customHeight="1" x14ac:dyDescent="0.25">
      <c r="A3323" s="8" t="s">
        <v>5672</v>
      </c>
      <c r="B3323" s="9"/>
      <c r="C3323" s="9"/>
      <c r="D3323" s="8"/>
      <c r="E3323" s="8"/>
      <c r="F3323" s="8"/>
      <c r="G3323" s="10"/>
      <c r="H3323" s="8" t="s">
        <v>6460</v>
      </c>
      <c r="I3323" s="10" t="s">
        <v>6699</v>
      </c>
      <c r="J3323" s="11" t="s">
        <v>26</v>
      </c>
      <c r="K3323" s="57">
        <v>90</v>
      </c>
      <c r="L3323" s="12">
        <f>ROUNDUP(K3323*(1+P3323)/(1-Q3323),0)</f>
        <v>149</v>
      </c>
      <c r="M3323" s="8">
        <v>1</v>
      </c>
      <c r="N3323" s="8" t="s">
        <v>27</v>
      </c>
      <c r="O3323" s="13"/>
      <c r="P3323" s="14">
        <v>0.2</v>
      </c>
      <c r="Q3323" s="15">
        <v>0.27500000000000002</v>
      </c>
      <c r="R3323" s="16" t="str">
        <f t="shared" si="273"/>
        <v>LUTRON</v>
      </c>
      <c r="S3323" s="17"/>
      <c r="T3323" s="10"/>
    </row>
    <row r="3324" spans="1:20" ht="27" customHeight="1" x14ac:dyDescent="0.25">
      <c r="A3324" s="8" t="s">
        <v>5672</v>
      </c>
      <c r="B3324" s="9"/>
      <c r="C3324" s="9"/>
      <c r="D3324" s="8"/>
      <c r="E3324" s="8"/>
      <c r="F3324" s="8"/>
      <c r="G3324" s="10"/>
      <c r="H3324" s="8" t="s">
        <v>6700</v>
      </c>
      <c r="I3324" s="10" t="s">
        <v>6701</v>
      </c>
      <c r="J3324" s="11" t="s">
        <v>26</v>
      </c>
      <c r="K3324" s="57">
        <v>400</v>
      </c>
      <c r="L3324" s="12">
        <f>ROUNDUP(K3324*(1+P3324)/(1-Q3324),0)</f>
        <v>800</v>
      </c>
      <c r="M3324" s="8">
        <v>1</v>
      </c>
      <c r="N3324" s="8" t="s">
        <v>27</v>
      </c>
      <c r="O3324" s="13"/>
      <c r="P3324" s="14">
        <v>0.2</v>
      </c>
      <c r="Q3324" s="15">
        <v>0.4</v>
      </c>
      <c r="R3324" s="16" t="str">
        <f t="shared" si="273"/>
        <v>LUTRON</v>
      </c>
      <c r="S3324" s="17"/>
      <c r="T3324" s="10"/>
    </row>
    <row r="3325" spans="1:20" ht="27" customHeight="1" x14ac:dyDescent="0.25">
      <c r="A3325" s="8" t="s">
        <v>5672</v>
      </c>
      <c r="B3325" s="9"/>
      <c r="C3325" s="9"/>
      <c r="D3325" s="8"/>
      <c r="E3325" s="8"/>
      <c r="F3325" s="8"/>
      <c r="G3325" s="10"/>
      <c r="H3325" s="8" t="s">
        <v>6702</v>
      </c>
      <c r="I3325" s="10" t="s">
        <v>6703</v>
      </c>
      <c r="J3325" s="11" t="s">
        <v>26</v>
      </c>
      <c r="K3325" s="57">
        <v>102.6</v>
      </c>
      <c r="L3325" s="12">
        <f>ROUNDUP(K3325*(1+P3325)/(1-Q3325),0)</f>
        <v>179</v>
      </c>
      <c r="M3325" s="8">
        <v>1</v>
      </c>
      <c r="N3325" s="8" t="s">
        <v>27</v>
      </c>
      <c r="O3325" s="13"/>
      <c r="P3325" s="14">
        <v>0.2</v>
      </c>
      <c r="Q3325" s="15">
        <v>0.3121199999999999</v>
      </c>
      <c r="R3325" s="16" t="str">
        <f t="shared" si="273"/>
        <v>LUTRON</v>
      </c>
      <c r="S3325" s="17"/>
      <c r="T3325" s="10"/>
    </row>
    <row r="3326" spans="1:20" ht="27" customHeight="1" x14ac:dyDescent="0.25">
      <c r="A3326" s="8" t="s">
        <v>5672</v>
      </c>
      <c r="B3326" s="9"/>
      <c r="C3326" s="9"/>
      <c r="D3326" s="8"/>
      <c r="E3326" s="8"/>
      <c r="F3326" s="8"/>
      <c r="G3326" s="10"/>
      <c r="H3326" s="8" t="s">
        <v>6704</v>
      </c>
      <c r="I3326" s="10" t="s">
        <v>6705</v>
      </c>
      <c r="J3326" s="11" t="s">
        <v>26</v>
      </c>
      <c r="K3326" s="57">
        <v>235</v>
      </c>
      <c r="L3326" s="12">
        <f t="shared" ref="L3326:L3338" si="275">K3326*(1+P3326)/(1-Q3326)</f>
        <v>470</v>
      </c>
      <c r="M3326" s="8">
        <v>1</v>
      </c>
      <c r="N3326" s="8" t="s">
        <v>27</v>
      </c>
      <c r="O3326" s="13"/>
      <c r="P3326" s="14">
        <v>0.2</v>
      </c>
      <c r="Q3326" s="15">
        <v>0.4</v>
      </c>
      <c r="R3326" s="16" t="str">
        <f t="shared" si="273"/>
        <v>LUTRON</v>
      </c>
      <c r="S3326" s="17"/>
      <c r="T3326" s="10"/>
    </row>
    <row r="3327" spans="1:20" ht="27" customHeight="1" x14ac:dyDescent="0.25">
      <c r="A3327" s="8" t="s">
        <v>5672</v>
      </c>
      <c r="B3327" s="9"/>
      <c r="C3327" s="9"/>
      <c r="D3327" s="8"/>
      <c r="E3327" s="8"/>
      <c r="F3327" s="8"/>
      <c r="G3327" s="10"/>
      <c r="H3327" s="8" t="s">
        <v>6706</v>
      </c>
      <c r="I3327" s="10" t="s">
        <v>6707</v>
      </c>
      <c r="J3327" s="11" t="s">
        <v>26</v>
      </c>
      <c r="K3327" s="57">
        <v>75</v>
      </c>
      <c r="L3327" s="12">
        <f t="shared" si="275"/>
        <v>130.20899323815169</v>
      </c>
      <c r="M3327" s="8">
        <v>1</v>
      </c>
      <c r="N3327" s="8" t="s">
        <v>27</v>
      </c>
      <c r="O3327" s="13"/>
      <c r="P3327" s="14">
        <v>0.2</v>
      </c>
      <c r="Q3327" s="15">
        <v>0.30880350303154258</v>
      </c>
      <c r="R3327" s="16" t="str">
        <f t="shared" si="273"/>
        <v>LUTRON</v>
      </c>
      <c r="S3327" s="17"/>
      <c r="T3327" s="10"/>
    </row>
    <row r="3328" spans="1:20" ht="27" customHeight="1" x14ac:dyDescent="0.25">
      <c r="A3328" s="8" t="s">
        <v>5672</v>
      </c>
      <c r="B3328" s="9"/>
      <c r="C3328" s="9"/>
      <c r="D3328" s="8"/>
      <c r="E3328" s="8"/>
      <c r="F3328" s="8"/>
      <c r="G3328" s="10"/>
      <c r="H3328" s="8" t="s">
        <v>6708</v>
      </c>
      <c r="I3328" s="10" t="s">
        <v>6709</v>
      </c>
      <c r="J3328" s="11" t="s">
        <v>26</v>
      </c>
      <c r="K3328" s="57">
        <v>600</v>
      </c>
      <c r="L3328" s="12">
        <f t="shared" si="275"/>
        <v>1000.0000101565048</v>
      </c>
      <c r="M3328" s="8">
        <v>1</v>
      </c>
      <c r="N3328" s="8" t="s">
        <v>27</v>
      </c>
      <c r="O3328" s="13"/>
      <c r="P3328" s="14">
        <v>0.2</v>
      </c>
      <c r="Q3328" s="15">
        <v>0.28000000731268337</v>
      </c>
      <c r="R3328" s="16" t="str">
        <f t="shared" si="273"/>
        <v>LUTRON</v>
      </c>
      <c r="S3328" s="17"/>
      <c r="T3328" s="10"/>
    </row>
    <row r="3329" spans="1:20" ht="27" customHeight="1" x14ac:dyDescent="0.25">
      <c r="A3329" s="8" t="s">
        <v>5672</v>
      </c>
      <c r="B3329" s="9"/>
      <c r="C3329" s="9"/>
      <c r="D3329" s="8"/>
      <c r="E3329" s="8"/>
      <c r="F3329" s="8"/>
      <c r="G3329" s="10"/>
      <c r="H3329" s="8" t="s">
        <v>6710</v>
      </c>
      <c r="I3329" s="10" t="s">
        <v>6711</v>
      </c>
      <c r="J3329" s="11" t="s">
        <v>26</v>
      </c>
      <c r="K3329" s="57">
        <v>600</v>
      </c>
      <c r="L3329" s="12">
        <f t="shared" si="275"/>
        <v>1000.0000101565048</v>
      </c>
      <c r="M3329" s="8">
        <v>1</v>
      </c>
      <c r="N3329" s="8" t="s">
        <v>27</v>
      </c>
      <c r="O3329" s="13"/>
      <c r="P3329" s="14">
        <v>0.2</v>
      </c>
      <c r="Q3329" s="15">
        <v>0.28000000731268337</v>
      </c>
      <c r="R3329" s="16" t="str">
        <f t="shared" si="273"/>
        <v>LUTRON</v>
      </c>
      <c r="S3329" s="17"/>
      <c r="T3329" s="10"/>
    </row>
    <row r="3330" spans="1:20" ht="27" customHeight="1" x14ac:dyDescent="0.25">
      <c r="A3330" s="8" t="s">
        <v>5672</v>
      </c>
      <c r="B3330" s="9"/>
      <c r="C3330" s="9"/>
      <c r="D3330" s="8"/>
      <c r="E3330" s="8"/>
      <c r="F3330" s="8"/>
      <c r="G3330" s="10"/>
      <c r="H3330" s="8" t="s">
        <v>6712</v>
      </c>
      <c r="I3330" s="10" t="s">
        <v>6713</v>
      </c>
      <c r="J3330" s="11" t="s">
        <v>26</v>
      </c>
      <c r="K3330" s="57">
        <v>42.66</v>
      </c>
      <c r="L3330" s="12">
        <f t="shared" si="275"/>
        <v>78.999768444939548</v>
      </c>
      <c r="M3330" s="8">
        <v>1</v>
      </c>
      <c r="N3330" s="8" t="s">
        <v>27</v>
      </c>
      <c r="O3330" s="13"/>
      <c r="P3330" s="14">
        <v>0.2</v>
      </c>
      <c r="Q3330" s="15">
        <v>0.35199810065672182</v>
      </c>
      <c r="R3330" s="16" t="str">
        <f t="shared" si="273"/>
        <v>LUTRON</v>
      </c>
      <c r="S3330" s="17"/>
      <c r="T3330" s="10"/>
    </row>
    <row r="3331" spans="1:20" ht="27" customHeight="1" x14ac:dyDescent="0.25">
      <c r="A3331" s="8" t="s">
        <v>5672</v>
      </c>
      <c r="B3331" s="9"/>
      <c r="C3331" s="9"/>
      <c r="D3331" s="8"/>
      <c r="E3331" s="8"/>
      <c r="F3331" s="8"/>
      <c r="G3331" s="10"/>
      <c r="H3331" s="8" t="s">
        <v>6714</v>
      </c>
      <c r="I3331" s="10" t="s">
        <v>6715</v>
      </c>
      <c r="J3331" s="11" t="s">
        <v>26</v>
      </c>
      <c r="K3331" s="57">
        <v>896.402627424868</v>
      </c>
      <c r="L3331" s="12">
        <f t="shared" si="275"/>
        <v>1659.9999999999998</v>
      </c>
      <c r="M3331" s="8">
        <v>1</v>
      </c>
      <c r="N3331" s="8" t="s">
        <v>27</v>
      </c>
      <c r="O3331" s="13"/>
      <c r="P3331" s="14">
        <v>0.2</v>
      </c>
      <c r="Q3331" s="15">
        <v>0.35199810065672182</v>
      </c>
      <c r="R3331" s="16" t="str">
        <f t="shared" si="273"/>
        <v>LUTRON</v>
      </c>
      <c r="S3331" s="17"/>
      <c r="T3331" s="10"/>
    </row>
    <row r="3332" spans="1:20" ht="27" customHeight="1" x14ac:dyDescent="0.25">
      <c r="A3332" s="8" t="s">
        <v>5672</v>
      </c>
      <c r="B3332" s="9"/>
      <c r="C3332" s="9"/>
      <c r="D3332" s="8"/>
      <c r="E3332" s="8"/>
      <c r="F3332" s="8"/>
      <c r="G3332" s="10"/>
      <c r="H3332" s="8" t="s">
        <v>6716</v>
      </c>
      <c r="I3332" s="10" t="s">
        <v>6717</v>
      </c>
      <c r="J3332" s="11" t="s">
        <v>26</v>
      </c>
      <c r="K3332" s="57">
        <v>32.9</v>
      </c>
      <c r="L3332" s="12">
        <f t="shared" si="275"/>
        <v>65.799998661012452</v>
      </c>
      <c r="M3332" s="8">
        <v>1</v>
      </c>
      <c r="N3332" s="8" t="s">
        <v>27</v>
      </c>
      <c r="O3332" s="13"/>
      <c r="P3332" s="14">
        <v>0.2</v>
      </c>
      <c r="Q3332" s="15">
        <v>0.39999998779038692</v>
      </c>
      <c r="R3332" s="16" t="str">
        <f t="shared" si="273"/>
        <v>LUTRON</v>
      </c>
      <c r="S3332" s="17"/>
      <c r="T3332" s="10"/>
    </row>
    <row r="3333" spans="1:20" ht="27" customHeight="1" x14ac:dyDescent="0.25">
      <c r="A3333" s="8" t="s">
        <v>5672</v>
      </c>
      <c r="B3333" s="9"/>
      <c r="C3333" s="9"/>
      <c r="D3333" s="8"/>
      <c r="E3333" s="8"/>
      <c r="F3333" s="8"/>
      <c r="G3333" s="10"/>
      <c r="H3333" s="8" t="s">
        <v>6718</v>
      </c>
      <c r="I3333" s="10" t="s">
        <v>6719</v>
      </c>
      <c r="J3333" s="11" t="s">
        <v>26</v>
      </c>
      <c r="K3333" s="57">
        <v>45.75</v>
      </c>
      <c r="L3333" s="12">
        <f t="shared" si="275"/>
        <v>91.499998138034044</v>
      </c>
      <c r="M3333" s="8">
        <v>1</v>
      </c>
      <c r="N3333" s="8" t="s">
        <v>27</v>
      </c>
      <c r="O3333" s="13"/>
      <c r="P3333" s="14">
        <v>0.2</v>
      </c>
      <c r="Q3333" s="15">
        <v>0.39999998779038692</v>
      </c>
      <c r="R3333" s="16" t="str">
        <f t="shared" si="273"/>
        <v>LUTRON</v>
      </c>
      <c r="S3333" s="17"/>
      <c r="T3333" s="10"/>
    </row>
    <row r="3334" spans="1:20" ht="27" customHeight="1" x14ac:dyDescent="0.25">
      <c r="A3334" s="8" t="s">
        <v>5672</v>
      </c>
      <c r="B3334" s="9"/>
      <c r="C3334" s="9"/>
      <c r="D3334" s="8"/>
      <c r="E3334" s="8"/>
      <c r="F3334" s="8"/>
      <c r="G3334" s="10"/>
      <c r="H3334" s="8" t="s">
        <v>6720</v>
      </c>
      <c r="I3334" s="10" t="s">
        <v>6721</v>
      </c>
      <c r="J3334" s="11" t="s">
        <v>26</v>
      </c>
      <c r="K3334" s="57">
        <v>24.85</v>
      </c>
      <c r="L3334" s="12">
        <f t="shared" si="275"/>
        <v>49.69999898863707</v>
      </c>
      <c r="M3334" s="8">
        <v>1</v>
      </c>
      <c r="N3334" s="8" t="s">
        <v>27</v>
      </c>
      <c r="O3334" s="13"/>
      <c r="P3334" s="14">
        <v>0.2</v>
      </c>
      <c r="Q3334" s="15">
        <v>0.39999998779038692</v>
      </c>
      <c r="R3334" s="16" t="str">
        <f t="shared" si="273"/>
        <v>LUTRON</v>
      </c>
      <c r="S3334" s="17"/>
      <c r="T3334" s="10"/>
    </row>
    <row r="3335" spans="1:20" ht="27" customHeight="1" x14ac:dyDescent="0.25">
      <c r="A3335" s="8" t="s">
        <v>5672</v>
      </c>
      <c r="B3335" s="9"/>
      <c r="C3335" s="9"/>
      <c r="D3335" s="8"/>
      <c r="E3335" s="8"/>
      <c r="F3335" s="8"/>
      <c r="G3335" s="10"/>
      <c r="H3335" s="8" t="s">
        <v>6722</v>
      </c>
      <c r="I3335" s="10" t="s">
        <v>6723</v>
      </c>
      <c r="J3335" s="11" t="s">
        <v>26</v>
      </c>
      <c r="K3335" s="57">
        <v>20.75</v>
      </c>
      <c r="L3335" s="12">
        <f t="shared" si="275"/>
        <v>41.499999155501776</v>
      </c>
      <c r="M3335" s="8">
        <v>1</v>
      </c>
      <c r="N3335" s="8" t="s">
        <v>27</v>
      </c>
      <c r="O3335" s="13"/>
      <c r="P3335" s="14">
        <v>0.2</v>
      </c>
      <c r="Q3335" s="15">
        <v>0.39999998779038692</v>
      </c>
      <c r="R3335" s="16" t="str">
        <f t="shared" si="273"/>
        <v>LUTRON</v>
      </c>
      <c r="S3335" s="17"/>
      <c r="T3335" s="10"/>
    </row>
    <row r="3336" spans="1:20" ht="27" customHeight="1" x14ac:dyDescent="0.25">
      <c r="A3336" s="8" t="s">
        <v>5672</v>
      </c>
      <c r="B3336" s="9"/>
      <c r="C3336" s="9"/>
      <c r="D3336" s="8"/>
      <c r="E3336" s="8"/>
      <c r="F3336" s="8"/>
      <c r="G3336" s="10"/>
      <c r="H3336" s="8" t="s">
        <v>6724</v>
      </c>
      <c r="I3336" s="10" t="s">
        <v>6725</v>
      </c>
      <c r="J3336" s="11" t="s">
        <v>26</v>
      </c>
      <c r="K3336" s="57">
        <v>48</v>
      </c>
      <c r="L3336" s="12">
        <f t="shared" si="275"/>
        <v>80</v>
      </c>
      <c r="M3336" s="8">
        <v>1</v>
      </c>
      <c r="N3336" s="8" t="s">
        <v>27</v>
      </c>
      <c r="O3336" s="13"/>
      <c r="P3336" s="14">
        <v>0</v>
      </c>
      <c r="Q3336" s="15">
        <v>0.4</v>
      </c>
      <c r="R3336" s="16" t="str">
        <f t="shared" si="273"/>
        <v>LUTRON</v>
      </c>
      <c r="S3336" s="17"/>
      <c r="T3336" s="10"/>
    </row>
    <row r="3337" spans="1:20" ht="27" customHeight="1" x14ac:dyDescent="0.25">
      <c r="A3337" s="8" t="s">
        <v>5672</v>
      </c>
      <c r="B3337" s="9"/>
      <c r="C3337" s="9"/>
      <c r="D3337" s="8"/>
      <c r="E3337" s="8"/>
      <c r="F3337" s="8"/>
      <c r="G3337" s="10"/>
      <c r="H3337" s="8" t="s">
        <v>6726</v>
      </c>
      <c r="I3337" s="10" t="s">
        <v>6727</v>
      </c>
      <c r="J3337" s="11" t="s">
        <v>26</v>
      </c>
      <c r="K3337" s="57">
        <v>285</v>
      </c>
      <c r="L3337" s="12">
        <f t="shared" si="275"/>
        <v>316.66666666666669</v>
      </c>
      <c r="M3337" s="8">
        <v>1</v>
      </c>
      <c r="N3337" s="8" t="s">
        <v>27</v>
      </c>
      <c r="O3337" s="13"/>
      <c r="P3337" s="14">
        <v>0</v>
      </c>
      <c r="Q3337" s="15">
        <v>0.1</v>
      </c>
      <c r="R3337" s="16" t="str">
        <f t="shared" si="273"/>
        <v>LUTRON</v>
      </c>
      <c r="S3337" s="17"/>
      <c r="T3337" s="10"/>
    </row>
    <row r="3338" spans="1:20" ht="27" customHeight="1" x14ac:dyDescent="0.25">
      <c r="A3338" s="8" t="s">
        <v>5672</v>
      </c>
      <c r="B3338" s="9"/>
      <c r="C3338" s="9"/>
      <c r="D3338" s="8"/>
      <c r="E3338" s="8"/>
      <c r="F3338" s="8"/>
      <c r="G3338" s="10"/>
      <c r="H3338" s="8" t="s">
        <v>6728</v>
      </c>
      <c r="I3338" s="10" t="s">
        <v>6729</v>
      </c>
      <c r="J3338" s="11" t="s">
        <v>26</v>
      </c>
      <c r="K3338" s="57">
        <v>143</v>
      </c>
      <c r="L3338" s="12">
        <f t="shared" si="275"/>
        <v>260</v>
      </c>
      <c r="M3338" s="8">
        <v>1</v>
      </c>
      <c r="N3338" s="8" t="s">
        <v>27</v>
      </c>
      <c r="O3338" s="13"/>
      <c r="P3338" s="14">
        <v>0.2</v>
      </c>
      <c r="Q3338" s="15">
        <v>0.34</v>
      </c>
      <c r="R3338" s="16" t="str">
        <f t="shared" si="273"/>
        <v>LUTRON</v>
      </c>
      <c r="S3338" s="17"/>
      <c r="T3338" s="10"/>
    </row>
    <row r="3339" spans="1:20" ht="27" customHeight="1" x14ac:dyDescent="0.25">
      <c r="A3339" s="8" t="s">
        <v>5672</v>
      </c>
      <c r="B3339" s="9"/>
      <c r="C3339" s="9"/>
      <c r="D3339" s="8"/>
      <c r="E3339" s="8"/>
      <c r="F3339" s="8"/>
      <c r="G3339" s="10"/>
      <c r="H3339" s="8" t="s">
        <v>6730</v>
      </c>
      <c r="I3339" s="10" t="s">
        <v>6731</v>
      </c>
      <c r="J3339" s="11" t="s">
        <v>26</v>
      </c>
      <c r="K3339" s="57"/>
      <c r="L3339" s="12">
        <f>ROUNDUP(K3339*(1+P3339)/(1-Q3339),0)</f>
        <v>0</v>
      </c>
      <c r="M3339" s="8">
        <v>1</v>
      </c>
      <c r="N3339" s="8" t="s">
        <v>27</v>
      </c>
      <c r="O3339" s="13"/>
      <c r="P3339" s="14">
        <v>0</v>
      </c>
      <c r="Q3339" s="15">
        <v>0.2</v>
      </c>
      <c r="R3339" s="16" t="str">
        <f t="shared" si="273"/>
        <v>LUTRON</v>
      </c>
      <c r="S3339" s="17"/>
      <c r="T3339" s="10"/>
    </row>
    <row r="3340" spans="1:20" ht="27" customHeight="1" x14ac:dyDescent="0.25">
      <c r="A3340" s="8" t="s">
        <v>5672</v>
      </c>
      <c r="B3340" s="9"/>
      <c r="C3340" s="9"/>
      <c r="D3340" s="8"/>
      <c r="E3340" s="8"/>
      <c r="F3340" s="8"/>
      <c r="G3340" s="10"/>
      <c r="H3340" s="8" t="s">
        <v>6732</v>
      </c>
      <c r="I3340" s="10" t="s">
        <v>6733</v>
      </c>
      <c r="J3340" s="11" t="s">
        <v>26</v>
      </c>
      <c r="K3340" s="57">
        <v>297</v>
      </c>
      <c r="L3340" s="12">
        <f>ROUNDUP(K3340*(1+P3340)/(1-Q3340),0)</f>
        <v>425</v>
      </c>
      <c r="M3340" s="8">
        <v>1</v>
      </c>
      <c r="N3340" s="8" t="s">
        <v>27</v>
      </c>
      <c r="O3340" s="13"/>
      <c r="P3340" s="14">
        <v>0.2</v>
      </c>
      <c r="Q3340" s="15">
        <v>0.16</v>
      </c>
      <c r="R3340" s="16" t="str">
        <f t="shared" si="273"/>
        <v>LUTRON</v>
      </c>
      <c r="S3340" s="17"/>
      <c r="T3340" s="10"/>
    </row>
    <row r="3341" spans="1:20" ht="27" customHeight="1" x14ac:dyDescent="0.25">
      <c r="A3341" s="8" t="s">
        <v>5672</v>
      </c>
      <c r="B3341" s="9"/>
      <c r="C3341" s="9"/>
      <c r="D3341" s="8"/>
      <c r="E3341" s="8"/>
      <c r="F3341" s="8"/>
      <c r="G3341" s="10"/>
      <c r="H3341" s="8" t="s">
        <v>6734</v>
      </c>
      <c r="I3341" s="10" t="s">
        <v>6735</v>
      </c>
      <c r="J3341" s="11" t="s">
        <v>26</v>
      </c>
      <c r="K3341" s="57">
        <v>50</v>
      </c>
      <c r="L3341" s="12">
        <f>ROUNDUP(K3341*(1+P3341)/(1-Q3341),0)</f>
        <v>100</v>
      </c>
      <c r="M3341" s="8">
        <v>1</v>
      </c>
      <c r="N3341" s="8" t="s">
        <v>27</v>
      </c>
      <c r="O3341" s="13"/>
      <c r="P3341" s="14">
        <v>0.2</v>
      </c>
      <c r="Q3341" s="15">
        <v>0.4</v>
      </c>
      <c r="R3341" s="16" t="str">
        <f t="shared" si="273"/>
        <v>LUTRON</v>
      </c>
      <c r="S3341" s="17"/>
      <c r="T3341" s="10"/>
    </row>
    <row r="3342" spans="1:20" ht="27" customHeight="1" x14ac:dyDescent="0.25">
      <c r="A3342" s="8" t="s">
        <v>5672</v>
      </c>
      <c r="B3342" s="9"/>
      <c r="C3342" s="9"/>
      <c r="D3342" s="8"/>
      <c r="E3342" s="8"/>
      <c r="F3342" s="8"/>
      <c r="G3342" s="10"/>
      <c r="H3342" s="8" t="s">
        <v>6736</v>
      </c>
      <c r="I3342" s="10" t="s">
        <v>6737</v>
      </c>
      <c r="J3342" s="11" t="s">
        <v>26</v>
      </c>
      <c r="K3342" s="57">
        <v>378</v>
      </c>
      <c r="L3342" s="12">
        <f>ROUNDUP(K3342*(1+P3342)/(1-Q3342),0)</f>
        <v>698</v>
      </c>
      <c r="M3342" s="8">
        <v>1</v>
      </c>
      <c r="N3342" s="8" t="s">
        <v>27</v>
      </c>
      <c r="O3342" s="13"/>
      <c r="P3342" s="14">
        <v>0.2</v>
      </c>
      <c r="Q3342" s="15">
        <v>0.35</v>
      </c>
      <c r="R3342" s="16" t="str">
        <f t="shared" si="273"/>
        <v>LUTRON</v>
      </c>
      <c r="S3342" s="17"/>
      <c r="T3342" s="10"/>
    </row>
    <row r="3343" spans="1:20" ht="27" customHeight="1" x14ac:dyDescent="0.25">
      <c r="A3343" s="8" t="s">
        <v>5672</v>
      </c>
      <c r="B3343" s="9"/>
      <c r="C3343" s="9"/>
      <c r="D3343" s="8"/>
      <c r="E3343" s="8"/>
      <c r="F3343" s="8"/>
      <c r="G3343" s="10"/>
      <c r="H3343" s="8" t="s">
        <v>6738</v>
      </c>
      <c r="I3343" s="10" t="s">
        <v>6739</v>
      </c>
      <c r="J3343" s="11" t="s">
        <v>26</v>
      </c>
      <c r="K3343" s="57">
        <v>69.5</v>
      </c>
      <c r="L3343" s="12">
        <f>IF(J3343="P",ROUNDUP(K3343/(1-Q3343),-2),K3343*(1+P3343)/(1-Q3343))</f>
        <v>139</v>
      </c>
      <c r="M3343" s="8">
        <v>1</v>
      </c>
      <c r="N3343" s="8" t="s">
        <v>27</v>
      </c>
      <c r="O3343" s="13">
        <f>F3343</f>
        <v>0</v>
      </c>
      <c r="P3343" s="14">
        <v>0.2</v>
      </c>
      <c r="Q3343" s="15">
        <v>0.4</v>
      </c>
      <c r="R3343" s="16" t="str">
        <f t="shared" si="273"/>
        <v>LUTRON</v>
      </c>
      <c r="S3343" s="17"/>
      <c r="T3343" s="10"/>
    </row>
    <row r="3344" spans="1:20" ht="27" customHeight="1" x14ac:dyDescent="0.25">
      <c r="A3344" s="8" t="s">
        <v>5672</v>
      </c>
      <c r="B3344" s="9" t="s">
        <v>5666</v>
      </c>
      <c r="C3344" s="9"/>
      <c r="D3344" s="8" t="s">
        <v>188</v>
      </c>
      <c r="E3344" s="8">
        <v>36</v>
      </c>
      <c r="F3344" s="8" t="s">
        <v>22</v>
      </c>
      <c r="G3344" s="10" t="s">
        <v>6003</v>
      </c>
      <c r="H3344" s="8" t="s">
        <v>6740</v>
      </c>
      <c r="I3344" s="10" t="s">
        <v>6741</v>
      </c>
      <c r="J3344" s="11" t="s">
        <v>26</v>
      </c>
      <c r="K3344" s="57">
        <v>140</v>
      </c>
      <c r="L3344" s="12">
        <f t="shared" ref="L3344:L3349" si="276">ROUNDUP(K3344*(1+P3344)/(1-Q3344),0)</f>
        <v>280</v>
      </c>
      <c r="M3344" s="8">
        <v>1</v>
      </c>
      <c r="N3344" s="8" t="s">
        <v>27</v>
      </c>
      <c r="O3344" s="13"/>
      <c r="P3344" s="14">
        <v>0.2</v>
      </c>
      <c r="Q3344" s="15">
        <v>0.4</v>
      </c>
      <c r="R3344" s="16" t="str">
        <f t="shared" si="273"/>
        <v>LUTRON</v>
      </c>
      <c r="S3344" s="17" t="e">
        <f>VLOOKUP(R3344,#REF!,2,0)</f>
        <v>#REF!</v>
      </c>
      <c r="T3344" s="10" t="str">
        <f>G3344</f>
        <v>TECLADO DE 5 BOTONES TIPO INSERT. CON MARCACIÓN LASER.</v>
      </c>
    </row>
    <row r="3345" spans="1:20" ht="27" customHeight="1" x14ac:dyDescent="0.25">
      <c r="A3345" s="8" t="s">
        <v>5672</v>
      </c>
      <c r="B3345" s="9"/>
      <c r="C3345" s="9"/>
      <c r="D3345" s="8"/>
      <c r="E3345" s="8"/>
      <c r="F3345" s="8"/>
      <c r="G3345" s="10"/>
      <c r="H3345" s="8" t="s">
        <v>6742</v>
      </c>
      <c r="I3345" s="10" t="s">
        <v>6743</v>
      </c>
      <c r="J3345" s="11" t="s">
        <v>26</v>
      </c>
      <c r="K3345" s="57">
        <v>67</v>
      </c>
      <c r="L3345" s="12">
        <f t="shared" si="276"/>
        <v>134</v>
      </c>
      <c r="M3345" s="8">
        <v>1</v>
      </c>
      <c r="N3345" s="8" t="s">
        <v>27</v>
      </c>
      <c r="O3345" s="13"/>
      <c r="P3345" s="14">
        <v>0.2</v>
      </c>
      <c r="Q3345" s="15">
        <v>0.4</v>
      </c>
      <c r="R3345" s="16" t="str">
        <f t="shared" si="273"/>
        <v>LUTRON</v>
      </c>
      <c r="S3345" s="17"/>
      <c r="T3345" s="10"/>
    </row>
    <row r="3346" spans="1:20" ht="27" customHeight="1" x14ac:dyDescent="0.25">
      <c r="A3346" s="8" t="s">
        <v>5672</v>
      </c>
      <c r="B3346" s="9"/>
      <c r="C3346" s="9"/>
      <c r="D3346" s="8"/>
      <c r="E3346" s="8"/>
      <c r="F3346" s="8"/>
      <c r="G3346" s="10"/>
      <c r="H3346" s="8" t="s">
        <v>6744</v>
      </c>
      <c r="I3346" s="10" t="s">
        <v>6745</v>
      </c>
      <c r="J3346" s="11" t="s">
        <v>26</v>
      </c>
      <c r="K3346" s="57">
        <v>28</v>
      </c>
      <c r="L3346" s="12">
        <f t="shared" si="276"/>
        <v>56</v>
      </c>
      <c r="M3346" s="8">
        <v>1</v>
      </c>
      <c r="N3346" s="8" t="s">
        <v>27</v>
      </c>
      <c r="O3346" s="13"/>
      <c r="P3346" s="14">
        <v>0.2</v>
      </c>
      <c r="Q3346" s="15">
        <v>0.4</v>
      </c>
      <c r="R3346" s="16" t="str">
        <f t="shared" si="273"/>
        <v>LUTRON</v>
      </c>
      <c r="S3346" s="17"/>
      <c r="T3346" s="10"/>
    </row>
    <row r="3347" spans="1:20" ht="27" customHeight="1" x14ac:dyDescent="0.25">
      <c r="A3347" s="8" t="s">
        <v>5672</v>
      </c>
      <c r="B3347" s="9"/>
      <c r="C3347" s="9"/>
      <c r="D3347" s="8"/>
      <c r="E3347" s="8"/>
      <c r="F3347" s="8"/>
      <c r="G3347" s="10"/>
      <c r="H3347" s="8" t="s">
        <v>6629</v>
      </c>
      <c r="I3347" s="10" t="s">
        <v>6630</v>
      </c>
      <c r="J3347" s="11" t="s">
        <v>26</v>
      </c>
      <c r="K3347" s="57">
        <v>40.799999999999997</v>
      </c>
      <c r="L3347" s="12">
        <f t="shared" si="276"/>
        <v>68</v>
      </c>
      <c r="M3347" s="8">
        <v>1</v>
      </c>
      <c r="N3347" s="8" t="s">
        <v>27</v>
      </c>
      <c r="O3347" s="13"/>
      <c r="P3347" s="14">
        <v>0.2</v>
      </c>
      <c r="Q3347" s="15">
        <v>0.27300000000000002</v>
      </c>
      <c r="R3347" s="16" t="str">
        <f t="shared" si="273"/>
        <v>LUTRON</v>
      </c>
      <c r="S3347" s="17"/>
      <c r="T3347" s="10"/>
    </row>
    <row r="3348" spans="1:20" ht="27" customHeight="1" x14ac:dyDescent="0.25">
      <c r="A3348" s="8" t="s">
        <v>5672</v>
      </c>
      <c r="B3348" s="9"/>
      <c r="C3348" s="9"/>
      <c r="D3348" s="8"/>
      <c r="E3348" s="8"/>
      <c r="F3348" s="8"/>
      <c r="G3348" s="10"/>
      <c r="H3348" s="8" t="s">
        <v>6746</v>
      </c>
      <c r="I3348" s="10" t="s">
        <v>6747</v>
      </c>
      <c r="J3348" s="11" t="s">
        <v>26</v>
      </c>
      <c r="K3348" s="57">
        <v>37.505999999999993</v>
      </c>
      <c r="L3348" s="12">
        <f t="shared" si="276"/>
        <v>62</v>
      </c>
      <c r="M3348" s="8">
        <v>1</v>
      </c>
      <c r="N3348" s="8" t="s">
        <v>27</v>
      </c>
      <c r="O3348" s="13"/>
      <c r="P3348" s="14">
        <v>0.2</v>
      </c>
      <c r="Q3348" s="15">
        <v>0.27300000000000002</v>
      </c>
      <c r="R3348" s="16" t="str">
        <f t="shared" si="273"/>
        <v>LUTRON</v>
      </c>
      <c r="S3348" s="17"/>
      <c r="T3348" s="10"/>
    </row>
    <row r="3349" spans="1:20" ht="27" customHeight="1" x14ac:dyDescent="0.25">
      <c r="A3349" s="8" t="s">
        <v>5672</v>
      </c>
      <c r="B3349" s="9" t="s">
        <v>5666</v>
      </c>
      <c r="C3349" s="9"/>
      <c r="D3349" s="8" t="s">
        <v>188</v>
      </c>
      <c r="E3349" s="8">
        <v>1</v>
      </c>
      <c r="F3349" s="8" t="s">
        <v>22</v>
      </c>
      <c r="G3349" s="10" t="s">
        <v>6220</v>
      </c>
      <c r="H3349" s="8" t="s">
        <v>6748</v>
      </c>
      <c r="I3349" s="10" t="s">
        <v>6222</v>
      </c>
      <c r="J3349" s="11" t="s">
        <v>26</v>
      </c>
      <c r="K3349" s="57">
        <v>18.5</v>
      </c>
      <c r="L3349" s="12">
        <f t="shared" si="276"/>
        <v>37</v>
      </c>
      <c r="M3349" s="8">
        <v>1</v>
      </c>
      <c r="N3349" s="8" t="s">
        <v>27</v>
      </c>
      <c r="O3349" s="13"/>
      <c r="P3349" s="14">
        <v>0.2</v>
      </c>
      <c r="Q3349" s="15">
        <v>0.4</v>
      </c>
      <c r="R3349" s="16" t="str">
        <f t="shared" si="273"/>
        <v>LUTRON</v>
      </c>
      <c r="S3349" s="17"/>
      <c r="T3349" s="10" t="str">
        <f>G3349</f>
        <v>ATENUADOR DELA LÍNEA DIVA DE LUTRON, DE FASE ADAPTATIVA PARA CARGAS INCANDESCENTES.</v>
      </c>
    </row>
    <row r="3350" spans="1:20" ht="27" customHeight="1" x14ac:dyDescent="0.25">
      <c r="A3350" s="8" t="s">
        <v>5672</v>
      </c>
      <c r="B3350" s="9" t="s">
        <v>5666</v>
      </c>
      <c r="C3350" s="9"/>
      <c r="D3350" s="8" t="s">
        <v>6178</v>
      </c>
      <c r="E3350" s="8">
        <v>3</v>
      </c>
      <c r="F3350" s="8" t="s">
        <v>22</v>
      </c>
      <c r="G3350" s="10" t="s">
        <v>6226</v>
      </c>
      <c r="H3350" s="8" t="s">
        <v>6516</v>
      </c>
      <c r="I3350" s="10" t="s">
        <v>6515</v>
      </c>
      <c r="J3350" s="11" t="s">
        <v>26</v>
      </c>
      <c r="K3350" s="57">
        <v>3.85</v>
      </c>
      <c r="L3350" s="12">
        <f>K3350*(1+P3350)/(1-Q3350)</f>
        <v>7.7</v>
      </c>
      <c r="M3350" s="8">
        <v>1</v>
      </c>
      <c r="N3350" s="8" t="s">
        <v>27</v>
      </c>
      <c r="O3350" s="13"/>
      <c r="P3350" s="14">
        <v>0.2</v>
      </c>
      <c r="Q3350" s="15">
        <v>0.4</v>
      </c>
      <c r="R3350" s="16" t="str">
        <f t="shared" si="273"/>
        <v>LUTRON</v>
      </c>
      <c r="S3350" s="17"/>
      <c r="T3350" s="10"/>
    </row>
    <row r="3351" spans="1:20" ht="27" customHeight="1" x14ac:dyDescent="0.25">
      <c r="A3351" s="8" t="s">
        <v>5672</v>
      </c>
      <c r="B3351" s="9"/>
      <c r="C3351" s="9"/>
      <c r="D3351" s="8" t="s">
        <v>45</v>
      </c>
      <c r="E3351" s="8"/>
      <c r="F3351" s="8" t="s">
        <v>22</v>
      </c>
      <c r="G3351" s="10" t="str">
        <f>B3351&amp;"-"&amp;D3351&amp;"-"&amp;E3351&amp;F3351</f>
        <v>-PROG_-BLANCO</v>
      </c>
      <c r="H3351" s="8" t="s">
        <v>6749</v>
      </c>
      <c r="I3351" s="10" t="s">
        <v>6560</v>
      </c>
      <c r="J3351" s="11" t="s">
        <v>26</v>
      </c>
      <c r="K3351" s="57">
        <v>10.85</v>
      </c>
      <c r="L3351" s="12">
        <f>K3351*(1+P3351)/(1-Q3351)</f>
        <v>21.7</v>
      </c>
      <c r="M3351" s="8">
        <v>1</v>
      </c>
      <c r="N3351" s="8" t="s">
        <v>27</v>
      </c>
      <c r="O3351" s="13"/>
      <c r="P3351" s="14">
        <v>0.2</v>
      </c>
      <c r="Q3351" s="15">
        <v>0.4</v>
      </c>
      <c r="R3351" s="16" t="str">
        <f t="shared" si="273"/>
        <v>LUTRON</v>
      </c>
      <c r="S3351" s="17"/>
      <c r="T3351" s="10" t="str">
        <f>G3351</f>
        <v>-PROG_-BLANCO</v>
      </c>
    </row>
    <row r="3352" spans="1:20" ht="27" customHeight="1" x14ac:dyDescent="0.25">
      <c r="A3352" s="8" t="s">
        <v>5672</v>
      </c>
      <c r="B3352" s="9"/>
      <c r="C3352" s="9"/>
      <c r="D3352" s="8"/>
      <c r="E3352" s="8"/>
      <c r="F3352" s="8"/>
      <c r="G3352" s="10"/>
      <c r="H3352" s="8" t="s">
        <v>6750</v>
      </c>
      <c r="I3352" s="10" t="s">
        <v>6751</v>
      </c>
      <c r="J3352" s="11" t="s">
        <v>26</v>
      </c>
      <c r="K3352" s="57">
        <v>57.5</v>
      </c>
      <c r="L3352" s="12">
        <f>K3352*(1+P3352)/(1-Q3352)</f>
        <v>115</v>
      </c>
      <c r="M3352" s="8">
        <v>1</v>
      </c>
      <c r="N3352" s="8" t="s">
        <v>27</v>
      </c>
      <c r="O3352" s="13"/>
      <c r="P3352" s="14">
        <v>0.2</v>
      </c>
      <c r="Q3352" s="15">
        <v>0.4</v>
      </c>
      <c r="R3352" s="16" t="str">
        <f t="shared" si="273"/>
        <v>LUTRON</v>
      </c>
      <c r="S3352" s="17"/>
      <c r="T3352" s="10"/>
    </row>
    <row r="3353" spans="1:20" ht="27" customHeight="1" x14ac:dyDescent="0.25">
      <c r="A3353" s="8" t="s">
        <v>5672</v>
      </c>
      <c r="B3353" s="9"/>
      <c r="C3353" s="9"/>
      <c r="D3353" s="8"/>
      <c r="E3353" s="8"/>
      <c r="F3353" s="8"/>
      <c r="G3353" s="10"/>
      <c r="H3353" s="8" t="s">
        <v>6631</v>
      </c>
      <c r="I3353" s="10" t="s">
        <v>6752</v>
      </c>
      <c r="J3353" s="11" t="s">
        <v>26</v>
      </c>
      <c r="K3353" s="57">
        <v>62.7</v>
      </c>
      <c r="L3353" s="12">
        <f t="shared" ref="L3353:L3363" si="277">IF(J3353="P",ROUNDUP(K3353/(1-Q3353),-2),K3353*(1+P3353)/(1-Q3353))</f>
        <v>109.04347826086956</v>
      </c>
      <c r="M3353" s="8">
        <v>1</v>
      </c>
      <c r="N3353" s="8" t="s">
        <v>27</v>
      </c>
      <c r="O3353" s="13"/>
      <c r="P3353" s="14">
        <v>0.2</v>
      </c>
      <c r="Q3353" s="15">
        <v>0.31</v>
      </c>
      <c r="R3353" s="16" t="str">
        <f t="shared" si="273"/>
        <v>LUTRON</v>
      </c>
      <c r="S3353" s="17"/>
      <c r="T3353" s="10"/>
    </row>
    <row r="3354" spans="1:20" ht="27" customHeight="1" x14ac:dyDescent="0.25">
      <c r="A3354" s="8" t="s">
        <v>5672</v>
      </c>
      <c r="B3354" s="9"/>
      <c r="C3354" s="9"/>
      <c r="D3354" s="8"/>
      <c r="E3354" s="8"/>
      <c r="F3354" s="8"/>
      <c r="G3354" s="10"/>
      <c r="H3354" s="8" t="s">
        <v>6753</v>
      </c>
      <c r="I3354" s="10" t="s">
        <v>6754</v>
      </c>
      <c r="J3354" s="11" t="s">
        <v>26</v>
      </c>
      <c r="K3354" s="57">
        <v>363.6</v>
      </c>
      <c r="L3354" s="12">
        <f t="shared" si="277"/>
        <v>606</v>
      </c>
      <c r="M3354" s="8">
        <v>1</v>
      </c>
      <c r="N3354" s="8" t="s">
        <v>27</v>
      </c>
      <c r="O3354" s="13"/>
      <c r="P3354" s="14">
        <v>0.2</v>
      </c>
      <c r="Q3354" s="15">
        <v>0.28000000000000003</v>
      </c>
      <c r="R3354" s="16" t="str">
        <f t="shared" si="273"/>
        <v>LUTRON</v>
      </c>
      <c r="S3354" s="17"/>
      <c r="T3354" s="10"/>
    </row>
    <row r="3355" spans="1:20" ht="27" customHeight="1" x14ac:dyDescent="0.25">
      <c r="A3355" s="8" t="s">
        <v>5672</v>
      </c>
      <c r="B3355" s="9"/>
      <c r="C3355" s="9"/>
      <c r="D3355" s="8"/>
      <c r="E3355" s="8"/>
      <c r="F3355" s="8"/>
      <c r="G3355" s="10"/>
      <c r="H3355" s="8" t="s">
        <v>6755</v>
      </c>
      <c r="I3355" s="10" t="s">
        <v>6756</v>
      </c>
      <c r="J3355" s="11" t="s">
        <v>26</v>
      </c>
      <c r="K3355" s="57">
        <v>41.25</v>
      </c>
      <c r="L3355" s="12">
        <f t="shared" si="277"/>
        <v>82.5</v>
      </c>
      <c r="M3355" s="8">
        <v>1</v>
      </c>
      <c r="N3355" s="8" t="s">
        <v>27</v>
      </c>
      <c r="O3355" s="13"/>
      <c r="P3355" s="14">
        <v>0.2</v>
      </c>
      <c r="Q3355" s="15">
        <v>0.4</v>
      </c>
      <c r="R3355" s="16" t="str">
        <f t="shared" si="273"/>
        <v>LUTRON</v>
      </c>
      <c r="S3355" s="17"/>
      <c r="T3355" s="10"/>
    </row>
    <row r="3356" spans="1:20" ht="27" customHeight="1" x14ac:dyDescent="0.25">
      <c r="A3356" s="8" t="s">
        <v>6757</v>
      </c>
      <c r="B3356" s="9" t="s">
        <v>6758</v>
      </c>
      <c r="C3356" s="9"/>
      <c r="D3356" s="8" t="s">
        <v>6759</v>
      </c>
      <c r="E3356" s="8">
        <v>1</v>
      </c>
      <c r="F3356" s="8" t="s">
        <v>22</v>
      </c>
      <c r="G3356" s="10" t="s">
        <v>6760</v>
      </c>
      <c r="H3356" s="8" t="s">
        <v>6761</v>
      </c>
      <c r="I3356" s="10" t="s">
        <v>6762</v>
      </c>
      <c r="J3356" s="11" t="s">
        <v>26</v>
      </c>
      <c r="K3356" s="18">
        <v>199</v>
      </c>
      <c r="L3356" s="12">
        <f t="shared" si="277"/>
        <v>341.14285714285717</v>
      </c>
      <c r="M3356" s="8">
        <v>1</v>
      </c>
      <c r="N3356" s="8" t="s">
        <v>27</v>
      </c>
      <c r="O3356" s="13" t="e">
        <f>#REF!</f>
        <v>#REF!</v>
      </c>
      <c r="P3356" s="14">
        <v>0.2</v>
      </c>
      <c r="Q3356" s="15">
        <v>0.3</v>
      </c>
      <c r="R3356" s="16" t="str">
        <f t="shared" si="273"/>
        <v>LUXUL</v>
      </c>
      <c r="S3356" s="17"/>
      <c r="T3356" s="10" t="str">
        <f t="shared" ref="T3356:T3367" si="278">G3356</f>
        <v>ACCESS POINT PARA EXTERIORES, IP66, BANDA DUAL, ALCANCE ESTIMADO DE 90 METROS.</v>
      </c>
    </row>
    <row r="3357" spans="1:20" ht="27" customHeight="1" x14ac:dyDescent="0.25">
      <c r="A3357" s="8" t="s">
        <v>6757</v>
      </c>
      <c r="B3357" s="9" t="s">
        <v>6758</v>
      </c>
      <c r="C3357" s="9"/>
      <c r="D3357" s="8" t="s">
        <v>208</v>
      </c>
      <c r="E3357" s="8">
        <v>2</v>
      </c>
      <c r="F3357" s="8" t="s">
        <v>22</v>
      </c>
      <c r="G3357" s="10" t="s">
        <v>6763</v>
      </c>
      <c r="H3357" s="8" t="s">
        <v>6764</v>
      </c>
      <c r="I3357" s="10" t="s">
        <v>6765</v>
      </c>
      <c r="J3357" s="11" t="s">
        <v>26</v>
      </c>
      <c r="K3357" s="18">
        <v>225</v>
      </c>
      <c r="L3357" s="12">
        <f t="shared" si="277"/>
        <v>397.05882352941182</v>
      </c>
      <c r="M3357" s="8">
        <v>1</v>
      </c>
      <c r="N3357" s="8" t="s">
        <v>27</v>
      </c>
      <c r="O3357" s="13" t="e">
        <f>#REF!</f>
        <v>#REF!</v>
      </c>
      <c r="P3357" s="14">
        <v>0.2</v>
      </c>
      <c r="Q3357" s="15">
        <v>0.32</v>
      </c>
      <c r="R3357" s="16" t="str">
        <f t="shared" si="273"/>
        <v>LUXUL</v>
      </c>
      <c r="S3357" s="17"/>
      <c r="T3357" s="10" t="str">
        <f t="shared" si="278"/>
        <v>EQUIPO PARA GESTIÓN DE PUNTOS DE ACCESO MEDIANTE ROAMING.</v>
      </c>
    </row>
    <row r="3358" spans="1:20" ht="27" customHeight="1" x14ac:dyDescent="0.25">
      <c r="A3358" s="8" t="s">
        <v>6757</v>
      </c>
      <c r="B3358" s="9" t="s">
        <v>6758</v>
      </c>
      <c r="C3358" s="9"/>
      <c r="D3358" s="8" t="s">
        <v>208</v>
      </c>
      <c r="E3358" s="8">
        <v>3</v>
      </c>
      <c r="F3358" s="8" t="s">
        <v>22</v>
      </c>
      <c r="G3358" s="10" t="s">
        <v>6766</v>
      </c>
      <c r="H3358" s="8" t="s">
        <v>6767</v>
      </c>
      <c r="I3358" s="10" t="s">
        <v>6768</v>
      </c>
      <c r="J3358" s="11" t="s">
        <v>26</v>
      </c>
      <c r="K3358" s="18">
        <v>179</v>
      </c>
      <c r="L3358" s="12">
        <f t="shared" si="277"/>
        <v>315.88235294117646</v>
      </c>
      <c r="M3358" s="8">
        <v>1</v>
      </c>
      <c r="N3358" s="8" t="s">
        <v>27</v>
      </c>
      <c r="O3358" s="13" t="e">
        <f>#REF!</f>
        <v>#REF!</v>
      </c>
      <c r="P3358" s="14">
        <v>0.2</v>
      </c>
      <c r="Q3358" s="15">
        <v>0.32</v>
      </c>
      <c r="R3358" s="16" t="str">
        <f t="shared" si="273"/>
        <v>LUXUL</v>
      </c>
      <c r="S3358" s="17"/>
      <c r="T3358" s="10" t="str">
        <f t="shared" si="278"/>
        <v>ROUTER ALAMBRADO  GIGABIT, 1 PUERTO LAN Y 3 PUERTOS LAN/WAN.</v>
      </c>
    </row>
    <row r="3359" spans="1:20" ht="27" customHeight="1" x14ac:dyDescent="0.25">
      <c r="A3359" s="8" t="s">
        <v>6757</v>
      </c>
      <c r="B3359" s="9" t="s">
        <v>6758</v>
      </c>
      <c r="C3359" s="9"/>
      <c r="D3359" s="8" t="s">
        <v>208</v>
      </c>
      <c r="E3359" s="8">
        <v>4</v>
      </c>
      <c r="F3359" s="8" t="s">
        <v>22</v>
      </c>
      <c r="G3359" s="10" t="s">
        <v>6769</v>
      </c>
      <c r="H3359" s="8" t="s">
        <v>6770</v>
      </c>
      <c r="I3359" s="10" t="s">
        <v>6769</v>
      </c>
      <c r="J3359" s="11" t="s">
        <v>26</v>
      </c>
      <c r="K3359" s="18">
        <v>225</v>
      </c>
      <c r="L3359" s="12">
        <f t="shared" si="277"/>
        <v>397.05882352941182</v>
      </c>
      <c r="M3359" s="8">
        <v>1</v>
      </c>
      <c r="N3359" s="8" t="s">
        <v>27</v>
      </c>
      <c r="O3359" s="13" t="e">
        <f>#REF!</f>
        <v>#REF!</v>
      </c>
      <c r="P3359" s="14">
        <v>0.2</v>
      </c>
      <c r="Q3359" s="15">
        <v>0.32</v>
      </c>
      <c r="R3359" s="16" t="str">
        <f t="shared" si="273"/>
        <v>LUXUL</v>
      </c>
      <c r="S3359" s="17"/>
      <c r="T3359" s="10" t="str">
        <f t="shared" si="278"/>
        <v>SWITCH GESTIONABLE GIGABIT DE 10 PUERTOS, 8 PUERTOS PoE. MARCA: LUXUL.</v>
      </c>
    </row>
    <row r="3360" spans="1:20" ht="27" customHeight="1" x14ac:dyDescent="0.25">
      <c r="A3360" s="8" t="s">
        <v>6757</v>
      </c>
      <c r="B3360" s="9" t="s">
        <v>6758</v>
      </c>
      <c r="C3360" s="9"/>
      <c r="D3360" s="8" t="s">
        <v>208</v>
      </c>
      <c r="E3360" s="8">
        <v>5</v>
      </c>
      <c r="F3360" s="8" t="s">
        <v>22</v>
      </c>
      <c r="G3360" s="10" t="s">
        <v>6771</v>
      </c>
      <c r="H3360" s="8" t="s">
        <v>6772</v>
      </c>
      <c r="I3360" s="10" t="s">
        <v>6771</v>
      </c>
      <c r="J3360" s="11" t="s">
        <v>26</v>
      </c>
      <c r="K3360" s="18">
        <v>74</v>
      </c>
      <c r="L3360" s="12">
        <f t="shared" si="277"/>
        <v>130.58823529411765</v>
      </c>
      <c r="M3360" s="8">
        <v>1</v>
      </c>
      <c r="N3360" s="8" t="s">
        <v>27</v>
      </c>
      <c r="O3360" s="13" t="e">
        <f>#REF!</f>
        <v>#REF!</v>
      </c>
      <c r="P3360" s="14">
        <v>0.2</v>
      </c>
      <c r="Q3360" s="15">
        <v>0.32</v>
      </c>
      <c r="R3360" s="16" t="str">
        <f t="shared" si="273"/>
        <v>LUXUL</v>
      </c>
      <c r="S3360" s="17"/>
      <c r="T3360" s="10" t="str">
        <f t="shared" si="278"/>
        <v>SWITCH DE 8 PUERTOS CON ALIMENTACIÓN PoE.</v>
      </c>
    </row>
    <row r="3361" spans="1:20" ht="27" customHeight="1" x14ac:dyDescent="0.25">
      <c r="A3361" s="8" t="s">
        <v>6757</v>
      </c>
      <c r="B3361" s="9" t="s">
        <v>6758</v>
      </c>
      <c r="C3361" s="9"/>
      <c r="D3361" s="8" t="s">
        <v>208</v>
      </c>
      <c r="E3361" s="8">
        <v>6</v>
      </c>
      <c r="F3361" s="8" t="s">
        <v>22</v>
      </c>
      <c r="G3361" s="10" t="s">
        <v>6773</v>
      </c>
      <c r="H3361" s="8" t="s">
        <v>6774</v>
      </c>
      <c r="I3361" s="10" t="s">
        <v>6775</v>
      </c>
      <c r="J3361" s="11" t="s">
        <v>26</v>
      </c>
      <c r="K3361" s="18">
        <v>338</v>
      </c>
      <c r="L3361" s="12">
        <f t="shared" si="277"/>
        <v>596.47058823529414</v>
      </c>
      <c r="M3361" s="8">
        <v>1</v>
      </c>
      <c r="N3361" s="8" t="s">
        <v>27</v>
      </c>
      <c r="O3361" s="13" t="e">
        <f>#REF!</f>
        <v>#REF!</v>
      </c>
      <c r="P3361" s="14">
        <v>0.2</v>
      </c>
      <c r="Q3361" s="15">
        <v>0.32</v>
      </c>
      <c r="R3361" s="16" t="str">
        <f t="shared" si="273"/>
        <v>LUXUL</v>
      </c>
      <c r="S3361" s="17"/>
      <c r="T3361" s="10" t="str">
        <f t="shared" si="278"/>
        <v>SWITCH GESTIONABLE GIGABIT DE 18 PUERTOS, OPTIMIZADO PARA VIDEO POR IP.</v>
      </c>
    </row>
    <row r="3362" spans="1:20" ht="27" customHeight="1" x14ac:dyDescent="0.25">
      <c r="A3362" s="8" t="s">
        <v>6757</v>
      </c>
      <c r="B3362" s="9" t="s">
        <v>6758</v>
      </c>
      <c r="C3362" s="9"/>
      <c r="D3362" s="8" t="s">
        <v>208</v>
      </c>
      <c r="E3362" s="8">
        <v>7</v>
      </c>
      <c r="F3362" s="8" t="s">
        <v>22</v>
      </c>
      <c r="G3362" s="10" t="s">
        <v>6776</v>
      </c>
      <c r="H3362" s="8" t="s">
        <v>6777</v>
      </c>
      <c r="I3362" s="10" t="s">
        <v>6776</v>
      </c>
      <c r="J3362" s="11" t="s">
        <v>26</v>
      </c>
      <c r="K3362" s="18">
        <v>71</v>
      </c>
      <c r="L3362" s="12">
        <f t="shared" si="277"/>
        <v>125.29411764705884</v>
      </c>
      <c r="M3362" s="8">
        <v>1</v>
      </c>
      <c r="N3362" s="8" t="s">
        <v>27</v>
      </c>
      <c r="O3362" s="13" t="e">
        <f>#REF!</f>
        <v>#REF!</v>
      </c>
      <c r="P3362" s="14">
        <v>0.2</v>
      </c>
      <c r="Q3362" s="15">
        <v>0.32</v>
      </c>
      <c r="R3362" s="16" t="str">
        <f t="shared" si="273"/>
        <v>LUXUL</v>
      </c>
      <c r="S3362" s="17"/>
      <c r="T3362" s="10" t="str">
        <f t="shared" si="278"/>
        <v>SWITCH GESTIONABLE GIGABIT DE 4 PUERTOS, OPTIMIZADO PARA VIDEO POR IP.</v>
      </c>
    </row>
    <row r="3363" spans="1:20" ht="27" customHeight="1" x14ac:dyDescent="0.25">
      <c r="A3363" s="8" t="s">
        <v>6757</v>
      </c>
      <c r="B3363" s="9" t="s">
        <v>6758</v>
      </c>
      <c r="C3363" s="9"/>
      <c r="D3363" s="8" t="s">
        <v>208</v>
      </c>
      <c r="E3363" s="8">
        <v>8</v>
      </c>
      <c r="F3363" s="8" t="s">
        <v>22</v>
      </c>
      <c r="G3363" s="10" t="s">
        <v>6778</v>
      </c>
      <c r="H3363" s="8" t="s">
        <v>6779</v>
      </c>
      <c r="I3363" s="10" t="s">
        <v>6778</v>
      </c>
      <c r="J3363" s="11" t="s">
        <v>26</v>
      </c>
      <c r="K3363" s="18">
        <v>199</v>
      </c>
      <c r="L3363" s="12">
        <f t="shared" si="277"/>
        <v>351.1764705882353</v>
      </c>
      <c r="M3363" s="8">
        <v>1</v>
      </c>
      <c r="N3363" s="8" t="s">
        <v>27</v>
      </c>
      <c r="O3363" s="13" t="e">
        <f>#REF!</f>
        <v>#REF!</v>
      </c>
      <c r="P3363" s="14">
        <v>0.2</v>
      </c>
      <c r="Q3363" s="15">
        <v>0.32</v>
      </c>
      <c r="R3363" s="16" t="str">
        <f t="shared" si="273"/>
        <v>LUXUL</v>
      </c>
      <c r="S3363" s="17"/>
      <c r="T3363" s="10" t="str">
        <f t="shared" si="278"/>
        <v>ACCESS POINT DE ALTA POTENCIA 300N.</v>
      </c>
    </row>
    <row r="3364" spans="1:20" ht="27" customHeight="1" x14ac:dyDescent="0.25">
      <c r="A3364" s="8" t="s">
        <v>6757</v>
      </c>
      <c r="B3364" s="9"/>
      <c r="C3364" s="9"/>
      <c r="D3364" s="8" t="s">
        <v>45</v>
      </c>
      <c r="E3364" s="8"/>
      <c r="F3364" s="8" t="s">
        <v>22</v>
      </c>
      <c r="G3364" s="10" t="s">
        <v>3555</v>
      </c>
      <c r="H3364" s="8" t="s">
        <v>6780</v>
      </c>
      <c r="I3364" s="10" t="s">
        <v>6781</v>
      </c>
      <c r="J3364" s="11" t="s">
        <v>26</v>
      </c>
      <c r="K3364" s="18">
        <v>780</v>
      </c>
      <c r="L3364" s="12">
        <f>ROUNDUP(K3364*(1+P3364)/(1-Q3364),0)</f>
        <v>1338</v>
      </c>
      <c r="M3364" s="8">
        <v>1</v>
      </c>
      <c r="N3364" s="8" t="s">
        <v>27</v>
      </c>
      <c r="O3364" s="13"/>
      <c r="P3364" s="14">
        <v>0.2</v>
      </c>
      <c r="Q3364" s="15">
        <v>0.3</v>
      </c>
      <c r="R3364" s="16" t="str">
        <f t="shared" si="273"/>
        <v>LUXUL</v>
      </c>
      <c r="S3364" s="17"/>
      <c r="T3364" s="10" t="str">
        <f t="shared" si="278"/>
        <v>SWITCH DE 24 PUERTOS RJ-45 10/100/1000 CON DETECCIÓN AUTOMÁTICA.</v>
      </c>
    </row>
    <row r="3365" spans="1:20" ht="27" customHeight="1" x14ac:dyDescent="0.25">
      <c r="A3365" s="8" t="s">
        <v>6782</v>
      </c>
      <c r="B3365" s="9" t="s">
        <v>6782</v>
      </c>
      <c r="C3365" s="9"/>
      <c r="D3365" s="8" t="s">
        <v>6783</v>
      </c>
      <c r="E3365" s="8">
        <v>1</v>
      </c>
      <c r="F3365" s="8" t="s">
        <v>22</v>
      </c>
      <c r="G3365" s="10" t="s">
        <v>6784</v>
      </c>
      <c r="H3365" s="8" t="s">
        <v>6785</v>
      </c>
      <c r="I3365" s="10" t="s">
        <v>6786</v>
      </c>
      <c r="J3365" s="11" t="s">
        <v>33</v>
      </c>
      <c r="K3365" s="18">
        <v>1169900</v>
      </c>
      <c r="L3365" s="12">
        <f t="shared" ref="L3365:L3382" si="279">IF(J3365="P",ROUNDUP(K3365/(1-Q3365),-2),K3365*(1+P3365)/(1-Q3365))</f>
        <v>1376400</v>
      </c>
      <c r="M3365" s="8">
        <v>1</v>
      </c>
      <c r="N3365" s="8" t="s">
        <v>27</v>
      </c>
      <c r="O3365" s="13"/>
      <c r="P3365" s="14">
        <v>0.2</v>
      </c>
      <c r="Q3365" s="15">
        <v>0.15</v>
      </c>
      <c r="R3365" s="16" t="str">
        <f t="shared" si="273"/>
        <v>MAC</v>
      </c>
      <c r="S3365" s="17"/>
      <c r="T3365" s="10" t="str">
        <f t="shared" si="278"/>
        <v>PANTALLA RETINA DE 9.7", CHIP A7 CON PROCESADOR M7.</v>
      </c>
    </row>
    <row r="3366" spans="1:20" ht="27" customHeight="1" x14ac:dyDescent="0.25">
      <c r="A3366" s="8" t="s">
        <v>6787</v>
      </c>
      <c r="B3366" s="9"/>
      <c r="C3366" s="9"/>
      <c r="D3366" s="8"/>
      <c r="E3366" s="8"/>
      <c r="F3366" s="8" t="s">
        <v>22</v>
      </c>
      <c r="G3366" s="10" t="s">
        <v>6788</v>
      </c>
      <c r="H3366" s="8" t="s">
        <v>6789</v>
      </c>
      <c r="I3366" s="10" t="s">
        <v>6788</v>
      </c>
      <c r="J3366" s="11" t="s">
        <v>697</v>
      </c>
      <c r="K3366" s="18">
        <v>107000</v>
      </c>
      <c r="L3366" s="12">
        <f t="shared" si="279"/>
        <v>178400</v>
      </c>
      <c r="M3366" s="8">
        <v>1</v>
      </c>
      <c r="N3366" s="8" t="s">
        <v>27</v>
      </c>
      <c r="O3366" s="13"/>
      <c r="P3366" s="14">
        <v>0</v>
      </c>
      <c r="Q3366" s="15">
        <v>0.4</v>
      </c>
      <c r="R3366" s="16" t="str">
        <f t="shared" si="273"/>
        <v>MADECOR</v>
      </c>
      <c r="S3366" s="17"/>
      <c r="T3366" s="10" t="str">
        <f t="shared" si="278"/>
        <v>LAMINA DE MDF CON ENCHAPE BLANCO, 15mm DE ESPESOR, DE 2m X 2.44 x 1.83m.</v>
      </c>
    </row>
    <row r="3367" spans="1:20" ht="27" customHeight="1" x14ac:dyDescent="0.25">
      <c r="A3367" s="8" t="s">
        <v>6790</v>
      </c>
      <c r="B3367" s="9" t="s">
        <v>6791</v>
      </c>
      <c r="C3367" s="9"/>
      <c r="D3367" s="8" t="s">
        <v>6791</v>
      </c>
      <c r="E3367" s="8"/>
      <c r="F3367" s="8" t="s">
        <v>22</v>
      </c>
      <c r="G3367" s="10" t="s">
        <v>6792</v>
      </c>
      <c r="H3367" s="8" t="s">
        <v>6793</v>
      </c>
      <c r="I3367" s="10" t="s">
        <v>6794</v>
      </c>
      <c r="J3367" s="11" t="s">
        <v>33</v>
      </c>
      <c r="K3367" s="18">
        <v>35900</v>
      </c>
      <c r="L3367" s="12">
        <f t="shared" si="279"/>
        <v>59900</v>
      </c>
      <c r="M3367" s="8">
        <v>1</v>
      </c>
      <c r="N3367" s="8" t="s">
        <v>27</v>
      </c>
      <c r="O3367" s="13"/>
      <c r="P3367" s="14">
        <v>0.2</v>
      </c>
      <c r="Q3367" s="15">
        <v>0.4</v>
      </c>
      <c r="R3367" s="16" t="str">
        <f t="shared" si="273"/>
        <v>MAGOM</v>
      </c>
      <c r="S3367" s="17"/>
      <c r="T3367" s="10" t="str">
        <f t="shared" si="278"/>
        <v>REGULACIÓN DE BAJO VOLTAJE, PROTECCIÓN DE RED ADSL.</v>
      </c>
    </row>
    <row r="3368" spans="1:20" ht="27" customHeight="1" x14ac:dyDescent="0.25">
      <c r="A3368" s="8" t="s">
        <v>6790</v>
      </c>
      <c r="B3368" s="9"/>
      <c r="C3368" s="9"/>
      <c r="D3368" s="8"/>
      <c r="E3368" s="8"/>
      <c r="F3368" s="8"/>
      <c r="G3368" s="10"/>
      <c r="H3368" s="8" t="s">
        <v>6795</v>
      </c>
      <c r="I3368" s="10" t="s">
        <v>6796</v>
      </c>
      <c r="J3368" s="11" t="s">
        <v>33</v>
      </c>
      <c r="K3368" s="18">
        <v>163000</v>
      </c>
      <c r="L3368" s="12">
        <f t="shared" si="279"/>
        <v>232900</v>
      </c>
      <c r="M3368" s="8">
        <v>1</v>
      </c>
      <c r="N3368" s="8" t="s">
        <v>27</v>
      </c>
      <c r="O3368" s="13"/>
      <c r="P3368" s="14">
        <v>0</v>
      </c>
      <c r="Q3368" s="15">
        <v>0.3</v>
      </c>
      <c r="R3368" s="16" t="str">
        <f t="shared" si="273"/>
        <v>MAGOM</v>
      </c>
      <c r="S3368" s="17"/>
      <c r="T3368" s="10"/>
    </row>
    <row r="3369" spans="1:20" ht="27" customHeight="1" x14ac:dyDescent="0.25">
      <c r="A3369" s="8" t="s">
        <v>6797</v>
      </c>
      <c r="B3369" s="9"/>
      <c r="C3369" s="9"/>
      <c r="D3369" s="8" t="s">
        <v>45</v>
      </c>
      <c r="E3369" s="8"/>
      <c r="F3369" s="8" t="s">
        <v>22</v>
      </c>
      <c r="G3369" s="10" t="s">
        <v>6798</v>
      </c>
      <c r="H3369" s="8" t="s">
        <v>6799</v>
      </c>
      <c r="I3369" s="10" t="s">
        <v>6798</v>
      </c>
      <c r="J3369" s="11" t="s">
        <v>33</v>
      </c>
      <c r="K3369" s="18">
        <v>538571</v>
      </c>
      <c r="L3369" s="12">
        <f t="shared" si="279"/>
        <v>598500</v>
      </c>
      <c r="M3369" s="8">
        <v>1</v>
      </c>
      <c r="N3369" s="8" t="s">
        <v>110</v>
      </c>
      <c r="O3369" s="13"/>
      <c r="P3369" s="14">
        <v>0</v>
      </c>
      <c r="Q3369" s="15">
        <v>0.1</v>
      </c>
      <c r="R3369" s="16" t="str">
        <f t="shared" si="273"/>
        <v>MAKITA</v>
      </c>
      <c r="S3369" s="17"/>
      <c r="T3369" s="10" t="str">
        <f t="shared" ref="T3369:T3381" si="280">G3369</f>
        <v>TALADRO ROTOMARTILLO</v>
      </c>
    </row>
    <row r="3370" spans="1:20" ht="27" customHeight="1" x14ac:dyDescent="0.25">
      <c r="A3370" s="8" t="s">
        <v>6797</v>
      </c>
      <c r="B3370" s="9"/>
      <c r="C3370" s="9"/>
      <c r="D3370" s="8" t="s">
        <v>45</v>
      </c>
      <c r="E3370" s="8"/>
      <c r="F3370" s="8" t="s">
        <v>22</v>
      </c>
      <c r="G3370" s="10" t="s">
        <v>6800</v>
      </c>
      <c r="H3370" s="8" t="s">
        <v>6801</v>
      </c>
      <c r="I3370" s="10" t="s">
        <v>6800</v>
      </c>
      <c r="J3370" s="11" t="s">
        <v>33</v>
      </c>
      <c r="K3370" s="18">
        <v>605042</v>
      </c>
      <c r="L3370" s="12">
        <f t="shared" si="279"/>
        <v>672300</v>
      </c>
      <c r="M3370" s="8">
        <v>1</v>
      </c>
      <c r="N3370" s="8" t="s">
        <v>110</v>
      </c>
      <c r="O3370" s="13"/>
      <c r="P3370" s="14">
        <v>0</v>
      </c>
      <c r="Q3370" s="15">
        <v>0.1</v>
      </c>
      <c r="R3370" s="16" t="str">
        <f t="shared" si="273"/>
        <v>MAKITA</v>
      </c>
      <c r="S3370" s="17"/>
      <c r="T3370" s="10" t="str">
        <f t="shared" si="280"/>
        <v>PULIDORA DE 9 PULGADAS MAKITA</v>
      </c>
    </row>
    <row r="3371" spans="1:20" ht="27" customHeight="1" x14ac:dyDescent="0.25">
      <c r="A3371" s="8" t="s">
        <v>6802</v>
      </c>
      <c r="B3371" s="9" t="s">
        <v>6803</v>
      </c>
      <c r="C3371" s="9"/>
      <c r="D3371" s="8" t="s">
        <v>705</v>
      </c>
      <c r="E3371" s="8">
        <v>1</v>
      </c>
      <c r="F3371" s="8" t="s">
        <v>22</v>
      </c>
      <c r="G3371" s="10" t="s">
        <v>6804</v>
      </c>
      <c r="H3371" s="8" t="s">
        <v>6805</v>
      </c>
      <c r="I3371" s="10" t="s">
        <v>6806</v>
      </c>
      <c r="J3371" s="11" t="s">
        <v>26</v>
      </c>
      <c r="K3371" s="18">
        <v>435</v>
      </c>
      <c r="L3371" s="12">
        <f t="shared" si="279"/>
        <v>745.71428571428578</v>
      </c>
      <c r="M3371" s="8">
        <v>1</v>
      </c>
      <c r="N3371" s="8" t="s">
        <v>27</v>
      </c>
      <c r="O3371" s="13"/>
      <c r="P3371" s="14">
        <v>0.2</v>
      </c>
      <c r="Q3371" s="15">
        <v>0.3</v>
      </c>
      <c r="R3371" s="16" t="str">
        <f t="shared" si="273"/>
        <v>MARANTZ</v>
      </c>
      <c r="S3371" s="17"/>
      <c r="T3371" s="10" t="str">
        <f t="shared" si="280"/>
        <v>PROCESADOR DE AUDIO Y VIDEO 7.1. WIFI, BLUETOOTH, SINTONIZADOR AM/FM.</v>
      </c>
    </row>
    <row r="3372" spans="1:20" ht="27" customHeight="1" x14ac:dyDescent="0.25">
      <c r="A3372" s="8" t="s">
        <v>6802</v>
      </c>
      <c r="B3372" s="9" t="s">
        <v>6803</v>
      </c>
      <c r="C3372" s="9"/>
      <c r="D3372" s="8" t="s">
        <v>705</v>
      </c>
      <c r="E3372" s="8">
        <v>2</v>
      </c>
      <c r="F3372" s="8" t="s">
        <v>22</v>
      </c>
      <c r="G3372" s="10" t="s">
        <v>6804</v>
      </c>
      <c r="H3372" s="8" t="s">
        <v>6807</v>
      </c>
      <c r="I3372" s="10" t="s">
        <v>6808</v>
      </c>
      <c r="J3372" s="11" t="s">
        <v>26</v>
      </c>
      <c r="K3372" s="18">
        <v>1320</v>
      </c>
      <c r="L3372" s="12">
        <f t="shared" si="279"/>
        <v>2262.8571428571431</v>
      </c>
      <c r="M3372" s="8">
        <v>1</v>
      </c>
      <c r="N3372" s="8" t="s">
        <v>27</v>
      </c>
      <c r="O3372" s="13"/>
      <c r="P3372" s="14">
        <v>0.2</v>
      </c>
      <c r="Q3372" s="15">
        <v>0.3</v>
      </c>
      <c r="R3372" s="16" t="str">
        <f t="shared" si="273"/>
        <v>MARANTZ</v>
      </c>
      <c r="S3372" s="17"/>
      <c r="T3372" s="10" t="str">
        <f t="shared" si="280"/>
        <v>PROCESADOR DE AUDIO Y VIDEO 7.1. WIFI, BLUETOOTH, SINTONIZADOR AM/FM.</v>
      </c>
    </row>
    <row r="3373" spans="1:20" ht="27" customHeight="1" x14ac:dyDescent="0.25">
      <c r="A3373" s="8" t="s">
        <v>6802</v>
      </c>
      <c r="B3373" s="9" t="s">
        <v>6803</v>
      </c>
      <c r="C3373" s="9"/>
      <c r="D3373" s="8" t="s">
        <v>705</v>
      </c>
      <c r="E3373" s="8">
        <v>3</v>
      </c>
      <c r="F3373" s="8" t="s">
        <v>22</v>
      </c>
      <c r="G3373" s="10" t="s">
        <v>6809</v>
      </c>
      <c r="H3373" s="8" t="s">
        <v>6810</v>
      </c>
      <c r="I3373" s="10" t="s">
        <v>6811</v>
      </c>
      <c r="J3373" s="11" t="s">
        <v>26</v>
      </c>
      <c r="K3373" s="18">
        <v>1200</v>
      </c>
      <c r="L3373" s="12">
        <f t="shared" si="279"/>
        <v>1972.6027397260275</v>
      </c>
      <c r="M3373" s="8">
        <v>1</v>
      </c>
      <c r="N3373" s="8" t="s">
        <v>27</v>
      </c>
      <c r="O3373" s="13"/>
      <c r="P3373" s="14">
        <v>0.2</v>
      </c>
      <c r="Q3373" s="15">
        <v>0.27</v>
      </c>
      <c r="R3373" s="16" t="str">
        <f t="shared" si="273"/>
        <v>MARANTZ</v>
      </c>
      <c r="S3373" s="17"/>
      <c r="T3373" s="10" t="str">
        <f t="shared" si="280"/>
        <v>PROCESADOR DE AUDIO Y VIDEO 9.2. WIFI, BLUETOOTH, SINTONIZADOR AM/FM.</v>
      </c>
    </row>
    <row r="3374" spans="1:20" ht="27" customHeight="1" x14ac:dyDescent="0.25">
      <c r="A3374" s="8" t="s">
        <v>6802</v>
      </c>
      <c r="B3374" s="9" t="s">
        <v>6803</v>
      </c>
      <c r="C3374" s="9"/>
      <c r="D3374" s="8" t="s">
        <v>705</v>
      </c>
      <c r="E3374" s="8">
        <v>4</v>
      </c>
      <c r="F3374" s="8" t="s">
        <v>22</v>
      </c>
      <c r="G3374" s="10" t="s">
        <v>6812</v>
      </c>
      <c r="H3374" s="8" t="s">
        <v>6813</v>
      </c>
      <c r="I3374" s="10" t="s">
        <v>6814</v>
      </c>
      <c r="J3374" s="11" t="s">
        <v>26</v>
      </c>
      <c r="K3374" s="18">
        <v>280</v>
      </c>
      <c r="L3374" s="12">
        <f t="shared" si="279"/>
        <v>448</v>
      </c>
      <c r="M3374" s="8">
        <v>1</v>
      </c>
      <c r="N3374" s="8" t="s">
        <v>27</v>
      </c>
      <c r="O3374" s="13"/>
      <c r="P3374" s="14">
        <v>0.2</v>
      </c>
      <c r="Q3374" s="15">
        <v>0.25</v>
      </c>
      <c r="R3374" s="16" t="str">
        <f t="shared" si="273"/>
        <v>MARANTZ</v>
      </c>
      <c r="S3374" s="17"/>
      <c r="T3374" s="10" t="str">
        <f t="shared" si="280"/>
        <v>PROCESADOR DE AUDIO Y VIDEO 3D READY, SALIDA DE 50W POR CANAL, AIR PLAY.</v>
      </c>
    </row>
    <row r="3375" spans="1:20" ht="27" customHeight="1" x14ac:dyDescent="0.25">
      <c r="A3375" s="8" t="s">
        <v>6802</v>
      </c>
      <c r="B3375" s="9" t="s">
        <v>6803</v>
      </c>
      <c r="C3375" s="9"/>
      <c r="D3375" s="8" t="s">
        <v>705</v>
      </c>
      <c r="E3375" s="8">
        <v>5</v>
      </c>
      <c r="F3375" s="8" t="s">
        <v>22</v>
      </c>
      <c r="G3375" s="10" t="s">
        <v>6812</v>
      </c>
      <c r="H3375" s="8" t="s">
        <v>6815</v>
      </c>
      <c r="I3375" s="10" t="s">
        <v>6814</v>
      </c>
      <c r="J3375" s="11" t="s">
        <v>26</v>
      </c>
      <c r="K3375" s="18">
        <v>350</v>
      </c>
      <c r="L3375" s="12">
        <f t="shared" si="279"/>
        <v>560</v>
      </c>
      <c r="M3375" s="8">
        <v>1</v>
      </c>
      <c r="N3375" s="8" t="s">
        <v>27</v>
      </c>
      <c r="O3375" s="13"/>
      <c r="P3375" s="14">
        <v>0.2</v>
      </c>
      <c r="Q3375" s="15">
        <v>0.25</v>
      </c>
      <c r="R3375" s="16" t="str">
        <f t="shared" ref="R3375:R3438" si="281">A3375</f>
        <v>MARANTZ</v>
      </c>
      <c r="S3375" s="17"/>
      <c r="T3375" s="10" t="str">
        <f t="shared" si="280"/>
        <v>PROCESADOR DE AUDIO Y VIDEO 3D READY, SALIDA DE 50W POR CANAL, AIR PLAY.</v>
      </c>
    </row>
    <row r="3376" spans="1:20" ht="27" customHeight="1" x14ac:dyDescent="0.25">
      <c r="A3376" s="8" t="s">
        <v>6802</v>
      </c>
      <c r="B3376" s="9" t="s">
        <v>6803</v>
      </c>
      <c r="C3376" s="9"/>
      <c r="D3376" s="8" t="s">
        <v>775</v>
      </c>
      <c r="E3376" s="8">
        <v>1</v>
      </c>
      <c r="F3376" s="8" t="s">
        <v>22</v>
      </c>
      <c r="G3376" s="10" t="s">
        <v>6816</v>
      </c>
      <c r="H3376" s="8" t="s">
        <v>6817</v>
      </c>
      <c r="I3376" s="10" t="s">
        <v>6816</v>
      </c>
      <c r="J3376" s="11" t="s">
        <v>26</v>
      </c>
      <c r="K3376" s="18">
        <v>70</v>
      </c>
      <c r="L3376" s="12">
        <f t="shared" si="279"/>
        <v>105</v>
      </c>
      <c r="M3376" s="8">
        <v>1</v>
      </c>
      <c r="N3376" s="8" t="s">
        <v>27</v>
      </c>
      <c r="O3376" s="13"/>
      <c r="P3376" s="14">
        <v>0.2</v>
      </c>
      <c r="Q3376" s="15">
        <v>0.2</v>
      </c>
      <c r="R3376" s="16" t="str">
        <f t="shared" si="281"/>
        <v>MARANTZ</v>
      </c>
      <c r="S3376" s="17"/>
      <c r="T3376" s="10" t="str">
        <f t="shared" si="280"/>
        <v>ADAPTADOR INALÁMBRICO PARA SEÑALES BLUETOOTH.</v>
      </c>
    </row>
    <row r="3377" spans="1:21" ht="27" customHeight="1" x14ac:dyDescent="0.25">
      <c r="A3377" s="8" t="s">
        <v>6802</v>
      </c>
      <c r="B3377" s="9"/>
      <c r="C3377" s="9"/>
      <c r="D3377" s="8"/>
      <c r="E3377" s="8"/>
      <c r="F3377" s="8" t="s">
        <v>22</v>
      </c>
      <c r="G3377" s="10" t="s">
        <v>6818</v>
      </c>
      <c r="H3377" s="8" t="s">
        <v>6819</v>
      </c>
      <c r="I3377" s="10" t="s">
        <v>6818</v>
      </c>
      <c r="J3377" s="11" t="s">
        <v>26</v>
      </c>
      <c r="K3377" s="18">
        <v>450</v>
      </c>
      <c r="L3377" s="12">
        <f t="shared" si="279"/>
        <v>739.72602739726028</v>
      </c>
      <c r="M3377" s="8">
        <v>1</v>
      </c>
      <c r="N3377" s="8" t="s">
        <v>27</v>
      </c>
      <c r="O3377" s="13"/>
      <c r="P3377" s="14">
        <v>0.2</v>
      </c>
      <c r="Q3377" s="15">
        <v>0.27</v>
      </c>
      <c r="R3377" s="16" t="str">
        <f t="shared" si="281"/>
        <v>MARANTZ</v>
      </c>
      <c r="S3377" s="17"/>
      <c r="T3377" s="10" t="str">
        <f t="shared" si="280"/>
        <v>PROCESADOR DE AUDIO Y VIDEO CON SALIDA HDMI Y CONTROL DESDE APP</v>
      </c>
    </row>
    <row r="3378" spans="1:21" ht="27" customHeight="1" x14ac:dyDescent="0.25">
      <c r="A3378" s="8" t="s">
        <v>6802</v>
      </c>
      <c r="B3378" s="9"/>
      <c r="C3378" s="9"/>
      <c r="D3378" s="8"/>
      <c r="E3378" s="8"/>
      <c r="F3378" s="8" t="s">
        <v>22</v>
      </c>
      <c r="G3378" s="10" t="s">
        <v>6820</v>
      </c>
      <c r="H3378" s="8" t="s">
        <v>6821</v>
      </c>
      <c r="I3378" s="10" t="s">
        <v>6822</v>
      </c>
      <c r="J3378" s="11" t="s">
        <v>26</v>
      </c>
      <c r="K3378" s="18">
        <v>240</v>
      </c>
      <c r="L3378" s="12">
        <f t="shared" si="279"/>
        <v>394.52054794520546</v>
      </c>
      <c r="M3378" s="8">
        <v>1</v>
      </c>
      <c r="N3378" s="8" t="s">
        <v>27</v>
      </c>
      <c r="O3378" s="13"/>
      <c r="P3378" s="14">
        <v>0.2</v>
      </c>
      <c r="Q3378" s="15">
        <v>0.27</v>
      </c>
      <c r="R3378" s="16" t="str">
        <f t="shared" si="281"/>
        <v>MARANTZ</v>
      </c>
      <c r="S3378" s="17"/>
      <c r="T3378" s="10" t="str">
        <f t="shared" si="280"/>
        <v>REPRODUCTOR DE CD DE 24 BITS PARA FORMATOS MP3, WMA Y AAC.</v>
      </c>
    </row>
    <row r="3379" spans="1:21" ht="27" customHeight="1" x14ac:dyDescent="0.25">
      <c r="A3379" s="8" t="s">
        <v>6802</v>
      </c>
      <c r="B3379" s="9"/>
      <c r="C3379" s="9"/>
      <c r="D3379" s="8"/>
      <c r="E3379" s="8"/>
      <c r="F3379" s="8" t="s">
        <v>22</v>
      </c>
      <c r="G3379" s="10" t="s">
        <v>6823</v>
      </c>
      <c r="H3379" s="8" t="s">
        <v>6824</v>
      </c>
      <c r="I3379" s="10" t="s">
        <v>6825</v>
      </c>
      <c r="J3379" s="11" t="s">
        <v>26</v>
      </c>
      <c r="K3379" s="18">
        <v>450</v>
      </c>
      <c r="L3379" s="12">
        <f t="shared" si="279"/>
        <v>739.72602739726028</v>
      </c>
      <c r="M3379" s="8">
        <v>1</v>
      </c>
      <c r="N3379" s="8" t="s">
        <v>27</v>
      </c>
      <c r="O3379" s="13"/>
      <c r="P3379" s="14">
        <v>0.2</v>
      </c>
      <c r="Q3379" s="15">
        <v>0.27</v>
      </c>
      <c r="R3379" s="16" t="str">
        <f t="shared" si="281"/>
        <v>MARANTZ</v>
      </c>
      <c r="S3379" s="17"/>
      <c r="T3379" s="10" t="str">
        <f t="shared" si="280"/>
        <v>PROCESADOR DE AUDIO Y VIDEO 7.2 CON SALIDA HDMI Y CONTROL DESDE APP.</v>
      </c>
    </row>
    <row r="3380" spans="1:21" ht="27" customHeight="1" x14ac:dyDescent="0.25">
      <c r="A3380" s="8" t="s">
        <v>6802</v>
      </c>
      <c r="B3380" s="9"/>
      <c r="C3380" s="9"/>
      <c r="D3380" s="8"/>
      <c r="E3380" s="8"/>
      <c r="F3380" s="8" t="s">
        <v>22</v>
      </c>
      <c r="G3380" s="10" t="s">
        <v>6826</v>
      </c>
      <c r="H3380" s="8" t="s">
        <v>6827</v>
      </c>
      <c r="I3380" s="10" t="s">
        <v>6828</v>
      </c>
      <c r="J3380" s="11" t="s">
        <v>26</v>
      </c>
      <c r="K3380" s="18">
        <v>668</v>
      </c>
      <c r="L3380" s="12">
        <f t="shared" si="279"/>
        <v>1025.9794814435288</v>
      </c>
      <c r="M3380" s="8">
        <v>1</v>
      </c>
      <c r="N3380" s="8" t="s">
        <v>27</v>
      </c>
      <c r="O3380" s="13"/>
      <c r="P3380" s="14">
        <v>0.2</v>
      </c>
      <c r="Q3380" s="15">
        <v>0.21869782534815621</v>
      </c>
      <c r="R3380" s="16" t="str">
        <f t="shared" si="281"/>
        <v>MARANTZ</v>
      </c>
      <c r="S3380" s="17"/>
      <c r="T3380" s="10" t="str">
        <f t="shared" si="280"/>
        <v>PROCESADOR DE AUDIO Y VIDEO 5.2 CON SALIDA HDMI Y CONTROL DESDE APP.</v>
      </c>
    </row>
    <row r="3381" spans="1:21" ht="27" customHeight="1" x14ac:dyDescent="0.25">
      <c r="A3381" s="8" t="s">
        <v>6802</v>
      </c>
      <c r="B3381" s="9"/>
      <c r="C3381" s="9"/>
      <c r="D3381" s="8" t="s">
        <v>45</v>
      </c>
      <c r="E3381" s="8"/>
      <c r="F3381" s="8" t="s">
        <v>22</v>
      </c>
      <c r="G3381" s="10" t="s">
        <v>6829</v>
      </c>
      <c r="H3381" s="8" t="s">
        <v>6830</v>
      </c>
      <c r="I3381" s="10" t="s">
        <v>6831</v>
      </c>
      <c r="J3381" s="11" t="s">
        <v>26</v>
      </c>
      <c r="K3381" s="18">
        <v>360</v>
      </c>
      <c r="L3381" s="12">
        <f t="shared" si="279"/>
        <v>617.14285714285722</v>
      </c>
      <c r="M3381" s="8">
        <v>1</v>
      </c>
      <c r="N3381" s="8" t="s">
        <v>27</v>
      </c>
      <c r="O3381" s="13" t="s">
        <v>588</v>
      </c>
      <c r="P3381" s="14">
        <v>0.2</v>
      </c>
      <c r="Q3381" s="15">
        <v>0.3</v>
      </c>
      <c r="R3381" s="16" t="str">
        <f t="shared" si="281"/>
        <v>MARANTZ</v>
      </c>
      <c r="S3381" s="17"/>
      <c r="T3381" s="10" t="str">
        <f t="shared" si="280"/>
        <v>AMPLIFICADOR DE 150 VATIOS.</v>
      </c>
    </row>
    <row r="3382" spans="1:21" ht="27" customHeight="1" x14ac:dyDescent="0.25">
      <c r="A3382" s="8" t="s">
        <v>6802</v>
      </c>
      <c r="B3382" s="9"/>
      <c r="C3382" s="9"/>
      <c r="D3382" s="8"/>
      <c r="E3382" s="8"/>
      <c r="F3382" s="8"/>
      <c r="G3382" s="10"/>
      <c r="H3382" s="8" t="s">
        <v>6832</v>
      </c>
      <c r="I3382" s="10" t="s">
        <v>6833</v>
      </c>
      <c r="J3382" s="11" t="s">
        <v>26</v>
      </c>
      <c r="K3382" s="18">
        <v>900</v>
      </c>
      <c r="L3382" s="12">
        <f t="shared" si="279"/>
        <v>1542.8571428571429</v>
      </c>
      <c r="M3382" s="8">
        <v>1</v>
      </c>
      <c r="N3382" s="8" t="s">
        <v>27</v>
      </c>
      <c r="O3382" s="13"/>
      <c r="P3382" s="14">
        <v>0.2</v>
      </c>
      <c r="Q3382" s="15">
        <v>0.3</v>
      </c>
      <c r="R3382" s="16" t="str">
        <f t="shared" si="281"/>
        <v>MARANTZ</v>
      </c>
      <c r="S3382" s="17"/>
      <c r="T3382" s="10"/>
    </row>
    <row r="3383" spans="1:21" ht="27" customHeight="1" x14ac:dyDescent="0.25">
      <c r="A3383" s="8" t="s">
        <v>6802</v>
      </c>
      <c r="B3383" s="9"/>
      <c r="C3383" s="9"/>
      <c r="D3383" s="8"/>
      <c r="E3383" s="8"/>
      <c r="F3383" s="8"/>
      <c r="G3383" s="10"/>
      <c r="H3383" s="8" t="s">
        <v>6834</v>
      </c>
      <c r="I3383" s="10" t="s">
        <v>6835</v>
      </c>
      <c r="J3383" s="11" t="s">
        <v>26</v>
      </c>
      <c r="K3383" s="18">
        <v>480</v>
      </c>
      <c r="L3383" s="12">
        <f>K3383*(1+P3383)/(1-Q3383)</f>
        <v>886.15384615384608</v>
      </c>
      <c r="M3383" s="8">
        <v>1</v>
      </c>
      <c r="N3383" s="8" t="s">
        <v>27</v>
      </c>
      <c r="O3383" s="13"/>
      <c r="P3383" s="14">
        <v>0.2</v>
      </c>
      <c r="Q3383" s="15">
        <v>0.35</v>
      </c>
      <c r="R3383" s="16" t="str">
        <f t="shared" si="281"/>
        <v>MARANTZ</v>
      </c>
      <c r="S3383" s="17"/>
      <c r="T3383" s="10"/>
      <c r="U3383" s="10" t="s">
        <v>6836</v>
      </c>
    </row>
    <row r="3384" spans="1:21" ht="27" customHeight="1" x14ac:dyDescent="0.25">
      <c r="A3384" s="8" t="s">
        <v>6802</v>
      </c>
      <c r="B3384" s="9"/>
      <c r="C3384" s="9"/>
      <c r="D3384" s="8"/>
      <c r="E3384" s="8"/>
      <c r="F3384" s="8"/>
      <c r="G3384" s="10"/>
      <c r="H3384" s="8" t="s">
        <v>6837</v>
      </c>
      <c r="I3384" s="10" t="s">
        <v>6838</v>
      </c>
      <c r="J3384" s="11" t="s">
        <v>26</v>
      </c>
      <c r="K3384" s="18">
        <v>725</v>
      </c>
      <c r="L3384" s="12">
        <f>K3384*(1+P3384)/(1-Q3384)</f>
        <v>1242.8571428571429</v>
      </c>
      <c r="M3384" s="8">
        <v>1</v>
      </c>
      <c r="N3384" s="8" t="s">
        <v>27</v>
      </c>
      <c r="O3384" s="13"/>
      <c r="P3384" s="14">
        <v>0.2</v>
      </c>
      <c r="Q3384" s="15">
        <v>0.3</v>
      </c>
      <c r="R3384" s="16" t="str">
        <f t="shared" si="281"/>
        <v>MARANTZ</v>
      </c>
      <c r="S3384" s="17"/>
      <c r="T3384" s="10"/>
    </row>
    <row r="3385" spans="1:21" ht="27" customHeight="1" x14ac:dyDescent="0.25">
      <c r="A3385" s="8" t="s">
        <v>6839</v>
      </c>
      <c r="B3385" s="9" t="s">
        <v>683</v>
      </c>
      <c r="C3385" s="9"/>
      <c r="D3385" s="8"/>
      <c r="E3385" s="8"/>
      <c r="F3385" s="8" t="s">
        <v>22</v>
      </c>
      <c r="G3385" s="10" t="s">
        <v>6840</v>
      </c>
      <c r="H3385" s="8" t="s">
        <v>6841</v>
      </c>
      <c r="I3385" s="10" t="s">
        <v>6840</v>
      </c>
      <c r="J3385" s="11" t="s">
        <v>26</v>
      </c>
      <c r="K3385" s="18">
        <v>8</v>
      </c>
      <c r="L3385" s="12">
        <f>IF(J3385="P",ROUNDUP(K3385/(1-Q3385),-2),K3385*(1+P3385)/(1-Q3385))</f>
        <v>13.714285714285715</v>
      </c>
      <c r="M3385" s="8">
        <v>1</v>
      </c>
      <c r="N3385" s="8" t="s">
        <v>27</v>
      </c>
      <c r="O3385" s="13"/>
      <c r="P3385" s="14">
        <v>0.2</v>
      </c>
      <c r="Q3385" s="15">
        <v>0.3</v>
      </c>
      <c r="R3385" s="16" t="str">
        <f t="shared" si="281"/>
        <v>MASTERS</v>
      </c>
      <c r="S3385" s="17"/>
      <c r="T3385" s="10" t="str">
        <f t="shared" ref="T3385:T3391" si="282">G3385</f>
        <v>CABLE ÓPTICO DE 10 PIES</v>
      </c>
    </row>
    <row r="3386" spans="1:21" ht="27" customHeight="1" x14ac:dyDescent="0.25">
      <c r="A3386" s="8" t="s">
        <v>6842</v>
      </c>
      <c r="B3386" s="9" t="s">
        <v>6843</v>
      </c>
      <c r="C3386" s="9"/>
      <c r="D3386" s="8" t="s">
        <v>6843</v>
      </c>
      <c r="E3386" s="8"/>
      <c r="F3386" s="8" t="s">
        <v>22</v>
      </c>
      <c r="G3386" s="10" t="s">
        <v>6844</v>
      </c>
      <c r="H3386" s="8" t="s">
        <v>6845</v>
      </c>
      <c r="I3386" s="10" t="s">
        <v>6844</v>
      </c>
      <c r="J3386" s="11" t="s">
        <v>26</v>
      </c>
      <c r="K3386" s="18">
        <v>10</v>
      </c>
      <c r="L3386" s="12">
        <f>IF(J3386="P",ROUNDUP(K3386/(1-Q3386),-2),K3386*(1+P3386)/(1-Q3386))</f>
        <v>17.142857142857142</v>
      </c>
      <c r="M3386" s="8">
        <v>1</v>
      </c>
      <c r="N3386" s="8" t="s">
        <v>27</v>
      </c>
      <c r="O3386" s="13"/>
      <c r="P3386" s="14">
        <v>0.2</v>
      </c>
      <c r="Q3386" s="15">
        <v>0.3</v>
      </c>
      <c r="R3386" s="16" t="str">
        <f t="shared" si="281"/>
        <v>MATTERS</v>
      </c>
      <c r="S3386" s="17"/>
      <c r="T3386" s="10" t="str">
        <f t="shared" si="282"/>
        <v>JACK HDMI</v>
      </c>
    </row>
    <row r="3387" spans="1:21" ht="27" customHeight="1" x14ac:dyDescent="0.25">
      <c r="A3387" s="8" t="s">
        <v>6846</v>
      </c>
      <c r="B3387" s="9"/>
      <c r="C3387" s="9"/>
      <c r="D3387" s="8"/>
      <c r="E3387" s="8"/>
      <c r="F3387" s="8" t="s">
        <v>22</v>
      </c>
      <c r="G3387" s="10" t="s">
        <v>6847</v>
      </c>
      <c r="H3387" s="8" t="s">
        <v>6848</v>
      </c>
      <c r="I3387" s="10" t="s">
        <v>6847</v>
      </c>
      <c r="J3387" s="11" t="s">
        <v>33</v>
      </c>
      <c r="K3387" s="18">
        <v>24000</v>
      </c>
      <c r="L3387" s="12">
        <f>IF(J3387="P",ROUNDUP(K3387/(1-Q3387),-2),K3387*(1+P3387)/(1-Q3387))</f>
        <v>34300</v>
      </c>
      <c r="M3387" s="8">
        <v>1</v>
      </c>
      <c r="N3387" s="8" t="s">
        <v>27</v>
      </c>
      <c r="O3387" s="13"/>
      <c r="P3387" s="14">
        <v>0.2</v>
      </c>
      <c r="Q3387" s="15">
        <v>0.3</v>
      </c>
      <c r="R3387" s="16" t="str">
        <f t="shared" si="281"/>
        <v>MAXELL</v>
      </c>
      <c r="S3387" s="17"/>
      <c r="T3387" s="10" t="str">
        <f t="shared" si="282"/>
        <v>MOUSE INALÁMBRICO MAXELL</v>
      </c>
    </row>
    <row r="3388" spans="1:21" ht="27" customHeight="1" x14ac:dyDescent="0.25">
      <c r="A3388" s="8" t="s">
        <v>6846</v>
      </c>
      <c r="B3388" s="9"/>
      <c r="C3388" s="9"/>
      <c r="D3388" s="8"/>
      <c r="E3388" s="8"/>
      <c r="F3388" s="8" t="s">
        <v>22</v>
      </c>
      <c r="G3388" s="10" t="s">
        <v>6849</v>
      </c>
      <c r="H3388" s="8" t="s">
        <v>6850</v>
      </c>
      <c r="I3388" s="10" t="s">
        <v>6849</v>
      </c>
      <c r="J3388" s="11" t="s">
        <v>33</v>
      </c>
      <c r="K3388" s="18">
        <v>35900</v>
      </c>
      <c r="L3388" s="12">
        <f>IF(J3388="P",ROUNDUP(K3388/(1-Q3388),-2),K3388*(1+P3388)/(1-Q3388))</f>
        <v>51300</v>
      </c>
      <c r="M3388" s="8">
        <v>1</v>
      </c>
      <c r="N3388" s="8" t="s">
        <v>27</v>
      </c>
      <c r="O3388" s="13"/>
      <c r="P3388" s="14">
        <v>0.2</v>
      </c>
      <c r="Q3388" s="15">
        <v>0.3</v>
      </c>
      <c r="R3388" s="16" t="str">
        <f t="shared" si="281"/>
        <v>MAXELL</v>
      </c>
      <c r="S3388" s="17"/>
      <c r="T3388" s="10" t="str">
        <f t="shared" si="282"/>
        <v>MEMORIA USB DE 16 GIGAS</v>
      </c>
    </row>
    <row r="3389" spans="1:21" ht="27" customHeight="1" x14ac:dyDescent="0.25">
      <c r="A3389" s="8" t="s">
        <v>6846</v>
      </c>
      <c r="B3389" s="9"/>
      <c r="C3389" s="9"/>
      <c r="D3389" s="8"/>
      <c r="E3389" s="8"/>
      <c r="F3389" s="8" t="s">
        <v>22</v>
      </c>
      <c r="G3389" s="10" t="s">
        <v>6851</v>
      </c>
      <c r="H3389" s="8" t="s">
        <v>6852</v>
      </c>
      <c r="I3389" s="10" t="s">
        <v>6851</v>
      </c>
      <c r="J3389" s="11" t="s">
        <v>33</v>
      </c>
      <c r="K3389" s="18">
        <v>31000</v>
      </c>
      <c r="L3389" s="12">
        <f>IF(J3389="P",ROUNDUP(K3389/(1-Q3389),-2),K3389*(1+P3389)/(1-Q3389))</f>
        <v>44300</v>
      </c>
      <c r="M3389" s="8">
        <v>1</v>
      </c>
      <c r="N3389" s="8" t="s">
        <v>27</v>
      </c>
      <c r="O3389" s="13"/>
      <c r="P3389" s="14">
        <v>0.2</v>
      </c>
      <c r="Q3389" s="15">
        <v>0.3</v>
      </c>
      <c r="R3389" s="16" t="str">
        <f t="shared" si="281"/>
        <v>MAXELL</v>
      </c>
      <c r="S3389" s="17"/>
      <c r="T3389" s="10" t="str">
        <f t="shared" si="282"/>
        <v>MEMORIA USB DE 8G.</v>
      </c>
    </row>
    <row r="3390" spans="1:21" ht="27" customHeight="1" x14ac:dyDescent="0.25">
      <c r="A3390" s="8" t="s">
        <v>6853</v>
      </c>
      <c r="B3390" s="9"/>
      <c r="C3390" s="9"/>
      <c r="D3390" s="8" t="s">
        <v>45</v>
      </c>
      <c r="E3390" s="8"/>
      <c r="F3390" s="8" t="s">
        <v>22</v>
      </c>
      <c r="G3390" s="10" t="str">
        <f>B3390&amp;"-"&amp;D3390&amp;"-"&amp;E3390&amp;F3390</f>
        <v>-PROG_-BLANCO</v>
      </c>
      <c r="H3390" s="8" t="s">
        <v>6854</v>
      </c>
      <c r="I3390" s="10" t="s">
        <v>1313</v>
      </c>
      <c r="J3390" s="11" t="s">
        <v>26</v>
      </c>
      <c r="K3390" s="18">
        <v>6395</v>
      </c>
      <c r="L3390" s="12">
        <f>K3390*(1+P3390)/(1-Q3390)</f>
        <v>8526.6666666666661</v>
      </c>
      <c r="M3390" s="8">
        <v>1</v>
      </c>
      <c r="N3390" s="8" t="s">
        <v>27</v>
      </c>
      <c r="O3390" s="13"/>
      <c r="P3390" s="14">
        <v>0</v>
      </c>
      <c r="Q3390" s="15">
        <v>0.25</v>
      </c>
      <c r="R3390" s="16" t="str">
        <f t="shared" si="281"/>
        <v>MAXHUB</v>
      </c>
      <c r="S3390" s="17"/>
      <c r="T3390" s="10" t="str">
        <f t="shared" si="282"/>
        <v>-PROG_-BLANCO</v>
      </c>
    </row>
    <row r="3391" spans="1:21" ht="27" customHeight="1" x14ac:dyDescent="0.25">
      <c r="A3391" s="8" t="s">
        <v>6853</v>
      </c>
      <c r="B3391" s="9"/>
      <c r="C3391" s="9"/>
      <c r="D3391" s="8" t="s">
        <v>45</v>
      </c>
      <c r="E3391" s="8"/>
      <c r="F3391" s="8" t="s">
        <v>22</v>
      </c>
      <c r="G3391" s="10" t="str">
        <f>B3391&amp;"-"&amp;D3391&amp;"-"&amp;E3391&amp;F3391</f>
        <v>-PROG_-BLANCO</v>
      </c>
      <c r="H3391" s="8" t="s">
        <v>6855</v>
      </c>
      <c r="I3391" s="10" t="s">
        <v>6856</v>
      </c>
      <c r="J3391" s="11" t="s">
        <v>26</v>
      </c>
      <c r="K3391" s="18">
        <v>1175</v>
      </c>
      <c r="L3391" s="12">
        <f>K3391*(1+P3391)/(1-Q3391)</f>
        <v>1566.6666666666667</v>
      </c>
      <c r="M3391" s="8">
        <v>1</v>
      </c>
      <c r="N3391" s="8" t="s">
        <v>27</v>
      </c>
      <c r="O3391" s="13"/>
      <c r="P3391" s="14">
        <v>0</v>
      </c>
      <c r="Q3391" s="15">
        <v>0.25</v>
      </c>
      <c r="R3391" s="16" t="str">
        <f t="shared" si="281"/>
        <v>MAXHUB</v>
      </c>
      <c r="S3391" s="17"/>
      <c r="T3391" s="10" t="str">
        <f t="shared" si="282"/>
        <v>-PROG_-BLANCO</v>
      </c>
    </row>
    <row r="3392" spans="1:21" ht="27" customHeight="1" x14ac:dyDescent="0.25">
      <c r="A3392" s="8" t="s">
        <v>6853</v>
      </c>
      <c r="B3392" s="9"/>
      <c r="C3392" s="9"/>
      <c r="D3392" s="8"/>
      <c r="E3392" s="8"/>
      <c r="F3392" s="8"/>
      <c r="G3392" s="10"/>
      <c r="H3392" s="8" t="s">
        <v>6857</v>
      </c>
      <c r="I3392" s="10" t="s">
        <v>6858</v>
      </c>
      <c r="J3392" s="11" t="s">
        <v>33</v>
      </c>
      <c r="K3392" s="18">
        <v>2954450</v>
      </c>
      <c r="L3392" s="12">
        <f>IF(J3392="P",ROUNDUP(K3392/(1-Q3392),-2),K3392*(1+P3392)/(1-Q3392))</f>
        <v>4220700</v>
      </c>
      <c r="M3392" s="8">
        <v>1</v>
      </c>
      <c r="N3392" s="8" t="s">
        <v>27</v>
      </c>
      <c r="O3392" s="13"/>
      <c r="P3392" s="14">
        <v>0</v>
      </c>
      <c r="Q3392" s="15">
        <v>0.3</v>
      </c>
      <c r="R3392" s="16" t="str">
        <f t="shared" si="281"/>
        <v>MAXHUB</v>
      </c>
      <c r="S3392" s="17"/>
      <c r="T3392" s="10"/>
    </row>
    <row r="3393" spans="1:20" ht="27" customHeight="1" x14ac:dyDescent="0.25">
      <c r="A3393" s="8" t="s">
        <v>6853</v>
      </c>
      <c r="B3393" s="9"/>
      <c r="C3393" s="9"/>
      <c r="D3393" s="8"/>
      <c r="E3393" s="8"/>
      <c r="F3393" s="8"/>
      <c r="G3393" s="10"/>
      <c r="H3393" s="8" t="s">
        <v>6859</v>
      </c>
      <c r="I3393" s="10" t="s">
        <v>6860</v>
      </c>
      <c r="J3393" s="11" t="s">
        <v>33</v>
      </c>
      <c r="K3393" s="18">
        <v>1956000</v>
      </c>
      <c r="L3393" s="12">
        <f>K3393*(1+P3393)/(1-Q3393)</f>
        <v>3260000</v>
      </c>
      <c r="M3393" s="8">
        <v>1</v>
      </c>
      <c r="N3393" s="8" t="s">
        <v>27</v>
      </c>
      <c r="O3393" s="13"/>
      <c r="P3393" s="14">
        <v>0</v>
      </c>
      <c r="Q3393" s="15">
        <v>0.4</v>
      </c>
      <c r="R3393" s="16" t="str">
        <f t="shared" si="281"/>
        <v>MAXHUB</v>
      </c>
      <c r="S3393" s="17"/>
      <c r="T3393" s="10"/>
    </row>
    <row r="3394" spans="1:20" ht="27" customHeight="1" x14ac:dyDescent="0.25">
      <c r="A3394" s="8" t="s">
        <v>6853</v>
      </c>
      <c r="B3394" s="9"/>
      <c r="C3394" s="9"/>
      <c r="D3394" s="8"/>
      <c r="E3394" s="8"/>
      <c r="F3394" s="8"/>
      <c r="G3394" s="10"/>
      <c r="H3394" s="8" t="s">
        <v>6861</v>
      </c>
      <c r="I3394" s="10" t="s">
        <v>6862</v>
      </c>
      <c r="J3394" s="11" t="s">
        <v>33</v>
      </c>
      <c r="K3394" s="18">
        <v>10702000</v>
      </c>
      <c r="L3394" s="12">
        <f>IF(J3394="P",ROUNDUP(K3394/(1-Q3394),-2),K3394*(1+P3394)/(1-Q3394))</f>
        <v>15288600</v>
      </c>
      <c r="M3394" s="8">
        <v>1</v>
      </c>
      <c r="N3394" s="8" t="s">
        <v>110</v>
      </c>
      <c r="O3394" s="13"/>
      <c r="P3394" s="14">
        <v>0</v>
      </c>
      <c r="Q3394" s="15">
        <v>0.3</v>
      </c>
      <c r="R3394" s="16" t="str">
        <f t="shared" si="281"/>
        <v>MAXHUB</v>
      </c>
      <c r="S3394" s="17"/>
      <c r="T3394" s="10"/>
    </row>
    <row r="3395" spans="1:20" ht="27" customHeight="1" x14ac:dyDescent="0.25">
      <c r="A3395" s="8" t="s">
        <v>6853</v>
      </c>
      <c r="B3395" s="9"/>
      <c r="C3395" s="9"/>
      <c r="D3395" s="8"/>
      <c r="E3395" s="8"/>
      <c r="F3395" s="8"/>
      <c r="G3395" s="10"/>
      <c r="H3395" s="8" t="s">
        <v>6863</v>
      </c>
      <c r="I3395" s="10" t="s">
        <v>6864</v>
      </c>
      <c r="J3395" s="11" t="s">
        <v>33</v>
      </c>
      <c r="K3395" s="18">
        <v>1235800</v>
      </c>
      <c r="L3395" s="12">
        <f>IF(J3395="P",ROUNDUP(K3395/(1-Q3395),-2),K3395*(1+P3395)/(1-Q3395))</f>
        <v>1765500</v>
      </c>
      <c r="M3395" s="8">
        <v>1</v>
      </c>
      <c r="N3395" s="8" t="s">
        <v>110</v>
      </c>
      <c r="O3395" s="13"/>
      <c r="P3395" s="14">
        <v>0</v>
      </c>
      <c r="Q3395" s="15">
        <v>0.3</v>
      </c>
      <c r="R3395" s="16" t="str">
        <f t="shared" si="281"/>
        <v>MAXHUB</v>
      </c>
      <c r="S3395" s="17"/>
      <c r="T3395" s="10"/>
    </row>
    <row r="3396" spans="1:20" ht="27" customHeight="1" x14ac:dyDescent="0.25">
      <c r="A3396" s="8" t="s">
        <v>6853</v>
      </c>
      <c r="B3396" s="9"/>
      <c r="C3396" s="9"/>
      <c r="D3396" s="8"/>
      <c r="E3396" s="8"/>
      <c r="F3396" s="8"/>
      <c r="G3396" s="10"/>
      <c r="H3396" s="8" t="s">
        <v>6865</v>
      </c>
      <c r="I3396" s="10" t="s">
        <v>6866</v>
      </c>
      <c r="J3396" s="11" t="s">
        <v>33</v>
      </c>
      <c r="K3396" s="18">
        <v>580000</v>
      </c>
      <c r="L3396" s="12">
        <f>IF(J3396="P",ROUNDUP(K3396/(1-Q3396),-2),K3396*(1+P3396)/(1-Q3396))</f>
        <v>828600</v>
      </c>
      <c r="M3396" s="8">
        <v>1</v>
      </c>
      <c r="N3396" s="8" t="s">
        <v>110</v>
      </c>
      <c r="O3396" s="13"/>
      <c r="P3396" s="14">
        <v>0</v>
      </c>
      <c r="Q3396" s="15">
        <v>0.3</v>
      </c>
      <c r="R3396" s="16" t="str">
        <f t="shared" si="281"/>
        <v>MAXHUB</v>
      </c>
      <c r="S3396" s="17"/>
      <c r="T3396" s="10"/>
    </row>
    <row r="3397" spans="1:20" ht="27" customHeight="1" x14ac:dyDescent="0.25">
      <c r="A3397" s="8" t="s">
        <v>6853</v>
      </c>
      <c r="B3397" s="9"/>
      <c r="C3397" s="9"/>
      <c r="D3397" s="8"/>
      <c r="E3397" s="8"/>
      <c r="F3397" s="8"/>
      <c r="G3397" s="10"/>
      <c r="H3397" s="8" t="s">
        <v>6867</v>
      </c>
      <c r="I3397" s="10" t="s">
        <v>6868</v>
      </c>
      <c r="J3397" s="11" t="s">
        <v>33</v>
      </c>
      <c r="K3397" s="18">
        <v>254300</v>
      </c>
      <c r="L3397" s="12">
        <f>IF(J3397="P",ROUNDUP(K3397/(1-Q3397),-2),K3397*(1+P3397)/(1-Q3397))</f>
        <v>363300</v>
      </c>
      <c r="M3397" s="8">
        <v>1</v>
      </c>
      <c r="N3397" s="8" t="s">
        <v>110</v>
      </c>
      <c r="O3397" s="13"/>
      <c r="P3397" s="14">
        <v>0</v>
      </c>
      <c r="Q3397" s="15">
        <v>0.3</v>
      </c>
      <c r="R3397" s="16" t="str">
        <f t="shared" si="281"/>
        <v>MAXHUB</v>
      </c>
      <c r="S3397" s="17"/>
      <c r="T3397" s="10"/>
    </row>
    <row r="3398" spans="1:20" ht="27" customHeight="1" x14ac:dyDescent="0.25">
      <c r="A3398" s="8" t="s">
        <v>6853</v>
      </c>
      <c r="B3398" s="9"/>
      <c r="C3398" s="9"/>
      <c r="D3398" s="8"/>
      <c r="E3398" s="8"/>
      <c r="F3398" s="8"/>
      <c r="G3398" s="10"/>
      <c r="H3398" s="8" t="s">
        <v>6869</v>
      </c>
      <c r="I3398" s="10" t="s">
        <v>6870</v>
      </c>
      <c r="J3398" s="11" t="s">
        <v>33</v>
      </c>
      <c r="K3398" s="18">
        <v>3346200</v>
      </c>
      <c r="L3398" s="12">
        <f>IF(J3398="P",ROUNDUP(K3398/(1-Q3398),-2),K3398*(1+P3398)/(1-Q3398))</f>
        <v>4780300</v>
      </c>
      <c r="M3398" s="8">
        <v>1</v>
      </c>
      <c r="N3398" s="8" t="s">
        <v>110</v>
      </c>
      <c r="O3398" s="13"/>
      <c r="P3398" s="14">
        <v>0</v>
      </c>
      <c r="Q3398" s="15">
        <v>0.3</v>
      </c>
      <c r="R3398" s="16" t="str">
        <f t="shared" si="281"/>
        <v>MAXHUB</v>
      </c>
      <c r="S3398" s="17"/>
      <c r="T3398" s="10"/>
    </row>
    <row r="3399" spans="1:20" ht="27" customHeight="1" x14ac:dyDescent="0.25">
      <c r="A3399" s="8" t="s">
        <v>6853</v>
      </c>
      <c r="B3399" s="9"/>
      <c r="C3399" s="9"/>
      <c r="D3399" s="8" t="s">
        <v>45</v>
      </c>
      <c r="E3399" s="8"/>
      <c r="F3399" s="8" t="s">
        <v>22</v>
      </c>
      <c r="G3399" s="10" t="str">
        <f>B3399&amp;"-"&amp;D3399&amp;"-"&amp;E3399&amp;F3399</f>
        <v>-PROG_-BLANCO</v>
      </c>
      <c r="H3399" s="8" t="s">
        <v>6871</v>
      </c>
      <c r="I3399" s="10" t="s">
        <v>6872</v>
      </c>
      <c r="J3399" s="11" t="s">
        <v>33</v>
      </c>
      <c r="K3399" s="18">
        <v>7173000</v>
      </c>
      <c r="L3399" s="12">
        <f>K3399*(1+P3399)/(1-Q3399)</f>
        <v>9564000</v>
      </c>
      <c r="M3399" s="8">
        <v>1</v>
      </c>
      <c r="N3399" s="8" t="s">
        <v>27</v>
      </c>
      <c r="O3399" s="13"/>
      <c r="P3399" s="14">
        <v>0</v>
      </c>
      <c r="Q3399" s="15">
        <v>0.25</v>
      </c>
      <c r="R3399" s="16" t="str">
        <f t="shared" si="281"/>
        <v>MAXHUB</v>
      </c>
      <c r="S3399" s="17"/>
      <c r="T3399" s="10" t="str">
        <f>G3399</f>
        <v>-PROG_-BLANCO</v>
      </c>
    </row>
    <row r="3400" spans="1:20" ht="27" customHeight="1" x14ac:dyDescent="0.25">
      <c r="A3400" s="8" t="s">
        <v>6853</v>
      </c>
      <c r="B3400" s="9"/>
      <c r="C3400" s="9"/>
      <c r="D3400" s="8" t="s">
        <v>45</v>
      </c>
      <c r="E3400" s="8"/>
      <c r="F3400" s="8" t="s">
        <v>22</v>
      </c>
      <c r="G3400" s="10" t="str">
        <f>B3400&amp;"-"&amp;D3400&amp;"-"&amp;E3400&amp;F3400</f>
        <v>-PROG_-BLANCO</v>
      </c>
      <c r="H3400" s="8" t="s">
        <v>6873</v>
      </c>
      <c r="I3400" s="10" t="s">
        <v>6874</v>
      </c>
      <c r="J3400" s="11" t="s">
        <v>33</v>
      </c>
      <c r="K3400" s="18">
        <v>10702400</v>
      </c>
      <c r="L3400" s="12">
        <f>K3400*(1+P3400)/(1-Q3400)</f>
        <v>14269866.666666666</v>
      </c>
      <c r="M3400" s="8">
        <v>1</v>
      </c>
      <c r="N3400" s="8" t="s">
        <v>27</v>
      </c>
      <c r="O3400" s="13"/>
      <c r="P3400" s="14">
        <v>0</v>
      </c>
      <c r="Q3400" s="15">
        <v>0.25</v>
      </c>
      <c r="R3400" s="16" t="str">
        <f t="shared" si="281"/>
        <v>MAXHUB</v>
      </c>
      <c r="S3400" s="17"/>
      <c r="T3400" s="10"/>
    </row>
    <row r="3401" spans="1:20" ht="27" customHeight="1" x14ac:dyDescent="0.25">
      <c r="A3401" s="8" t="s">
        <v>6853</v>
      </c>
      <c r="B3401" s="9"/>
      <c r="C3401" s="9"/>
      <c r="D3401" s="8" t="s">
        <v>45</v>
      </c>
      <c r="E3401" s="8"/>
      <c r="F3401" s="8" t="s">
        <v>22</v>
      </c>
      <c r="G3401" s="10" t="str">
        <f>B3401&amp;"-"&amp;D3401&amp;"-"&amp;E3401&amp;F3401</f>
        <v>-PROG_-BLANCO</v>
      </c>
      <c r="H3401" s="8" t="s">
        <v>6875</v>
      </c>
      <c r="I3401" s="10" t="s">
        <v>6876</v>
      </c>
      <c r="J3401" s="11" t="s">
        <v>33</v>
      </c>
      <c r="K3401" s="18">
        <v>52760000</v>
      </c>
      <c r="L3401" s="12">
        <f>K3401*(1+P3401)/(1-Q3401)</f>
        <v>70346666.666666672</v>
      </c>
      <c r="M3401" s="8">
        <v>1</v>
      </c>
      <c r="N3401" s="8" t="s">
        <v>27</v>
      </c>
      <c r="O3401" s="13"/>
      <c r="P3401" s="14">
        <v>0</v>
      </c>
      <c r="Q3401" s="15">
        <v>0.25</v>
      </c>
      <c r="R3401" s="16" t="str">
        <f t="shared" si="281"/>
        <v>MAXHUB</v>
      </c>
      <c r="S3401" s="17"/>
      <c r="T3401" s="10"/>
    </row>
    <row r="3402" spans="1:20" ht="27" customHeight="1" x14ac:dyDescent="0.25">
      <c r="A3402" s="8" t="s">
        <v>6853</v>
      </c>
      <c r="B3402" s="9"/>
      <c r="C3402" s="9"/>
      <c r="D3402" s="8"/>
      <c r="E3402" s="8"/>
      <c r="F3402" s="8"/>
      <c r="G3402" s="10"/>
      <c r="H3402" s="8" t="s">
        <v>6877</v>
      </c>
      <c r="I3402" s="10" t="s">
        <v>6878</v>
      </c>
      <c r="J3402" s="11" t="s">
        <v>26</v>
      </c>
      <c r="K3402" s="18">
        <v>6078</v>
      </c>
      <c r="L3402" s="12">
        <f>ROUNDUP(K3402*(1+P3402)/(1-Q3402),0)</f>
        <v>8683</v>
      </c>
      <c r="M3402" s="8">
        <v>1</v>
      </c>
      <c r="N3402" s="8" t="s">
        <v>27</v>
      </c>
      <c r="O3402" s="13"/>
      <c r="P3402" s="14">
        <v>0</v>
      </c>
      <c r="Q3402" s="15">
        <v>0.3</v>
      </c>
      <c r="R3402" s="16" t="str">
        <f t="shared" si="281"/>
        <v>MAXHUB</v>
      </c>
      <c r="S3402" s="17"/>
      <c r="T3402" s="10"/>
    </row>
    <row r="3403" spans="1:20" ht="27" customHeight="1" x14ac:dyDescent="0.25">
      <c r="A3403" s="8" t="s">
        <v>6853</v>
      </c>
      <c r="B3403" s="9"/>
      <c r="C3403" s="9"/>
      <c r="D3403" s="8"/>
      <c r="E3403" s="8"/>
      <c r="F3403" s="8"/>
      <c r="G3403" s="10"/>
      <c r="H3403" s="8" t="s">
        <v>6879</v>
      </c>
      <c r="I3403" s="10" t="s">
        <v>6880</v>
      </c>
      <c r="J3403" s="11" t="s">
        <v>33</v>
      </c>
      <c r="K3403" s="18">
        <v>4830400</v>
      </c>
      <c r="L3403" s="12">
        <f>ROUNDUP(K3403*(1+P3403)/(1-Q3403),0)</f>
        <v>6038000</v>
      </c>
      <c r="M3403" s="8">
        <v>1</v>
      </c>
      <c r="N3403" s="8" t="s">
        <v>27</v>
      </c>
      <c r="O3403" s="13"/>
      <c r="P3403" s="14">
        <v>0</v>
      </c>
      <c r="Q3403" s="15">
        <v>0.2</v>
      </c>
      <c r="R3403" s="16" t="str">
        <f t="shared" si="281"/>
        <v>MAXHUB</v>
      </c>
      <c r="S3403" s="17"/>
      <c r="T3403" s="10"/>
    </row>
    <row r="3404" spans="1:20" ht="27" customHeight="1" x14ac:dyDescent="0.25">
      <c r="A3404" s="8" t="s">
        <v>6853</v>
      </c>
      <c r="B3404" s="9"/>
      <c r="C3404" s="9"/>
      <c r="D3404" s="8"/>
      <c r="E3404" s="8"/>
      <c r="F3404" s="8"/>
      <c r="G3404" s="10"/>
      <c r="H3404" s="8" t="s">
        <v>6881</v>
      </c>
      <c r="I3404" s="10" t="s">
        <v>6882</v>
      </c>
      <c r="J3404" s="11" t="s">
        <v>26</v>
      </c>
      <c r="K3404" s="18">
        <v>3136</v>
      </c>
      <c r="L3404" s="12">
        <f>IF(J3404="P",ROUNDUP(K3404/(1-Q3404),-2),K3404*(1+P3404)/(1-Q3404))</f>
        <v>4181.333333333333</v>
      </c>
      <c r="M3404" s="8">
        <v>1</v>
      </c>
      <c r="N3404" s="8" t="s">
        <v>27</v>
      </c>
      <c r="O3404" s="13">
        <f>F3404</f>
        <v>0</v>
      </c>
      <c r="P3404" s="14">
        <v>0</v>
      </c>
      <c r="Q3404" s="15">
        <v>0.25</v>
      </c>
      <c r="R3404" s="16" t="str">
        <f t="shared" si="281"/>
        <v>MAXHUB</v>
      </c>
      <c r="S3404" s="17"/>
      <c r="T3404" s="10"/>
    </row>
    <row r="3405" spans="1:20" ht="27" customHeight="1" x14ac:dyDescent="0.25">
      <c r="A3405" s="8" t="s">
        <v>6883</v>
      </c>
      <c r="B3405" s="9"/>
      <c r="C3405" s="9"/>
      <c r="D3405" s="8"/>
      <c r="E3405" s="8"/>
      <c r="F3405" s="8"/>
      <c r="G3405" s="10"/>
      <c r="H3405" s="8" t="s">
        <v>6884</v>
      </c>
      <c r="I3405" s="10" t="s">
        <v>6885</v>
      </c>
      <c r="J3405" s="11" t="s">
        <v>33</v>
      </c>
      <c r="K3405" s="18">
        <v>21000</v>
      </c>
      <c r="L3405" s="12">
        <f>ROUNDUP(K3405*(1+P3405)/(1-Q3405),0)</f>
        <v>30000</v>
      </c>
      <c r="M3405" s="8">
        <v>1</v>
      </c>
      <c r="N3405" s="8" t="s">
        <v>27</v>
      </c>
      <c r="O3405" s="13"/>
      <c r="P3405" s="14">
        <v>0</v>
      </c>
      <c r="Q3405" s="15">
        <v>0.3</v>
      </c>
      <c r="R3405" s="16" t="str">
        <f t="shared" si="281"/>
        <v>MAXILUM</v>
      </c>
      <c r="S3405" s="17"/>
      <c r="T3405" s="10"/>
    </row>
    <row r="3406" spans="1:20" ht="27" customHeight="1" x14ac:dyDescent="0.25">
      <c r="A3406" s="8" t="s">
        <v>6886</v>
      </c>
      <c r="B3406" s="9"/>
      <c r="C3406" s="9"/>
      <c r="D3406" s="8"/>
      <c r="E3406" s="8"/>
      <c r="F3406" s="8" t="s">
        <v>22</v>
      </c>
      <c r="G3406" s="10" t="s">
        <v>6887</v>
      </c>
      <c r="H3406" s="8" t="s">
        <v>56</v>
      </c>
      <c r="I3406" s="10" t="s">
        <v>6887</v>
      </c>
      <c r="J3406" s="11" t="s">
        <v>33</v>
      </c>
      <c r="K3406" s="18">
        <v>73200</v>
      </c>
      <c r="L3406" s="12">
        <f t="shared" ref="L3406:L3412" si="283">IF(J3406="P",ROUNDUP(K3406/(1-Q3406),-2),K3406*(1+P3406)/(1-Q3406))</f>
        <v>122000</v>
      </c>
      <c r="M3406" s="8">
        <v>1</v>
      </c>
      <c r="N3406" s="8" t="s">
        <v>27</v>
      </c>
      <c r="O3406" s="13"/>
      <c r="P3406" s="14">
        <v>0.2</v>
      </c>
      <c r="Q3406" s="15">
        <v>0.4</v>
      </c>
      <c r="R3406" s="16" t="str">
        <f t="shared" si="281"/>
        <v>MEANWELL</v>
      </c>
      <c r="S3406" s="17"/>
      <c r="T3406" s="10" t="str">
        <f t="shared" ref="T3406:T3416" si="284">G3406</f>
        <v>FUENTE DE PODER DE 12V, 8.5 AMPERIOS.</v>
      </c>
    </row>
    <row r="3407" spans="1:20" ht="27" customHeight="1" x14ac:dyDescent="0.25">
      <c r="A3407" s="8" t="s">
        <v>6886</v>
      </c>
      <c r="B3407" s="9"/>
      <c r="C3407" s="9"/>
      <c r="D3407" s="8"/>
      <c r="E3407" s="8"/>
      <c r="F3407" s="8" t="s">
        <v>22</v>
      </c>
      <c r="G3407" s="10" t="s">
        <v>6888</v>
      </c>
      <c r="H3407" s="8" t="s">
        <v>6889</v>
      </c>
      <c r="I3407" s="10" t="s">
        <v>6888</v>
      </c>
      <c r="J3407" s="11" t="s">
        <v>33</v>
      </c>
      <c r="K3407" s="18">
        <v>80000</v>
      </c>
      <c r="L3407" s="12">
        <f t="shared" si="283"/>
        <v>133400</v>
      </c>
      <c r="M3407" s="8">
        <v>1</v>
      </c>
      <c r="N3407" s="8" t="s">
        <v>27</v>
      </c>
      <c r="O3407" s="13"/>
      <c r="P3407" s="14">
        <v>0</v>
      </c>
      <c r="Q3407" s="15">
        <v>0.4</v>
      </c>
      <c r="R3407" s="16" t="str">
        <f t="shared" si="281"/>
        <v>MEANWELL</v>
      </c>
      <c r="S3407" s="17"/>
      <c r="T3407" s="10" t="str">
        <f t="shared" si="284"/>
        <v>FUENTE DE ALIMENTACIÓN DRIVER DE 12VDC, 150W Y 12.5 AMPERIOS. CARCASA METÁLICA.</v>
      </c>
    </row>
    <row r="3408" spans="1:20" ht="27" customHeight="1" x14ac:dyDescent="0.25">
      <c r="A3408" s="8" t="s">
        <v>6886</v>
      </c>
      <c r="B3408" s="9" t="s">
        <v>2277</v>
      </c>
      <c r="C3408" s="9"/>
      <c r="D3408" s="8" t="s">
        <v>2087</v>
      </c>
      <c r="E3408" s="8"/>
      <c r="F3408" s="8" t="s">
        <v>22</v>
      </c>
      <c r="G3408" s="10" t="s">
        <v>6890</v>
      </c>
      <c r="H3408" s="8" t="s">
        <v>64</v>
      </c>
      <c r="I3408" s="10" t="s">
        <v>6890</v>
      </c>
      <c r="J3408" s="11" t="s">
        <v>33</v>
      </c>
      <c r="K3408" s="18">
        <v>165000</v>
      </c>
      <c r="L3408" s="12">
        <f t="shared" si="283"/>
        <v>275000</v>
      </c>
      <c r="M3408" s="8">
        <v>1</v>
      </c>
      <c r="N3408" s="8" t="s">
        <v>27</v>
      </c>
      <c r="O3408" s="13"/>
      <c r="P3408" s="14">
        <v>0.2</v>
      </c>
      <c r="Q3408" s="15">
        <v>0.4</v>
      </c>
      <c r="R3408" s="16" t="str">
        <f t="shared" si="281"/>
        <v>MEANWELL</v>
      </c>
      <c r="S3408" s="17"/>
      <c r="T3408" s="10" t="str">
        <f t="shared" si="284"/>
        <v>INTERFAZ DRIVER TIPO TRIACK PARA ATENUACIÓN HASTA 150W.</v>
      </c>
    </row>
    <row r="3409" spans="1:20" ht="27" customHeight="1" x14ac:dyDescent="0.25">
      <c r="A3409" s="8" t="s">
        <v>6886</v>
      </c>
      <c r="B3409" s="9" t="s">
        <v>2277</v>
      </c>
      <c r="C3409" s="9"/>
      <c r="D3409" s="8" t="s">
        <v>2087</v>
      </c>
      <c r="E3409" s="8"/>
      <c r="F3409" s="8" t="s">
        <v>22</v>
      </c>
      <c r="G3409" s="10" t="s">
        <v>6891</v>
      </c>
      <c r="H3409" s="8" t="s">
        <v>68</v>
      </c>
      <c r="I3409" s="10" t="s">
        <v>6891</v>
      </c>
      <c r="J3409" s="11" t="s">
        <v>33</v>
      </c>
      <c r="K3409" s="18">
        <v>465000</v>
      </c>
      <c r="L3409" s="12">
        <f t="shared" si="283"/>
        <v>775000</v>
      </c>
      <c r="M3409" s="8">
        <v>1</v>
      </c>
      <c r="N3409" s="8" t="s">
        <v>27</v>
      </c>
      <c r="O3409" s="13"/>
      <c r="P3409" s="14">
        <v>0.2</v>
      </c>
      <c r="Q3409" s="15">
        <v>0.4</v>
      </c>
      <c r="R3409" s="16" t="str">
        <f t="shared" si="281"/>
        <v>MEANWELL</v>
      </c>
      <c r="S3409" s="17"/>
      <c r="T3409" s="10" t="str">
        <f t="shared" si="284"/>
        <v>INTERFAZ DRIVER TIPO TRIACK PARA ATENUACIÓN HASTA 600W.</v>
      </c>
    </row>
    <row r="3410" spans="1:20" ht="27" customHeight="1" x14ac:dyDescent="0.25">
      <c r="A3410" s="8" t="s">
        <v>6886</v>
      </c>
      <c r="B3410" s="9" t="s">
        <v>2277</v>
      </c>
      <c r="C3410" s="9"/>
      <c r="D3410" s="8" t="s">
        <v>2087</v>
      </c>
      <c r="E3410" s="8"/>
      <c r="F3410" s="8" t="s">
        <v>22</v>
      </c>
      <c r="G3410" s="10" t="s">
        <v>6892</v>
      </c>
      <c r="H3410" s="8" t="s">
        <v>70</v>
      </c>
      <c r="I3410" s="10" t="s">
        <v>6892</v>
      </c>
      <c r="J3410" s="11" t="s">
        <v>33</v>
      </c>
      <c r="K3410" s="18">
        <v>333000</v>
      </c>
      <c r="L3410" s="12">
        <f t="shared" si="283"/>
        <v>555000</v>
      </c>
      <c r="M3410" s="8">
        <v>1</v>
      </c>
      <c r="N3410" s="8" t="s">
        <v>27</v>
      </c>
      <c r="O3410" s="13"/>
      <c r="P3410" s="14">
        <v>0.2</v>
      </c>
      <c r="Q3410" s="15">
        <v>0.4</v>
      </c>
      <c r="R3410" s="16" t="str">
        <f t="shared" si="281"/>
        <v>MEANWELL</v>
      </c>
      <c r="S3410" s="17"/>
      <c r="T3410" s="10" t="str">
        <f t="shared" si="284"/>
        <v>INTERFAZ DRIVER TIPO TRIACK PARA ATENUACIÓN HASTA 450W.</v>
      </c>
    </row>
    <row r="3411" spans="1:20" ht="27" customHeight="1" x14ac:dyDescent="0.25">
      <c r="A3411" s="8" t="s">
        <v>6886</v>
      </c>
      <c r="B3411" s="9" t="s">
        <v>2277</v>
      </c>
      <c r="C3411" s="9"/>
      <c r="D3411" s="8" t="s">
        <v>2087</v>
      </c>
      <c r="E3411" s="8"/>
      <c r="F3411" s="8" t="s">
        <v>22</v>
      </c>
      <c r="G3411" s="10" t="s">
        <v>6893</v>
      </c>
      <c r="H3411" s="8" t="s">
        <v>73</v>
      </c>
      <c r="I3411" s="10" t="s">
        <v>6893</v>
      </c>
      <c r="J3411" s="11" t="s">
        <v>33</v>
      </c>
      <c r="K3411" s="18">
        <v>237500</v>
      </c>
      <c r="L3411" s="12">
        <f t="shared" si="283"/>
        <v>395900</v>
      </c>
      <c r="M3411" s="8">
        <v>1</v>
      </c>
      <c r="N3411" s="8" t="s">
        <v>27</v>
      </c>
      <c r="O3411" s="13"/>
      <c r="P3411" s="14">
        <v>0.2</v>
      </c>
      <c r="Q3411" s="15">
        <v>0.4</v>
      </c>
      <c r="R3411" s="16" t="str">
        <f t="shared" si="281"/>
        <v>MEANWELL</v>
      </c>
      <c r="S3411" s="17"/>
      <c r="T3411" s="10" t="str">
        <f t="shared" si="284"/>
        <v>INTERFAZ DRIVER TIPO TRIACK PARA ATENUACIÓN HASTA 350W.</v>
      </c>
    </row>
    <row r="3412" spans="1:20" ht="27" customHeight="1" x14ac:dyDescent="0.25">
      <c r="A3412" s="8" t="s">
        <v>6886</v>
      </c>
      <c r="B3412" s="9"/>
      <c r="C3412" s="9"/>
      <c r="D3412" s="8"/>
      <c r="E3412" s="8"/>
      <c r="F3412" s="8" t="s">
        <v>22</v>
      </c>
      <c r="G3412" s="10" t="s">
        <v>6894</v>
      </c>
      <c r="H3412" s="8" t="s">
        <v>76</v>
      </c>
      <c r="I3412" s="10" t="s">
        <v>6894</v>
      </c>
      <c r="J3412" s="11" t="s">
        <v>33</v>
      </c>
      <c r="K3412" s="18">
        <v>67300</v>
      </c>
      <c r="L3412" s="12">
        <f t="shared" si="283"/>
        <v>112200</v>
      </c>
      <c r="M3412" s="8">
        <v>1</v>
      </c>
      <c r="N3412" s="8" t="s">
        <v>27</v>
      </c>
      <c r="O3412" s="13"/>
      <c r="P3412" s="14">
        <v>0</v>
      </c>
      <c r="Q3412" s="15">
        <v>0.4</v>
      </c>
      <c r="R3412" s="16" t="str">
        <f t="shared" si="281"/>
        <v>MEANWELL</v>
      </c>
      <c r="S3412" s="17"/>
      <c r="T3412" s="10" t="str">
        <f t="shared" si="284"/>
        <v>FUENTE DE PODER 12 VOLTIOS 6 AMPERIOS EN CARCASA METÁLICA DE INTERIOR</v>
      </c>
    </row>
    <row r="3413" spans="1:20" ht="27" customHeight="1" x14ac:dyDescent="0.25">
      <c r="A3413" s="8" t="s">
        <v>6886</v>
      </c>
      <c r="B3413" s="9"/>
      <c r="C3413" s="9"/>
      <c r="D3413" s="8" t="s">
        <v>45</v>
      </c>
      <c r="E3413" s="8"/>
      <c r="F3413" s="8" t="s">
        <v>22</v>
      </c>
      <c r="G3413" s="10" t="s">
        <v>6895</v>
      </c>
      <c r="H3413" s="8" t="s">
        <v>80</v>
      </c>
      <c r="I3413" s="10" t="s">
        <v>6895</v>
      </c>
      <c r="J3413" s="11" t="s">
        <v>33</v>
      </c>
      <c r="K3413" s="18">
        <v>65000</v>
      </c>
      <c r="L3413" s="12">
        <f>ROUNDUP(K3413*(1+P3413)/(1-Q3413),0)</f>
        <v>108334</v>
      </c>
      <c r="M3413" s="8">
        <v>1</v>
      </c>
      <c r="N3413" s="8" t="s">
        <v>27</v>
      </c>
      <c r="O3413" s="13"/>
      <c r="P3413" s="14">
        <v>0</v>
      </c>
      <c r="Q3413" s="15">
        <v>0.4</v>
      </c>
      <c r="R3413" s="16" t="str">
        <f t="shared" si="281"/>
        <v>MEANWELL</v>
      </c>
      <c r="S3413" s="17"/>
      <c r="T3413" s="10" t="str">
        <f t="shared" si="284"/>
        <v>DRIVER DE EXTERIOR IP65, 12V 5 AMPERIOS.</v>
      </c>
    </row>
    <row r="3414" spans="1:20" ht="27" customHeight="1" x14ac:dyDescent="0.25">
      <c r="A3414" s="8" t="s">
        <v>6886</v>
      </c>
      <c r="B3414" s="9"/>
      <c r="C3414" s="9"/>
      <c r="D3414" s="8" t="s">
        <v>45</v>
      </c>
      <c r="E3414" s="8"/>
      <c r="F3414" s="8" t="s">
        <v>22</v>
      </c>
      <c r="G3414" s="10" t="str">
        <f>B3414&amp;"-"&amp;D3414&amp;"-"&amp;E3414&amp;F3414</f>
        <v>-PROG_-BLANCO</v>
      </c>
      <c r="H3414" s="8" t="s">
        <v>83</v>
      </c>
      <c r="I3414" s="10" t="s">
        <v>6896</v>
      </c>
      <c r="J3414" s="11" t="s">
        <v>33</v>
      </c>
      <c r="K3414" s="18">
        <v>52200</v>
      </c>
      <c r="L3414" s="12">
        <f>K3414*(1+P3414)/(1-Q3414)</f>
        <v>87000</v>
      </c>
      <c r="M3414" s="8">
        <v>1</v>
      </c>
      <c r="N3414" s="8" t="s">
        <v>27</v>
      </c>
      <c r="O3414" s="13"/>
      <c r="P3414" s="14">
        <v>0</v>
      </c>
      <c r="Q3414" s="15">
        <v>0.4</v>
      </c>
      <c r="R3414" s="16" t="str">
        <f t="shared" si="281"/>
        <v>MEANWELL</v>
      </c>
      <c r="S3414" s="17"/>
      <c r="T3414" s="10" t="str">
        <f t="shared" si="284"/>
        <v>-PROG_-BLANCO</v>
      </c>
    </row>
    <row r="3415" spans="1:20" ht="27" customHeight="1" x14ac:dyDescent="0.25">
      <c r="A3415" s="8" t="s">
        <v>6886</v>
      </c>
      <c r="B3415" s="9"/>
      <c r="C3415" s="9"/>
      <c r="D3415" s="8" t="s">
        <v>45</v>
      </c>
      <c r="E3415" s="8"/>
      <c r="F3415" s="8" t="s">
        <v>22</v>
      </c>
      <c r="G3415" s="10" t="str">
        <f>B3415&amp;"-"&amp;D3415&amp;"-"&amp;E3415&amp;F3415</f>
        <v>-PROG_-BLANCO</v>
      </c>
      <c r="H3415" s="8" t="s">
        <v>86</v>
      </c>
      <c r="I3415" s="10" t="s">
        <v>6897</v>
      </c>
      <c r="J3415" s="11" t="s">
        <v>33</v>
      </c>
      <c r="K3415" s="18">
        <v>65000</v>
      </c>
      <c r="L3415" s="12">
        <f>K3415*(1+P3415)/(1-Q3415)</f>
        <v>108333.33333333334</v>
      </c>
      <c r="M3415" s="8">
        <v>1</v>
      </c>
      <c r="N3415" s="8" t="s">
        <v>27</v>
      </c>
      <c r="O3415" s="13"/>
      <c r="P3415" s="14">
        <v>0</v>
      </c>
      <c r="Q3415" s="15">
        <v>0.4</v>
      </c>
      <c r="R3415" s="16" t="str">
        <f t="shared" si="281"/>
        <v>MEANWELL</v>
      </c>
      <c r="S3415" s="17"/>
      <c r="T3415" s="10" t="str">
        <f t="shared" si="284"/>
        <v>-PROG_-BLANCO</v>
      </c>
    </row>
    <row r="3416" spans="1:20" ht="27" customHeight="1" x14ac:dyDescent="0.25">
      <c r="A3416" s="8" t="s">
        <v>6886</v>
      </c>
      <c r="B3416" s="9"/>
      <c r="C3416" s="9"/>
      <c r="D3416" s="8" t="s">
        <v>45</v>
      </c>
      <c r="E3416" s="8"/>
      <c r="F3416" s="8" t="s">
        <v>22</v>
      </c>
      <c r="G3416" s="10" t="str">
        <f>B3416&amp;"-"&amp;D3416&amp;"-"&amp;E3416&amp;F3416</f>
        <v>-PROG_-BLANCO</v>
      </c>
      <c r="H3416" s="8" t="s">
        <v>89</v>
      </c>
      <c r="I3416" s="10" t="s">
        <v>6898</v>
      </c>
      <c r="J3416" s="11" t="s">
        <v>33</v>
      </c>
      <c r="K3416" s="18">
        <v>51300</v>
      </c>
      <c r="L3416" s="12">
        <f>K3416*(1+P3416)/(1-Q3416)</f>
        <v>85500</v>
      </c>
      <c r="M3416" s="8">
        <v>1</v>
      </c>
      <c r="N3416" s="8" t="s">
        <v>27</v>
      </c>
      <c r="O3416" s="13"/>
      <c r="P3416" s="14">
        <v>0</v>
      </c>
      <c r="Q3416" s="15">
        <v>0.4</v>
      </c>
      <c r="R3416" s="16" t="str">
        <f t="shared" si="281"/>
        <v>MEANWELL</v>
      </c>
      <c r="S3416" s="17"/>
      <c r="T3416" s="10" t="str">
        <f t="shared" si="284"/>
        <v>-PROG_-BLANCO</v>
      </c>
    </row>
    <row r="3417" spans="1:20" ht="27" customHeight="1" x14ac:dyDescent="0.25">
      <c r="A3417" s="8" t="s">
        <v>6886</v>
      </c>
      <c r="B3417" s="9"/>
      <c r="C3417" s="9"/>
      <c r="D3417" s="8"/>
      <c r="E3417" s="8"/>
      <c r="F3417" s="8"/>
      <c r="G3417" s="10"/>
      <c r="H3417" s="8" t="s">
        <v>95</v>
      </c>
      <c r="I3417" s="10" t="s">
        <v>6899</v>
      </c>
      <c r="J3417" s="11" t="s">
        <v>33</v>
      </c>
      <c r="K3417" s="18">
        <v>45000</v>
      </c>
      <c r="L3417" s="12">
        <f>K3417*(1+P3417)/(1-Q3417)</f>
        <v>75000</v>
      </c>
      <c r="M3417" s="8">
        <v>1</v>
      </c>
      <c r="N3417" s="8" t="s">
        <v>27</v>
      </c>
      <c r="O3417" s="13"/>
      <c r="P3417" s="14">
        <v>0</v>
      </c>
      <c r="Q3417" s="15">
        <v>0.4</v>
      </c>
      <c r="R3417" s="16" t="str">
        <f t="shared" si="281"/>
        <v>MEANWELL</v>
      </c>
      <c r="S3417" s="17"/>
      <c r="T3417" s="10"/>
    </row>
    <row r="3418" spans="1:20" ht="27" customHeight="1" x14ac:dyDescent="0.25">
      <c r="A3418" s="8" t="s">
        <v>6886</v>
      </c>
      <c r="B3418" s="9"/>
      <c r="C3418" s="9"/>
      <c r="D3418" s="8"/>
      <c r="E3418" s="8"/>
      <c r="F3418" s="8"/>
      <c r="G3418" s="10"/>
      <c r="H3418" s="8" t="s">
        <v>99</v>
      </c>
      <c r="I3418" s="10" t="s">
        <v>6900</v>
      </c>
      <c r="J3418" s="11" t="s">
        <v>33</v>
      </c>
      <c r="K3418" s="18">
        <v>132000</v>
      </c>
      <c r="L3418" s="12">
        <f>IF(J3418="P",ROUNDUP(K3418/(1-Q3418),-2),K3418*(1+P3418)/(1-Q3418))</f>
        <v>220000</v>
      </c>
      <c r="M3418" s="8">
        <v>1</v>
      </c>
      <c r="N3418" s="8" t="s">
        <v>27</v>
      </c>
      <c r="O3418" s="13">
        <f>F3418</f>
        <v>0</v>
      </c>
      <c r="P3418" s="14">
        <v>0</v>
      </c>
      <c r="Q3418" s="15">
        <v>0.4</v>
      </c>
      <c r="R3418" s="16" t="str">
        <f t="shared" si="281"/>
        <v>MEANWELL</v>
      </c>
      <c r="S3418" s="17"/>
      <c r="T3418" s="10"/>
    </row>
    <row r="3419" spans="1:20" ht="27" customHeight="1" x14ac:dyDescent="0.25">
      <c r="A3419" s="8" t="s">
        <v>6901</v>
      </c>
      <c r="B3419" s="9"/>
      <c r="C3419" s="9"/>
      <c r="D3419" s="8" t="s">
        <v>45</v>
      </c>
      <c r="E3419" s="8"/>
      <c r="F3419" s="8" t="s">
        <v>22</v>
      </c>
      <c r="G3419" s="10" t="s">
        <v>6902</v>
      </c>
      <c r="H3419" s="8" t="s">
        <v>6903</v>
      </c>
      <c r="I3419" s="10" t="s">
        <v>6902</v>
      </c>
      <c r="J3419" s="11" t="s">
        <v>26</v>
      </c>
      <c r="K3419" s="18">
        <v>149</v>
      </c>
      <c r="L3419" s="12">
        <f>ROUNDUP(K3419*(1+P3419)/(1-Q3419),0)</f>
        <v>249</v>
      </c>
      <c r="M3419" s="8">
        <v>1</v>
      </c>
      <c r="N3419" s="8" t="s">
        <v>27</v>
      </c>
      <c r="O3419" s="13"/>
      <c r="P3419" s="14">
        <v>0.2</v>
      </c>
      <c r="Q3419" s="15">
        <v>0.28000000000000003</v>
      </c>
      <c r="R3419" s="16" t="str">
        <f t="shared" si="281"/>
        <v>MEASY</v>
      </c>
      <c r="S3419" s="17"/>
      <c r="T3419" s="10" t="str">
        <f>G3419</f>
        <v>TRANSMISOR WIRELESS DE HDMI 1080P HASTA 10 METROS.</v>
      </c>
    </row>
    <row r="3420" spans="1:20" ht="27" customHeight="1" x14ac:dyDescent="0.25">
      <c r="A3420" s="8" t="s">
        <v>6904</v>
      </c>
      <c r="B3420" s="9" t="s">
        <v>6905</v>
      </c>
      <c r="C3420" s="9"/>
      <c r="D3420" s="8"/>
      <c r="E3420" s="8"/>
      <c r="F3420" s="8" t="s">
        <v>22</v>
      </c>
      <c r="G3420" s="10" t="s">
        <v>6906</v>
      </c>
      <c r="H3420" s="8" t="s">
        <v>6907</v>
      </c>
      <c r="I3420" s="10" t="s">
        <v>6906</v>
      </c>
      <c r="J3420" s="11" t="s">
        <v>26</v>
      </c>
      <c r="K3420" s="18">
        <v>6.5</v>
      </c>
      <c r="L3420" s="12">
        <f>IF(J3420="P",ROUNDUP(K3420/(1-Q3420),-2),K3420*(1+P3420)/(1-Q3420))</f>
        <v>13</v>
      </c>
      <c r="M3420" s="8">
        <v>2</v>
      </c>
      <c r="N3420" s="8" t="s">
        <v>27</v>
      </c>
      <c r="O3420" s="13"/>
      <c r="P3420" s="14">
        <v>0.2</v>
      </c>
      <c r="Q3420" s="15">
        <v>0.4</v>
      </c>
      <c r="R3420" s="16" t="str">
        <f t="shared" si="281"/>
        <v>MEGAMAN</v>
      </c>
      <c r="S3420" s="17"/>
      <c r="T3420" s="10" t="str">
        <f>G3420</f>
        <v>BOMBILLA GU10 DE 10 VATIOS</v>
      </c>
    </row>
    <row r="3421" spans="1:20" ht="27" customHeight="1" x14ac:dyDescent="0.25">
      <c r="A3421" s="8" t="s">
        <v>6908</v>
      </c>
      <c r="B3421" s="9"/>
      <c r="C3421" s="9"/>
      <c r="D3421" s="8"/>
      <c r="E3421" s="8"/>
      <c r="F3421" s="8"/>
      <c r="G3421" s="10"/>
      <c r="H3421" s="8" t="s">
        <v>6909</v>
      </c>
      <c r="I3421" s="10" t="s">
        <v>6910</v>
      </c>
      <c r="J3421" s="11" t="s">
        <v>33</v>
      </c>
      <c r="K3421" s="18">
        <v>15000</v>
      </c>
      <c r="L3421" s="12">
        <f>K3421*(1+P3421)/(1-Q3421)</f>
        <v>25000</v>
      </c>
      <c r="M3421" s="8">
        <v>1</v>
      </c>
      <c r="N3421" s="8" t="s">
        <v>27</v>
      </c>
      <c r="O3421" s="13"/>
      <c r="P3421" s="14">
        <v>0</v>
      </c>
      <c r="Q3421" s="15">
        <v>0.4</v>
      </c>
      <c r="R3421" s="16" t="str">
        <f t="shared" si="281"/>
        <v>MERCURY</v>
      </c>
      <c r="S3421" s="17"/>
      <c r="T3421" s="10"/>
    </row>
    <row r="3422" spans="1:20" ht="27" customHeight="1" x14ac:dyDescent="0.25">
      <c r="A3422" s="8" t="s">
        <v>6911</v>
      </c>
      <c r="B3422" s="9"/>
      <c r="C3422" s="9"/>
      <c r="D3422" s="8"/>
      <c r="E3422" s="8"/>
      <c r="F3422" s="8"/>
      <c r="G3422" s="10"/>
      <c r="H3422" s="8" t="s">
        <v>6912</v>
      </c>
      <c r="I3422" s="10" t="s">
        <v>6913</v>
      </c>
      <c r="J3422" s="11" t="s">
        <v>33</v>
      </c>
      <c r="K3422" s="18">
        <v>90000</v>
      </c>
      <c r="L3422" s="12">
        <f>K3422*(1+P3422)/(1-Q3422)</f>
        <v>150000</v>
      </c>
      <c r="M3422" s="8">
        <v>1</v>
      </c>
      <c r="N3422" s="8" t="s">
        <v>27</v>
      </c>
      <c r="O3422" s="13"/>
      <c r="P3422" s="14">
        <v>0</v>
      </c>
      <c r="Q3422" s="15">
        <v>0.4</v>
      </c>
      <c r="R3422" s="16" t="str">
        <f t="shared" si="281"/>
        <v>MERCUSYS</v>
      </c>
      <c r="S3422" s="17"/>
      <c r="T3422" s="10"/>
    </row>
    <row r="3423" spans="1:20" ht="27" customHeight="1" x14ac:dyDescent="0.25">
      <c r="A3423" s="8" t="s">
        <v>6914</v>
      </c>
      <c r="B3423" s="9"/>
      <c r="C3423" s="9"/>
      <c r="D3423" s="8"/>
      <c r="E3423" s="8"/>
      <c r="F3423" s="8" t="s">
        <v>22</v>
      </c>
      <c r="G3423" s="10" t="s">
        <v>6915</v>
      </c>
      <c r="H3423" s="8" t="s">
        <v>6916</v>
      </c>
      <c r="I3423" s="10" t="s">
        <v>6915</v>
      </c>
      <c r="J3423" s="11" t="s">
        <v>33</v>
      </c>
      <c r="K3423" s="18">
        <v>182000</v>
      </c>
      <c r="L3423" s="12">
        <f>IF(J3423="P",ROUNDUP(K3423/(1-Q3423),-2),K3423*(1+P3423)/(1-Q3423))</f>
        <v>260000</v>
      </c>
      <c r="M3423" s="8">
        <v>1</v>
      </c>
      <c r="N3423" s="8" t="s">
        <v>27</v>
      </c>
      <c r="O3423" s="13"/>
      <c r="P3423" s="14">
        <v>0.2</v>
      </c>
      <c r="Q3423" s="15">
        <v>0.3</v>
      </c>
      <c r="R3423" s="16" t="str">
        <f t="shared" si="281"/>
        <v>MICRO MOTORES</v>
      </c>
      <c r="S3423" s="17"/>
      <c r="T3423" s="10" t="str">
        <f>G3423</f>
        <v>KIT ELECTROIMÁN DE 600 LIBRAS</v>
      </c>
    </row>
    <row r="3424" spans="1:20" ht="27" customHeight="1" x14ac:dyDescent="0.25">
      <c r="A3424" s="8" t="s">
        <v>6917</v>
      </c>
      <c r="B3424" s="9"/>
      <c r="C3424" s="9"/>
      <c r="D3424" s="8" t="s">
        <v>45</v>
      </c>
      <c r="E3424" s="8"/>
      <c r="F3424" s="8" t="s">
        <v>22</v>
      </c>
      <c r="G3424" s="10" t="str">
        <f>B3424&amp;"-"&amp;D3424&amp;"-"&amp;E3424&amp;F3424</f>
        <v>-PROG_-BLANCO</v>
      </c>
      <c r="H3424" s="8" t="s">
        <v>6918</v>
      </c>
      <c r="I3424" s="10" t="s">
        <v>6919</v>
      </c>
      <c r="J3424" s="11" t="s">
        <v>33</v>
      </c>
      <c r="K3424" s="18">
        <v>378671.40495867771</v>
      </c>
      <c r="L3424" s="12">
        <f>IF(J3424="P",ROUNDUP(K3424/(1-Q3424),-2),K3424*(1+P3424)/(1-Q3424))</f>
        <v>541000</v>
      </c>
      <c r="M3424" s="8">
        <v>1</v>
      </c>
      <c r="N3424" s="8" t="s">
        <v>27</v>
      </c>
      <c r="O3424" s="13"/>
      <c r="P3424" s="14">
        <v>0</v>
      </c>
      <c r="Q3424" s="15">
        <v>0.3</v>
      </c>
      <c r="R3424" s="16" t="str">
        <f t="shared" si="281"/>
        <v>MICRONET</v>
      </c>
      <c r="S3424" s="17"/>
      <c r="T3424" s="10" t="str">
        <f>G3424</f>
        <v>-PROG_-BLANCO</v>
      </c>
    </row>
    <row r="3425" spans="1:20" ht="27" customHeight="1" x14ac:dyDescent="0.25">
      <c r="A3425" s="8" t="s">
        <v>6920</v>
      </c>
      <c r="B3425" s="9" t="s">
        <v>2232</v>
      </c>
      <c r="C3425" s="9"/>
      <c r="D3425" s="8" t="s">
        <v>602</v>
      </c>
      <c r="E3425" s="8"/>
      <c r="F3425" s="8" t="s">
        <v>22</v>
      </c>
      <c r="G3425" s="10" t="s">
        <v>6921</v>
      </c>
      <c r="H3425" s="8" t="s">
        <v>6922</v>
      </c>
      <c r="I3425" s="10" t="s">
        <v>6921</v>
      </c>
      <c r="J3425" s="11" t="s">
        <v>33</v>
      </c>
      <c r="K3425" s="18">
        <v>30000</v>
      </c>
      <c r="L3425" s="12">
        <f>IF(J3425="P",ROUNDUP(K3425/(1-Q3425),-2),K3425*(1+P3425)/(1-Q3425))</f>
        <v>42900</v>
      </c>
      <c r="M3425" s="8">
        <v>1</v>
      </c>
      <c r="N3425" s="8" t="s">
        <v>27</v>
      </c>
      <c r="O3425" s="13"/>
      <c r="P3425" s="14">
        <v>0.2</v>
      </c>
      <c r="Q3425" s="15">
        <v>0.3</v>
      </c>
      <c r="R3425" s="16" t="str">
        <f t="shared" si="281"/>
        <v>MICROSOFT</v>
      </c>
      <c r="S3425" s="17"/>
      <c r="T3425" s="10" t="str">
        <f>G3425</f>
        <v>MOUSE INALÁMBRICO MICROSOFT</v>
      </c>
    </row>
    <row r="3426" spans="1:20" ht="27" customHeight="1" x14ac:dyDescent="0.25">
      <c r="A3426" s="8" t="s">
        <v>6920</v>
      </c>
      <c r="B3426" s="9"/>
      <c r="C3426" s="9"/>
      <c r="D3426" s="8"/>
      <c r="E3426" s="8"/>
      <c r="F3426" s="8"/>
      <c r="G3426" s="10"/>
      <c r="H3426" s="8" t="s">
        <v>6923</v>
      </c>
      <c r="I3426" s="10" t="s">
        <v>6924</v>
      </c>
      <c r="J3426" s="11" t="s">
        <v>33</v>
      </c>
      <c r="K3426" s="18">
        <v>2480000</v>
      </c>
      <c r="L3426" s="12">
        <f>IF(J3426="P",ROUNDUP(K3426/(1-Q3426),-2),K3426*(1+P3426)/(1-Q3426))</f>
        <v>3542900</v>
      </c>
      <c r="M3426" s="8">
        <v>1</v>
      </c>
      <c r="N3426" s="8" t="s">
        <v>27</v>
      </c>
      <c r="O3426" s="13"/>
      <c r="P3426" s="14">
        <v>0</v>
      </c>
      <c r="Q3426" s="15">
        <v>0.3</v>
      </c>
      <c r="R3426" s="16" t="str">
        <f t="shared" si="281"/>
        <v>MICROSOFT</v>
      </c>
      <c r="S3426" s="17"/>
      <c r="T3426" s="10"/>
    </row>
    <row r="3427" spans="1:20" ht="27" customHeight="1" x14ac:dyDescent="0.25">
      <c r="A3427" s="8" t="s">
        <v>6920</v>
      </c>
      <c r="B3427" s="9"/>
      <c r="C3427" s="9"/>
      <c r="D3427" s="8"/>
      <c r="E3427" s="8"/>
      <c r="F3427" s="8"/>
      <c r="G3427" s="10"/>
      <c r="H3427" s="8" t="s">
        <v>6925</v>
      </c>
      <c r="I3427" s="10" t="s">
        <v>6926</v>
      </c>
      <c r="J3427" s="11" t="s">
        <v>33</v>
      </c>
      <c r="K3427" s="18">
        <v>229000</v>
      </c>
      <c r="L3427" s="12">
        <f>IF(J3427="P",ROUNDUP(K3427/(1-Q3427),-2),K3427*(1+P3427)/(1-Q3427))</f>
        <v>327200</v>
      </c>
      <c r="M3427" s="8">
        <v>1</v>
      </c>
      <c r="N3427" s="8" t="s">
        <v>27</v>
      </c>
      <c r="O3427" s="13"/>
      <c r="P3427" s="14">
        <v>0</v>
      </c>
      <c r="Q3427" s="15">
        <v>0.3</v>
      </c>
      <c r="R3427" s="16" t="str">
        <f t="shared" si="281"/>
        <v>MICROSOFT</v>
      </c>
      <c r="S3427" s="17"/>
      <c r="T3427" s="10"/>
    </row>
    <row r="3428" spans="1:20" ht="27" customHeight="1" x14ac:dyDescent="0.25">
      <c r="A3428" s="8" t="s">
        <v>6927</v>
      </c>
      <c r="B3428" s="9"/>
      <c r="C3428" s="9"/>
      <c r="D3428" s="8"/>
      <c r="E3428" s="8"/>
      <c r="F3428" s="8" t="s">
        <v>22</v>
      </c>
      <c r="G3428" s="10" t="s">
        <v>6928</v>
      </c>
      <c r="H3428" s="8" t="s">
        <v>6929</v>
      </c>
      <c r="I3428" s="10" t="s">
        <v>6928</v>
      </c>
      <c r="J3428" s="11" t="s">
        <v>33</v>
      </c>
      <c r="K3428" s="18"/>
      <c r="L3428" s="12"/>
      <c r="M3428" s="8">
        <v>1</v>
      </c>
      <c r="N3428" s="8"/>
      <c r="O3428" s="13"/>
      <c r="P3428" s="14"/>
      <c r="Q3428" s="15"/>
      <c r="R3428" s="16" t="str">
        <f t="shared" si="281"/>
        <v>MIKROTIK</v>
      </c>
      <c r="S3428" s="17"/>
      <c r="T3428" s="10" t="str">
        <f>G3428</f>
        <v>ROUTER CON 32M RAM, 2.4GHz.</v>
      </c>
    </row>
    <row r="3429" spans="1:20" ht="27" customHeight="1" x14ac:dyDescent="0.25">
      <c r="A3429" s="8" t="s">
        <v>6927</v>
      </c>
      <c r="B3429" s="9"/>
      <c r="C3429" s="9"/>
      <c r="D3429" s="8"/>
      <c r="E3429" s="8"/>
      <c r="F3429" s="8"/>
      <c r="G3429" s="10"/>
      <c r="H3429" s="8" t="s">
        <v>6930</v>
      </c>
      <c r="I3429" s="10" t="s">
        <v>6931</v>
      </c>
      <c r="J3429" s="11" t="s">
        <v>33</v>
      </c>
      <c r="K3429" s="18">
        <v>483000</v>
      </c>
      <c r="L3429" s="12">
        <f>IF(J3429="P",ROUNDUP(K3429/(1-Q3429),-2),K3429*(1+P3429)/(1-Q3429))</f>
        <v>805000</v>
      </c>
      <c r="M3429" s="8">
        <v>1</v>
      </c>
      <c r="N3429" s="8" t="s">
        <v>27</v>
      </c>
      <c r="O3429" s="13"/>
      <c r="P3429" s="14">
        <v>0</v>
      </c>
      <c r="Q3429" s="15">
        <v>0.4</v>
      </c>
      <c r="R3429" s="16" t="str">
        <f t="shared" si="281"/>
        <v>MIKROTIK</v>
      </c>
      <c r="S3429" s="17"/>
      <c r="T3429" s="10"/>
    </row>
    <row r="3430" spans="1:20" ht="27" customHeight="1" x14ac:dyDescent="0.25">
      <c r="A3430" s="8" t="s">
        <v>6927</v>
      </c>
      <c r="B3430" s="9"/>
      <c r="C3430" s="9"/>
      <c r="D3430" s="8"/>
      <c r="E3430" s="8"/>
      <c r="F3430" s="8"/>
      <c r="G3430" s="10"/>
      <c r="H3430" s="8" t="s">
        <v>6932</v>
      </c>
      <c r="I3430" s="10" t="s">
        <v>6933</v>
      </c>
      <c r="J3430" s="11" t="s">
        <v>33</v>
      </c>
      <c r="K3430" s="18">
        <v>433613</v>
      </c>
      <c r="L3430" s="12">
        <f>IF(J3430="P",ROUNDUP(K3430/(1-Q3430),-2),K3430*(1+P3430)/(1-Q3430))</f>
        <v>542100</v>
      </c>
      <c r="M3430" s="8">
        <v>1</v>
      </c>
      <c r="N3430" s="8" t="s">
        <v>27</v>
      </c>
      <c r="O3430" s="13"/>
      <c r="P3430" s="14">
        <v>0</v>
      </c>
      <c r="Q3430" s="15">
        <v>0.2</v>
      </c>
      <c r="R3430" s="16" t="str">
        <f t="shared" si="281"/>
        <v>MIKROTIK</v>
      </c>
      <c r="S3430" s="17"/>
      <c r="T3430" s="10"/>
    </row>
    <row r="3431" spans="1:20" ht="27" customHeight="1" x14ac:dyDescent="0.25">
      <c r="A3431" s="8" t="s">
        <v>6927</v>
      </c>
      <c r="B3431" s="9"/>
      <c r="C3431" s="9"/>
      <c r="D3431" s="8"/>
      <c r="E3431" s="8"/>
      <c r="F3431" s="8"/>
      <c r="G3431" s="10"/>
      <c r="H3431" s="8" t="s">
        <v>6934</v>
      </c>
      <c r="I3431" s="10" t="s">
        <v>6935</v>
      </c>
      <c r="J3431" s="11" t="s">
        <v>33</v>
      </c>
      <c r="K3431" s="18">
        <v>782000</v>
      </c>
      <c r="L3431" s="12">
        <f>ROUNDUP(K3431*(1+P3431)/(1-Q3431),0)</f>
        <v>1303334</v>
      </c>
      <c r="M3431" s="8">
        <v>1</v>
      </c>
      <c r="N3431" s="8" t="s">
        <v>27</v>
      </c>
      <c r="O3431" s="13"/>
      <c r="P3431" s="14">
        <v>0</v>
      </c>
      <c r="Q3431" s="15">
        <v>0.4</v>
      </c>
      <c r="R3431" s="16" t="str">
        <f t="shared" si="281"/>
        <v>MIKROTIK</v>
      </c>
      <c r="S3431" s="17"/>
      <c r="T3431" s="10"/>
    </row>
    <row r="3432" spans="1:20" ht="27" customHeight="1" x14ac:dyDescent="0.25">
      <c r="A3432" s="8" t="s">
        <v>6936</v>
      </c>
      <c r="B3432" s="9"/>
      <c r="C3432" s="9"/>
      <c r="D3432" s="8"/>
      <c r="E3432" s="8"/>
      <c r="F3432" s="8" t="s">
        <v>22</v>
      </c>
      <c r="G3432" s="10" t="s">
        <v>5651</v>
      </c>
      <c r="H3432" s="8" t="s">
        <v>6937</v>
      </c>
      <c r="I3432" s="10" t="s">
        <v>5651</v>
      </c>
      <c r="J3432" s="11" t="s">
        <v>33</v>
      </c>
      <c r="K3432" s="18">
        <v>88000</v>
      </c>
      <c r="L3432" s="12">
        <f>IF(J3432="P",ROUNDUP(K3432/(1-Q3432),-2),K3432*(1+P3432)/(1-Q3432))</f>
        <v>146700</v>
      </c>
      <c r="M3432" s="8">
        <v>1</v>
      </c>
      <c r="N3432" s="8" t="s">
        <v>27</v>
      </c>
      <c r="O3432" s="13"/>
      <c r="P3432" s="14">
        <v>0.2</v>
      </c>
      <c r="Q3432" s="15">
        <v>0.4</v>
      </c>
      <c r="R3432" s="16" t="str">
        <f t="shared" si="281"/>
        <v>MINI PRAGMA BY SCHNEIDER.</v>
      </c>
      <c r="S3432" s="17"/>
      <c r="T3432" s="10" t="str">
        <f>G3432</f>
        <v>TABLERO ELÉCTRICO DE 12 CIRCUITOS</v>
      </c>
    </row>
    <row r="3433" spans="1:20" ht="27" customHeight="1" x14ac:dyDescent="0.25">
      <c r="A3433" s="8" t="s">
        <v>6938</v>
      </c>
      <c r="B3433" s="9"/>
      <c r="C3433" s="9"/>
      <c r="D3433" s="8"/>
      <c r="E3433" s="8"/>
      <c r="F3433" s="8"/>
      <c r="G3433" s="10"/>
      <c r="H3433" s="8" t="s">
        <v>6939</v>
      </c>
      <c r="I3433" s="10" t="s">
        <v>6940</v>
      </c>
      <c r="J3433" s="11" t="s">
        <v>26</v>
      </c>
      <c r="K3433" s="18">
        <v>629</v>
      </c>
      <c r="L3433" s="12">
        <f>K3433*(1+P3433)/(1-Q3433)</f>
        <v>943.49999999999989</v>
      </c>
      <c r="M3433" s="8">
        <v>1</v>
      </c>
      <c r="N3433" s="8" t="s">
        <v>27</v>
      </c>
      <c r="O3433" s="13"/>
      <c r="P3433" s="14">
        <v>0.2</v>
      </c>
      <c r="Q3433" s="15">
        <v>0.2</v>
      </c>
      <c r="R3433" s="16" t="str">
        <f t="shared" si="281"/>
        <v>MINNESOTA</v>
      </c>
      <c r="S3433" s="17"/>
      <c r="T3433" s="10"/>
    </row>
    <row r="3434" spans="1:20" ht="27" customHeight="1" x14ac:dyDescent="0.25">
      <c r="A3434" s="8" t="s">
        <v>6941</v>
      </c>
      <c r="B3434" s="9" t="s">
        <v>28</v>
      </c>
      <c r="C3434" s="9"/>
      <c r="D3434" s="8"/>
      <c r="E3434" s="8"/>
      <c r="F3434" s="8" t="s">
        <v>22</v>
      </c>
      <c r="G3434" s="10" t="s">
        <v>6942</v>
      </c>
      <c r="H3434" s="8" t="s">
        <v>6943</v>
      </c>
      <c r="I3434" s="10" t="s">
        <v>6942</v>
      </c>
      <c r="J3434" s="11" t="s">
        <v>33</v>
      </c>
      <c r="K3434" s="18">
        <v>1600</v>
      </c>
      <c r="L3434" s="12">
        <f t="shared" ref="L3434:L3444" si="285">IF(J3434="P",ROUNDUP(K3434/(1-Q3434),-2),K3434*(1+P3434)/(1-Q3434))</f>
        <v>2700</v>
      </c>
      <c r="M3434" s="8">
        <v>1</v>
      </c>
      <c r="N3434" s="8" t="s">
        <v>110</v>
      </c>
      <c r="O3434" s="13"/>
      <c r="P3434" s="14">
        <v>0.2</v>
      </c>
      <c r="Q3434" s="15">
        <v>0.4</v>
      </c>
      <c r="R3434" s="16" t="str">
        <f t="shared" si="281"/>
        <v>MIOKEE</v>
      </c>
      <c r="S3434" s="17"/>
      <c r="T3434" s="10" t="str">
        <f t="shared" ref="T3434:T3444" si="286">G3434</f>
        <v xml:space="preserve">METRO DE CABLE UTP CATEGORÍA 6. </v>
      </c>
    </row>
    <row r="3435" spans="1:20" ht="27" customHeight="1" x14ac:dyDescent="0.25">
      <c r="A3435" s="8" t="s">
        <v>6941</v>
      </c>
      <c r="B3435" s="9" t="s">
        <v>28</v>
      </c>
      <c r="C3435" s="9"/>
      <c r="D3435" s="8"/>
      <c r="E3435" s="8"/>
      <c r="F3435" s="8" t="s">
        <v>22</v>
      </c>
      <c r="G3435" s="10" t="s">
        <v>6944</v>
      </c>
      <c r="H3435" s="8" t="s">
        <v>6945</v>
      </c>
      <c r="I3435" s="10" t="s">
        <v>6944</v>
      </c>
      <c r="J3435" s="11" t="s">
        <v>33</v>
      </c>
      <c r="K3435" s="18">
        <v>180000</v>
      </c>
      <c r="L3435" s="12">
        <f t="shared" si="285"/>
        <v>300000</v>
      </c>
      <c r="M3435" s="8">
        <v>1</v>
      </c>
      <c r="N3435" s="8" t="s">
        <v>27</v>
      </c>
      <c r="O3435" s="13"/>
      <c r="P3435" s="14">
        <v>0.2</v>
      </c>
      <c r="Q3435" s="15">
        <v>0.4</v>
      </c>
      <c r="R3435" s="16" t="str">
        <f t="shared" si="281"/>
        <v>MIOKEE</v>
      </c>
      <c r="S3435" s="17"/>
      <c r="T3435" s="10" t="str">
        <f t="shared" si="286"/>
        <v xml:space="preserve">ROLLO DE CABLE UTP DE 305 METROS CATEGORÍA 6. </v>
      </c>
    </row>
    <row r="3436" spans="1:20" ht="27" customHeight="1" x14ac:dyDescent="0.25">
      <c r="A3436" s="8" t="s">
        <v>6941</v>
      </c>
      <c r="B3436" s="9" t="s">
        <v>28</v>
      </c>
      <c r="C3436" s="9"/>
      <c r="D3436" s="8"/>
      <c r="E3436" s="8"/>
      <c r="F3436" s="8" t="s">
        <v>22</v>
      </c>
      <c r="G3436" s="10" t="s">
        <v>6946</v>
      </c>
      <c r="H3436" s="8" t="s">
        <v>6947</v>
      </c>
      <c r="I3436" s="10" t="s">
        <v>6946</v>
      </c>
      <c r="J3436" s="11" t="s">
        <v>33</v>
      </c>
      <c r="K3436" s="18">
        <f>115000/305</f>
        <v>377.04918032786884</v>
      </c>
      <c r="L3436" s="12">
        <f t="shared" si="285"/>
        <v>600</v>
      </c>
      <c r="M3436" s="8">
        <v>1</v>
      </c>
      <c r="N3436" s="8" t="s">
        <v>110</v>
      </c>
      <c r="O3436" s="13"/>
      <c r="P3436" s="14">
        <v>0.2</v>
      </c>
      <c r="Q3436" s="15">
        <v>0.35</v>
      </c>
      <c r="R3436" s="16" t="str">
        <f t="shared" si="281"/>
        <v>MIOKEE</v>
      </c>
      <c r="S3436" s="17"/>
      <c r="T3436" s="10" t="str">
        <f t="shared" si="286"/>
        <v>METRO DE CABLE UTP CATEGORÍA 5.</v>
      </c>
    </row>
    <row r="3437" spans="1:20" ht="27" customHeight="1" x14ac:dyDescent="0.25">
      <c r="A3437" s="8" t="s">
        <v>6941</v>
      </c>
      <c r="B3437" s="9" t="s">
        <v>28</v>
      </c>
      <c r="C3437" s="9"/>
      <c r="D3437" s="8"/>
      <c r="E3437" s="8"/>
      <c r="F3437" s="8" t="s">
        <v>22</v>
      </c>
      <c r="G3437" s="10" t="s">
        <v>6948</v>
      </c>
      <c r="H3437" s="8" t="s">
        <v>6949</v>
      </c>
      <c r="I3437" s="10" t="s">
        <v>6948</v>
      </c>
      <c r="J3437" s="11" t="s">
        <v>33</v>
      </c>
      <c r="K3437" s="18">
        <v>115000</v>
      </c>
      <c r="L3437" s="12">
        <f t="shared" si="285"/>
        <v>191700</v>
      </c>
      <c r="M3437" s="8">
        <v>1</v>
      </c>
      <c r="N3437" s="8" t="s">
        <v>27</v>
      </c>
      <c r="O3437" s="13"/>
      <c r="P3437" s="14">
        <v>0.2</v>
      </c>
      <c r="Q3437" s="15">
        <v>0.4</v>
      </c>
      <c r="R3437" s="16" t="str">
        <f t="shared" si="281"/>
        <v>MIOKEE</v>
      </c>
      <c r="S3437" s="17"/>
      <c r="T3437" s="10" t="str">
        <f t="shared" si="286"/>
        <v>ROLLO DE CABLE UTP DE 305 METROS CATEGORÍA 5.</v>
      </c>
    </row>
    <row r="3438" spans="1:20" ht="27" customHeight="1" x14ac:dyDescent="0.25">
      <c r="A3438" s="8" t="s">
        <v>6950</v>
      </c>
      <c r="B3438" s="9" t="s">
        <v>812</v>
      </c>
      <c r="C3438" s="9"/>
      <c r="D3438" s="8"/>
      <c r="E3438" s="8"/>
      <c r="F3438" s="8" t="s">
        <v>22</v>
      </c>
      <c r="G3438" s="10" t="s">
        <v>6951</v>
      </c>
      <c r="H3438" s="8" t="s">
        <v>2781</v>
      </c>
      <c r="I3438" s="10" t="s">
        <v>6951</v>
      </c>
      <c r="J3438" s="11" t="s">
        <v>26</v>
      </c>
      <c r="K3438" s="18">
        <v>64</v>
      </c>
      <c r="L3438" s="12">
        <f t="shared" si="285"/>
        <v>95.999999999999986</v>
      </c>
      <c r="M3438" s="8">
        <v>1</v>
      </c>
      <c r="N3438" s="8" t="s">
        <v>27</v>
      </c>
      <c r="O3438" s="13"/>
      <c r="P3438" s="14">
        <v>0.2</v>
      </c>
      <c r="Q3438" s="15">
        <v>0.2</v>
      </c>
      <c r="R3438" s="16" t="str">
        <f t="shared" si="281"/>
        <v>MONOPRICE</v>
      </c>
      <c r="S3438" s="17"/>
      <c r="T3438" s="10" t="str">
        <f t="shared" si="286"/>
        <v>EXTENSOR DE AUDIO POR CATEGORÍA 5.</v>
      </c>
    </row>
    <row r="3439" spans="1:20" ht="27" customHeight="1" x14ac:dyDescent="0.25">
      <c r="A3439" s="8" t="s">
        <v>6950</v>
      </c>
      <c r="B3439" s="9"/>
      <c r="C3439" s="9"/>
      <c r="D3439" s="8"/>
      <c r="E3439" s="8"/>
      <c r="F3439" s="8" t="s">
        <v>22</v>
      </c>
      <c r="G3439" s="10" t="s">
        <v>6952</v>
      </c>
      <c r="H3439" s="8" t="s">
        <v>6953</v>
      </c>
      <c r="I3439" s="10" t="s">
        <v>6952</v>
      </c>
      <c r="J3439" s="11" t="s">
        <v>26</v>
      </c>
      <c r="K3439" s="18">
        <v>69</v>
      </c>
      <c r="L3439" s="12">
        <f t="shared" si="285"/>
        <v>103.49999999999999</v>
      </c>
      <c r="M3439" s="8">
        <v>1</v>
      </c>
      <c r="N3439" s="8" t="s">
        <v>27</v>
      </c>
      <c r="O3439" s="13"/>
      <c r="P3439" s="14">
        <v>0.2</v>
      </c>
      <c r="Q3439" s="15">
        <v>0.2</v>
      </c>
      <c r="R3439" s="16" t="str">
        <f t="shared" ref="R3439:R3502" si="287">A3439</f>
        <v>MONOPRICE</v>
      </c>
      <c r="S3439" s="17"/>
      <c r="T3439" s="10" t="str">
        <f t="shared" si="286"/>
        <v>EXTENDER DE SEÑALES RS232</v>
      </c>
    </row>
    <row r="3440" spans="1:20" ht="27" customHeight="1" x14ac:dyDescent="0.25">
      <c r="A3440" s="8" t="s">
        <v>6950</v>
      </c>
      <c r="B3440" s="9"/>
      <c r="C3440" s="9"/>
      <c r="D3440" s="8"/>
      <c r="E3440" s="8"/>
      <c r="F3440" s="8" t="s">
        <v>22</v>
      </c>
      <c r="G3440" s="10" t="s">
        <v>6954</v>
      </c>
      <c r="H3440" s="8" t="s">
        <v>6955</v>
      </c>
      <c r="I3440" s="10" t="s">
        <v>6954</v>
      </c>
      <c r="J3440" s="11" t="s">
        <v>26</v>
      </c>
      <c r="K3440" s="18">
        <v>37</v>
      </c>
      <c r="L3440" s="12">
        <f t="shared" si="285"/>
        <v>55.499999999999993</v>
      </c>
      <c r="M3440" s="8">
        <v>1</v>
      </c>
      <c r="N3440" s="8" t="s">
        <v>27</v>
      </c>
      <c r="O3440" s="13"/>
      <c r="P3440" s="14">
        <v>0.2</v>
      </c>
      <c r="Q3440" s="15">
        <v>0.2</v>
      </c>
      <c r="R3440" s="16" t="str">
        <f t="shared" si="287"/>
        <v>MONOPRICE</v>
      </c>
      <c r="S3440" s="17"/>
      <c r="T3440" s="10" t="str">
        <f t="shared" si="286"/>
        <v>POWER SUPPLY DE 10 AMPERIOS PARA 16 CÁMARAS ANÁLOGAS</v>
      </c>
    </row>
    <row r="3441" spans="1:20" ht="27" customHeight="1" x14ac:dyDescent="0.25">
      <c r="A3441" s="8" t="s">
        <v>6956</v>
      </c>
      <c r="B3441" s="9"/>
      <c r="C3441" s="9"/>
      <c r="D3441" s="8"/>
      <c r="E3441" s="8"/>
      <c r="F3441" s="8" t="s">
        <v>22</v>
      </c>
      <c r="G3441" s="10" t="s">
        <v>2554</v>
      </c>
      <c r="H3441" s="8" t="s">
        <v>6957</v>
      </c>
      <c r="I3441" s="10" t="s">
        <v>2554</v>
      </c>
      <c r="J3441" s="11" t="s">
        <v>33</v>
      </c>
      <c r="K3441" s="18">
        <v>89655</v>
      </c>
      <c r="L3441" s="12">
        <f t="shared" si="285"/>
        <v>128100</v>
      </c>
      <c r="M3441" s="8">
        <v>1</v>
      </c>
      <c r="N3441" s="8" t="s">
        <v>27</v>
      </c>
      <c r="O3441" s="13"/>
      <c r="P3441" s="14">
        <v>0.2</v>
      </c>
      <c r="Q3441" s="15">
        <v>0.3</v>
      </c>
      <c r="R3441" s="16" t="str">
        <f t="shared" si="287"/>
        <v>MONSTER</v>
      </c>
      <c r="S3441" s="17"/>
      <c r="T3441" s="10" t="str">
        <f t="shared" si="286"/>
        <v>CABLE HDMI DE 15 METROS</v>
      </c>
    </row>
    <row r="3442" spans="1:20" ht="27" customHeight="1" x14ac:dyDescent="0.25">
      <c r="A3442" s="8" t="s">
        <v>6956</v>
      </c>
      <c r="B3442" s="9"/>
      <c r="C3442" s="9"/>
      <c r="D3442" s="8"/>
      <c r="E3442" s="8"/>
      <c r="F3442" s="8" t="s">
        <v>22</v>
      </c>
      <c r="G3442" s="10" t="s">
        <v>6958</v>
      </c>
      <c r="H3442" s="8" t="s">
        <v>6959</v>
      </c>
      <c r="I3442" s="10" t="s">
        <v>6958</v>
      </c>
      <c r="J3442" s="11" t="s">
        <v>33</v>
      </c>
      <c r="K3442" s="18">
        <v>27931</v>
      </c>
      <c r="L3442" s="12">
        <f t="shared" si="285"/>
        <v>40000</v>
      </c>
      <c r="M3442" s="8">
        <v>1</v>
      </c>
      <c r="N3442" s="8" t="s">
        <v>27</v>
      </c>
      <c r="O3442" s="13"/>
      <c r="P3442" s="14">
        <v>0.2</v>
      </c>
      <c r="Q3442" s="15">
        <v>0.3</v>
      </c>
      <c r="R3442" s="16" t="str">
        <f t="shared" si="287"/>
        <v>MONSTER</v>
      </c>
      <c r="S3442" s="17"/>
      <c r="T3442" s="10" t="str">
        <f t="shared" si="286"/>
        <v>FACEPLATE HDMI</v>
      </c>
    </row>
    <row r="3443" spans="1:20" ht="27" customHeight="1" x14ac:dyDescent="0.25">
      <c r="A3443" s="8" t="s">
        <v>6956</v>
      </c>
      <c r="B3443" s="9"/>
      <c r="C3443" s="9"/>
      <c r="D3443" s="8"/>
      <c r="E3443" s="8"/>
      <c r="F3443" s="8" t="s">
        <v>22</v>
      </c>
      <c r="G3443" s="10" t="s">
        <v>6960</v>
      </c>
      <c r="H3443" s="8" t="s">
        <v>6961</v>
      </c>
      <c r="I3443" s="10" t="s">
        <v>6960</v>
      </c>
      <c r="J3443" s="11" t="s">
        <v>33</v>
      </c>
      <c r="K3443" s="18">
        <v>30000</v>
      </c>
      <c r="L3443" s="12">
        <f t="shared" si="285"/>
        <v>42900</v>
      </c>
      <c r="M3443" s="8">
        <v>1</v>
      </c>
      <c r="N3443" s="8" t="s">
        <v>27</v>
      </c>
      <c r="O3443" s="13"/>
      <c r="P3443" s="14">
        <v>0.2</v>
      </c>
      <c r="Q3443" s="15">
        <v>0.3</v>
      </c>
      <c r="R3443" s="16" t="str">
        <f t="shared" si="287"/>
        <v>MONSTER</v>
      </c>
      <c r="S3443" s="17"/>
      <c r="T3443" s="10" t="str">
        <f t="shared" si="286"/>
        <v>CABLE HDMI DE 3.6 METROS</v>
      </c>
    </row>
    <row r="3444" spans="1:20" ht="27" customHeight="1" x14ac:dyDescent="0.25">
      <c r="A3444" s="8" t="s">
        <v>6956</v>
      </c>
      <c r="B3444" s="9"/>
      <c r="C3444" s="9"/>
      <c r="D3444" s="8"/>
      <c r="E3444" s="8"/>
      <c r="F3444" s="8" t="s">
        <v>22</v>
      </c>
      <c r="G3444" s="10" t="s">
        <v>6962</v>
      </c>
      <c r="H3444" s="8" t="s">
        <v>6963</v>
      </c>
      <c r="I3444" s="10" t="s">
        <v>6962</v>
      </c>
      <c r="J3444" s="11" t="s">
        <v>33</v>
      </c>
      <c r="K3444" s="18">
        <v>89655</v>
      </c>
      <c r="L3444" s="12">
        <f t="shared" si="285"/>
        <v>128100</v>
      </c>
      <c r="M3444" s="8">
        <v>1</v>
      </c>
      <c r="N3444" s="8" t="s">
        <v>27</v>
      </c>
      <c r="O3444" s="13"/>
      <c r="P3444" s="14">
        <v>0.2</v>
      </c>
      <c r="Q3444" s="15">
        <v>0.3</v>
      </c>
      <c r="R3444" s="16" t="str">
        <f t="shared" si="287"/>
        <v>MONSTER</v>
      </c>
      <c r="S3444" s="17"/>
      <c r="T3444" s="10" t="str">
        <f t="shared" si="286"/>
        <v>CABLE HDMI DE 7.5 METROS</v>
      </c>
    </row>
    <row r="3445" spans="1:20" ht="27" customHeight="1" x14ac:dyDescent="0.25">
      <c r="A3445" s="8" t="s">
        <v>6964</v>
      </c>
      <c r="B3445" s="9"/>
      <c r="C3445" s="9"/>
      <c r="D3445" s="8"/>
      <c r="E3445" s="8"/>
      <c r="F3445" s="8"/>
      <c r="G3445" s="10"/>
      <c r="H3445" s="8" t="s">
        <v>6965</v>
      </c>
      <c r="I3445" s="10" t="s">
        <v>6966</v>
      </c>
      <c r="J3445" s="11" t="s">
        <v>26</v>
      </c>
      <c r="K3445" s="18">
        <v>13</v>
      </c>
      <c r="L3445" s="12">
        <f>K3445*(1+P3445)/(1-Q3445)</f>
        <v>23.63636363636364</v>
      </c>
      <c r="M3445" s="8">
        <v>1</v>
      </c>
      <c r="N3445" s="8" t="s">
        <v>27</v>
      </c>
      <c r="O3445" s="13"/>
      <c r="P3445" s="14">
        <v>0.2</v>
      </c>
      <c r="Q3445" s="15">
        <v>0.34</v>
      </c>
      <c r="R3445" s="16" t="str">
        <f t="shared" si="287"/>
        <v>MOTONG</v>
      </c>
      <c r="S3445" s="17" t="s">
        <v>6967</v>
      </c>
      <c r="T3445" s="10"/>
    </row>
    <row r="3446" spans="1:20" ht="27" customHeight="1" x14ac:dyDescent="0.25">
      <c r="A3446" s="8" t="s">
        <v>6968</v>
      </c>
      <c r="B3446" s="9"/>
      <c r="C3446" s="9"/>
      <c r="D3446" s="8"/>
      <c r="E3446" s="8"/>
      <c r="F3446" s="8"/>
      <c r="G3446" s="10"/>
      <c r="H3446" s="8" t="s">
        <v>6969</v>
      </c>
      <c r="I3446" s="10" t="s">
        <v>6970</v>
      </c>
      <c r="J3446" s="11" t="s">
        <v>26</v>
      </c>
      <c r="K3446" s="18">
        <v>2078</v>
      </c>
      <c r="L3446" s="12">
        <f>K3446*(1+P3446)/(1-Q3446)</f>
        <v>2770.6666666666665</v>
      </c>
      <c r="M3446" s="8">
        <v>1</v>
      </c>
      <c r="N3446" s="8" t="s">
        <v>27</v>
      </c>
      <c r="O3446" s="13"/>
      <c r="P3446" s="14">
        <v>0</v>
      </c>
      <c r="Q3446" s="15">
        <v>0.25</v>
      </c>
      <c r="R3446" s="16" t="str">
        <f t="shared" si="287"/>
        <v>MTEK</v>
      </c>
      <c r="S3446" s="17"/>
      <c r="T3446" s="10"/>
    </row>
    <row r="3447" spans="1:20" ht="27" customHeight="1" x14ac:dyDescent="0.25">
      <c r="A3447" s="8" t="s">
        <v>6971</v>
      </c>
      <c r="B3447" s="9"/>
      <c r="C3447" s="9"/>
      <c r="D3447" s="8"/>
      <c r="E3447" s="8"/>
      <c r="F3447" s="8"/>
      <c r="G3447" s="10"/>
      <c r="H3447" s="8" t="s">
        <v>6972</v>
      </c>
      <c r="I3447" s="10" t="s">
        <v>6973</v>
      </c>
      <c r="J3447" s="11" t="s">
        <v>26</v>
      </c>
      <c r="K3447" s="18">
        <v>38.880000000000003</v>
      </c>
      <c r="L3447" s="12">
        <f>ROUNDUP(K3447*(1+P3447)/(1-Q3447),0)</f>
        <v>67</v>
      </c>
      <c r="M3447" s="8">
        <v>1</v>
      </c>
      <c r="N3447" s="8" t="s">
        <v>27</v>
      </c>
      <c r="O3447" s="13"/>
      <c r="P3447" s="14">
        <v>0.2</v>
      </c>
      <c r="Q3447" s="15">
        <v>0.3</v>
      </c>
      <c r="R3447" s="16" t="str">
        <f t="shared" si="287"/>
        <v>MTXTEC</v>
      </c>
      <c r="S3447" s="17"/>
      <c r="T3447" s="10"/>
    </row>
    <row r="3448" spans="1:20" ht="27" customHeight="1" x14ac:dyDescent="0.25">
      <c r="A3448" s="8" t="s">
        <v>6974</v>
      </c>
      <c r="B3448" s="9"/>
      <c r="C3448" s="9"/>
      <c r="D3448" s="8"/>
      <c r="E3448" s="8"/>
      <c r="F3448" s="8" t="s">
        <v>22</v>
      </c>
      <c r="G3448" s="10" t="s">
        <v>6975</v>
      </c>
      <c r="H3448" s="8" t="s">
        <v>6976</v>
      </c>
      <c r="I3448" s="10" t="s">
        <v>6975</v>
      </c>
      <c r="J3448" s="11" t="s">
        <v>26</v>
      </c>
      <c r="K3448" s="18">
        <f>230/100</f>
        <v>2.2999999999999998</v>
      </c>
      <c r="L3448" s="12">
        <f>IF(J3448="P",ROUNDUP(K3448/(1-Q3448),-2),K3448*(1+P3448)/(1-Q3448))</f>
        <v>3.9428571428571426</v>
      </c>
      <c r="M3448" s="8">
        <v>1</v>
      </c>
      <c r="N3448" s="8" t="s">
        <v>27</v>
      </c>
      <c r="O3448" s="13"/>
      <c r="P3448" s="14">
        <v>0.2</v>
      </c>
      <c r="Q3448" s="15">
        <v>0.3</v>
      </c>
      <c r="R3448" s="16" t="str">
        <f t="shared" si="287"/>
        <v>MUZATA</v>
      </c>
      <c r="S3448" s="17"/>
      <c r="T3448" s="10" t="str">
        <f>G3448</f>
        <v>RIEL LED DE UN METRO EN ALUMINIO Y DIFUSOR BLANCO EN POLICARBONATO.</v>
      </c>
    </row>
    <row r="3449" spans="1:20" ht="27" customHeight="1" x14ac:dyDescent="0.25">
      <c r="A3449" s="8" t="s">
        <v>2520</v>
      </c>
      <c r="B3449" s="9"/>
      <c r="C3449" s="9"/>
      <c r="D3449" s="8"/>
      <c r="E3449" s="8"/>
      <c r="F3449" s="8" t="s">
        <v>22</v>
      </c>
      <c r="G3449" s="10" t="s">
        <v>6977</v>
      </c>
      <c r="H3449" s="8" t="s">
        <v>6978</v>
      </c>
      <c r="I3449" s="10" t="s">
        <v>6977</v>
      </c>
      <c r="J3449" s="11" t="s">
        <v>26</v>
      </c>
      <c r="K3449" s="18">
        <v>100</v>
      </c>
      <c r="L3449" s="12">
        <f>IF(J3449="P",ROUNDUP(K3449/(1-Q3449),-2),K3449*(1+P3449)/(1-Q3449))</f>
        <v>150</v>
      </c>
      <c r="M3449" s="8">
        <v>1</v>
      </c>
      <c r="N3449" s="8" t="s">
        <v>27</v>
      </c>
      <c r="O3449" s="13"/>
      <c r="P3449" s="14">
        <v>0.2</v>
      </c>
      <c r="Q3449" s="15">
        <v>0.2</v>
      </c>
      <c r="R3449" s="16" t="str">
        <f t="shared" si="287"/>
        <v>NA</v>
      </c>
      <c r="S3449" s="17"/>
      <c r="T3449" s="10" t="str">
        <f>G3449</f>
        <v>ACCESS POINT COMERCIAL DE 300N</v>
      </c>
    </row>
    <row r="3450" spans="1:20" ht="27" customHeight="1" x14ac:dyDescent="0.25">
      <c r="A3450" s="8" t="s">
        <v>6979</v>
      </c>
      <c r="B3450" s="9" t="s">
        <v>6980</v>
      </c>
      <c r="C3450" s="9"/>
      <c r="D3450" s="8" t="s">
        <v>21</v>
      </c>
      <c r="E3450" s="8">
        <v>1</v>
      </c>
      <c r="F3450" s="8" t="s">
        <v>22</v>
      </c>
      <c r="G3450" s="10" t="s">
        <v>6981</v>
      </c>
      <c r="H3450" s="8" t="s">
        <v>6982</v>
      </c>
      <c r="I3450" s="10" t="s">
        <v>6981</v>
      </c>
      <c r="J3450" s="11" t="s">
        <v>33</v>
      </c>
      <c r="K3450" s="18">
        <v>225000</v>
      </c>
      <c r="L3450" s="12">
        <f>IF(J3450="P",ROUNDUP(K3450/(1-Q3450),-2),K3450*(1+P3450)/(1-Q3450))</f>
        <v>321500</v>
      </c>
      <c r="M3450" s="8">
        <v>1</v>
      </c>
      <c r="N3450" s="8" t="s">
        <v>27</v>
      </c>
      <c r="O3450" s="13"/>
      <c r="P3450" s="14">
        <v>0</v>
      </c>
      <c r="Q3450" s="15">
        <v>0.3</v>
      </c>
      <c r="R3450" s="16" t="str">
        <f t="shared" si="287"/>
        <v>NACIONAL</v>
      </c>
      <c r="S3450" s="17"/>
      <c r="T3450" s="10" t="str">
        <f>G3450</f>
        <v>GABINETE DE FABRICACIÓN NACIONAL DE 7 UNIDADES DE RACK EN LAMINA.</v>
      </c>
    </row>
    <row r="3451" spans="1:20" ht="27" customHeight="1" x14ac:dyDescent="0.25">
      <c r="A3451" s="8" t="s">
        <v>6983</v>
      </c>
      <c r="B3451" s="9"/>
      <c r="C3451" s="9"/>
      <c r="D3451" s="8" t="s">
        <v>45</v>
      </c>
      <c r="E3451" s="8"/>
      <c r="F3451" s="8" t="s">
        <v>22</v>
      </c>
      <c r="G3451" s="10" t="s">
        <v>6984</v>
      </c>
      <c r="H3451" s="8" t="s">
        <v>6985</v>
      </c>
      <c r="I3451" s="10" t="s">
        <v>6984</v>
      </c>
      <c r="J3451" s="11" t="s">
        <v>26</v>
      </c>
      <c r="K3451" s="18">
        <v>900</v>
      </c>
      <c r="L3451" s="12">
        <f>ROUNDUP(K3451*(1+P3451)/(1-Q3451),0)</f>
        <v>1543</v>
      </c>
      <c r="M3451" s="8">
        <v>1</v>
      </c>
      <c r="N3451" s="8" t="s">
        <v>27</v>
      </c>
      <c r="O3451" s="13"/>
      <c r="P3451" s="14">
        <v>0.2</v>
      </c>
      <c r="Q3451" s="15">
        <v>0.3</v>
      </c>
      <c r="R3451" s="16" t="str">
        <f t="shared" si="287"/>
        <v>NAD</v>
      </c>
      <c r="S3451" s="17"/>
      <c r="T3451" s="10" t="str">
        <f>G3451</f>
        <v>REPRODUCTOR DE ZONA STREAMING CON FORMATO MQA. 60W POR CANAL.</v>
      </c>
    </row>
    <row r="3452" spans="1:20" ht="27" customHeight="1" x14ac:dyDescent="0.25">
      <c r="A3452" s="8" t="s">
        <v>6983</v>
      </c>
      <c r="B3452" s="9"/>
      <c r="C3452" s="9"/>
      <c r="D3452" s="8"/>
      <c r="E3452" s="8"/>
      <c r="F3452" s="8"/>
      <c r="G3452" s="10"/>
      <c r="H3452" s="8" t="s">
        <v>6986</v>
      </c>
      <c r="I3452" s="10" t="s">
        <v>6987</v>
      </c>
      <c r="J3452" s="11" t="s">
        <v>26</v>
      </c>
      <c r="K3452" s="18">
        <v>1050</v>
      </c>
      <c r="L3452" s="12">
        <f>K3452*(1+P3452)/(1-Q3452)</f>
        <v>1400</v>
      </c>
      <c r="M3452" s="8">
        <v>1</v>
      </c>
      <c r="N3452" s="8" t="s">
        <v>27</v>
      </c>
      <c r="O3452" s="13"/>
      <c r="P3452" s="14">
        <v>0</v>
      </c>
      <c r="Q3452" s="15">
        <v>0.25</v>
      </c>
      <c r="R3452" s="16" t="str">
        <f t="shared" si="287"/>
        <v>NAD</v>
      </c>
      <c r="S3452" s="17"/>
      <c r="T3452" s="10"/>
    </row>
    <row r="3453" spans="1:20" ht="27" customHeight="1" x14ac:dyDescent="0.25">
      <c r="A3453" s="8" t="s">
        <v>6983</v>
      </c>
      <c r="B3453" s="9"/>
      <c r="C3453" s="9"/>
      <c r="D3453" s="8"/>
      <c r="E3453" s="8"/>
      <c r="F3453" s="8"/>
      <c r="G3453" s="10"/>
      <c r="H3453" s="8" t="s">
        <v>6988</v>
      </c>
      <c r="I3453" s="10" t="s">
        <v>6989</v>
      </c>
      <c r="J3453" s="11" t="s">
        <v>26</v>
      </c>
      <c r="K3453" s="18">
        <v>2055</v>
      </c>
      <c r="L3453" s="12">
        <f>K3453*(1+P3453)/(1-Q3453)</f>
        <v>2749.9999990716356</v>
      </c>
      <c r="M3453" s="8">
        <v>1</v>
      </c>
      <c r="N3453" s="8" t="s">
        <v>27</v>
      </c>
      <c r="O3453" s="13"/>
      <c r="P3453" s="14">
        <v>0</v>
      </c>
      <c r="Q3453" s="15">
        <v>0.25272727247500321</v>
      </c>
      <c r="R3453" s="16" t="str">
        <f t="shared" si="287"/>
        <v>NAD</v>
      </c>
      <c r="S3453" s="17"/>
      <c r="T3453" s="10"/>
    </row>
    <row r="3454" spans="1:20" ht="27" customHeight="1" x14ac:dyDescent="0.25">
      <c r="A3454" s="8" t="s">
        <v>6990</v>
      </c>
      <c r="B3454" s="9" t="s">
        <v>6990</v>
      </c>
      <c r="C3454" s="9"/>
      <c r="D3454" s="8" t="s">
        <v>2470</v>
      </c>
      <c r="E3454" s="8">
        <v>1</v>
      </c>
      <c r="F3454" s="8" t="s">
        <v>22</v>
      </c>
      <c r="G3454" s="10" t="s">
        <v>6991</v>
      </c>
      <c r="H3454" s="8" t="s">
        <v>6992</v>
      </c>
      <c r="I3454" s="10" t="s">
        <v>6993</v>
      </c>
      <c r="J3454" s="11" t="s">
        <v>26</v>
      </c>
      <c r="K3454" s="18">
        <v>6575</v>
      </c>
      <c r="L3454" s="12">
        <f t="shared" ref="L3454:L3472" si="288">IF(J3454="P",ROUNDUP(K3454/(1-Q3454),-2),K3454*(1+P3454)/(1-Q3454))</f>
        <v>11271.428571428572</v>
      </c>
      <c r="M3454" s="8">
        <v>1</v>
      </c>
      <c r="N3454" s="8" t="s">
        <v>27</v>
      </c>
      <c r="O3454" s="13"/>
      <c r="P3454" s="14">
        <v>0.2</v>
      </c>
      <c r="Q3454" s="15">
        <v>0.3</v>
      </c>
      <c r="R3454" s="16" t="str">
        <f t="shared" si="287"/>
        <v>NEC</v>
      </c>
      <c r="S3454" s="17"/>
      <c r="T3454" s="10" t="str">
        <f t="shared" ref="T3454:T3477" si="289">G3454</f>
        <v>PROYECTOR LASER, CON 6000 LUMEN, RESOLUCIÓN 4K.</v>
      </c>
    </row>
    <row r="3455" spans="1:20" ht="27" customHeight="1" x14ac:dyDescent="0.25">
      <c r="A3455" s="8" t="s">
        <v>6990</v>
      </c>
      <c r="B3455" s="9"/>
      <c r="C3455" s="9"/>
      <c r="D3455" s="8"/>
      <c r="E3455" s="8"/>
      <c r="F3455" s="8" t="s">
        <v>22</v>
      </c>
      <c r="G3455" s="10" t="s">
        <v>6994</v>
      </c>
      <c r="H3455" s="8" t="s">
        <v>6995</v>
      </c>
      <c r="I3455" s="10" t="s">
        <v>6994</v>
      </c>
      <c r="J3455" s="11" t="s">
        <v>26</v>
      </c>
      <c r="K3455" s="18">
        <v>128</v>
      </c>
      <c r="L3455" s="12">
        <f t="shared" si="288"/>
        <v>191.99999999999997</v>
      </c>
      <c r="M3455" s="8">
        <v>1</v>
      </c>
      <c r="N3455" s="8"/>
      <c r="O3455" s="13"/>
      <c r="P3455" s="14">
        <v>0.2</v>
      </c>
      <c r="Q3455" s="15">
        <v>0.2</v>
      </c>
      <c r="R3455" s="16" t="str">
        <f t="shared" si="287"/>
        <v>NEC</v>
      </c>
      <c r="S3455" s="17"/>
      <c r="T3455" s="10" t="str">
        <f t="shared" si="289"/>
        <v xml:space="preserve">LÁMPARA DE REEMPLAZO PARA NP-V302H/V332X/V332W </v>
      </c>
    </row>
    <row r="3456" spans="1:20" ht="27" customHeight="1" x14ac:dyDescent="0.25">
      <c r="A3456" s="8" t="s">
        <v>6990</v>
      </c>
      <c r="B3456" s="9" t="s">
        <v>6990</v>
      </c>
      <c r="C3456" s="9"/>
      <c r="D3456" s="8" t="s">
        <v>568</v>
      </c>
      <c r="E3456" s="8">
        <v>1</v>
      </c>
      <c r="F3456" s="8" t="s">
        <v>22</v>
      </c>
      <c r="G3456" s="10" t="s">
        <v>6996</v>
      </c>
      <c r="H3456" s="8" t="s">
        <v>6997</v>
      </c>
      <c r="I3456" s="10" t="s">
        <v>6996</v>
      </c>
      <c r="J3456" s="11" t="s">
        <v>26</v>
      </c>
      <c r="K3456" s="18">
        <v>341</v>
      </c>
      <c r="L3456" s="12">
        <f t="shared" si="288"/>
        <v>584.57142857142856</v>
      </c>
      <c r="M3456" s="8">
        <v>1</v>
      </c>
      <c r="N3456" s="8" t="s">
        <v>27</v>
      </c>
      <c r="O3456" s="13"/>
      <c r="P3456" s="14">
        <v>0.2</v>
      </c>
      <c r="Q3456" s="15">
        <v>0.3</v>
      </c>
      <c r="R3456" s="16" t="str">
        <f t="shared" si="287"/>
        <v>NEC</v>
      </c>
      <c r="S3456" s="17"/>
      <c r="T3456" s="10" t="str">
        <f t="shared" si="289"/>
        <v>SOPORTE DE TECHO PARA PROYECTOR DE LA SERIE PX. MARCA: NEC.</v>
      </c>
    </row>
    <row r="3457" spans="1:20" ht="27" customHeight="1" x14ac:dyDescent="0.25">
      <c r="A3457" s="8" t="s">
        <v>6990</v>
      </c>
      <c r="B3457" s="9" t="s">
        <v>6990</v>
      </c>
      <c r="C3457" s="9"/>
      <c r="D3457" s="8" t="s">
        <v>6998</v>
      </c>
      <c r="E3457" s="8">
        <v>1</v>
      </c>
      <c r="F3457" s="8" t="s">
        <v>22</v>
      </c>
      <c r="G3457" s="10" t="s">
        <v>6999</v>
      </c>
      <c r="H3457" s="8" t="s">
        <v>7000</v>
      </c>
      <c r="I3457" s="10" t="s">
        <v>7001</v>
      </c>
      <c r="J3457" s="11" t="s">
        <v>26</v>
      </c>
      <c r="K3457" s="18">
        <v>28809</v>
      </c>
      <c r="L3457" s="12">
        <f t="shared" si="288"/>
        <v>43213.499999999993</v>
      </c>
      <c r="M3457" s="8">
        <v>1</v>
      </c>
      <c r="N3457" s="8" t="s">
        <v>27</v>
      </c>
      <c r="O3457" s="13"/>
      <c r="P3457" s="14">
        <v>0.2</v>
      </c>
      <c r="Q3457" s="15">
        <v>0.2</v>
      </c>
      <c r="R3457" s="16" t="str">
        <f t="shared" si="287"/>
        <v>NEC</v>
      </c>
      <c r="S3457" s="17"/>
      <c r="T3457" s="10" t="str">
        <f t="shared" si="289"/>
        <v>ARREGLO DE VIDEO WALL 3x3, CON DISPLAYS DE 46 PULGADAS.</v>
      </c>
    </row>
    <row r="3458" spans="1:20" ht="27" customHeight="1" x14ac:dyDescent="0.25">
      <c r="A3458" s="8" t="s">
        <v>6990</v>
      </c>
      <c r="B3458" s="9" t="s">
        <v>6990</v>
      </c>
      <c r="C3458" s="9"/>
      <c r="D3458" s="8" t="s">
        <v>2087</v>
      </c>
      <c r="E3458" s="8">
        <v>1</v>
      </c>
      <c r="F3458" s="8" t="s">
        <v>22</v>
      </c>
      <c r="G3458" s="10" t="s">
        <v>7002</v>
      </c>
      <c r="H3458" s="8" t="s">
        <v>7003</v>
      </c>
      <c r="I3458" s="10" t="s">
        <v>7002</v>
      </c>
      <c r="J3458" s="11" t="s">
        <v>26</v>
      </c>
      <c r="K3458" s="18">
        <v>186</v>
      </c>
      <c r="L3458" s="12">
        <f t="shared" si="288"/>
        <v>286.15384615384613</v>
      </c>
      <c r="M3458" s="8">
        <v>1</v>
      </c>
      <c r="N3458" s="8" t="s">
        <v>27</v>
      </c>
      <c r="O3458" s="13"/>
      <c r="P3458" s="14">
        <v>0.2</v>
      </c>
      <c r="Q3458" s="15">
        <v>0.22</v>
      </c>
      <c r="R3458" s="16" t="str">
        <f t="shared" si="287"/>
        <v>NEC</v>
      </c>
      <c r="S3458" s="17"/>
      <c r="T3458" s="10" t="str">
        <f t="shared" si="289"/>
        <v>LÁMPARA DE REMPLAZO PARA PROYECTOR DE LA SERIE . INCLUYE ÚNICAMENTE SUMINISTRO.</v>
      </c>
    </row>
    <row r="3459" spans="1:20" ht="27" customHeight="1" x14ac:dyDescent="0.25">
      <c r="A3459" s="8" t="s">
        <v>6990</v>
      </c>
      <c r="B3459" s="9" t="s">
        <v>6990</v>
      </c>
      <c r="C3459" s="9"/>
      <c r="D3459" s="8" t="s">
        <v>2470</v>
      </c>
      <c r="E3459" s="8">
        <v>2</v>
      </c>
      <c r="F3459" s="8" t="s">
        <v>22</v>
      </c>
      <c r="G3459" s="10" t="s">
        <v>7004</v>
      </c>
      <c r="H3459" s="8" t="s">
        <v>7005</v>
      </c>
      <c r="I3459" s="10" t="s">
        <v>7006</v>
      </c>
      <c r="J3459" s="11" t="s">
        <v>26</v>
      </c>
      <c r="K3459" s="18">
        <f>549</f>
        <v>549</v>
      </c>
      <c r="L3459" s="12">
        <f t="shared" si="288"/>
        <v>983.28358208955228</v>
      </c>
      <c r="M3459" s="8">
        <v>1</v>
      </c>
      <c r="N3459" s="8" t="s">
        <v>27</v>
      </c>
      <c r="O3459" s="13"/>
      <c r="P3459" s="14">
        <v>0.2</v>
      </c>
      <c r="Q3459" s="15">
        <v>0.33</v>
      </c>
      <c r="R3459" s="16" t="str">
        <f t="shared" si="287"/>
        <v>NEC</v>
      </c>
      <c r="S3459" s="17"/>
      <c r="T3459" s="10" t="str">
        <f t="shared" si="289"/>
        <v>PROYECTOR WXGA, DLP, 3100 LUMENS, 3000:1 DE CONTRASTE, 3D READY, RJ-45(CTL).</v>
      </c>
    </row>
    <row r="3460" spans="1:20" ht="27" customHeight="1" x14ac:dyDescent="0.25">
      <c r="A3460" s="8" t="s">
        <v>6990</v>
      </c>
      <c r="B3460" s="9" t="s">
        <v>6990</v>
      </c>
      <c r="C3460" s="9"/>
      <c r="D3460" s="8" t="s">
        <v>2470</v>
      </c>
      <c r="E3460" s="8">
        <v>3</v>
      </c>
      <c r="F3460" s="8" t="s">
        <v>22</v>
      </c>
      <c r="G3460" s="10" t="s">
        <v>7007</v>
      </c>
      <c r="H3460" s="8" t="s">
        <v>7008</v>
      </c>
      <c r="I3460" s="10" t="s">
        <v>7009</v>
      </c>
      <c r="J3460" s="11" t="s">
        <v>26</v>
      </c>
      <c r="K3460" s="18">
        <v>478</v>
      </c>
      <c r="L3460" s="12">
        <f t="shared" si="288"/>
        <v>856.11940298507477</v>
      </c>
      <c r="M3460" s="8">
        <v>1</v>
      </c>
      <c r="N3460" s="8" t="s">
        <v>27</v>
      </c>
      <c r="O3460" s="13"/>
      <c r="P3460" s="14">
        <v>0.2</v>
      </c>
      <c r="Q3460" s="15">
        <v>0.33</v>
      </c>
      <c r="R3460" s="16" t="str">
        <f t="shared" si="287"/>
        <v>NEC</v>
      </c>
      <c r="S3460" s="17"/>
      <c r="T3460" s="10" t="str">
        <f t="shared" si="289"/>
        <v>PROYECTOR XGA, DLP, 3300 LUMENS, 10.000:1 DE CONTRASTE, 3D READY, RJ-45(CTL).</v>
      </c>
    </row>
    <row r="3461" spans="1:20" ht="27" customHeight="1" x14ac:dyDescent="0.25">
      <c r="A3461" s="8" t="s">
        <v>6990</v>
      </c>
      <c r="B3461" s="9" t="s">
        <v>6990</v>
      </c>
      <c r="C3461" s="9"/>
      <c r="D3461" s="8" t="s">
        <v>2470</v>
      </c>
      <c r="E3461" s="8">
        <v>3</v>
      </c>
      <c r="F3461" s="8" t="s">
        <v>22</v>
      </c>
      <c r="G3461" s="10" t="s">
        <v>7010</v>
      </c>
      <c r="H3461" s="8" t="s">
        <v>7011</v>
      </c>
      <c r="I3461" s="10" t="s">
        <v>7012</v>
      </c>
      <c r="J3461" s="11" t="s">
        <v>26</v>
      </c>
      <c r="K3461" s="18">
        <v>599</v>
      </c>
      <c r="L3461" s="12">
        <f t="shared" si="288"/>
        <v>1072.8358208955224</v>
      </c>
      <c r="M3461" s="8">
        <v>1</v>
      </c>
      <c r="N3461" s="8" t="s">
        <v>27</v>
      </c>
      <c r="O3461" s="13"/>
      <c r="P3461" s="14">
        <v>0.2</v>
      </c>
      <c r="Q3461" s="15">
        <v>0.33</v>
      </c>
      <c r="R3461" s="16" t="str">
        <f t="shared" si="287"/>
        <v>NEC</v>
      </c>
      <c r="S3461" s="17"/>
      <c r="T3461" s="10" t="str">
        <f t="shared" si="289"/>
        <v>PROYECTOR WXGA, DLP, 3300 LUMENS, 10.000:1 DE CONTRASTE, 3D READY, RJ-45(CTL).</v>
      </c>
    </row>
    <row r="3462" spans="1:20" ht="27" customHeight="1" x14ac:dyDescent="0.25">
      <c r="A3462" s="8" t="s">
        <v>6990</v>
      </c>
      <c r="B3462" s="9" t="s">
        <v>6990</v>
      </c>
      <c r="C3462" s="9"/>
      <c r="D3462" s="8" t="s">
        <v>2470</v>
      </c>
      <c r="E3462" s="8">
        <v>6</v>
      </c>
      <c r="F3462" s="8" t="s">
        <v>22</v>
      </c>
      <c r="G3462" s="10" t="s">
        <v>7013</v>
      </c>
      <c r="H3462" s="8" t="s">
        <v>7014</v>
      </c>
      <c r="I3462" s="10" t="s">
        <v>7015</v>
      </c>
      <c r="J3462" s="11" t="s">
        <v>26</v>
      </c>
      <c r="K3462" s="18">
        <v>439</v>
      </c>
      <c r="L3462" s="12">
        <f t="shared" si="288"/>
        <v>849.67741935483866</v>
      </c>
      <c r="M3462" s="8">
        <v>1</v>
      </c>
      <c r="N3462" s="8" t="s">
        <v>27</v>
      </c>
      <c r="O3462" s="13"/>
      <c r="P3462" s="14">
        <v>0.2</v>
      </c>
      <c r="Q3462" s="15">
        <v>0.38</v>
      </c>
      <c r="R3462" s="16" t="str">
        <f t="shared" si="287"/>
        <v>NEC</v>
      </c>
      <c r="S3462" s="17"/>
      <c r="T3462" s="10" t="str">
        <f t="shared" si="289"/>
        <v>PROYECTOR XGA, DLP, 2800 LUMENS, 10.000:1 DE CONTRASTE, RJ-45(CTL), RGB INPUT.</v>
      </c>
    </row>
    <row r="3463" spans="1:20" ht="27" customHeight="1" x14ac:dyDescent="0.25">
      <c r="A3463" s="8" t="s">
        <v>6990</v>
      </c>
      <c r="B3463" s="9" t="s">
        <v>6990</v>
      </c>
      <c r="C3463" s="9"/>
      <c r="D3463" s="8" t="s">
        <v>2470</v>
      </c>
      <c r="E3463" s="8">
        <v>6</v>
      </c>
      <c r="F3463" s="8" t="s">
        <v>22</v>
      </c>
      <c r="G3463" s="10" t="s">
        <v>7016</v>
      </c>
      <c r="H3463" s="8" t="s">
        <v>7017</v>
      </c>
      <c r="I3463" s="10" t="str">
        <f>UPPER("1080p DLP, 5000 hours lamp life, 4500 Lumen Entry Level Installation Projector - 6000:1 Contrast (with iris), HDBaseT, Dual HDMI input (HDMI 1 supports MHL), VGA, USB Viewer Capability, 3D Sync, Closed Captioning, 11.5 lbs., 3 Year Warranty")</f>
        <v>1080P DLP, 5000 HOURS LAMP LIFE, 4500 LUMEN ENTRY LEVEL INSTALLATION PROJECTOR - 6000:1 CONTRAST (WITH IRIS), HDBASET, DUAL HDMI INPUT (HDMI 1 SUPPORTS MHL), VGA, USB VIEWER CAPABILITY, 3D SYNC, CLOSED CAPTIONING, 11.5 LBS., 3 YEAR WARRANTY</v>
      </c>
      <c r="J3463" s="11" t="s">
        <v>26</v>
      </c>
      <c r="K3463" s="18">
        <v>1677</v>
      </c>
      <c r="L3463" s="12">
        <f t="shared" si="288"/>
        <v>3194.2857142857142</v>
      </c>
      <c r="M3463" s="8">
        <v>1</v>
      </c>
      <c r="N3463" s="8" t="s">
        <v>27</v>
      </c>
      <c r="O3463" s="13"/>
      <c r="P3463" s="14">
        <v>0.2</v>
      </c>
      <c r="Q3463" s="15">
        <v>0.37</v>
      </c>
      <c r="R3463" s="16" t="str">
        <f t="shared" si="287"/>
        <v>NEC</v>
      </c>
      <c r="S3463" s="17"/>
      <c r="T3463" s="10" t="str">
        <f t="shared" si="289"/>
        <v>PROYECTOR 1080P DLP, 5000 HOURS LAMP LIFE, 4500 LUMEN.</v>
      </c>
    </row>
    <row r="3464" spans="1:20" ht="27" customHeight="1" x14ac:dyDescent="0.25">
      <c r="A3464" s="8" t="s">
        <v>6990</v>
      </c>
      <c r="B3464" s="9"/>
      <c r="C3464" s="9"/>
      <c r="D3464" s="8"/>
      <c r="E3464" s="8"/>
      <c r="F3464" s="8" t="s">
        <v>22</v>
      </c>
      <c r="G3464" s="10" t="s">
        <v>7018</v>
      </c>
      <c r="H3464" s="8" t="s">
        <v>7019</v>
      </c>
      <c r="I3464" s="10" t="s">
        <v>7020</v>
      </c>
      <c r="J3464" s="11" t="s">
        <v>26</v>
      </c>
      <c r="K3464" s="18">
        <v>836</v>
      </c>
      <c r="L3464" s="12">
        <f t="shared" si="288"/>
        <v>1592.3809523809523</v>
      </c>
      <c r="M3464" s="8">
        <v>1</v>
      </c>
      <c r="N3464" s="8" t="s">
        <v>27</v>
      </c>
      <c r="O3464" s="13"/>
      <c r="P3464" s="14">
        <v>0.2</v>
      </c>
      <c r="Q3464" s="15">
        <v>0.37</v>
      </c>
      <c r="R3464" s="16" t="str">
        <f t="shared" si="287"/>
        <v>NEC</v>
      </c>
      <c r="S3464" s="17"/>
      <c r="T3464" s="10" t="str">
        <f t="shared" si="289"/>
        <v>PROYECTOR WXGA, DLP, 3500 LUMENS, LENTE DE DISTANCIA CORTA.</v>
      </c>
    </row>
    <row r="3465" spans="1:20" ht="27" customHeight="1" x14ac:dyDescent="0.25">
      <c r="A3465" s="8" t="s">
        <v>6990</v>
      </c>
      <c r="B3465" s="9"/>
      <c r="C3465" s="9"/>
      <c r="D3465" s="8"/>
      <c r="E3465" s="8"/>
      <c r="F3465" s="8" t="s">
        <v>22</v>
      </c>
      <c r="G3465" s="10" t="s">
        <v>7021</v>
      </c>
      <c r="H3465" s="8" t="s">
        <v>7022</v>
      </c>
      <c r="I3465" s="10" t="s">
        <v>7023</v>
      </c>
      <c r="J3465" s="11" t="s">
        <v>26</v>
      </c>
      <c r="K3465" s="18">
        <v>1300</v>
      </c>
      <c r="L3465" s="12">
        <f t="shared" si="288"/>
        <v>1950</v>
      </c>
      <c r="M3465" s="8">
        <v>1</v>
      </c>
      <c r="N3465" s="8" t="s">
        <v>27</v>
      </c>
      <c r="O3465" s="13"/>
      <c r="P3465" s="14">
        <v>0.2</v>
      </c>
      <c r="Q3465" s="15">
        <v>0.2</v>
      </c>
      <c r="R3465" s="16" t="str">
        <f t="shared" si="287"/>
        <v>NEC</v>
      </c>
      <c r="S3465" s="17"/>
      <c r="T3465" s="10" t="str">
        <f t="shared" si="289"/>
        <v>PROYECTOR WXGA DLP,  4500 LUMEN.</v>
      </c>
    </row>
    <row r="3466" spans="1:20" ht="27" customHeight="1" x14ac:dyDescent="0.25">
      <c r="A3466" s="8" t="s">
        <v>6990</v>
      </c>
      <c r="B3466" s="9"/>
      <c r="C3466" s="9"/>
      <c r="D3466" s="8"/>
      <c r="E3466" s="8"/>
      <c r="F3466" s="8" t="s">
        <v>22</v>
      </c>
      <c r="G3466" s="10" t="s">
        <v>7024</v>
      </c>
      <c r="H3466" s="8" t="s">
        <v>7025</v>
      </c>
      <c r="I3466" s="10" t="s">
        <v>7026</v>
      </c>
      <c r="J3466" s="11" t="s">
        <v>26</v>
      </c>
      <c r="K3466" s="18">
        <v>295</v>
      </c>
      <c r="L3466" s="12">
        <f t="shared" si="288"/>
        <v>453.84615384615381</v>
      </c>
      <c r="M3466" s="8">
        <v>1</v>
      </c>
      <c r="N3466" s="8" t="s">
        <v>27</v>
      </c>
      <c r="O3466" s="13"/>
      <c r="P3466" s="14">
        <v>0.2</v>
      </c>
      <c r="Q3466" s="15">
        <v>0.22</v>
      </c>
      <c r="R3466" s="16" t="str">
        <f t="shared" si="287"/>
        <v>NEC</v>
      </c>
      <c r="S3466" s="17"/>
      <c r="T3466" s="10" t="str">
        <f t="shared" si="289"/>
        <v>PROYECTOR SVGA, DLP, 3000 LUMEN.</v>
      </c>
    </row>
    <row r="3467" spans="1:20" ht="27" customHeight="1" x14ac:dyDescent="0.25">
      <c r="A3467" s="8" t="s">
        <v>6990</v>
      </c>
      <c r="B3467" s="9"/>
      <c r="C3467" s="9"/>
      <c r="D3467" s="8"/>
      <c r="E3467" s="8"/>
      <c r="F3467" s="8" t="s">
        <v>22</v>
      </c>
      <c r="G3467" s="10" t="s">
        <v>7027</v>
      </c>
      <c r="H3467" s="8" t="s">
        <v>7028</v>
      </c>
      <c r="I3467" s="10" t="s">
        <v>7029</v>
      </c>
      <c r="J3467" s="11" t="s">
        <v>26</v>
      </c>
      <c r="K3467" s="18">
        <v>328</v>
      </c>
      <c r="L3467" s="12">
        <f t="shared" si="288"/>
        <v>504.61538461538453</v>
      </c>
      <c r="M3467" s="8">
        <v>1</v>
      </c>
      <c r="N3467" s="8" t="s">
        <v>27</v>
      </c>
      <c r="O3467" s="13"/>
      <c r="P3467" s="14">
        <v>0.2</v>
      </c>
      <c r="Q3467" s="15">
        <v>0.22</v>
      </c>
      <c r="R3467" s="16" t="str">
        <f t="shared" si="287"/>
        <v>NEC</v>
      </c>
      <c r="S3467" s="17"/>
      <c r="T3467" s="10" t="str">
        <f t="shared" si="289"/>
        <v>PROYECTOR XGA, DLP, 3000 LUMEN.</v>
      </c>
    </row>
    <row r="3468" spans="1:20" ht="27" customHeight="1" x14ac:dyDescent="0.25">
      <c r="A3468" s="8" t="s">
        <v>6990</v>
      </c>
      <c r="B3468" s="9"/>
      <c r="C3468" s="9"/>
      <c r="D3468" s="8"/>
      <c r="E3468" s="8"/>
      <c r="F3468" s="8" t="s">
        <v>22</v>
      </c>
      <c r="G3468" s="10" t="s">
        <v>7030</v>
      </c>
      <c r="H3468" s="8" t="s">
        <v>7031</v>
      </c>
      <c r="I3468" s="10" t="s">
        <v>7032</v>
      </c>
      <c r="J3468" s="11" t="s">
        <v>26</v>
      </c>
      <c r="K3468" s="18">
        <v>3099</v>
      </c>
      <c r="L3468" s="12">
        <f t="shared" si="288"/>
        <v>4767.6923076923076</v>
      </c>
      <c r="M3468" s="8">
        <v>1</v>
      </c>
      <c r="N3468" s="8" t="s">
        <v>27</v>
      </c>
      <c r="O3468" s="13"/>
      <c r="P3468" s="14">
        <v>0.2</v>
      </c>
      <c r="Q3468" s="15">
        <v>0.22</v>
      </c>
      <c r="R3468" s="16" t="str">
        <f t="shared" si="287"/>
        <v>NEC</v>
      </c>
      <c r="S3468" s="17"/>
      <c r="T3468" s="10" t="str">
        <f t="shared" si="289"/>
        <v>PROYECTOR LASER DE 5.000 LUMENS, TIEMPO ESTIMADO DE LUMINARIA DE 20.000 HORAS.</v>
      </c>
    </row>
    <row r="3469" spans="1:20" ht="27" customHeight="1" x14ac:dyDescent="0.25">
      <c r="A3469" s="8" t="s">
        <v>6990</v>
      </c>
      <c r="B3469" s="9"/>
      <c r="C3469" s="9"/>
      <c r="D3469" s="8"/>
      <c r="E3469" s="8"/>
      <c r="F3469" s="8" t="s">
        <v>22</v>
      </c>
      <c r="G3469" s="10" t="s">
        <v>7033</v>
      </c>
      <c r="H3469" s="8" t="s">
        <v>7034</v>
      </c>
      <c r="I3469" s="10" t="s">
        <v>7035</v>
      </c>
      <c r="J3469" s="11" t="s">
        <v>26</v>
      </c>
      <c r="K3469" s="18">
        <v>1806</v>
      </c>
      <c r="L3469" s="12">
        <f t="shared" si="288"/>
        <v>2778.4615384615381</v>
      </c>
      <c r="M3469" s="8">
        <v>1</v>
      </c>
      <c r="N3469" s="8" t="s">
        <v>27</v>
      </c>
      <c r="O3469" s="13"/>
      <c r="P3469" s="14">
        <v>0.2</v>
      </c>
      <c r="Q3469" s="15">
        <v>0.22</v>
      </c>
      <c r="R3469" s="16" t="str">
        <f t="shared" si="287"/>
        <v>NEC</v>
      </c>
      <c r="S3469" s="17"/>
      <c r="T3469" s="10" t="str">
        <f t="shared" si="289"/>
        <v>PROYECTOR WXGA LCD, 5500 LUMEN.</v>
      </c>
    </row>
    <row r="3470" spans="1:20" ht="27" customHeight="1" x14ac:dyDescent="0.25">
      <c r="A3470" s="8" t="s">
        <v>6990</v>
      </c>
      <c r="B3470" s="9"/>
      <c r="C3470" s="9"/>
      <c r="D3470" s="8"/>
      <c r="E3470" s="8"/>
      <c r="F3470" s="8" t="s">
        <v>22</v>
      </c>
      <c r="G3470" s="10" t="s">
        <v>7036</v>
      </c>
      <c r="H3470" s="8" t="s">
        <v>7037</v>
      </c>
      <c r="I3470" s="10" t="s">
        <v>7038</v>
      </c>
      <c r="J3470" s="11" t="s">
        <v>26</v>
      </c>
      <c r="K3470" s="18">
        <v>656</v>
      </c>
      <c r="L3470" s="12">
        <f t="shared" si="288"/>
        <v>1009.2307692307691</v>
      </c>
      <c r="M3470" s="8">
        <v>1</v>
      </c>
      <c r="N3470" s="8" t="s">
        <v>27</v>
      </c>
      <c r="O3470" s="13"/>
      <c r="P3470" s="14">
        <v>0.2</v>
      </c>
      <c r="Q3470" s="15">
        <v>0.22</v>
      </c>
      <c r="R3470" s="16" t="str">
        <f t="shared" si="287"/>
        <v>NEC</v>
      </c>
      <c r="S3470" s="17"/>
      <c r="T3470" s="10" t="str">
        <f t="shared" si="289"/>
        <v>PROYECTOR WXGA, LCD, 3600 LUMEN.</v>
      </c>
    </row>
    <row r="3471" spans="1:20" ht="27" customHeight="1" x14ac:dyDescent="0.25">
      <c r="A3471" s="8" t="s">
        <v>6990</v>
      </c>
      <c r="B3471" s="9"/>
      <c r="C3471" s="9"/>
      <c r="D3471" s="8"/>
      <c r="E3471" s="8"/>
      <c r="F3471" s="8" t="s">
        <v>22</v>
      </c>
      <c r="G3471" s="10" t="s">
        <v>7039</v>
      </c>
      <c r="H3471" s="8" t="s">
        <v>7040</v>
      </c>
      <c r="I3471" s="10" t="s">
        <v>7041</v>
      </c>
      <c r="J3471" s="11" t="s">
        <v>26</v>
      </c>
      <c r="K3471" s="18">
        <v>1786</v>
      </c>
      <c r="L3471" s="12">
        <f t="shared" si="288"/>
        <v>2747.6923076923072</v>
      </c>
      <c r="M3471" s="8">
        <v>1</v>
      </c>
      <c r="N3471" s="8" t="s">
        <v>27</v>
      </c>
      <c r="O3471" s="13"/>
      <c r="P3471" s="14">
        <v>0.2</v>
      </c>
      <c r="Q3471" s="15">
        <v>0.22</v>
      </c>
      <c r="R3471" s="16" t="str">
        <f t="shared" si="287"/>
        <v>NEC</v>
      </c>
      <c r="S3471" s="17"/>
      <c r="T3471" s="10" t="str">
        <f t="shared" si="289"/>
        <v>PROYECTOR WXGA DLP, LASER, 20,000 HORAS.</v>
      </c>
    </row>
    <row r="3472" spans="1:20" ht="27" customHeight="1" x14ac:dyDescent="0.25">
      <c r="A3472" s="8" t="s">
        <v>6990</v>
      </c>
      <c r="B3472" s="9"/>
      <c r="C3472" s="9"/>
      <c r="D3472" s="8" t="s">
        <v>45</v>
      </c>
      <c r="E3472" s="8"/>
      <c r="F3472" s="8" t="s">
        <v>22</v>
      </c>
      <c r="G3472" s="10" t="s">
        <v>7042</v>
      </c>
      <c r="H3472" s="8" t="s">
        <v>7043</v>
      </c>
      <c r="I3472" s="10" t="s">
        <v>7042</v>
      </c>
      <c r="J3472" s="11" t="s">
        <v>26</v>
      </c>
      <c r="K3472" s="18">
        <v>6</v>
      </c>
      <c r="L3472" s="12">
        <f t="shared" si="288"/>
        <v>10</v>
      </c>
      <c r="M3472" s="8">
        <v>1</v>
      </c>
      <c r="N3472" s="8" t="s">
        <v>27</v>
      </c>
      <c r="O3472" s="13"/>
      <c r="P3472" s="14">
        <v>0</v>
      </c>
      <c r="Q3472" s="15">
        <v>0.4</v>
      </c>
      <c r="R3472" s="16" t="str">
        <f t="shared" si="287"/>
        <v>NEC</v>
      </c>
      <c r="S3472" s="17"/>
      <c r="T3472" s="10" t="str">
        <f t="shared" si="289"/>
        <v>CONTROL REMOTO PARA PROYECTOR NEC</v>
      </c>
    </row>
    <row r="3473" spans="1:20" ht="27" customHeight="1" x14ac:dyDescent="0.25">
      <c r="A3473" s="8" t="s">
        <v>6990</v>
      </c>
      <c r="B3473" s="9"/>
      <c r="C3473" s="9"/>
      <c r="D3473" s="8" t="s">
        <v>45</v>
      </c>
      <c r="E3473" s="8"/>
      <c r="F3473" s="8" t="s">
        <v>22</v>
      </c>
      <c r="G3473" s="10" t="s">
        <v>7044</v>
      </c>
      <c r="H3473" s="8" t="s">
        <v>7045</v>
      </c>
      <c r="I3473" s="10" t="s">
        <v>7044</v>
      </c>
      <c r="J3473" s="11" t="s">
        <v>26</v>
      </c>
      <c r="K3473" s="18">
        <v>420000</v>
      </c>
      <c r="L3473" s="12">
        <f>ROUNDUP(K3473*(1+P3473)/(1-Q3473),0)</f>
        <v>699777</v>
      </c>
      <c r="M3473" s="8">
        <v>1</v>
      </c>
      <c r="N3473" s="8" t="s">
        <v>27</v>
      </c>
      <c r="O3473" s="13"/>
      <c r="P3473" s="14">
        <v>0.2</v>
      </c>
      <c r="Q3473" s="15">
        <v>0.27977000000000002</v>
      </c>
      <c r="R3473" s="16" t="str">
        <f t="shared" si="287"/>
        <v>NEC</v>
      </c>
      <c r="S3473" s="17"/>
      <c r="T3473" s="10" t="str">
        <f t="shared" si="289"/>
        <v>BALASTO PARA PROYECTOR P-451X</v>
      </c>
    </row>
    <row r="3474" spans="1:20" ht="27" customHeight="1" x14ac:dyDescent="0.25">
      <c r="A3474" s="8" t="s">
        <v>6990</v>
      </c>
      <c r="B3474" s="9"/>
      <c r="C3474" s="9"/>
      <c r="D3474" s="8" t="s">
        <v>45</v>
      </c>
      <c r="E3474" s="8"/>
      <c r="F3474" s="8" t="s">
        <v>22</v>
      </c>
      <c r="G3474" s="10" t="s">
        <v>7046</v>
      </c>
      <c r="H3474" s="8" t="s">
        <v>7047</v>
      </c>
      <c r="I3474" s="10" t="s">
        <v>7048</v>
      </c>
      <c r="J3474" s="11" t="s">
        <v>26</v>
      </c>
      <c r="K3474" s="18">
        <v>116</v>
      </c>
      <c r="L3474" s="12">
        <f>IF(J3474="P",ROUNDUP(K3474/(1-Q3474),-2),K3474*(1+P3474)/(1-Q3474))</f>
        <v>198.85714285714286</v>
      </c>
      <c r="M3474" s="8">
        <v>1</v>
      </c>
      <c r="N3474" s="8" t="s">
        <v>27</v>
      </c>
      <c r="O3474" s="13"/>
      <c r="P3474" s="14">
        <v>0.2</v>
      </c>
      <c r="Q3474" s="15">
        <v>0.3</v>
      </c>
      <c r="R3474" s="16" t="str">
        <f t="shared" si="287"/>
        <v>NEC</v>
      </c>
      <c r="S3474" s="17"/>
      <c r="T3474" s="10" t="str">
        <f t="shared" si="289"/>
        <v>LAMPARA DE LA SERIE:  NP-P401W/P451X/P451W Y NP-P501X</v>
      </c>
    </row>
    <row r="3475" spans="1:20" ht="27" customHeight="1" x14ac:dyDescent="0.25">
      <c r="A3475" s="8" t="s">
        <v>6990</v>
      </c>
      <c r="B3475" s="9"/>
      <c r="C3475" s="9"/>
      <c r="D3475" s="8" t="s">
        <v>45</v>
      </c>
      <c r="E3475" s="8"/>
      <c r="F3475" s="8" t="s">
        <v>22</v>
      </c>
      <c r="G3475" s="10" t="s">
        <v>7049</v>
      </c>
      <c r="H3475" s="8" t="s">
        <v>7050</v>
      </c>
      <c r="I3475" s="10" t="s">
        <v>7051</v>
      </c>
      <c r="J3475" s="11" t="s">
        <v>26</v>
      </c>
      <c r="K3475" s="18">
        <v>1147</v>
      </c>
      <c r="L3475" s="12">
        <f>IF(J3475="P",ROUNDUP(K3475/(1-Q3475),-2),K3475*(1+P3475)/(1-Q3475))</f>
        <v>1966.2857142857142</v>
      </c>
      <c r="M3475" s="8">
        <v>1</v>
      </c>
      <c r="N3475" s="8" t="s">
        <v>27</v>
      </c>
      <c r="O3475" s="13"/>
      <c r="P3475" s="14">
        <v>0.2</v>
      </c>
      <c r="Q3475" s="15">
        <v>0.3</v>
      </c>
      <c r="R3475" s="16" t="str">
        <f t="shared" si="287"/>
        <v>NEC</v>
      </c>
      <c r="S3475" s="17"/>
      <c r="T3475" s="10" t="str">
        <f t="shared" si="289"/>
        <v>PROYECTOR WXGA, CONTRASTE 18.000:1.</v>
      </c>
    </row>
    <row r="3476" spans="1:20" ht="27" customHeight="1" x14ac:dyDescent="0.25">
      <c r="A3476" s="8" t="s">
        <v>6990</v>
      </c>
      <c r="B3476" s="9"/>
      <c r="C3476" s="9"/>
      <c r="D3476" s="8" t="s">
        <v>45</v>
      </c>
      <c r="E3476" s="8"/>
      <c r="F3476" s="8" t="s">
        <v>22</v>
      </c>
      <c r="G3476" s="10" t="s">
        <v>7052</v>
      </c>
      <c r="H3476" s="8" t="s">
        <v>7053</v>
      </c>
      <c r="I3476" s="10" t="s">
        <v>7054</v>
      </c>
      <c r="J3476" s="11" t="s">
        <v>26</v>
      </c>
      <c r="K3476" s="18">
        <v>1931</v>
      </c>
      <c r="L3476" s="12">
        <f>IF(J3476="P",ROUNDUP(K3476/(1-Q3476),-2),K3476*(1+P3476)/(1-Q3476))</f>
        <v>3310.2857142857142</v>
      </c>
      <c r="M3476" s="8">
        <v>3</v>
      </c>
      <c r="N3476" s="8" t="s">
        <v>27</v>
      </c>
      <c r="O3476" s="13"/>
      <c r="P3476" s="14">
        <v>0.2</v>
      </c>
      <c r="Q3476" s="15">
        <v>0.3</v>
      </c>
      <c r="R3476" s="16" t="str">
        <f t="shared" si="287"/>
        <v>NEC</v>
      </c>
      <c r="S3476" s="17"/>
      <c r="T3476" s="10" t="str">
        <f t="shared" si="289"/>
        <v>WXGA LCD, FUENTE LASER, 20,000 HORAS DE LAMPARA, 5200 LUMENS.</v>
      </c>
    </row>
    <row r="3477" spans="1:20" ht="27" customHeight="1" x14ac:dyDescent="0.25">
      <c r="A3477" s="8" t="s">
        <v>6990</v>
      </c>
      <c r="B3477" s="9"/>
      <c r="C3477" s="9"/>
      <c r="D3477" s="8" t="s">
        <v>45</v>
      </c>
      <c r="E3477" s="8"/>
      <c r="F3477" s="8" t="s">
        <v>22</v>
      </c>
      <c r="G3477" s="10" t="s">
        <v>7055</v>
      </c>
      <c r="H3477" s="8" t="s">
        <v>7056</v>
      </c>
      <c r="I3477" s="10" t="s">
        <v>7055</v>
      </c>
      <c r="J3477" s="11" t="s">
        <v>26</v>
      </c>
      <c r="K3477" s="18">
        <v>632</v>
      </c>
      <c r="L3477" s="12">
        <f>ROUNDUP(K3477*(1+P3477)/(1-Q3477),0)</f>
        <v>1084</v>
      </c>
      <c r="M3477" s="8">
        <v>1</v>
      </c>
      <c r="N3477" s="8" t="s">
        <v>27</v>
      </c>
      <c r="O3477" s="13"/>
      <c r="P3477" s="14">
        <v>0.2</v>
      </c>
      <c r="Q3477" s="15">
        <v>0.3</v>
      </c>
      <c r="R3477" s="16" t="str">
        <f t="shared" si="287"/>
        <v>NEC</v>
      </c>
      <c r="S3477" s="17"/>
      <c r="T3477" s="10" t="str">
        <f t="shared" si="289"/>
        <v>PROYECTOR DE RESOLUCIÓN DE 1280X800 DE 3700 LUMENS.</v>
      </c>
    </row>
    <row r="3478" spans="1:20" ht="27" customHeight="1" x14ac:dyDescent="0.25">
      <c r="A3478" s="8" t="s">
        <v>6990</v>
      </c>
      <c r="B3478" s="9"/>
      <c r="C3478" s="9"/>
      <c r="D3478" s="8"/>
      <c r="E3478" s="8"/>
      <c r="F3478" s="8"/>
      <c r="G3478" s="10"/>
      <c r="H3478" s="8" t="s">
        <v>7057</v>
      </c>
      <c r="I3478" s="10" t="s">
        <v>7058</v>
      </c>
      <c r="J3478" s="11" t="s">
        <v>26</v>
      </c>
      <c r="K3478" s="18">
        <v>3787</v>
      </c>
      <c r="L3478" s="12">
        <f>IF(J3478="P",ROUNDUP(K3478/(1-Q3478),-2),K3478*(1+P3478)/(1-Q3478))</f>
        <v>6059.2</v>
      </c>
      <c r="M3478" s="8">
        <v>1</v>
      </c>
      <c r="N3478" s="8" t="s">
        <v>27</v>
      </c>
      <c r="O3478" s="13"/>
      <c r="P3478" s="14">
        <v>0.2</v>
      </c>
      <c r="Q3478" s="15">
        <v>0.25</v>
      </c>
      <c r="R3478" s="16" t="str">
        <f t="shared" si="287"/>
        <v>NEC</v>
      </c>
      <c r="S3478" s="17"/>
      <c r="T3478" s="10"/>
    </row>
    <row r="3479" spans="1:20" ht="27" customHeight="1" x14ac:dyDescent="0.25">
      <c r="A3479" s="8" t="s">
        <v>6990</v>
      </c>
      <c r="B3479" s="9"/>
      <c r="C3479" s="9"/>
      <c r="D3479" s="8"/>
      <c r="E3479" s="8"/>
      <c r="F3479" s="8"/>
      <c r="G3479" s="10"/>
      <c r="H3479" s="8" t="s">
        <v>7059</v>
      </c>
      <c r="I3479" s="10" t="s">
        <v>7060</v>
      </c>
      <c r="J3479" s="11" t="s">
        <v>26</v>
      </c>
      <c r="K3479" s="18">
        <v>833</v>
      </c>
      <c r="L3479" s="12">
        <f>K3479*(1+P3479)/(1-Q3479)</f>
        <v>1332.8</v>
      </c>
      <c r="M3479" s="8">
        <v>1</v>
      </c>
      <c r="N3479" s="8" t="s">
        <v>27</v>
      </c>
      <c r="O3479" s="13"/>
      <c r="P3479" s="14">
        <v>0.2</v>
      </c>
      <c r="Q3479" s="15">
        <v>0.25</v>
      </c>
      <c r="R3479" s="16" t="str">
        <f t="shared" si="287"/>
        <v>NEC</v>
      </c>
      <c r="S3479" s="17"/>
      <c r="T3479" s="10"/>
    </row>
    <row r="3480" spans="1:20" ht="27" customHeight="1" x14ac:dyDescent="0.25">
      <c r="A3480" s="8" t="s">
        <v>6990</v>
      </c>
      <c r="B3480" s="9"/>
      <c r="C3480" s="9"/>
      <c r="D3480" s="8"/>
      <c r="E3480" s="8"/>
      <c r="F3480" s="8"/>
      <c r="G3480" s="10"/>
      <c r="H3480" s="8" t="s">
        <v>7061</v>
      </c>
      <c r="I3480" s="10" t="s">
        <v>7062</v>
      </c>
      <c r="J3480" s="11" t="s">
        <v>26</v>
      </c>
      <c r="K3480" s="18">
        <v>3787</v>
      </c>
      <c r="L3480" s="12">
        <f t="shared" ref="L3480:L3511" si="290">IF(J3480="P",ROUNDUP(K3480/(1-Q3480),-2),K3480*(1+P3480)/(1-Q3480))</f>
        <v>6492</v>
      </c>
      <c r="M3480" s="8">
        <v>1</v>
      </c>
      <c r="N3480" s="8" t="s">
        <v>27</v>
      </c>
      <c r="O3480" s="13"/>
      <c r="P3480" s="14">
        <v>0.2</v>
      </c>
      <c r="Q3480" s="15">
        <v>0.3</v>
      </c>
      <c r="R3480" s="16" t="str">
        <f t="shared" si="287"/>
        <v>NEC</v>
      </c>
      <c r="S3480" s="17"/>
      <c r="T3480" s="10"/>
    </row>
    <row r="3481" spans="1:20" ht="27" customHeight="1" x14ac:dyDescent="0.25">
      <c r="A3481" s="8" t="s">
        <v>6990</v>
      </c>
      <c r="B3481" s="9"/>
      <c r="C3481" s="9"/>
      <c r="D3481" s="8"/>
      <c r="E3481" s="8"/>
      <c r="F3481" s="8"/>
      <c r="G3481" s="10"/>
      <c r="H3481" s="8" t="s">
        <v>7063</v>
      </c>
      <c r="I3481" s="10" t="s">
        <v>7064</v>
      </c>
      <c r="J3481" s="11" t="s">
        <v>26</v>
      </c>
      <c r="K3481" s="18">
        <v>2756</v>
      </c>
      <c r="L3481" s="12">
        <f t="shared" si="290"/>
        <v>4724.5714285714284</v>
      </c>
      <c r="M3481" s="8">
        <v>1</v>
      </c>
      <c r="N3481" s="8" t="s">
        <v>27</v>
      </c>
      <c r="O3481" s="13" t="s">
        <v>588</v>
      </c>
      <c r="P3481" s="14">
        <v>0.2</v>
      </c>
      <c r="Q3481" s="15">
        <v>0.3</v>
      </c>
      <c r="R3481" s="16" t="str">
        <f t="shared" si="287"/>
        <v>NEC</v>
      </c>
      <c r="S3481" s="17"/>
      <c r="T3481" s="10"/>
    </row>
    <row r="3482" spans="1:20" ht="27" customHeight="1" x14ac:dyDescent="0.25">
      <c r="A3482" s="8" t="s">
        <v>6990</v>
      </c>
      <c r="B3482" s="9"/>
      <c r="C3482" s="9"/>
      <c r="D3482" s="8"/>
      <c r="E3482" s="8"/>
      <c r="F3482" s="8"/>
      <c r="G3482" s="10"/>
      <c r="H3482" s="8" t="s">
        <v>7065</v>
      </c>
      <c r="I3482" s="10" t="s">
        <v>7066</v>
      </c>
      <c r="J3482" s="11" t="s">
        <v>26</v>
      </c>
      <c r="K3482" s="18">
        <v>1092</v>
      </c>
      <c r="L3482" s="12">
        <f t="shared" si="290"/>
        <v>1872</v>
      </c>
      <c r="M3482" s="8">
        <v>1</v>
      </c>
      <c r="N3482" s="8" t="s">
        <v>27</v>
      </c>
      <c r="O3482" s="13" t="s">
        <v>588</v>
      </c>
      <c r="P3482" s="14">
        <v>0.2</v>
      </c>
      <c r="Q3482" s="15">
        <v>0.3</v>
      </c>
      <c r="R3482" s="16" t="str">
        <f t="shared" si="287"/>
        <v>NEC</v>
      </c>
      <c r="S3482" s="17"/>
      <c r="T3482" s="10"/>
    </row>
    <row r="3483" spans="1:20" ht="27" customHeight="1" x14ac:dyDescent="0.25">
      <c r="A3483" s="8" t="s">
        <v>7067</v>
      </c>
      <c r="B3483" s="9"/>
      <c r="C3483" s="9"/>
      <c r="D3483" s="8"/>
      <c r="E3483" s="8"/>
      <c r="F3483" s="8"/>
      <c r="G3483" s="10"/>
      <c r="H3483" s="8" t="s">
        <v>7068</v>
      </c>
      <c r="I3483" s="10" t="s">
        <v>7069</v>
      </c>
      <c r="J3483" s="11" t="s">
        <v>26</v>
      </c>
      <c r="K3483" s="18">
        <v>100</v>
      </c>
      <c r="L3483" s="12">
        <f t="shared" si="290"/>
        <v>171.42857142857144</v>
      </c>
      <c r="M3483" s="8">
        <v>1</v>
      </c>
      <c r="N3483" s="8" t="s">
        <v>27</v>
      </c>
      <c r="O3483" s="13"/>
      <c r="P3483" s="14">
        <v>0.2</v>
      </c>
      <c r="Q3483" s="15">
        <v>0.3</v>
      </c>
      <c r="R3483" s="16" t="str">
        <f t="shared" si="287"/>
        <v>NERO</v>
      </c>
      <c r="S3483" s="17"/>
      <c r="T3483" s="10"/>
    </row>
    <row r="3484" spans="1:20" ht="27" customHeight="1" x14ac:dyDescent="0.25">
      <c r="A3484" s="8" t="s">
        <v>7070</v>
      </c>
      <c r="B3484" s="9"/>
      <c r="C3484" s="9"/>
      <c r="D3484" s="8"/>
      <c r="E3484" s="8"/>
      <c r="F3484" s="8" t="s">
        <v>22</v>
      </c>
      <c r="G3484" s="10" t="s">
        <v>7071</v>
      </c>
      <c r="H3484" s="8" t="s">
        <v>7072</v>
      </c>
      <c r="I3484" s="10" t="s">
        <v>7071</v>
      </c>
      <c r="J3484" s="11" t="s">
        <v>26</v>
      </c>
      <c r="K3484" s="18">
        <v>249</v>
      </c>
      <c r="L3484" s="12">
        <f t="shared" si="290"/>
        <v>373.5</v>
      </c>
      <c r="M3484" s="8">
        <v>1</v>
      </c>
      <c r="N3484" s="8" t="s">
        <v>27</v>
      </c>
      <c r="O3484" s="13"/>
      <c r="P3484" s="14">
        <v>0.2</v>
      </c>
      <c r="Q3484" s="15">
        <v>0.2</v>
      </c>
      <c r="R3484" s="16" t="str">
        <f t="shared" si="287"/>
        <v>NEST</v>
      </c>
      <c r="S3484" s="17"/>
      <c r="T3484" s="10" t="str">
        <f>G3484</f>
        <v>TERMOSTATO CON TERMINACIÓN SATINADA. PARA CONTROL DE UN ÁREA.</v>
      </c>
    </row>
    <row r="3485" spans="1:20" ht="27" customHeight="1" x14ac:dyDescent="0.25">
      <c r="A3485" s="8" t="s">
        <v>7073</v>
      </c>
      <c r="B3485" s="9"/>
      <c r="C3485" s="9"/>
      <c r="D3485" s="8"/>
      <c r="E3485" s="8"/>
      <c r="F3485" s="8" t="s">
        <v>22</v>
      </c>
      <c r="G3485" s="10" t="s">
        <v>7074</v>
      </c>
      <c r="H3485" s="8" t="s">
        <v>7075</v>
      </c>
      <c r="I3485" s="10" t="s">
        <v>7074</v>
      </c>
      <c r="J3485" s="11" t="s">
        <v>33</v>
      </c>
      <c r="K3485" s="18">
        <v>159000</v>
      </c>
      <c r="L3485" s="12">
        <f t="shared" si="290"/>
        <v>318000</v>
      </c>
      <c r="M3485" s="8">
        <v>1</v>
      </c>
      <c r="N3485" s="8" t="s">
        <v>27</v>
      </c>
      <c r="O3485" s="13" t="s">
        <v>588</v>
      </c>
      <c r="P3485" s="14">
        <v>0</v>
      </c>
      <c r="Q3485" s="15">
        <v>0.5</v>
      </c>
      <c r="R3485" s="16" t="str">
        <f t="shared" si="287"/>
        <v>NETGEAR</v>
      </c>
      <c r="S3485" s="17"/>
      <c r="T3485" s="10" t="str">
        <f>G3485</f>
        <v>EXTENSOR DE RED WIFI CON SALIDA RJ45 ETHERNET</v>
      </c>
    </row>
    <row r="3486" spans="1:20" ht="27" customHeight="1" x14ac:dyDescent="0.25">
      <c r="A3486" s="8" t="s">
        <v>7076</v>
      </c>
      <c r="B3486" s="9" t="s">
        <v>7077</v>
      </c>
      <c r="C3486" s="9"/>
      <c r="D3486" s="8" t="s">
        <v>7078</v>
      </c>
      <c r="E3486" s="8"/>
      <c r="F3486" s="8" t="s">
        <v>22</v>
      </c>
      <c r="G3486" s="10" t="s">
        <v>7079</v>
      </c>
      <c r="H3486" s="8" t="s">
        <v>7080</v>
      </c>
      <c r="I3486" s="10" t="s">
        <v>7081</v>
      </c>
      <c r="J3486" s="11" t="s">
        <v>33</v>
      </c>
      <c r="K3486" s="18">
        <v>3800000</v>
      </c>
      <c r="L3486" s="12">
        <f t="shared" si="290"/>
        <v>5428600</v>
      </c>
      <c r="M3486" s="8">
        <v>1</v>
      </c>
      <c r="N3486" s="8" t="s">
        <v>27</v>
      </c>
      <c r="O3486" s="13"/>
      <c r="P3486" s="14">
        <v>0.2</v>
      </c>
      <c r="Q3486" s="15">
        <v>0.3</v>
      </c>
      <c r="R3486" s="16" t="str">
        <f t="shared" si="287"/>
        <v>NEW LINE</v>
      </c>
      <c r="S3486" s="17"/>
      <c r="T3486" s="10" t="str">
        <f>G3486</f>
        <v>REGULADOR DE VOLTAJE TRIFÁSICO DE 20kwa.</v>
      </c>
    </row>
    <row r="3487" spans="1:20" ht="27" customHeight="1" x14ac:dyDescent="0.25">
      <c r="A3487" s="8" t="s">
        <v>7082</v>
      </c>
      <c r="B3487" s="9"/>
      <c r="C3487" s="9"/>
      <c r="D3487" s="8"/>
      <c r="E3487" s="8"/>
      <c r="F3487" s="8" t="s">
        <v>22</v>
      </c>
      <c r="G3487" s="10" t="s">
        <v>7083</v>
      </c>
      <c r="H3487" s="8" t="s">
        <v>7084</v>
      </c>
      <c r="I3487" s="10" t="s">
        <v>7083</v>
      </c>
      <c r="J3487" s="11" t="s">
        <v>33</v>
      </c>
      <c r="K3487" s="18">
        <v>250000</v>
      </c>
      <c r="L3487" s="12">
        <f t="shared" si="290"/>
        <v>416700</v>
      </c>
      <c r="M3487" s="8">
        <v>1</v>
      </c>
      <c r="N3487" s="8" t="s">
        <v>27</v>
      </c>
      <c r="O3487" s="13"/>
      <c r="P3487" s="14">
        <v>0.2</v>
      </c>
      <c r="Q3487" s="15">
        <v>0.4</v>
      </c>
      <c r="R3487" s="16" t="str">
        <f t="shared" si="287"/>
        <v>NEWWELL</v>
      </c>
      <c r="S3487" s="17"/>
      <c r="T3487" s="10" t="str">
        <f>G3487</f>
        <v>FUENTE PARA CINTA LED DE 30 AMPERIOS</v>
      </c>
    </row>
    <row r="3488" spans="1:20" ht="27" customHeight="1" x14ac:dyDescent="0.25">
      <c r="A3488" s="8" t="s">
        <v>7085</v>
      </c>
      <c r="B3488" s="9"/>
      <c r="C3488" s="9"/>
      <c r="D3488" s="8"/>
      <c r="E3488" s="8"/>
      <c r="F3488" s="8"/>
      <c r="G3488" s="10"/>
      <c r="H3488" s="8" t="s">
        <v>7086</v>
      </c>
      <c r="I3488" s="10" t="s">
        <v>7087</v>
      </c>
      <c r="J3488" s="11" t="s">
        <v>33</v>
      </c>
      <c r="K3488" s="18">
        <v>39500</v>
      </c>
      <c r="L3488" s="12">
        <f t="shared" si="290"/>
        <v>56500</v>
      </c>
      <c r="M3488" s="8">
        <v>1</v>
      </c>
      <c r="N3488" s="8" t="s">
        <v>27</v>
      </c>
      <c r="O3488" s="13">
        <f>F3488</f>
        <v>0</v>
      </c>
      <c r="P3488" s="14">
        <v>0</v>
      </c>
      <c r="Q3488" s="15">
        <v>0.3</v>
      </c>
      <c r="R3488" s="16" t="str">
        <f t="shared" si="287"/>
        <v>NEXT</v>
      </c>
      <c r="S3488" s="17"/>
      <c r="T3488" s="10"/>
    </row>
    <row r="3489" spans="1:20" ht="27" customHeight="1" x14ac:dyDescent="0.25">
      <c r="A3489" s="8" t="s">
        <v>7088</v>
      </c>
      <c r="B3489" s="9" t="s">
        <v>28</v>
      </c>
      <c r="C3489" s="9"/>
      <c r="D3489" s="8">
        <v>1</v>
      </c>
      <c r="E3489" s="8"/>
      <c r="F3489" s="8" t="s">
        <v>22</v>
      </c>
      <c r="G3489" s="10" t="s">
        <v>7089</v>
      </c>
      <c r="H3489" s="8" t="s">
        <v>7090</v>
      </c>
      <c r="I3489" s="10" t="s">
        <v>7089</v>
      </c>
      <c r="J3489" s="11" t="s">
        <v>33</v>
      </c>
      <c r="K3489" s="18">
        <v>325000</v>
      </c>
      <c r="L3489" s="12">
        <f t="shared" si="290"/>
        <v>492500</v>
      </c>
      <c r="M3489" s="8">
        <v>1</v>
      </c>
      <c r="N3489" s="8" t="s">
        <v>27</v>
      </c>
      <c r="O3489" s="13"/>
      <c r="P3489" s="14">
        <v>0.2</v>
      </c>
      <c r="Q3489" s="15">
        <v>0.34</v>
      </c>
      <c r="R3489" s="16" t="str">
        <f t="shared" si="287"/>
        <v>NEXXT</v>
      </c>
      <c r="S3489" s="17"/>
      <c r="T3489" s="10" t="str">
        <f t="shared" ref="T3489:T3498" si="291">G3489</f>
        <v>ROLLO DE CABLE UTP CAT6 POR 303 METROS.</v>
      </c>
    </row>
    <row r="3490" spans="1:20" ht="27" customHeight="1" x14ac:dyDescent="0.25">
      <c r="A3490" s="8" t="s">
        <v>7088</v>
      </c>
      <c r="B3490" s="9"/>
      <c r="C3490" s="9"/>
      <c r="D3490" s="8"/>
      <c r="E3490" s="8"/>
      <c r="F3490" s="8" t="s">
        <v>22</v>
      </c>
      <c r="G3490" s="10" t="s">
        <v>7091</v>
      </c>
      <c r="H3490" s="8" t="s">
        <v>7092</v>
      </c>
      <c r="I3490" s="10" t="s">
        <v>7091</v>
      </c>
      <c r="J3490" s="11" t="s">
        <v>33</v>
      </c>
      <c r="K3490" s="18">
        <v>2000</v>
      </c>
      <c r="L3490" s="12">
        <f t="shared" si="290"/>
        <v>2900</v>
      </c>
      <c r="M3490" s="8">
        <v>1</v>
      </c>
      <c r="N3490" s="8" t="s">
        <v>27</v>
      </c>
      <c r="O3490" s="13"/>
      <c r="P3490" s="14">
        <v>0.2</v>
      </c>
      <c r="Q3490" s="15">
        <v>0.3</v>
      </c>
      <c r="R3490" s="16" t="str">
        <f t="shared" si="287"/>
        <v>NEXXT</v>
      </c>
      <c r="S3490" s="17"/>
      <c r="T3490" s="10" t="str">
        <f t="shared" si="291"/>
        <v>PLACA SENCILLA PARA JACK</v>
      </c>
    </row>
    <row r="3491" spans="1:20" ht="27" customHeight="1" x14ac:dyDescent="0.25">
      <c r="A3491" s="8" t="s">
        <v>7088</v>
      </c>
      <c r="B3491" s="9" t="s">
        <v>1070</v>
      </c>
      <c r="C3491" s="9"/>
      <c r="D3491" s="8" t="s">
        <v>28</v>
      </c>
      <c r="E3491" s="8">
        <v>1</v>
      </c>
      <c r="F3491" s="8" t="s">
        <v>22</v>
      </c>
      <c r="G3491" s="10" t="s">
        <v>29</v>
      </c>
      <c r="H3491" s="8" t="s">
        <v>7093</v>
      </c>
      <c r="I3491" s="10" t="s">
        <v>29</v>
      </c>
      <c r="J3491" s="11" t="s">
        <v>26</v>
      </c>
      <c r="K3491" s="18">
        <v>220</v>
      </c>
      <c r="L3491" s="12">
        <f t="shared" si="290"/>
        <v>330</v>
      </c>
      <c r="M3491" s="8">
        <v>1</v>
      </c>
      <c r="N3491" s="8" t="s">
        <v>27</v>
      </c>
      <c r="O3491" s="13"/>
      <c r="P3491" s="14">
        <v>0.2</v>
      </c>
      <c r="Q3491" s="15">
        <v>0.2</v>
      </c>
      <c r="R3491" s="16" t="str">
        <f t="shared" si="287"/>
        <v>NEXXT</v>
      </c>
      <c r="S3491" s="17"/>
      <c r="T3491" s="10" t="str">
        <f t="shared" si="291"/>
        <v xml:space="preserve">ROLLO DE CABLE UTP DE 305 METROS CATEGORÍA 5E CERTIFICADO. </v>
      </c>
    </row>
    <row r="3492" spans="1:20" ht="27" customHeight="1" x14ac:dyDescent="0.25">
      <c r="A3492" s="8" t="s">
        <v>7088</v>
      </c>
      <c r="B3492" s="9" t="s">
        <v>1070</v>
      </c>
      <c r="C3492" s="9"/>
      <c r="D3492" s="8" t="s">
        <v>28</v>
      </c>
      <c r="E3492" s="8">
        <v>2</v>
      </c>
      <c r="F3492" s="8" t="s">
        <v>22</v>
      </c>
      <c r="G3492" s="10" t="s">
        <v>31</v>
      </c>
      <c r="H3492" s="8" t="s">
        <v>7094</v>
      </c>
      <c r="I3492" s="10" t="s">
        <v>31</v>
      </c>
      <c r="J3492" s="11" t="s">
        <v>26</v>
      </c>
      <c r="K3492" s="18">
        <v>0.75</v>
      </c>
      <c r="L3492" s="12">
        <f t="shared" si="290"/>
        <v>1.1249999999999998</v>
      </c>
      <c r="M3492" s="8">
        <v>1</v>
      </c>
      <c r="N3492" s="8" t="s">
        <v>110</v>
      </c>
      <c r="O3492" s="13"/>
      <c r="P3492" s="14">
        <v>0.2</v>
      </c>
      <c r="Q3492" s="15">
        <v>0.2</v>
      </c>
      <c r="R3492" s="16" t="str">
        <f t="shared" si="287"/>
        <v>NEXXT</v>
      </c>
      <c r="S3492" s="17"/>
      <c r="T3492" s="10" t="str">
        <f t="shared" si="291"/>
        <v xml:space="preserve">METRO DE CABLE UTP CATEGORÍA 5E CERTIFICADO. </v>
      </c>
    </row>
    <row r="3493" spans="1:20" ht="27" customHeight="1" x14ac:dyDescent="0.25">
      <c r="A3493" s="8" t="s">
        <v>7088</v>
      </c>
      <c r="B3493" s="9" t="s">
        <v>1070</v>
      </c>
      <c r="C3493" s="9"/>
      <c r="D3493" s="8" t="s">
        <v>28</v>
      </c>
      <c r="E3493" s="8">
        <v>2</v>
      </c>
      <c r="F3493" s="8" t="s">
        <v>22</v>
      </c>
      <c r="G3493" s="10" t="s">
        <v>7095</v>
      </c>
      <c r="H3493" s="8" t="s">
        <v>7096</v>
      </c>
      <c r="I3493" s="10" t="s">
        <v>7095</v>
      </c>
      <c r="J3493" s="11" t="s">
        <v>33</v>
      </c>
      <c r="K3493" s="18">
        <v>2200</v>
      </c>
      <c r="L3493" s="12">
        <f t="shared" si="290"/>
        <v>3100</v>
      </c>
      <c r="M3493" s="8">
        <v>1</v>
      </c>
      <c r="N3493" s="8" t="s">
        <v>110</v>
      </c>
      <c r="O3493" s="13"/>
      <c r="P3493" s="14">
        <v>0.2</v>
      </c>
      <c r="Q3493" s="15">
        <v>0.27</v>
      </c>
      <c r="R3493" s="16" t="str">
        <f t="shared" si="287"/>
        <v>NEXXT</v>
      </c>
      <c r="S3493" s="17"/>
      <c r="T3493" s="10" t="str">
        <f t="shared" si="291"/>
        <v xml:space="preserve">METRO DE ALAMBRE AWG 2X18, PARA TRANSMISIÓN DE BUS DE DATOS. </v>
      </c>
    </row>
    <row r="3494" spans="1:20" ht="27" customHeight="1" x14ac:dyDescent="0.25">
      <c r="A3494" s="8" t="s">
        <v>7088</v>
      </c>
      <c r="B3494" s="9"/>
      <c r="C3494" s="9"/>
      <c r="D3494" s="8" t="s">
        <v>45</v>
      </c>
      <c r="E3494" s="8"/>
      <c r="F3494" s="8" t="s">
        <v>22</v>
      </c>
      <c r="G3494" s="10" t="s">
        <v>7097</v>
      </c>
      <c r="H3494" s="8" t="s">
        <v>7098</v>
      </c>
      <c r="I3494" s="10" t="s">
        <v>7097</v>
      </c>
      <c r="J3494" s="11" t="s">
        <v>33</v>
      </c>
      <c r="K3494" s="18">
        <v>89900</v>
      </c>
      <c r="L3494" s="12">
        <f t="shared" si="290"/>
        <v>99900</v>
      </c>
      <c r="M3494" s="8">
        <v>1</v>
      </c>
      <c r="N3494" s="8" t="s">
        <v>110</v>
      </c>
      <c r="O3494" s="13"/>
      <c r="P3494" s="14">
        <v>0</v>
      </c>
      <c r="Q3494" s="15">
        <v>0.1</v>
      </c>
      <c r="R3494" s="16" t="str">
        <f t="shared" si="287"/>
        <v>NEXXT</v>
      </c>
      <c r="S3494" s="17"/>
      <c r="T3494" s="10" t="str">
        <f t="shared" si="291"/>
        <v>ROUTER INALÁMBRICO DE 300MHz</v>
      </c>
    </row>
    <row r="3495" spans="1:20" ht="27" customHeight="1" x14ac:dyDescent="0.25">
      <c r="A3495" s="8" t="s">
        <v>7099</v>
      </c>
      <c r="B3495" s="9"/>
      <c r="C3495" s="9"/>
      <c r="D3495" s="8"/>
      <c r="E3495" s="8"/>
      <c r="F3495" s="8" t="s">
        <v>22</v>
      </c>
      <c r="G3495" s="10" t="s">
        <v>7100</v>
      </c>
      <c r="H3495" s="8" t="s">
        <v>7101</v>
      </c>
      <c r="I3495" s="10" t="s">
        <v>7100</v>
      </c>
      <c r="J3495" s="11" t="s">
        <v>26</v>
      </c>
      <c r="K3495" s="18">
        <f>90/4</f>
        <v>22.5</v>
      </c>
      <c r="L3495" s="12">
        <f t="shared" si="290"/>
        <v>38.571428571428577</v>
      </c>
      <c r="M3495" s="8">
        <v>1</v>
      </c>
      <c r="N3495" s="8" t="s">
        <v>27</v>
      </c>
      <c r="O3495" s="13"/>
      <c r="P3495" s="14">
        <v>0.2</v>
      </c>
      <c r="Q3495" s="15">
        <v>0.3</v>
      </c>
      <c r="R3495" s="16" t="str">
        <f t="shared" si="287"/>
        <v>NILL</v>
      </c>
      <c r="S3495" s="17"/>
      <c r="T3495" s="10" t="str">
        <f t="shared" si="291"/>
        <v xml:space="preserve">TUBO LED DE 5 PIES, 24W, 3000K. </v>
      </c>
    </row>
    <row r="3496" spans="1:20" ht="27" customHeight="1" x14ac:dyDescent="0.25">
      <c r="A3496" s="8" t="s">
        <v>7102</v>
      </c>
      <c r="B3496" s="9"/>
      <c r="C3496" s="9"/>
      <c r="D3496" s="8"/>
      <c r="E3496" s="8"/>
      <c r="F3496" s="8" t="s">
        <v>22</v>
      </c>
      <c r="G3496" s="10" t="s">
        <v>7103</v>
      </c>
      <c r="H3496" s="8" t="s">
        <v>7104</v>
      </c>
      <c r="I3496" s="10" t="s">
        <v>7103</v>
      </c>
      <c r="J3496" s="11" t="s">
        <v>33</v>
      </c>
      <c r="K3496" s="18">
        <v>12100</v>
      </c>
      <c r="L3496" s="12">
        <f t="shared" si="290"/>
        <v>20200</v>
      </c>
      <c r="M3496" s="8">
        <v>1</v>
      </c>
      <c r="N3496" s="8" t="s">
        <v>27</v>
      </c>
      <c r="O3496" s="13"/>
      <c r="P3496" s="14">
        <v>0.2</v>
      </c>
      <c r="Q3496" s="15">
        <v>0.4</v>
      </c>
      <c r="R3496" s="16" t="str">
        <f t="shared" si="287"/>
        <v>NIPPON</v>
      </c>
      <c r="S3496" s="17"/>
      <c r="T3496" s="10" t="str">
        <f t="shared" si="291"/>
        <v>TRANSFORMADOR MAGNÉTICO PARA CARGAS ATENUABLES A 12 VOLTIOS.</v>
      </c>
    </row>
    <row r="3497" spans="1:20" ht="27" customHeight="1" x14ac:dyDescent="0.25">
      <c r="A3497" s="8" t="s">
        <v>7105</v>
      </c>
      <c r="B3497" s="9"/>
      <c r="C3497" s="9"/>
      <c r="D3497" s="8" t="s">
        <v>45</v>
      </c>
      <c r="E3497" s="8"/>
      <c r="F3497" s="8" t="s">
        <v>22</v>
      </c>
      <c r="G3497" s="10" t="str">
        <f>B3497&amp;"-"&amp;D3497&amp;"-"&amp;E3497&amp;F3497</f>
        <v>-PROG_-BLANCO</v>
      </c>
      <c r="H3497" s="8" t="s">
        <v>7106</v>
      </c>
      <c r="I3497" s="10" t="s">
        <v>7107</v>
      </c>
      <c r="J3497" s="11" t="s">
        <v>33</v>
      </c>
      <c r="K3497" s="18">
        <v>109900</v>
      </c>
      <c r="L3497" s="12">
        <f t="shared" si="290"/>
        <v>157000</v>
      </c>
      <c r="M3497" s="8">
        <v>1</v>
      </c>
      <c r="N3497" s="8" t="s">
        <v>27</v>
      </c>
      <c r="O3497" s="13"/>
      <c r="P3497" s="14">
        <v>0</v>
      </c>
      <c r="Q3497" s="15">
        <v>0.3</v>
      </c>
      <c r="R3497" s="16" t="str">
        <f t="shared" si="287"/>
        <v>NORTH BAYOU</v>
      </c>
      <c r="S3497" s="17"/>
      <c r="T3497" s="10" t="str">
        <f t="shared" si="291"/>
        <v>-PROG_-BLANCO</v>
      </c>
    </row>
    <row r="3498" spans="1:20" ht="27" customHeight="1" x14ac:dyDescent="0.25">
      <c r="A3498" s="8" t="s">
        <v>7108</v>
      </c>
      <c r="B3498" s="9"/>
      <c r="C3498" s="9"/>
      <c r="D3498" s="8"/>
      <c r="E3498" s="8"/>
      <c r="F3498" s="8" t="s">
        <v>22</v>
      </c>
      <c r="G3498" s="10" t="s">
        <v>7109</v>
      </c>
      <c r="H3498" s="8" t="s">
        <v>7110</v>
      </c>
      <c r="I3498" s="10" t="s">
        <v>7109</v>
      </c>
      <c r="J3498" s="11" t="s">
        <v>33</v>
      </c>
      <c r="K3498" s="18">
        <v>35000</v>
      </c>
      <c r="L3498" s="12">
        <f t="shared" si="290"/>
        <v>58400</v>
      </c>
      <c r="M3498" s="8">
        <v>1</v>
      </c>
      <c r="N3498" s="8" t="s">
        <v>27</v>
      </c>
      <c r="O3498" s="13"/>
      <c r="P3498" s="14">
        <v>0.2</v>
      </c>
      <c r="Q3498" s="15">
        <v>0.4</v>
      </c>
      <c r="R3498" s="16" t="str">
        <f t="shared" si="287"/>
        <v>NOVEY</v>
      </c>
      <c r="S3498" s="17"/>
      <c r="T3498" s="10" t="str">
        <f t="shared" si="291"/>
        <v>FOTOCELDA DE CONMUTACIÓN A 220VAC</v>
      </c>
    </row>
    <row r="3499" spans="1:20" ht="27" customHeight="1" x14ac:dyDescent="0.25">
      <c r="A3499" s="8" t="s">
        <v>7111</v>
      </c>
      <c r="B3499" s="9"/>
      <c r="C3499" s="9"/>
      <c r="D3499" s="8"/>
      <c r="E3499" s="8"/>
      <c r="F3499" s="8"/>
      <c r="G3499" s="10"/>
      <c r="H3499" s="8" t="s">
        <v>7112</v>
      </c>
      <c r="I3499" s="10" t="s">
        <v>7113</v>
      </c>
      <c r="J3499" s="11" t="s">
        <v>33</v>
      </c>
      <c r="K3499" s="18">
        <v>4700000</v>
      </c>
      <c r="L3499" s="12">
        <f t="shared" si="290"/>
        <v>6714300</v>
      </c>
      <c r="M3499" s="8">
        <v>1</v>
      </c>
      <c r="N3499" s="8" t="s">
        <v>27</v>
      </c>
      <c r="O3499" s="13">
        <f>F3499</f>
        <v>0</v>
      </c>
      <c r="P3499" s="14">
        <v>0</v>
      </c>
      <c r="Q3499" s="15">
        <v>0.3</v>
      </c>
      <c r="R3499" s="16" t="str">
        <f t="shared" si="287"/>
        <v>NUOL</v>
      </c>
      <c r="S3499" s="17"/>
      <c r="T3499" s="10"/>
    </row>
    <row r="3500" spans="1:20" ht="27" customHeight="1" x14ac:dyDescent="0.25">
      <c r="A3500" s="8" t="s">
        <v>7114</v>
      </c>
      <c r="B3500" s="9" t="s">
        <v>7115</v>
      </c>
      <c r="C3500" s="9"/>
      <c r="D3500" s="8" t="s">
        <v>602</v>
      </c>
      <c r="E3500" s="8">
        <v>1</v>
      </c>
      <c r="F3500" s="8" t="s">
        <v>22</v>
      </c>
      <c r="G3500" s="10" t="s">
        <v>7116</v>
      </c>
      <c r="H3500" s="8" t="s">
        <v>7117</v>
      </c>
      <c r="I3500" s="10" t="s">
        <v>7116</v>
      </c>
      <c r="J3500" s="11" t="s">
        <v>26</v>
      </c>
      <c r="K3500" s="18" t="s">
        <v>7118</v>
      </c>
      <c r="L3500" s="12">
        <f t="shared" si="290"/>
        <v>197.64705882352942</v>
      </c>
      <c r="M3500" s="8">
        <v>1</v>
      </c>
      <c r="N3500" s="8" t="s">
        <v>27</v>
      </c>
      <c r="O3500" s="13"/>
      <c r="P3500" s="14">
        <v>0.2</v>
      </c>
      <c r="Q3500" s="15">
        <v>0.15</v>
      </c>
      <c r="R3500" s="16" t="str">
        <f t="shared" si="287"/>
        <v>NUVO</v>
      </c>
      <c r="S3500" s="17"/>
      <c r="T3500" s="10" t="str">
        <f t="shared" ref="T3500:T3531" si="292">G3500</f>
        <v>PUNTOS DE ACCESO INALÁMBRICO PARA INTEGRACIÓN DE EQUIPOS INALÁMBRICOS</v>
      </c>
    </row>
    <row r="3501" spans="1:20" ht="27" customHeight="1" x14ac:dyDescent="0.25">
      <c r="A3501" s="8" t="s">
        <v>7114</v>
      </c>
      <c r="B3501" s="9" t="s">
        <v>7115</v>
      </c>
      <c r="C3501" s="9"/>
      <c r="D3501" s="8" t="s">
        <v>602</v>
      </c>
      <c r="E3501" s="8">
        <v>2</v>
      </c>
      <c r="F3501" s="8" t="s">
        <v>22</v>
      </c>
      <c r="G3501" s="10" t="s">
        <v>7119</v>
      </c>
      <c r="H3501" s="8" t="s">
        <v>7120</v>
      </c>
      <c r="I3501" s="10" t="s">
        <v>7119</v>
      </c>
      <c r="J3501" s="11" t="s">
        <v>26</v>
      </c>
      <c r="K3501" s="18" t="s">
        <v>7121</v>
      </c>
      <c r="L3501" s="12">
        <f t="shared" si="290"/>
        <v>794.11764705882365</v>
      </c>
      <c r="M3501" s="8">
        <v>1</v>
      </c>
      <c r="N3501" s="8" t="s">
        <v>27</v>
      </c>
      <c r="O3501" s="13"/>
      <c r="P3501" s="14">
        <v>0.2</v>
      </c>
      <c r="Q3501" s="15">
        <v>0.32</v>
      </c>
      <c r="R3501" s="16" t="str">
        <f t="shared" si="287"/>
        <v>NUVO</v>
      </c>
      <c r="S3501" s="17"/>
      <c r="T3501" s="10" t="str">
        <f t="shared" si="292"/>
        <v>HUB PARA MANEJO DE 6 FUENTES CON SINTONIZADOR FM.</v>
      </c>
    </row>
    <row r="3502" spans="1:20" ht="27" customHeight="1" x14ac:dyDescent="0.25">
      <c r="A3502" s="8" t="s">
        <v>7114</v>
      </c>
      <c r="B3502" s="9" t="s">
        <v>7115</v>
      </c>
      <c r="C3502" s="9"/>
      <c r="D3502" s="8" t="s">
        <v>602</v>
      </c>
      <c r="E3502" s="8">
        <v>3</v>
      </c>
      <c r="F3502" s="8" t="s">
        <v>22</v>
      </c>
      <c r="G3502" s="10" t="s">
        <v>7122</v>
      </c>
      <c r="H3502" s="8" t="s">
        <v>7123</v>
      </c>
      <c r="I3502" s="10" t="s">
        <v>7122</v>
      </c>
      <c r="J3502" s="11" t="s">
        <v>26</v>
      </c>
      <c r="K3502" s="18" t="s">
        <v>7124</v>
      </c>
      <c r="L3502" s="12">
        <f t="shared" si="290"/>
        <v>80</v>
      </c>
      <c r="M3502" s="8">
        <v>1</v>
      </c>
      <c r="N3502" s="8" t="s">
        <v>27</v>
      </c>
      <c r="O3502" s="13"/>
      <c r="P3502" s="14">
        <v>0.2</v>
      </c>
      <c r="Q3502" s="15">
        <v>0.4</v>
      </c>
      <c r="R3502" s="16" t="str">
        <f t="shared" si="287"/>
        <v>NUVO</v>
      </c>
      <c r="S3502" s="17"/>
      <c r="T3502" s="10" t="str">
        <f t="shared" si="292"/>
        <v>FILTRO PARA TRANSMISIÓN DE DATOS A TRAVÉS DE LA LÍNEA ELÉCTRICA.</v>
      </c>
    </row>
    <row r="3503" spans="1:20" ht="27" customHeight="1" x14ac:dyDescent="0.25">
      <c r="A3503" s="8" t="s">
        <v>7114</v>
      </c>
      <c r="B3503" s="9" t="s">
        <v>7115</v>
      </c>
      <c r="C3503" s="9"/>
      <c r="D3503" s="8" t="s">
        <v>602</v>
      </c>
      <c r="E3503" s="8">
        <v>4</v>
      </c>
      <c r="F3503" s="8" t="s">
        <v>22</v>
      </c>
      <c r="G3503" s="10" t="s">
        <v>7125</v>
      </c>
      <c r="H3503" s="8" t="s">
        <v>7126</v>
      </c>
      <c r="I3503" s="10" t="s">
        <v>7125</v>
      </c>
      <c r="J3503" s="11" t="s">
        <v>26</v>
      </c>
      <c r="K3503" s="18" t="s">
        <v>7127</v>
      </c>
      <c r="L3503" s="12">
        <f t="shared" si="290"/>
        <v>529.71428571428578</v>
      </c>
      <c r="M3503" s="8">
        <v>1</v>
      </c>
      <c r="N3503" s="8" t="s">
        <v>27</v>
      </c>
      <c r="O3503" s="13"/>
      <c r="P3503" s="14">
        <v>0.2</v>
      </c>
      <c r="Q3503" s="15">
        <v>0.3</v>
      </c>
      <c r="R3503" s="16" t="str">
        <f t="shared" ref="R3503:R3566" si="293">A3503</f>
        <v>NUVO</v>
      </c>
      <c r="S3503" s="17"/>
      <c r="T3503" s="10" t="str">
        <f t="shared" si="292"/>
        <v>HERRAMIENTA PARA ANÁLISIS DE RED.</v>
      </c>
    </row>
    <row r="3504" spans="1:20" ht="27" customHeight="1" x14ac:dyDescent="0.25">
      <c r="A3504" s="8" t="s">
        <v>7114</v>
      </c>
      <c r="B3504" s="9" t="s">
        <v>7115</v>
      </c>
      <c r="C3504" s="9"/>
      <c r="D3504" s="8" t="s">
        <v>602</v>
      </c>
      <c r="E3504" s="8">
        <v>5</v>
      </c>
      <c r="F3504" s="8" t="s">
        <v>22</v>
      </c>
      <c r="G3504" s="10" t="s">
        <v>7128</v>
      </c>
      <c r="H3504" s="8" t="s">
        <v>7129</v>
      </c>
      <c r="I3504" s="10" t="s">
        <v>7128</v>
      </c>
      <c r="J3504" s="11" t="s">
        <v>26</v>
      </c>
      <c r="K3504" s="18" t="s">
        <v>7130</v>
      </c>
      <c r="L3504" s="12">
        <f t="shared" si="290"/>
        <v>22.285714285714288</v>
      </c>
      <c r="M3504" s="8">
        <v>1</v>
      </c>
      <c r="N3504" s="8" t="s">
        <v>27</v>
      </c>
      <c r="O3504" s="13"/>
      <c r="P3504" s="14">
        <v>0.2</v>
      </c>
      <c r="Q3504" s="15">
        <v>0.3</v>
      </c>
      <c r="R3504" s="16" t="str">
        <f t="shared" si="293"/>
        <v>NUVO</v>
      </c>
      <c r="S3504" s="17"/>
      <c r="T3504" s="10" t="str">
        <f t="shared" si="292"/>
        <v>CABLE SERIAL RS-232</v>
      </c>
    </row>
    <row r="3505" spans="1:20" ht="27" customHeight="1" x14ac:dyDescent="0.25">
      <c r="A3505" s="8" t="s">
        <v>7114</v>
      </c>
      <c r="B3505" s="9" t="s">
        <v>7115</v>
      </c>
      <c r="C3505" s="9"/>
      <c r="D3505" s="8" t="s">
        <v>602</v>
      </c>
      <c r="E3505" s="8">
        <v>6</v>
      </c>
      <c r="F3505" s="8" t="s">
        <v>22</v>
      </c>
      <c r="G3505" s="10" t="s">
        <v>7131</v>
      </c>
      <c r="H3505" s="8" t="s">
        <v>7132</v>
      </c>
      <c r="I3505" s="10" t="s">
        <v>7131</v>
      </c>
      <c r="J3505" s="11" t="s">
        <v>26</v>
      </c>
      <c r="K3505" s="18" t="s">
        <v>7133</v>
      </c>
      <c r="L3505" s="12">
        <f t="shared" si="290"/>
        <v>44</v>
      </c>
      <c r="M3505" s="8">
        <v>1</v>
      </c>
      <c r="N3505" s="8" t="s">
        <v>27</v>
      </c>
      <c r="O3505" s="13"/>
      <c r="P3505" s="14">
        <v>0.2</v>
      </c>
      <c r="Q3505" s="15">
        <v>0.4</v>
      </c>
      <c r="R3505" s="16" t="str">
        <f t="shared" si="293"/>
        <v>NUVO</v>
      </c>
      <c r="S3505" s="17"/>
      <c r="T3505" s="10" t="str">
        <f t="shared" si="292"/>
        <v>HERRAMIENTA PARA GRABADO DE SEÑALES IR.</v>
      </c>
    </row>
    <row r="3506" spans="1:20" ht="27" customHeight="1" x14ac:dyDescent="0.25">
      <c r="A3506" s="8" t="s">
        <v>7114</v>
      </c>
      <c r="B3506" s="9" t="s">
        <v>7115</v>
      </c>
      <c r="C3506" s="9"/>
      <c r="D3506" s="8" t="s">
        <v>602</v>
      </c>
      <c r="E3506" s="8">
        <v>7</v>
      </c>
      <c r="F3506" s="8" t="s">
        <v>22</v>
      </c>
      <c r="G3506" s="10" t="s">
        <v>7134</v>
      </c>
      <c r="H3506" s="8" t="s">
        <v>7135</v>
      </c>
      <c r="I3506" s="10" t="s">
        <v>7134</v>
      </c>
      <c r="J3506" s="11" t="s">
        <v>26</v>
      </c>
      <c r="K3506" s="18" t="s">
        <v>7136</v>
      </c>
      <c r="L3506" s="12">
        <f t="shared" si="290"/>
        <v>96</v>
      </c>
      <c r="M3506" s="8">
        <v>1</v>
      </c>
      <c r="N3506" s="8" t="s">
        <v>27</v>
      </c>
      <c r="O3506" s="13"/>
      <c r="P3506" s="14">
        <v>0.2</v>
      </c>
      <c r="Q3506" s="15">
        <v>0.25</v>
      </c>
      <c r="R3506" s="16" t="str">
        <f t="shared" si="293"/>
        <v>NUVO</v>
      </c>
      <c r="S3506" s="17"/>
      <c r="T3506" s="10" t="str">
        <f t="shared" si="292"/>
        <v>CONECTOR PARA SERVICIO SIRIUS</v>
      </c>
    </row>
    <row r="3507" spans="1:20" ht="27" customHeight="1" x14ac:dyDescent="0.25">
      <c r="A3507" s="8" t="s">
        <v>7114</v>
      </c>
      <c r="B3507" s="9" t="s">
        <v>7115</v>
      </c>
      <c r="C3507" s="9"/>
      <c r="D3507" s="8" t="s">
        <v>602</v>
      </c>
      <c r="E3507" s="8">
        <v>8</v>
      </c>
      <c r="F3507" s="8" t="s">
        <v>22</v>
      </c>
      <c r="G3507" s="10" t="s">
        <v>7137</v>
      </c>
      <c r="H3507" s="8" t="s">
        <v>7138</v>
      </c>
      <c r="I3507" s="10" t="s">
        <v>7137</v>
      </c>
      <c r="J3507" s="11" t="s">
        <v>26</v>
      </c>
      <c r="K3507" s="18" t="s">
        <v>7139</v>
      </c>
      <c r="L3507" s="12">
        <f t="shared" si="290"/>
        <v>86.769230769230759</v>
      </c>
      <c r="M3507" s="8">
        <v>1</v>
      </c>
      <c r="N3507" s="8" t="s">
        <v>27</v>
      </c>
      <c r="O3507" s="13"/>
      <c r="P3507" s="14">
        <v>0.2</v>
      </c>
      <c r="Q3507" s="15">
        <v>0.35</v>
      </c>
      <c r="R3507" s="16" t="str">
        <f t="shared" si="293"/>
        <v>NUVO</v>
      </c>
      <c r="S3507" s="17"/>
      <c r="T3507" s="10" t="str">
        <f t="shared" si="292"/>
        <v>ANTENA PARA SINTONIZADOR</v>
      </c>
    </row>
    <row r="3508" spans="1:20" ht="27" customHeight="1" x14ac:dyDescent="0.25">
      <c r="A3508" s="8" t="s">
        <v>7114</v>
      </c>
      <c r="B3508" s="9" t="s">
        <v>7115</v>
      </c>
      <c r="C3508" s="9"/>
      <c r="D3508" s="8" t="s">
        <v>602</v>
      </c>
      <c r="E3508" s="8">
        <v>9</v>
      </c>
      <c r="F3508" s="8" t="s">
        <v>22</v>
      </c>
      <c r="G3508" s="10" t="s">
        <v>7140</v>
      </c>
      <c r="H3508" s="8" t="s">
        <v>7141</v>
      </c>
      <c r="I3508" s="10" t="s">
        <v>7140</v>
      </c>
      <c r="J3508" s="11" t="s">
        <v>26</v>
      </c>
      <c r="K3508" s="18" t="s">
        <v>7142</v>
      </c>
      <c r="L3508" s="12">
        <f t="shared" si="290"/>
        <v>48.000000000000007</v>
      </c>
      <c r="M3508" s="8">
        <v>1</v>
      </c>
      <c r="N3508" s="8" t="s">
        <v>27</v>
      </c>
      <c r="O3508" s="13"/>
      <c r="P3508" s="14">
        <v>0.2</v>
      </c>
      <c r="Q3508" s="15">
        <v>0.3</v>
      </c>
      <c r="R3508" s="16" t="str">
        <f t="shared" si="293"/>
        <v>NUVO</v>
      </c>
      <c r="S3508" s="17"/>
      <c r="T3508" s="10" t="str">
        <f t="shared" si="292"/>
        <v>HUB ALL PORT PARA SISTEMA SIMPLEASE</v>
      </c>
    </row>
    <row r="3509" spans="1:20" ht="27" customHeight="1" x14ac:dyDescent="0.25">
      <c r="A3509" s="8" t="s">
        <v>7114</v>
      </c>
      <c r="B3509" s="9" t="s">
        <v>7115</v>
      </c>
      <c r="C3509" s="9"/>
      <c r="D3509" s="8" t="s">
        <v>602</v>
      </c>
      <c r="E3509" s="8">
        <v>10</v>
      </c>
      <c r="F3509" s="8" t="s">
        <v>22</v>
      </c>
      <c r="G3509" s="10" t="s">
        <v>7143</v>
      </c>
      <c r="H3509" s="8" t="s">
        <v>7144</v>
      </c>
      <c r="I3509" s="10" t="s">
        <v>7143</v>
      </c>
      <c r="J3509" s="11" t="s">
        <v>26</v>
      </c>
      <c r="K3509" s="18" t="s">
        <v>7145</v>
      </c>
      <c r="L3509" s="12">
        <f t="shared" si="290"/>
        <v>78</v>
      </c>
      <c r="M3509" s="8">
        <v>1</v>
      </c>
      <c r="N3509" s="8" t="s">
        <v>27</v>
      </c>
      <c r="O3509" s="13"/>
      <c r="P3509" s="14">
        <v>0.2</v>
      </c>
      <c r="Q3509" s="15">
        <v>0.4</v>
      </c>
      <c r="R3509" s="16" t="str">
        <f t="shared" si="293"/>
        <v>NUVO</v>
      </c>
      <c r="S3509" s="17"/>
      <c r="T3509" s="10" t="str">
        <f t="shared" si="292"/>
        <v>INTERRUPTOR DE FUENTE LOCAL</v>
      </c>
    </row>
    <row r="3510" spans="1:20" ht="27" customHeight="1" x14ac:dyDescent="0.25">
      <c r="A3510" s="8" t="s">
        <v>7114</v>
      </c>
      <c r="B3510" s="9" t="s">
        <v>7115</v>
      </c>
      <c r="C3510" s="9"/>
      <c r="D3510" s="8" t="s">
        <v>602</v>
      </c>
      <c r="E3510" s="8">
        <v>11</v>
      </c>
      <c r="F3510" s="8" t="s">
        <v>22</v>
      </c>
      <c r="G3510" s="10" t="s">
        <v>7146</v>
      </c>
      <c r="H3510" s="8" t="s">
        <v>7147</v>
      </c>
      <c r="I3510" s="10" t="s">
        <v>7146</v>
      </c>
      <c r="J3510" s="11" t="s">
        <v>26</v>
      </c>
      <c r="K3510" s="18" t="s">
        <v>7148</v>
      </c>
      <c r="L3510" s="12">
        <f t="shared" si="290"/>
        <v>102</v>
      </c>
      <c r="M3510" s="8">
        <v>1</v>
      </c>
      <c r="N3510" s="8" t="s">
        <v>27</v>
      </c>
      <c r="O3510" s="13"/>
      <c r="P3510" s="14">
        <v>0.2</v>
      </c>
      <c r="Q3510" s="15">
        <v>0.4</v>
      </c>
      <c r="R3510" s="16" t="str">
        <f t="shared" si="293"/>
        <v>NUVO</v>
      </c>
      <c r="S3510" s="17"/>
      <c r="T3510" s="10" t="str">
        <f t="shared" si="292"/>
        <v>TESTER PARA CABLES CAT 5</v>
      </c>
    </row>
    <row r="3511" spans="1:20" ht="27" customHeight="1" x14ac:dyDescent="0.25">
      <c r="A3511" s="8" t="s">
        <v>7114</v>
      </c>
      <c r="B3511" s="9" t="s">
        <v>7115</v>
      </c>
      <c r="C3511" s="9"/>
      <c r="D3511" s="8" t="s">
        <v>602</v>
      </c>
      <c r="E3511" s="8">
        <v>12</v>
      </c>
      <c r="F3511" s="8" t="s">
        <v>22</v>
      </c>
      <c r="G3511" s="10" t="s">
        <v>7149</v>
      </c>
      <c r="H3511" s="8" t="s">
        <v>7150</v>
      </c>
      <c r="I3511" s="10" t="s">
        <v>7149</v>
      </c>
      <c r="J3511" s="11" t="s">
        <v>26</v>
      </c>
      <c r="K3511" s="18" t="s">
        <v>7151</v>
      </c>
      <c r="L3511" s="12">
        <f t="shared" si="290"/>
        <v>74</v>
      </c>
      <c r="M3511" s="8">
        <v>1</v>
      </c>
      <c r="N3511" s="8" t="s">
        <v>27</v>
      </c>
      <c r="O3511" s="13"/>
      <c r="P3511" s="14">
        <v>0.2</v>
      </c>
      <c r="Q3511" s="15">
        <v>0.4</v>
      </c>
      <c r="R3511" s="16" t="str">
        <f t="shared" si="293"/>
        <v>NUVO</v>
      </c>
      <c r="S3511" s="17"/>
      <c r="T3511" s="10" t="str">
        <f t="shared" si="292"/>
        <v>HUB PARA SISTEMAS ESSENTIA</v>
      </c>
    </row>
    <row r="3512" spans="1:20" ht="27" customHeight="1" x14ac:dyDescent="0.25">
      <c r="A3512" s="8" t="s">
        <v>7114</v>
      </c>
      <c r="B3512" s="9" t="s">
        <v>7115</v>
      </c>
      <c r="C3512" s="9"/>
      <c r="D3512" s="8" t="s">
        <v>602</v>
      </c>
      <c r="E3512" s="8">
        <v>13</v>
      </c>
      <c r="F3512" s="8" t="s">
        <v>22</v>
      </c>
      <c r="G3512" s="10" t="s">
        <v>7152</v>
      </c>
      <c r="H3512" s="8" t="s">
        <v>7153</v>
      </c>
      <c r="I3512" s="10" t="s">
        <v>7152</v>
      </c>
      <c r="J3512" s="11" t="s">
        <v>26</v>
      </c>
      <c r="K3512" s="18" t="s">
        <v>7151</v>
      </c>
      <c r="L3512" s="12">
        <f t="shared" ref="L3512:L3543" si="294">IF(J3512="P",ROUNDUP(K3512/(1-Q3512),-2),K3512*(1+P3512)/(1-Q3512))</f>
        <v>74</v>
      </c>
      <c r="M3512" s="8">
        <v>1</v>
      </c>
      <c r="N3512" s="8" t="s">
        <v>27</v>
      </c>
      <c r="O3512" s="13"/>
      <c r="P3512" s="14">
        <v>0.2</v>
      </c>
      <c r="Q3512" s="15">
        <v>0.4</v>
      </c>
      <c r="R3512" s="16" t="str">
        <f t="shared" si="293"/>
        <v>NUVO</v>
      </c>
      <c r="S3512" s="17"/>
      <c r="T3512" s="10" t="str">
        <f t="shared" si="292"/>
        <v>HUB PARA EXPANDER DE SISTEMA ESSENTIA</v>
      </c>
    </row>
    <row r="3513" spans="1:20" ht="27" customHeight="1" x14ac:dyDescent="0.25">
      <c r="A3513" s="8" t="s">
        <v>7114</v>
      </c>
      <c r="B3513" s="9" t="s">
        <v>7115</v>
      </c>
      <c r="C3513" s="9"/>
      <c r="D3513" s="8" t="s">
        <v>602</v>
      </c>
      <c r="E3513" s="8">
        <v>14</v>
      </c>
      <c r="F3513" s="8" t="s">
        <v>22</v>
      </c>
      <c r="G3513" s="10" t="s">
        <v>7154</v>
      </c>
      <c r="H3513" s="8" t="s">
        <v>7155</v>
      </c>
      <c r="I3513" s="10" t="s">
        <v>7154</v>
      </c>
      <c r="J3513" s="11" t="s">
        <v>26</v>
      </c>
      <c r="K3513" s="18" t="s">
        <v>7156</v>
      </c>
      <c r="L3513" s="12">
        <f t="shared" si="294"/>
        <v>64</v>
      </c>
      <c r="M3513" s="8">
        <v>1</v>
      </c>
      <c r="N3513" s="8" t="s">
        <v>27</v>
      </c>
      <c r="O3513" s="13"/>
      <c r="P3513" s="14">
        <v>0.2</v>
      </c>
      <c r="Q3513" s="15">
        <v>0.4</v>
      </c>
      <c r="R3513" s="16" t="str">
        <f t="shared" si="293"/>
        <v>NUVO</v>
      </c>
      <c r="S3513" s="17"/>
      <c r="T3513" s="10" t="str">
        <f t="shared" si="292"/>
        <v>PUERTO EZ PARA SISTEMAS GRAND CONCERTO</v>
      </c>
    </row>
    <row r="3514" spans="1:20" ht="27" customHeight="1" x14ac:dyDescent="0.25">
      <c r="A3514" s="8" t="s">
        <v>7114</v>
      </c>
      <c r="B3514" s="9" t="s">
        <v>7115</v>
      </c>
      <c r="C3514" s="9"/>
      <c r="D3514" s="8" t="s">
        <v>602</v>
      </c>
      <c r="E3514" s="8">
        <v>15</v>
      </c>
      <c r="F3514" s="8" t="s">
        <v>22</v>
      </c>
      <c r="G3514" s="10" t="s">
        <v>7157</v>
      </c>
      <c r="H3514" s="8" t="s">
        <v>7158</v>
      </c>
      <c r="I3514" s="10" t="s">
        <v>7157</v>
      </c>
      <c r="J3514" s="11" t="s">
        <v>26</v>
      </c>
      <c r="K3514" s="18" t="s">
        <v>7159</v>
      </c>
      <c r="L3514" s="12">
        <f t="shared" si="294"/>
        <v>22</v>
      </c>
      <c r="M3514" s="8">
        <v>1</v>
      </c>
      <c r="N3514" s="8" t="s">
        <v>27</v>
      </c>
      <c r="O3514" s="13"/>
      <c r="P3514" s="14">
        <v>0.2</v>
      </c>
      <c r="Q3514" s="15">
        <v>0.4</v>
      </c>
      <c r="R3514" s="16" t="str">
        <f t="shared" si="293"/>
        <v>NUVO</v>
      </c>
      <c r="S3514" s="17"/>
      <c r="T3514" s="10" t="str">
        <f t="shared" si="292"/>
        <v>BISEL PARA TECLADO GRAND CONCERTO NEGRO</v>
      </c>
    </row>
    <row r="3515" spans="1:20" ht="27" customHeight="1" x14ac:dyDescent="0.25">
      <c r="A3515" s="8" t="s">
        <v>7114</v>
      </c>
      <c r="B3515" s="9" t="s">
        <v>7115</v>
      </c>
      <c r="C3515" s="9"/>
      <c r="D3515" s="8" t="s">
        <v>602</v>
      </c>
      <c r="E3515" s="8">
        <v>16</v>
      </c>
      <c r="F3515" s="8" t="s">
        <v>22</v>
      </c>
      <c r="G3515" s="10" t="s">
        <v>7160</v>
      </c>
      <c r="H3515" s="8" t="s">
        <v>7161</v>
      </c>
      <c r="I3515" s="10" t="s">
        <v>7160</v>
      </c>
      <c r="J3515" s="11" t="s">
        <v>26</v>
      </c>
      <c r="K3515" s="18" t="s">
        <v>7159</v>
      </c>
      <c r="L3515" s="12">
        <f t="shared" si="294"/>
        <v>22</v>
      </c>
      <c r="M3515" s="8">
        <v>1</v>
      </c>
      <c r="N3515" s="8" t="s">
        <v>27</v>
      </c>
      <c r="O3515" s="13"/>
      <c r="P3515" s="14">
        <v>0.2</v>
      </c>
      <c r="Q3515" s="15">
        <v>0.4</v>
      </c>
      <c r="R3515" s="16" t="str">
        <f t="shared" si="293"/>
        <v>NUVO</v>
      </c>
      <c r="S3515" s="17"/>
      <c r="T3515" s="10" t="str">
        <f t="shared" si="292"/>
        <v>BISEL PARA TECLADO GRAND CONCERTO BRANCO</v>
      </c>
    </row>
    <row r="3516" spans="1:20" ht="27" customHeight="1" x14ac:dyDescent="0.25">
      <c r="A3516" s="8" t="s">
        <v>7114</v>
      </c>
      <c r="B3516" s="9" t="s">
        <v>7115</v>
      </c>
      <c r="C3516" s="9"/>
      <c r="D3516" s="8" t="s">
        <v>602</v>
      </c>
      <c r="E3516" s="8">
        <v>17</v>
      </c>
      <c r="F3516" s="8" t="s">
        <v>22</v>
      </c>
      <c r="G3516" s="10" t="s">
        <v>7162</v>
      </c>
      <c r="H3516" s="8" t="s">
        <v>7163</v>
      </c>
      <c r="I3516" s="10" t="s">
        <v>7162</v>
      </c>
      <c r="J3516" s="11" t="s">
        <v>26</v>
      </c>
      <c r="K3516" s="18" t="s">
        <v>7159</v>
      </c>
      <c r="L3516" s="12">
        <f t="shared" si="294"/>
        <v>22</v>
      </c>
      <c r="M3516" s="8">
        <v>1</v>
      </c>
      <c r="N3516" s="8" t="s">
        <v>27</v>
      </c>
      <c r="O3516" s="13"/>
      <c r="P3516" s="14">
        <v>0.2</v>
      </c>
      <c r="Q3516" s="15">
        <v>0.4</v>
      </c>
      <c r="R3516" s="16" t="str">
        <f t="shared" si="293"/>
        <v>NUVO</v>
      </c>
      <c r="S3516" s="17"/>
      <c r="T3516" s="10" t="str">
        <f t="shared" si="292"/>
        <v>BISEL PARA TECLADO GRAND CONCERTO SATÍN CROMO</v>
      </c>
    </row>
    <row r="3517" spans="1:20" ht="27" customHeight="1" x14ac:dyDescent="0.25">
      <c r="A3517" s="8" t="s">
        <v>7114</v>
      </c>
      <c r="B3517" s="9" t="s">
        <v>7115</v>
      </c>
      <c r="C3517" s="9"/>
      <c r="D3517" s="8" t="s">
        <v>602</v>
      </c>
      <c r="E3517" s="8">
        <v>18</v>
      </c>
      <c r="F3517" s="8" t="s">
        <v>22</v>
      </c>
      <c r="G3517" s="10" t="s">
        <v>7164</v>
      </c>
      <c r="H3517" s="8" t="s">
        <v>7165</v>
      </c>
      <c r="I3517" s="10" t="s">
        <v>7164</v>
      </c>
      <c r="J3517" s="11" t="s">
        <v>26</v>
      </c>
      <c r="K3517" s="18" t="s">
        <v>7159</v>
      </c>
      <c r="L3517" s="12">
        <f t="shared" si="294"/>
        <v>22</v>
      </c>
      <c r="M3517" s="8">
        <v>1</v>
      </c>
      <c r="N3517" s="8" t="s">
        <v>27</v>
      </c>
      <c r="O3517" s="13"/>
      <c r="P3517" s="14">
        <v>0.2</v>
      </c>
      <c r="Q3517" s="15">
        <v>0.4</v>
      </c>
      <c r="R3517" s="16" t="str">
        <f t="shared" si="293"/>
        <v>NUVO</v>
      </c>
      <c r="S3517" s="17"/>
      <c r="T3517" s="10" t="str">
        <f t="shared" si="292"/>
        <v>BISEL PARA TECLADO GRAND CONCERTO SATÍN NICKEL</v>
      </c>
    </row>
    <row r="3518" spans="1:20" ht="27" customHeight="1" x14ac:dyDescent="0.25">
      <c r="A3518" s="8" t="s">
        <v>7114</v>
      </c>
      <c r="B3518" s="9" t="s">
        <v>7115</v>
      </c>
      <c r="C3518" s="9"/>
      <c r="D3518" s="8" t="s">
        <v>602</v>
      </c>
      <c r="E3518" s="8">
        <v>19</v>
      </c>
      <c r="F3518" s="8" t="s">
        <v>22</v>
      </c>
      <c r="G3518" s="10" t="s">
        <v>7166</v>
      </c>
      <c r="H3518" s="8" t="s">
        <v>7167</v>
      </c>
      <c r="I3518" s="10" t="s">
        <v>7166</v>
      </c>
      <c r="J3518" s="11" t="s">
        <v>26</v>
      </c>
      <c r="K3518" s="18" t="s">
        <v>7159</v>
      </c>
      <c r="L3518" s="12">
        <f t="shared" si="294"/>
        <v>22</v>
      </c>
      <c r="M3518" s="8">
        <v>1</v>
      </c>
      <c r="N3518" s="8" t="s">
        <v>27</v>
      </c>
      <c r="O3518" s="13"/>
      <c r="P3518" s="14">
        <v>0.2</v>
      </c>
      <c r="Q3518" s="15">
        <v>0.4</v>
      </c>
      <c r="R3518" s="16" t="str">
        <f t="shared" si="293"/>
        <v>NUVO</v>
      </c>
      <c r="S3518" s="17"/>
      <c r="T3518" s="10" t="str">
        <f t="shared" si="292"/>
        <v>BISEL PARA TECLADO GRAND CONCERTO SATÍN CROMO POLICHADO</v>
      </c>
    </row>
    <row r="3519" spans="1:20" ht="27" customHeight="1" x14ac:dyDescent="0.25">
      <c r="A3519" s="8" t="s">
        <v>7114</v>
      </c>
      <c r="B3519" s="9" t="s">
        <v>7115</v>
      </c>
      <c r="C3519" s="9"/>
      <c r="D3519" s="8" t="s">
        <v>602</v>
      </c>
      <c r="E3519" s="8">
        <v>20</v>
      </c>
      <c r="F3519" s="8" t="s">
        <v>22</v>
      </c>
      <c r="G3519" s="10" t="s">
        <v>7168</v>
      </c>
      <c r="H3519" s="8" t="s">
        <v>7169</v>
      </c>
      <c r="I3519" s="10" t="s">
        <v>7168</v>
      </c>
      <c r="J3519" s="11" t="s">
        <v>26</v>
      </c>
      <c r="K3519" s="18">
        <f>9/2</f>
        <v>4.5</v>
      </c>
      <c r="L3519" s="12">
        <f t="shared" si="294"/>
        <v>9</v>
      </c>
      <c r="M3519" s="8">
        <v>1</v>
      </c>
      <c r="N3519" s="8" t="s">
        <v>27</v>
      </c>
      <c r="O3519" s="13"/>
      <c r="P3519" s="14">
        <v>0.2</v>
      </c>
      <c r="Q3519" s="15">
        <v>0.4</v>
      </c>
      <c r="R3519" s="16" t="str">
        <f t="shared" si="293"/>
        <v>NUVO</v>
      </c>
      <c r="S3519" s="17"/>
      <c r="T3519" s="10" t="str">
        <f t="shared" si="292"/>
        <v>BARQUET PARA PARLANTE DE TECHO DE 6.5 PULGADAS</v>
      </c>
    </row>
    <row r="3520" spans="1:20" ht="27" customHeight="1" x14ac:dyDescent="0.25">
      <c r="A3520" s="8" t="s">
        <v>7114</v>
      </c>
      <c r="B3520" s="9" t="s">
        <v>7115</v>
      </c>
      <c r="C3520" s="9"/>
      <c r="D3520" s="8" t="s">
        <v>602</v>
      </c>
      <c r="E3520" s="8">
        <v>21</v>
      </c>
      <c r="F3520" s="8" t="s">
        <v>22</v>
      </c>
      <c r="G3520" s="10" t="s">
        <v>7170</v>
      </c>
      <c r="H3520" s="8" t="s">
        <v>7171</v>
      </c>
      <c r="I3520" s="10" t="s">
        <v>7170</v>
      </c>
      <c r="J3520" s="11" t="s">
        <v>26</v>
      </c>
      <c r="K3520" s="18">
        <f>9/2</f>
        <v>4.5</v>
      </c>
      <c r="L3520" s="12">
        <f t="shared" si="294"/>
        <v>9</v>
      </c>
      <c r="M3520" s="8">
        <v>1</v>
      </c>
      <c r="N3520" s="8" t="s">
        <v>27</v>
      </c>
      <c r="O3520" s="13"/>
      <c r="P3520" s="14">
        <v>0.2</v>
      </c>
      <c r="Q3520" s="15">
        <v>0.4</v>
      </c>
      <c r="R3520" s="16" t="str">
        <f t="shared" si="293"/>
        <v>NUVO</v>
      </c>
      <c r="S3520" s="17"/>
      <c r="T3520" s="10" t="str">
        <f t="shared" si="292"/>
        <v>BARQUET PARA PARLANTE DE PARED DE 6.5 PULGADAS</v>
      </c>
    </row>
    <row r="3521" spans="1:20" ht="27" customHeight="1" x14ac:dyDescent="0.25">
      <c r="A3521" s="8" t="s">
        <v>7114</v>
      </c>
      <c r="B3521" s="9" t="s">
        <v>7115</v>
      </c>
      <c r="C3521" s="9"/>
      <c r="D3521" s="8" t="s">
        <v>602</v>
      </c>
      <c r="E3521" s="8">
        <v>22</v>
      </c>
      <c r="F3521" s="8" t="s">
        <v>22</v>
      </c>
      <c r="G3521" s="10" t="s">
        <v>7172</v>
      </c>
      <c r="H3521" s="8" t="s">
        <v>7173</v>
      </c>
      <c r="I3521" s="10" t="s">
        <v>7172</v>
      </c>
      <c r="J3521" s="11" t="s">
        <v>26</v>
      </c>
      <c r="K3521" s="18">
        <f>9/2</f>
        <v>4.5</v>
      </c>
      <c r="L3521" s="12">
        <f t="shared" si="294"/>
        <v>9</v>
      </c>
      <c r="M3521" s="8">
        <v>1</v>
      </c>
      <c r="N3521" s="8" t="s">
        <v>27</v>
      </c>
      <c r="O3521" s="13"/>
      <c r="P3521" s="14">
        <v>0.2</v>
      </c>
      <c r="Q3521" s="15">
        <v>0.4</v>
      </c>
      <c r="R3521" s="16" t="str">
        <f t="shared" si="293"/>
        <v>NUVO</v>
      </c>
      <c r="S3521" s="17"/>
      <c r="T3521" s="10" t="str">
        <f t="shared" si="292"/>
        <v>BARQUET PARA PARLANTE DE TECHO DE 8 PULGADAS</v>
      </c>
    </row>
    <row r="3522" spans="1:20" ht="27" customHeight="1" x14ac:dyDescent="0.25">
      <c r="A3522" s="8" t="s">
        <v>7114</v>
      </c>
      <c r="B3522" s="9" t="s">
        <v>7115</v>
      </c>
      <c r="C3522" s="9"/>
      <c r="D3522" s="8" t="s">
        <v>602</v>
      </c>
      <c r="E3522" s="8">
        <v>23</v>
      </c>
      <c r="F3522" s="8" t="s">
        <v>22</v>
      </c>
      <c r="G3522" s="10" t="s">
        <v>7174</v>
      </c>
      <c r="H3522" s="8" t="s">
        <v>7175</v>
      </c>
      <c r="I3522" s="10" t="s">
        <v>7174</v>
      </c>
      <c r="J3522" s="11" t="s">
        <v>26</v>
      </c>
      <c r="K3522" s="18">
        <f>9/2</f>
        <v>4.5</v>
      </c>
      <c r="L3522" s="12">
        <f t="shared" si="294"/>
        <v>9</v>
      </c>
      <c r="M3522" s="8">
        <v>1</v>
      </c>
      <c r="N3522" s="8" t="s">
        <v>27</v>
      </c>
      <c r="O3522" s="13"/>
      <c r="P3522" s="14">
        <v>0.2</v>
      </c>
      <c r="Q3522" s="15">
        <v>0.4</v>
      </c>
      <c r="R3522" s="16" t="str">
        <f t="shared" si="293"/>
        <v>NUVO</v>
      </c>
      <c r="S3522" s="17"/>
      <c r="T3522" s="10" t="str">
        <f t="shared" si="292"/>
        <v>BARQUET PARA PARLANTE DE PARED DE 8 PULGADAS</v>
      </c>
    </row>
    <row r="3523" spans="1:20" ht="27" customHeight="1" x14ac:dyDescent="0.25">
      <c r="A3523" s="8" t="s">
        <v>7114</v>
      </c>
      <c r="B3523" s="9" t="s">
        <v>7115</v>
      </c>
      <c r="C3523" s="9"/>
      <c r="D3523" s="8" t="s">
        <v>602</v>
      </c>
      <c r="E3523" s="8">
        <v>24</v>
      </c>
      <c r="F3523" s="8" t="s">
        <v>22</v>
      </c>
      <c r="G3523" s="10" t="s">
        <v>7176</v>
      </c>
      <c r="H3523" s="8" t="s">
        <v>7177</v>
      </c>
      <c r="I3523" s="10" t="s">
        <v>7176</v>
      </c>
      <c r="J3523" s="11" t="s">
        <v>26</v>
      </c>
      <c r="K3523" s="18">
        <f>9/2</f>
        <v>4.5</v>
      </c>
      <c r="L3523" s="12">
        <f t="shared" si="294"/>
        <v>9</v>
      </c>
      <c r="M3523" s="8">
        <v>1</v>
      </c>
      <c r="N3523" s="8" t="s">
        <v>27</v>
      </c>
      <c r="O3523" s="13"/>
      <c r="P3523" s="14">
        <v>0.2</v>
      </c>
      <c r="Q3523" s="15">
        <v>0.4</v>
      </c>
      <c r="R3523" s="16" t="str">
        <f t="shared" si="293"/>
        <v>NUVO</v>
      </c>
      <c r="S3523" s="17"/>
      <c r="T3523" s="10" t="str">
        <f t="shared" si="292"/>
        <v>BARQUET PARA PARLANTE DE PARED ESTÉREO DE 6.5 PULGADAS</v>
      </c>
    </row>
    <row r="3524" spans="1:20" ht="27" customHeight="1" x14ac:dyDescent="0.25">
      <c r="A3524" s="8" t="s">
        <v>7114</v>
      </c>
      <c r="B3524" s="9" t="s">
        <v>7115</v>
      </c>
      <c r="C3524" s="9"/>
      <c r="D3524" s="8" t="s">
        <v>602</v>
      </c>
      <c r="E3524" s="8">
        <v>25</v>
      </c>
      <c r="F3524" s="8" t="s">
        <v>22</v>
      </c>
      <c r="G3524" s="10" t="s">
        <v>7178</v>
      </c>
      <c r="H3524" s="8" t="s">
        <v>7179</v>
      </c>
      <c r="I3524" s="10" t="s">
        <v>7178</v>
      </c>
      <c r="J3524" s="11" t="s">
        <v>26</v>
      </c>
      <c r="K3524" s="18" t="s">
        <v>7180</v>
      </c>
      <c r="L3524" s="12">
        <f t="shared" si="294"/>
        <v>296.57142857142856</v>
      </c>
      <c r="M3524" s="8">
        <v>1</v>
      </c>
      <c r="N3524" s="8" t="s">
        <v>27</v>
      </c>
      <c r="O3524" s="13"/>
      <c r="P3524" s="14">
        <v>0.2</v>
      </c>
      <c r="Q3524" s="15">
        <v>0.3</v>
      </c>
      <c r="R3524" s="16" t="str">
        <f t="shared" si="293"/>
        <v>NUVO</v>
      </c>
      <c r="S3524" s="17"/>
      <c r="T3524" s="10" t="str">
        <f t="shared" si="292"/>
        <v>ESTACIÓN PARA GRABACIÓN DE COMANDOS IR</v>
      </c>
    </row>
    <row r="3525" spans="1:20" ht="27" customHeight="1" x14ac:dyDescent="0.25">
      <c r="A3525" s="8" t="s">
        <v>7114</v>
      </c>
      <c r="B3525" s="9" t="s">
        <v>7115</v>
      </c>
      <c r="C3525" s="9"/>
      <c r="D3525" s="8" t="s">
        <v>602</v>
      </c>
      <c r="E3525" s="8">
        <v>26</v>
      </c>
      <c r="F3525" s="8" t="s">
        <v>22</v>
      </c>
      <c r="G3525" s="10" t="s">
        <v>7181</v>
      </c>
      <c r="H3525" s="8" t="s">
        <v>7182</v>
      </c>
      <c r="I3525" s="10" t="s">
        <v>7181</v>
      </c>
      <c r="J3525" s="11" t="s">
        <v>26</v>
      </c>
      <c r="K3525" s="18" t="s">
        <v>7183</v>
      </c>
      <c r="L3525" s="12">
        <f t="shared" si="294"/>
        <v>420</v>
      </c>
      <c r="M3525" s="8">
        <v>1</v>
      </c>
      <c r="N3525" s="8" t="s">
        <v>27</v>
      </c>
      <c r="O3525" s="13"/>
      <c r="P3525" s="14">
        <v>0.2</v>
      </c>
      <c r="Q3525" s="15">
        <v>0.4</v>
      </c>
      <c r="R3525" s="16" t="str">
        <f t="shared" si="293"/>
        <v>NUVO</v>
      </c>
      <c r="S3525" s="17"/>
      <c r="T3525" s="10" t="str">
        <f t="shared" si="292"/>
        <v>DISPLAY MINI CONTADOR</v>
      </c>
    </row>
    <row r="3526" spans="1:20" ht="27" customHeight="1" x14ac:dyDescent="0.25">
      <c r="A3526" s="8" t="s">
        <v>7114</v>
      </c>
      <c r="B3526" s="9" t="s">
        <v>7115</v>
      </c>
      <c r="C3526" s="9"/>
      <c r="D3526" s="8" t="s">
        <v>602</v>
      </c>
      <c r="E3526" s="8">
        <v>27</v>
      </c>
      <c r="F3526" s="8" t="s">
        <v>22</v>
      </c>
      <c r="G3526" s="10" t="s">
        <v>7184</v>
      </c>
      <c r="H3526" s="8" t="s">
        <v>7185</v>
      </c>
      <c r="I3526" s="10" t="s">
        <v>7184</v>
      </c>
      <c r="J3526" s="11" t="s">
        <v>26</v>
      </c>
      <c r="K3526" s="18" t="s">
        <v>7159</v>
      </c>
      <c r="L3526" s="12">
        <f t="shared" si="294"/>
        <v>18.857142857142858</v>
      </c>
      <c r="M3526" s="8">
        <v>1</v>
      </c>
      <c r="N3526" s="8" t="s">
        <v>27</v>
      </c>
      <c r="O3526" s="13"/>
      <c r="P3526" s="14">
        <v>0.2</v>
      </c>
      <c r="Q3526" s="15">
        <v>0.3</v>
      </c>
      <c r="R3526" s="16" t="str">
        <f t="shared" si="293"/>
        <v>NUVO</v>
      </c>
      <c r="S3526" s="17"/>
      <c r="T3526" s="10" t="str">
        <f t="shared" si="292"/>
        <v>CAJA METALIZA PARA DISPLAY DE  COLORES</v>
      </c>
    </row>
    <row r="3527" spans="1:20" ht="27" customHeight="1" x14ac:dyDescent="0.25">
      <c r="A3527" s="8" t="s">
        <v>7114</v>
      </c>
      <c r="B3527" s="9" t="s">
        <v>7115</v>
      </c>
      <c r="C3527" s="9"/>
      <c r="D3527" s="8" t="s">
        <v>602</v>
      </c>
      <c r="E3527" s="8">
        <v>28</v>
      </c>
      <c r="F3527" s="8" t="s">
        <v>22</v>
      </c>
      <c r="G3527" s="10" t="s">
        <v>7186</v>
      </c>
      <c r="H3527" s="8" t="s">
        <v>7187</v>
      </c>
      <c r="I3527" s="10" t="s">
        <v>7186</v>
      </c>
      <c r="J3527" s="11" t="s">
        <v>26</v>
      </c>
      <c r="K3527" s="18" t="s">
        <v>7188</v>
      </c>
      <c r="L3527" s="12">
        <f t="shared" si="294"/>
        <v>40</v>
      </c>
      <c r="M3527" s="8">
        <v>1</v>
      </c>
      <c r="N3527" s="8" t="s">
        <v>27</v>
      </c>
      <c r="O3527" s="13"/>
      <c r="P3527" s="14">
        <v>0.2</v>
      </c>
      <c r="Q3527" s="15">
        <v>0.4</v>
      </c>
      <c r="R3527" s="16" t="str">
        <f t="shared" si="293"/>
        <v>NUVO</v>
      </c>
      <c r="S3527" s="17"/>
      <c r="T3527" s="10" t="str">
        <f t="shared" si="292"/>
        <v>OREJAS PARA SOPORTE DE AMPLIFICADOR EN RACK</v>
      </c>
    </row>
    <row r="3528" spans="1:20" ht="27" customHeight="1" x14ac:dyDescent="0.25">
      <c r="A3528" s="8" t="s">
        <v>7114</v>
      </c>
      <c r="B3528" s="9" t="s">
        <v>7115</v>
      </c>
      <c r="C3528" s="9"/>
      <c r="D3528" s="8" t="s">
        <v>602</v>
      </c>
      <c r="E3528" s="8">
        <v>29</v>
      </c>
      <c r="F3528" s="8" t="s">
        <v>22</v>
      </c>
      <c r="G3528" s="10" t="s">
        <v>7186</v>
      </c>
      <c r="H3528" s="8" t="s">
        <v>7189</v>
      </c>
      <c r="I3528" s="10" t="s">
        <v>7186</v>
      </c>
      <c r="J3528" s="11" t="s">
        <v>26</v>
      </c>
      <c r="K3528" s="18" t="s">
        <v>7188</v>
      </c>
      <c r="L3528" s="12">
        <f t="shared" si="294"/>
        <v>40</v>
      </c>
      <c r="M3528" s="8">
        <v>1</v>
      </c>
      <c r="N3528" s="8" t="s">
        <v>27</v>
      </c>
      <c r="O3528" s="13"/>
      <c r="P3528" s="14">
        <v>0.2</v>
      </c>
      <c r="Q3528" s="15">
        <v>0.4</v>
      </c>
      <c r="R3528" s="16" t="str">
        <f t="shared" si="293"/>
        <v>NUVO</v>
      </c>
      <c r="S3528" s="17"/>
      <c r="T3528" s="10" t="str">
        <f t="shared" si="292"/>
        <v>OREJAS PARA SOPORTE DE AMPLIFICADOR EN RACK</v>
      </c>
    </row>
    <row r="3529" spans="1:20" ht="27" customHeight="1" x14ac:dyDescent="0.25">
      <c r="A3529" s="8" t="s">
        <v>7114</v>
      </c>
      <c r="B3529" s="9" t="s">
        <v>7115</v>
      </c>
      <c r="C3529" s="9"/>
      <c r="D3529" s="8" t="s">
        <v>602</v>
      </c>
      <c r="E3529" s="8">
        <v>30</v>
      </c>
      <c r="F3529" s="8" t="s">
        <v>22</v>
      </c>
      <c r="G3529" s="10" t="s">
        <v>7190</v>
      </c>
      <c r="H3529" s="8" t="s">
        <v>7191</v>
      </c>
      <c r="I3529" s="10" t="s">
        <v>7190</v>
      </c>
      <c r="J3529" s="11" t="s">
        <v>26</v>
      </c>
      <c r="K3529" s="18" t="s">
        <v>7192</v>
      </c>
      <c r="L3529" s="12">
        <f t="shared" si="294"/>
        <v>34</v>
      </c>
      <c r="M3529" s="8">
        <v>1</v>
      </c>
      <c r="N3529" s="8" t="s">
        <v>27</v>
      </c>
      <c r="O3529" s="13"/>
      <c r="P3529" s="14">
        <v>0.2</v>
      </c>
      <c r="Q3529" s="15">
        <v>0.4</v>
      </c>
      <c r="R3529" s="16" t="str">
        <f t="shared" si="293"/>
        <v>NUVO</v>
      </c>
      <c r="S3529" s="17"/>
      <c r="T3529" s="10" t="str">
        <f t="shared" si="292"/>
        <v>UN SOPORTE DOBLE Y DOS SOPORTES SENCILLOS PARA RACK</v>
      </c>
    </row>
    <row r="3530" spans="1:20" ht="27" customHeight="1" x14ac:dyDescent="0.25">
      <c r="A3530" s="8" t="s">
        <v>7114</v>
      </c>
      <c r="B3530" s="9" t="s">
        <v>7115</v>
      </c>
      <c r="C3530" s="9"/>
      <c r="D3530" s="8" t="s">
        <v>602</v>
      </c>
      <c r="E3530" s="8">
        <v>31</v>
      </c>
      <c r="F3530" s="8" t="s">
        <v>22</v>
      </c>
      <c r="G3530" s="10" t="s">
        <v>7193</v>
      </c>
      <c r="H3530" s="8" t="s">
        <v>7194</v>
      </c>
      <c r="I3530" s="10" t="s">
        <v>7193</v>
      </c>
      <c r="J3530" s="11" t="s">
        <v>26</v>
      </c>
      <c r="K3530" s="18" t="s">
        <v>7145</v>
      </c>
      <c r="L3530" s="12">
        <f t="shared" si="294"/>
        <v>78</v>
      </c>
      <c r="M3530" s="8">
        <v>1</v>
      </c>
      <c r="N3530" s="8" t="s">
        <v>27</v>
      </c>
      <c r="O3530" s="13"/>
      <c r="P3530" s="14">
        <v>0.2</v>
      </c>
      <c r="Q3530" s="15">
        <v>0.4</v>
      </c>
      <c r="R3530" s="16" t="str">
        <f t="shared" si="293"/>
        <v>NUVO</v>
      </c>
      <c r="S3530" s="17"/>
      <c r="T3530" s="10" t="str">
        <f t="shared" si="292"/>
        <v>INTERFACE PARA MUTE DE SISTEMAS MULTIROOM</v>
      </c>
    </row>
    <row r="3531" spans="1:20" ht="27" customHeight="1" x14ac:dyDescent="0.25">
      <c r="A3531" s="8" t="s">
        <v>7114</v>
      </c>
      <c r="B3531" s="9" t="s">
        <v>7115</v>
      </c>
      <c r="C3531" s="9"/>
      <c r="D3531" s="8" t="s">
        <v>602</v>
      </c>
      <c r="E3531" s="8">
        <v>32</v>
      </c>
      <c r="F3531" s="8" t="s">
        <v>22</v>
      </c>
      <c r="G3531" s="10" t="s">
        <v>7195</v>
      </c>
      <c r="H3531" s="8" t="s">
        <v>7196</v>
      </c>
      <c r="I3531" s="10" t="s">
        <v>7195</v>
      </c>
      <c r="J3531" s="11" t="s">
        <v>26</v>
      </c>
      <c r="K3531" s="18" t="s">
        <v>7145</v>
      </c>
      <c r="L3531" s="12">
        <f t="shared" si="294"/>
        <v>78</v>
      </c>
      <c r="M3531" s="8">
        <v>1</v>
      </c>
      <c r="N3531" s="8" t="s">
        <v>27</v>
      </c>
      <c r="O3531" s="13"/>
      <c r="P3531" s="14">
        <v>0.2</v>
      </c>
      <c r="Q3531" s="15">
        <v>0.4</v>
      </c>
      <c r="R3531" s="16" t="str">
        <f t="shared" si="293"/>
        <v>NUVO</v>
      </c>
      <c r="S3531" s="17"/>
      <c r="T3531" s="10" t="str">
        <f t="shared" si="292"/>
        <v>INTERRUPTOR PASIVO PARA FUENTE LOCAL</v>
      </c>
    </row>
    <row r="3532" spans="1:20" ht="27" customHeight="1" x14ac:dyDescent="0.25">
      <c r="A3532" s="8" t="s">
        <v>7114</v>
      </c>
      <c r="B3532" s="9" t="s">
        <v>7115</v>
      </c>
      <c r="C3532" s="9"/>
      <c r="D3532" s="8" t="s">
        <v>602</v>
      </c>
      <c r="E3532" s="8">
        <v>33</v>
      </c>
      <c r="F3532" s="8" t="s">
        <v>22</v>
      </c>
      <c r="G3532" s="10" t="s">
        <v>7197</v>
      </c>
      <c r="H3532" s="8" t="s">
        <v>7198</v>
      </c>
      <c r="I3532" s="10" t="s">
        <v>7197</v>
      </c>
      <c r="J3532" s="11" t="s">
        <v>26</v>
      </c>
      <c r="K3532" s="18" t="s">
        <v>7199</v>
      </c>
      <c r="L3532" s="12">
        <f t="shared" si="294"/>
        <v>20</v>
      </c>
      <c r="M3532" s="8">
        <v>1</v>
      </c>
      <c r="N3532" s="8" t="s">
        <v>27</v>
      </c>
      <c r="O3532" s="13"/>
      <c r="P3532" s="14">
        <v>0.2</v>
      </c>
      <c r="Q3532" s="15">
        <v>0.4</v>
      </c>
      <c r="R3532" s="16" t="str">
        <f t="shared" si="293"/>
        <v>NUVO</v>
      </c>
      <c r="S3532" s="17"/>
      <c r="T3532" s="10" t="str">
        <f t="shared" ref="T3532:T3563" si="295">G3532</f>
        <v>CABLE CATEGORÍA 5 DE UN PIE DE LARGO</v>
      </c>
    </row>
    <row r="3533" spans="1:20" ht="27" customHeight="1" x14ac:dyDescent="0.25">
      <c r="A3533" s="8" t="s">
        <v>7114</v>
      </c>
      <c r="B3533" s="9" t="s">
        <v>7115</v>
      </c>
      <c r="C3533" s="9"/>
      <c r="D3533" s="8" t="s">
        <v>602</v>
      </c>
      <c r="E3533" s="8">
        <v>34</v>
      </c>
      <c r="F3533" s="8" t="s">
        <v>22</v>
      </c>
      <c r="G3533" s="10" t="s">
        <v>7200</v>
      </c>
      <c r="H3533" s="8" t="s">
        <v>7201</v>
      </c>
      <c r="I3533" s="10" t="s">
        <v>7200</v>
      </c>
      <c r="J3533" s="11" t="s">
        <v>26</v>
      </c>
      <c r="K3533" s="18" t="s">
        <v>7199</v>
      </c>
      <c r="L3533" s="12">
        <f t="shared" si="294"/>
        <v>20</v>
      </c>
      <c r="M3533" s="8">
        <v>1</v>
      </c>
      <c r="N3533" s="8" t="s">
        <v>27</v>
      </c>
      <c r="O3533" s="13"/>
      <c r="P3533" s="14">
        <v>0.2</v>
      </c>
      <c r="Q3533" s="15">
        <v>0.4</v>
      </c>
      <c r="R3533" s="16" t="str">
        <f t="shared" si="293"/>
        <v>NUVO</v>
      </c>
      <c r="S3533" s="17"/>
      <c r="T3533" s="10" t="str">
        <f t="shared" si="295"/>
        <v>CABLE CATEGORÍA 5 DE 10 PIES DE LARGO</v>
      </c>
    </row>
    <row r="3534" spans="1:20" ht="27" customHeight="1" x14ac:dyDescent="0.25">
      <c r="A3534" s="8" t="s">
        <v>7114</v>
      </c>
      <c r="B3534" s="9" t="s">
        <v>7115</v>
      </c>
      <c r="C3534" s="9"/>
      <c r="D3534" s="8" t="s">
        <v>602</v>
      </c>
      <c r="E3534" s="8">
        <v>35</v>
      </c>
      <c r="F3534" s="8" t="s">
        <v>22</v>
      </c>
      <c r="G3534" s="10" t="s">
        <v>7202</v>
      </c>
      <c r="H3534" s="8" t="s">
        <v>7203</v>
      </c>
      <c r="I3534" s="10" t="s">
        <v>7202</v>
      </c>
      <c r="J3534" s="11" t="s">
        <v>26</v>
      </c>
      <c r="K3534" s="18" t="s">
        <v>7204</v>
      </c>
      <c r="L3534" s="12">
        <f t="shared" si="294"/>
        <v>14.000000000000002</v>
      </c>
      <c r="M3534" s="8">
        <v>1</v>
      </c>
      <c r="N3534" s="8" t="s">
        <v>27</v>
      </c>
      <c r="O3534" s="13"/>
      <c r="P3534" s="14">
        <v>0.2</v>
      </c>
      <c r="Q3534" s="15">
        <v>0.4</v>
      </c>
      <c r="R3534" s="16" t="str">
        <f t="shared" si="293"/>
        <v>NUVO</v>
      </c>
      <c r="S3534" s="17"/>
      <c r="T3534" s="10" t="str">
        <f t="shared" si="295"/>
        <v>CAJA UNIVERSAL TIPO J</v>
      </c>
    </row>
    <row r="3535" spans="1:20" ht="27" customHeight="1" x14ac:dyDescent="0.25">
      <c r="A3535" s="8" t="s">
        <v>7114</v>
      </c>
      <c r="B3535" s="9" t="s">
        <v>7115</v>
      </c>
      <c r="C3535" s="9"/>
      <c r="D3535" s="8" t="s">
        <v>602</v>
      </c>
      <c r="E3535" s="8">
        <v>36</v>
      </c>
      <c r="F3535" s="8" t="s">
        <v>22</v>
      </c>
      <c r="G3535" s="10" t="s">
        <v>7205</v>
      </c>
      <c r="H3535" s="8" t="s">
        <v>7206</v>
      </c>
      <c r="I3535" s="10" t="s">
        <v>7205</v>
      </c>
      <c r="J3535" s="11" t="s">
        <v>26</v>
      </c>
      <c r="K3535" s="18" t="s">
        <v>7207</v>
      </c>
      <c r="L3535" s="12">
        <f t="shared" si="294"/>
        <v>16</v>
      </c>
      <c r="M3535" s="8">
        <v>1</v>
      </c>
      <c r="N3535" s="8" t="s">
        <v>27</v>
      </c>
      <c r="O3535" s="13"/>
      <c r="P3535" s="14">
        <v>0.2</v>
      </c>
      <c r="Q3535" s="15">
        <v>0.4</v>
      </c>
      <c r="R3535" s="16" t="str">
        <f t="shared" si="293"/>
        <v>NUVO</v>
      </c>
      <c r="S3535" s="17"/>
      <c r="T3535" s="10" t="str">
        <f t="shared" si="295"/>
        <v>CAJA UNIVERSAL DE 2 GANG</v>
      </c>
    </row>
    <row r="3536" spans="1:20" ht="27" customHeight="1" x14ac:dyDescent="0.25">
      <c r="A3536" s="8" t="s">
        <v>7114</v>
      </c>
      <c r="B3536" s="9" t="s">
        <v>7115</v>
      </c>
      <c r="C3536" s="9"/>
      <c r="D3536" s="8" t="s">
        <v>148</v>
      </c>
      <c r="E3536" s="8">
        <v>1</v>
      </c>
      <c r="F3536" s="8" t="s">
        <v>22</v>
      </c>
      <c r="G3536" s="10" t="s">
        <v>7208</v>
      </c>
      <c r="H3536" s="8" t="s">
        <v>7209</v>
      </c>
      <c r="I3536" s="10" t="s">
        <v>7210</v>
      </c>
      <c r="J3536" s="11" t="s">
        <v>26</v>
      </c>
      <c r="K3536" s="18">
        <v>311</v>
      </c>
      <c r="L3536" s="12">
        <f t="shared" si="294"/>
        <v>479.00094863047133</v>
      </c>
      <c r="M3536" s="8">
        <v>1</v>
      </c>
      <c r="N3536" s="8" t="s">
        <v>27</v>
      </c>
      <c r="O3536" s="13"/>
      <c r="P3536" s="14">
        <v>0.2</v>
      </c>
      <c r="Q3536" s="15">
        <v>0.22087836972551009</v>
      </c>
      <c r="R3536" s="16" t="str">
        <f t="shared" si="293"/>
        <v>NUVO</v>
      </c>
      <c r="S3536" s="17"/>
      <c r="T3536" s="10" t="str">
        <f t="shared" si="295"/>
        <v>PROCESADOR INALÁMBRICO DE CUARENTA VATIOS.</v>
      </c>
    </row>
    <row r="3537" spans="1:20" ht="27" customHeight="1" x14ac:dyDescent="0.25">
      <c r="A3537" s="8" t="s">
        <v>7114</v>
      </c>
      <c r="B3537" s="9" t="s">
        <v>7115</v>
      </c>
      <c r="C3537" s="9"/>
      <c r="D3537" s="8" t="s">
        <v>148</v>
      </c>
      <c r="E3537" s="8">
        <v>2</v>
      </c>
      <c r="F3537" s="8" t="s">
        <v>22</v>
      </c>
      <c r="G3537" s="10" t="s">
        <v>7211</v>
      </c>
      <c r="H3537" s="8" t="s">
        <v>7212</v>
      </c>
      <c r="I3537" s="10" t="s">
        <v>7213</v>
      </c>
      <c r="J3537" s="11" t="s">
        <v>26</v>
      </c>
      <c r="K3537" s="18">
        <v>389</v>
      </c>
      <c r="L3537" s="12">
        <f t="shared" si="294"/>
        <v>599.00000041610065</v>
      </c>
      <c r="M3537" s="8">
        <v>1</v>
      </c>
      <c r="N3537" s="8" t="s">
        <v>27</v>
      </c>
      <c r="O3537" s="13"/>
      <c r="P3537" s="14">
        <v>0.2</v>
      </c>
      <c r="Q3537" s="15">
        <v>0.22070116915570409</v>
      </c>
      <c r="R3537" s="16" t="str">
        <f t="shared" si="293"/>
        <v>NUVO</v>
      </c>
      <c r="S3537" s="17"/>
      <c r="T3537" s="10" t="str">
        <f t="shared" si="295"/>
        <v>PROCESADOR INALÁMBRICO EN ESTÉREO DE 120 VATIOS.</v>
      </c>
    </row>
    <row r="3538" spans="1:20" ht="27" customHeight="1" x14ac:dyDescent="0.25">
      <c r="A3538" s="8" t="s">
        <v>7114</v>
      </c>
      <c r="B3538" s="9" t="s">
        <v>7115</v>
      </c>
      <c r="C3538" s="9"/>
      <c r="D3538" s="8" t="s">
        <v>148</v>
      </c>
      <c r="E3538" s="8">
        <v>3</v>
      </c>
      <c r="F3538" s="8" t="s">
        <v>22</v>
      </c>
      <c r="G3538" s="10" t="s">
        <v>7214</v>
      </c>
      <c r="H3538" s="8" t="s">
        <v>7215</v>
      </c>
      <c r="I3538" s="10" t="s">
        <v>7216</v>
      </c>
      <c r="J3538" s="11" t="s">
        <v>26</v>
      </c>
      <c r="K3538" s="18">
        <v>899</v>
      </c>
      <c r="L3538" s="12">
        <f t="shared" si="294"/>
        <v>1698.9999942816421</v>
      </c>
      <c r="M3538" s="8">
        <v>1</v>
      </c>
      <c r="N3538" s="8" t="s">
        <v>27</v>
      </c>
      <c r="O3538" s="13"/>
      <c r="P3538" s="14">
        <v>0.2</v>
      </c>
      <c r="Q3538" s="15">
        <v>0.36503825566160181</v>
      </c>
      <c r="R3538" s="16" t="str">
        <f t="shared" si="293"/>
        <v>NUVO</v>
      </c>
      <c r="S3538" s="17"/>
      <c r="T3538" s="10" t="str">
        <f t="shared" si="295"/>
        <v>AMPLIFICADOR DE 3 CANALES EN ESTÉREO CON SALIDAS DE 40 VATIOS.</v>
      </c>
    </row>
    <row r="3539" spans="1:20" ht="27" customHeight="1" x14ac:dyDescent="0.25">
      <c r="A3539" s="8" t="s">
        <v>7114</v>
      </c>
      <c r="B3539" s="9" t="s">
        <v>7115</v>
      </c>
      <c r="C3539" s="9"/>
      <c r="D3539" s="8" t="s">
        <v>148</v>
      </c>
      <c r="E3539" s="8">
        <v>4</v>
      </c>
      <c r="F3539" s="8" t="s">
        <v>22</v>
      </c>
      <c r="G3539" s="10" t="s">
        <v>7217</v>
      </c>
      <c r="H3539" s="8" t="s">
        <v>7218</v>
      </c>
      <c r="I3539" s="10" t="s">
        <v>7219</v>
      </c>
      <c r="J3539" s="11" t="s">
        <v>26</v>
      </c>
      <c r="K3539" s="18">
        <v>431</v>
      </c>
      <c r="L3539" s="12">
        <f t="shared" si="294"/>
        <v>861.99999999999989</v>
      </c>
      <c r="M3539" s="8">
        <v>1</v>
      </c>
      <c r="N3539" s="8" t="s">
        <v>27</v>
      </c>
      <c r="O3539" s="13"/>
      <c r="P3539" s="14">
        <v>0.2</v>
      </c>
      <c r="Q3539" s="15">
        <v>0.4</v>
      </c>
      <c r="R3539" s="16" t="str">
        <f t="shared" si="293"/>
        <v>NUVO</v>
      </c>
      <c r="S3539" s="17"/>
      <c r="T3539" s="10" t="str">
        <f t="shared" si="295"/>
        <v>SISTEMA AMPLIFICADO DE 4 ZONAS, 40 VATIOS POR CANAL.</v>
      </c>
    </row>
    <row r="3540" spans="1:20" ht="27" customHeight="1" x14ac:dyDescent="0.25">
      <c r="A3540" s="8" t="s">
        <v>7114</v>
      </c>
      <c r="B3540" s="9" t="s">
        <v>7115</v>
      </c>
      <c r="C3540" s="9"/>
      <c r="D3540" s="8" t="s">
        <v>148</v>
      </c>
      <c r="E3540" s="8">
        <v>5</v>
      </c>
      <c r="F3540" s="8" t="s">
        <v>22</v>
      </c>
      <c r="G3540" s="10" t="s">
        <v>7217</v>
      </c>
      <c r="H3540" s="8" t="s">
        <v>7220</v>
      </c>
      <c r="I3540" s="10" t="s">
        <v>7221</v>
      </c>
      <c r="J3540" s="11" t="s">
        <v>26</v>
      </c>
      <c r="K3540" s="18">
        <v>341</v>
      </c>
      <c r="L3540" s="12">
        <f t="shared" si="294"/>
        <v>682</v>
      </c>
      <c r="M3540" s="8">
        <v>1</v>
      </c>
      <c r="N3540" s="8" t="s">
        <v>27</v>
      </c>
      <c r="O3540" s="13"/>
      <c r="P3540" s="14">
        <v>0.2</v>
      </c>
      <c r="Q3540" s="15">
        <v>0.4</v>
      </c>
      <c r="R3540" s="16" t="str">
        <f t="shared" si="293"/>
        <v>NUVO</v>
      </c>
      <c r="S3540" s="17"/>
      <c r="T3540" s="10" t="str">
        <f t="shared" si="295"/>
        <v>SISTEMA AMPLIFICADO DE 4 ZONAS, 40 VATIOS POR CANAL.</v>
      </c>
    </row>
    <row r="3541" spans="1:20" ht="27" customHeight="1" x14ac:dyDescent="0.25">
      <c r="A3541" s="8" t="s">
        <v>7114</v>
      </c>
      <c r="B3541" s="9" t="s">
        <v>7115</v>
      </c>
      <c r="C3541" s="9"/>
      <c r="D3541" s="8" t="s">
        <v>148</v>
      </c>
      <c r="E3541" s="8">
        <v>6</v>
      </c>
      <c r="F3541" s="8" t="s">
        <v>22</v>
      </c>
      <c r="G3541" s="10" t="s">
        <v>7222</v>
      </c>
      <c r="H3541" s="8" t="s">
        <v>7223</v>
      </c>
      <c r="I3541" s="10" t="s">
        <v>7224</v>
      </c>
      <c r="J3541" s="11" t="s">
        <v>26</v>
      </c>
      <c r="K3541" s="18" t="s">
        <v>7225</v>
      </c>
      <c r="L3541" s="12">
        <f t="shared" si="294"/>
        <v>3298</v>
      </c>
      <c r="M3541" s="8">
        <v>1</v>
      </c>
      <c r="N3541" s="8" t="s">
        <v>27</v>
      </c>
      <c r="O3541" s="13"/>
      <c r="P3541" s="14">
        <v>0.2</v>
      </c>
      <c r="Q3541" s="15">
        <v>0.4</v>
      </c>
      <c r="R3541" s="16" t="str">
        <f t="shared" si="293"/>
        <v>NUVO</v>
      </c>
      <c r="S3541" s="17"/>
      <c r="T3541" s="10" t="str">
        <f t="shared" si="295"/>
        <v>SISTEMA MULTIROOM DE AUDIO PARA 8 ZONAS, 6 AMPLIFICADAS CON SALIDA A 40 VATIOS.</v>
      </c>
    </row>
    <row r="3542" spans="1:20" ht="27" customHeight="1" x14ac:dyDescent="0.25">
      <c r="A3542" s="8" t="s">
        <v>7114</v>
      </c>
      <c r="B3542" s="9" t="s">
        <v>7115</v>
      </c>
      <c r="C3542" s="9"/>
      <c r="D3542" s="8" t="s">
        <v>148</v>
      </c>
      <c r="E3542" s="8">
        <v>7</v>
      </c>
      <c r="F3542" s="8" t="s">
        <v>22</v>
      </c>
      <c r="G3542" s="10" t="s">
        <v>7226</v>
      </c>
      <c r="H3542" s="8" t="s">
        <v>7227</v>
      </c>
      <c r="I3542" s="10" t="s">
        <v>7228</v>
      </c>
      <c r="J3542" s="11" t="s">
        <v>26</v>
      </c>
      <c r="K3542" s="18" t="s">
        <v>7229</v>
      </c>
      <c r="L3542" s="12">
        <f t="shared" si="294"/>
        <v>2098</v>
      </c>
      <c r="M3542" s="8">
        <v>1</v>
      </c>
      <c r="N3542" s="8" t="s">
        <v>27</v>
      </c>
      <c r="O3542" s="13"/>
      <c r="P3542" s="14">
        <v>0.2</v>
      </c>
      <c r="Q3542" s="15">
        <v>0.4</v>
      </c>
      <c r="R3542" s="16" t="str">
        <f t="shared" si="293"/>
        <v>NUVO</v>
      </c>
      <c r="S3542" s="17"/>
      <c r="T3542" s="10" t="str">
        <f t="shared" si="295"/>
        <v>SISTEMA MULTIROOM DE AUDIO PARA 8 ZONAS.</v>
      </c>
    </row>
    <row r="3543" spans="1:20" ht="27" customHeight="1" x14ac:dyDescent="0.25">
      <c r="A3543" s="8" t="s">
        <v>7114</v>
      </c>
      <c r="B3543" s="9" t="s">
        <v>7115</v>
      </c>
      <c r="C3543" s="9"/>
      <c r="D3543" s="8" t="s">
        <v>148</v>
      </c>
      <c r="E3543" s="8">
        <v>8</v>
      </c>
      <c r="F3543" s="8" t="s">
        <v>22</v>
      </c>
      <c r="G3543" s="10" t="s">
        <v>7230</v>
      </c>
      <c r="H3543" s="8" t="s">
        <v>7231</v>
      </c>
      <c r="I3543" s="10" t="s">
        <v>7232</v>
      </c>
      <c r="J3543" s="11" t="s">
        <v>26</v>
      </c>
      <c r="K3543" s="18" t="s">
        <v>7229</v>
      </c>
      <c r="L3543" s="12">
        <f t="shared" si="294"/>
        <v>2098</v>
      </c>
      <c r="M3543" s="8">
        <v>1</v>
      </c>
      <c r="N3543" s="8" t="s">
        <v>27</v>
      </c>
      <c r="O3543" s="13"/>
      <c r="P3543" s="14">
        <v>0.2</v>
      </c>
      <c r="Q3543" s="15">
        <v>0.4</v>
      </c>
      <c r="R3543" s="16" t="str">
        <f t="shared" si="293"/>
        <v>NUVO</v>
      </c>
      <c r="S3543" s="17"/>
      <c r="T3543" s="10" t="str">
        <f t="shared" si="295"/>
        <v>SISTEMA DE EXPANSIÓN PARA 8 ZONAS ADICIONALES.</v>
      </c>
    </row>
    <row r="3544" spans="1:20" ht="27" customHeight="1" x14ac:dyDescent="0.25">
      <c r="A3544" s="8" t="s">
        <v>7114</v>
      </c>
      <c r="B3544" s="9" t="s">
        <v>7115</v>
      </c>
      <c r="C3544" s="9"/>
      <c r="D3544" s="8" t="s">
        <v>148</v>
      </c>
      <c r="E3544" s="8">
        <v>9</v>
      </c>
      <c r="F3544" s="8" t="s">
        <v>22</v>
      </c>
      <c r="G3544" s="10" t="s">
        <v>7233</v>
      </c>
      <c r="H3544" s="8" t="s">
        <v>7234</v>
      </c>
      <c r="I3544" s="10" t="s">
        <v>7235</v>
      </c>
      <c r="J3544" s="11" t="s">
        <v>26</v>
      </c>
      <c r="K3544" s="18" t="s">
        <v>7118</v>
      </c>
      <c r="L3544" s="12">
        <f t="shared" ref="L3544:L3575" si="296">IF(J3544="P",ROUNDUP(K3544/(1-Q3544),-2),K3544*(1+P3544)/(1-Q3544))</f>
        <v>280</v>
      </c>
      <c r="M3544" s="8">
        <v>1</v>
      </c>
      <c r="N3544" s="8" t="s">
        <v>27</v>
      </c>
      <c r="O3544" s="13"/>
      <c r="P3544" s="14">
        <v>0.2</v>
      </c>
      <c r="Q3544" s="15">
        <v>0.4</v>
      </c>
      <c r="R3544" s="16" t="str">
        <f t="shared" si="293"/>
        <v>NUVO</v>
      </c>
      <c r="S3544" s="17"/>
      <c r="T3544" s="10" t="str">
        <f t="shared" si="295"/>
        <v xml:space="preserve">AMPLIFICADOR ESTÉREO DE 50 VATIOS. </v>
      </c>
    </row>
    <row r="3545" spans="1:20" ht="27" customHeight="1" x14ac:dyDescent="0.25">
      <c r="A3545" s="8" t="s">
        <v>7114</v>
      </c>
      <c r="B3545" s="9" t="s">
        <v>7115</v>
      </c>
      <c r="C3545" s="9"/>
      <c r="D3545" s="8" t="s">
        <v>148</v>
      </c>
      <c r="E3545" s="8">
        <v>10</v>
      </c>
      <c r="F3545" s="8" t="s">
        <v>22</v>
      </c>
      <c r="G3545" s="10" t="s">
        <v>7236</v>
      </c>
      <c r="H3545" s="8" t="s">
        <v>7237</v>
      </c>
      <c r="I3545" s="10" t="s">
        <v>7235</v>
      </c>
      <c r="J3545" s="11" t="s">
        <v>26</v>
      </c>
      <c r="K3545" s="18" t="s">
        <v>7118</v>
      </c>
      <c r="L3545" s="12">
        <f t="shared" si="296"/>
        <v>280</v>
      </c>
      <c r="M3545" s="8">
        <v>1</v>
      </c>
      <c r="N3545" s="8" t="s">
        <v>27</v>
      </c>
      <c r="O3545" s="13"/>
      <c r="P3545" s="14">
        <v>0.2</v>
      </c>
      <c r="Q3545" s="15">
        <v>0.4</v>
      </c>
      <c r="R3545" s="16" t="str">
        <f t="shared" si="293"/>
        <v>NUVO</v>
      </c>
      <c r="S3545" s="17"/>
      <c r="T3545" s="10" t="str">
        <f t="shared" si="295"/>
        <v>AMPLIFICADOR ESTÉREO DE 50 VATIOS.</v>
      </c>
    </row>
    <row r="3546" spans="1:20" ht="27" customHeight="1" x14ac:dyDescent="0.25">
      <c r="A3546" s="8" t="s">
        <v>7114</v>
      </c>
      <c r="B3546" s="9" t="s">
        <v>7115</v>
      </c>
      <c r="C3546" s="9"/>
      <c r="D3546" s="8" t="s">
        <v>148</v>
      </c>
      <c r="E3546" s="8">
        <v>11</v>
      </c>
      <c r="F3546" s="8" t="s">
        <v>22</v>
      </c>
      <c r="G3546" s="10" t="s">
        <v>7238</v>
      </c>
      <c r="H3546" s="8" t="s">
        <v>7239</v>
      </c>
      <c r="I3546" s="10" t="s">
        <v>7240</v>
      </c>
      <c r="J3546" s="11" t="s">
        <v>26</v>
      </c>
      <c r="K3546" s="18" t="s">
        <v>7241</v>
      </c>
      <c r="L3546" s="12">
        <f t="shared" si="296"/>
        <v>1228</v>
      </c>
      <c r="M3546" s="8">
        <v>1</v>
      </c>
      <c r="N3546" s="8" t="s">
        <v>27</v>
      </c>
      <c r="O3546" s="13"/>
      <c r="P3546" s="14">
        <v>0.2</v>
      </c>
      <c r="Q3546" s="15">
        <v>0.4</v>
      </c>
      <c r="R3546" s="16" t="str">
        <f t="shared" si="293"/>
        <v>NUVO</v>
      </c>
      <c r="S3546" s="17"/>
      <c r="T3546" s="10" t="str">
        <f t="shared" si="295"/>
        <v>SISTEMA MULTIROOM DE AUDIO PARA 6 ZONAS.</v>
      </c>
    </row>
    <row r="3547" spans="1:20" ht="27" customHeight="1" x14ac:dyDescent="0.25">
      <c r="A3547" s="8" t="s">
        <v>7114</v>
      </c>
      <c r="B3547" s="9" t="s">
        <v>7115</v>
      </c>
      <c r="C3547" s="9"/>
      <c r="D3547" s="8" t="s">
        <v>148</v>
      </c>
      <c r="E3547" s="8">
        <v>12</v>
      </c>
      <c r="F3547" s="8" t="s">
        <v>22</v>
      </c>
      <c r="G3547" s="10" t="s">
        <v>7242</v>
      </c>
      <c r="H3547" s="8" t="s">
        <v>7243</v>
      </c>
      <c r="I3547" s="10" t="s">
        <v>7244</v>
      </c>
      <c r="J3547" s="11" t="s">
        <v>26</v>
      </c>
      <c r="K3547" s="18" t="s">
        <v>7241</v>
      </c>
      <c r="L3547" s="12">
        <f t="shared" si="296"/>
        <v>1228</v>
      </c>
      <c r="M3547" s="8">
        <v>1</v>
      </c>
      <c r="N3547" s="8" t="s">
        <v>27</v>
      </c>
      <c r="O3547" s="13"/>
      <c r="P3547" s="14">
        <v>0.2</v>
      </c>
      <c r="Q3547" s="15">
        <v>0.4</v>
      </c>
      <c r="R3547" s="16" t="str">
        <f t="shared" si="293"/>
        <v>NUVO</v>
      </c>
      <c r="S3547" s="17"/>
      <c r="T3547" s="10" t="str">
        <f t="shared" si="295"/>
        <v>SISTEMA MULTIROOM DE AUDIO PARA 6 ZONAS ADICIONALES DE MULTIROOM.</v>
      </c>
    </row>
    <row r="3548" spans="1:20" ht="27" customHeight="1" x14ac:dyDescent="0.25">
      <c r="A3548" s="8" t="s">
        <v>7114</v>
      </c>
      <c r="B3548" s="9" t="s">
        <v>7115</v>
      </c>
      <c r="C3548" s="9"/>
      <c r="D3548" s="8" t="s">
        <v>148</v>
      </c>
      <c r="E3548" s="8">
        <v>13</v>
      </c>
      <c r="F3548" s="8" t="s">
        <v>22</v>
      </c>
      <c r="G3548" s="10" t="s">
        <v>7245</v>
      </c>
      <c r="H3548" s="8" t="s">
        <v>7246</v>
      </c>
      <c r="I3548" s="10" t="s">
        <v>7245</v>
      </c>
      <c r="J3548" s="11" t="s">
        <v>26</v>
      </c>
      <c r="K3548" s="18" t="s">
        <v>7247</v>
      </c>
      <c r="L3548" s="12">
        <f t="shared" si="296"/>
        <v>418</v>
      </c>
      <c r="M3548" s="8">
        <v>1</v>
      </c>
      <c r="N3548" s="8" t="s">
        <v>27</v>
      </c>
      <c r="O3548" s="13"/>
      <c r="P3548" s="14">
        <v>0.2</v>
      </c>
      <c r="Q3548" s="15">
        <v>0.4</v>
      </c>
      <c r="R3548" s="16" t="str">
        <f t="shared" si="293"/>
        <v>NUVO</v>
      </c>
      <c r="S3548" s="17"/>
      <c r="T3548" s="10" t="str">
        <f t="shared" si="295"/>
        <v>AMPLIFICADOR DIGITAL DE DOS CANALES A 120 VATIOS PARA ALTAVOCES DE 4 U 8 OHM.</v>
      </c>
    </row>
    <row r="3549" spans="1:20" ht="27" customHeight="1" x14ac:dyDescent="0.25">
      <c r="A3549" s="8" t="s">
        <v>7114</v>
      </c>
      <c r="B3549" s="9" t="s">
        <v>7115</v>
      </c>
      <c r="C3549" s="9"/>
      <c r="D3549" s="8" t="s">
        <v>148</v>
      </c>
      <c r="E3549" s="8">
        <v>14</v>
      </c>
      <c r="F3549" s="8" t="s">
        <v>22</v>
      </c>
      <c r="G3549" s="10" t="s">
        <v>7248</v>
      </c>
      <c r="H3549" s="8" t="s">
        <v>7249</v>
      </c>
      <c r="I3549" s="10" t="s">
        <v>7248</v>
      </c>
      <c r="J3549" s="11" t="s">
        <v>26</v>
      </c>
      <c r="K3549" s="18" t="s">
        <v>7247</v>
      </c>
      <c r="L3549" s="12">
        <f t="shared" si="296"/>
        <v>418</v>
      </c>
      <c r="M3549" s="8">
        <v>1</v>
      </c>
      <c r="N3549" s="8" t="s">
        <v>27</v>
      </c>
      <c r="O3549" s="13"/>
      <c r="P3549" s="14">
        <v>0.2</v>
      </c>
      <c r="Q3549" s="15">
        <v>0.4</v>
      </c>
      <c r="R3549" s="16" t="str">
        <f t="shared" si="293"/>
        <v>NUVO</v>
      </c>
      <c r="S3549" s="17"/>
      <c r="T3549" s="10" t="str">
        <f t="shared" si="295"/>
        <v>AMPLIFICADOR DIGITAL DE CUATRO CANALES A 60 VATIOS PARA ALTAVOCES DE 4 U 8 OHM.</v>
      </c>
    </row>
    <row r="3550" spans="1:20" ht="27" customHeight="1" x14ac:dyDescent="0.25">
      <c r="A3550" s="8" t="s">
        <v>7114</v>
      </c>
      <c r="B3550" s="9" t="s">
        <v>7115</v>
      </c>
      <c r="C3550" s="9"/>
      <c r="D3550" s="8" t="s">
        <v>148</v>
      </c>
      <c r="E3550" s="8">
        <v>15</v>
      </c>
      <c r="F3550" s="8" t="s">
        <v>22</v>
      </c>
      <c r="G3550" s="10" t="s">
        <v>7250</v>
      </c>
      <c r="H3550" s="8" t="s">
        <v>7251</v>
      </c>
      <c r="I3550" s="10" t="s">
        <v>7250</v>
      </c>
      <c r="J3550" s="11" t="s">
        <v>26</v>
      </c>
      <c r="K3550" s="18" t="s">
        <v>7252</v>
      </c>
      <c r="L3550" s="12">
        <f t="shared" si="296"/>
        <v>122.00000000000001</v>
      </c>
      <c r="M3550" s="8">
        <v>1</v>
      </c>
      <c r="N3550" s="8" t="s">
        <v>27</v>
      </c>
      <c r="O3550" s="13"/>
      <c r="P3550" s="14">
        <v>0.2</v>
      </c>
      <c r="Q3550" s="15">
        <v>0.4</v>
      </c>
      <c r="R3550" s="16" t="str">
        <f t="shared" si="293"/>
        <v>NUVO</v>
      </c>
      <c r="S3550" s="17"/>
      <c r="T3550" s="10" t="str">
        <f t="shared" si="295"/>
        <v>AMPLIFICADO LOCAL DE 40 VATIOS</v>
      </c>
    </row>
    <row r="3551" spans="1:20" ht="27" customHeight="1" x14ac:dyDescent="0.25">
      <c r="A3551" s="8" t="s">
        <v>7114</v>
      </c>
      <c r="B3551" s="9" t="s">
        <v>7115</v>
      </c>
      <c r="C3551" s="9"/>
      <c r="D3551" s="8" t="s">
        <v>148</v>
      </c>
      <c r="E3551" s="8">
        <v>16</v>
      </c>
      <c r="F3551" s="8" t="s">
        <v>22</v>
      </c>
      <c r="G3551" s="10" t="s">
        <v>7250</v>
      </c>
      <c r="H3551" s="8" t="s">
        <v>7253</v>
      </c>
      <c r="I3551" s="10" t="s">
        <v>7250</v>
      </c>
      <c r="J3551" s="11" t="s">
        <v>26</v>
      </c>
      <c r="K3551" s="18" t="s">
        <v>7254</v>
      </c>
      <c r="L3551" s="12">
        <f t="shared" si="296"/>
        <v>112.00000000000001</v>
      </c>
      <c r="M3551" s="8">
        <v>1</v>
      </c>
      <c r="N3551" s="8" t="s">
        <v>27</v>
      </c>
      <c r="O3551" s="13"/>
      <c r="P3551" s="14">
        <v>0.2</v>
      </c>
      <c r="Q3551" s="15">
        <v>0.4</v>
      </c>
      <c r="R3551" s="16" t="str">
        <f t="shared" si="293"/>
        <v>NUVO</v>
      </c>
      <c r="S3551" s="17"/>
      <c r="T3551" s="10" t="str">
        <f t="shared" si="295"/>
        <v>AMPLIFICADO LOCAL DE 40 VATIOS</v>
      </c>
    </row>
    <row r="3552" spans="1:20" ht="27" customHeight="1" x14ac:dyDescent="0.25">
      <c r="A3552" s="8" t="s">
        <v>7114</v>
      </c>
      <c r="B3552" s="9" t="s">
        <v>7115</v>
      </c>
      <c r="C3552" s="9"/>
      <c r="D3552" s="8" t="s">
        <v>148</v>
      </c>
      <c r="E3552" s="8">
        <v>17</v>
      </c>
      <c r="F3552" s="8" t="s">
        <v>22</v>
      </c>
      <c r="G3552" s="10" t="s">
        <v>7255</v>
      </c>
      <c r="H3552" s="8" t="s">
        <v>7256</v>
      </c>
      <c r="I3552" s="10" t="s">
        <v>7255</v>
      </c>
      <c r="J3552" s="11" t="s">
        <v>26</v>
      </c>
      <c r="K3552" s="18" t="s">
        <v>7257</v>
      </c>
      <c r="L3552" s="12">
        <f t="shared" si="296"/>
        <v>152</v>
      </c>
      <c r="M3552" s="8">
        <v>1</v>
      </c>
      <c r="N3552" s="8" t="s">
        <v>27</v>
      </c>
      <c r="O3552" s="13"/>
      <c r="P3552" s="14">
        <v>0.2</v>
      </c>
      <c r="Q3552" s="15">
        <v>0.4</v>
      </c>
      <c r="R3552" s="16" t="str">
        <f t="shared" si="293"/>
        <v>NUVO</v>
      </c>
      <c r="S3552" s="17"/>
      <c r="T3552" s="10" t="str">
        <f t="shared" si="295"/>
        <v>AMPLIFICADO LOCAL DE 40 VATIOS CON HUB DE DISTRIBUCIÓN</v>
      </c>
    </row>
    <row r="3553" spans="1:20" ht="27" customHeight="1" x14ac:dyDescent="0.25">
      <c r="A3553" s="8" t="s">
        <v>7114</v>
      </c>
      <c r="B3553" s="9" t="s">
        <v>7115</v>
      </c>
      <c r="C3553" s="9"/>
      <c r="D3553" s="8" t="s">
        <v>148</v>
      </c>
      <c r="E3553" s="8">
        <v>18</v>
      </c>
      <c r="F3553" s="8" t="s">
        <v>22</v>
      </c>
      <c r="G3553" s="10" t="s">
        <v>7258</v>
      </c>
      <c r="H3553" s="8" t="s">
        <v>7259</v>
      </c>
      <c r="I3553" s="10" t="s">
        <v>7258</v>
      </c>
      <c r="J3553" s="11" t="s">
        <v>26</v>
      </c>
      <c r="K3553" s="18" t="s">
        <v>7260</v>
      </c>
      <c r="L3553" s="12">
        <f t="shared" si="296"/>
        <v>258</v>
      </c>
      <c r="M3553" s="8">
        <v>1</v>
      </c>
      <c r="N3553" s="8" t="s">
        <v>27</v>
      </c>
      <c r="O3553" s="13"/>
      <c r="P3553" s="14">
        <v>0.2</v>
      </c>
      <c r="Q3553" s="15">
        <v>0.4</v>
      </c>
      <c r="R3553" s="16" t="str">
        <f t="shared" si="293"/>
        <v>NUVO</v>
      </c>
      <c r="S3553" s="17"/>
      <c r="T3553" s="10" t="str">
        <f t="shared" si="295"/>
        <v>AMPLIFICADO LOCAL DE 40 VATIOS PARA INSTALACIÓN EN PARED</v>
      </c>
    </row>
    <row r="3554" spans="1:20" ht="27" customHeight="1" x14ac:dyDescent="0.25">
      <c r="A3554" s="8" t="s">
        <v>7114</v>
      </c>
      <c r="B3554" s="9" t="s">
        <v>7115</v>
      </c>
      <c r="C3554" s="9"/>
      <c r="D3554" s="8" t="s">
        <v>148</v>
      </c>
      <c r="E3554" s="8">
        <v>19</v>
      </c>
      <c r="F3554" s="8" t="s">
        <v>22</v>
      </c>
      <c r="G3554" s="10" t="s">
        <v>7258</v>
      </c>
      <c r="H3554" s="8" t="s">
        <v>7261</v>
      </c>
      <c r="I3554" s="10" t="s">
        <v>7258</v>
      </c>
      <c r="J3554" s="11" t="s">
        <v>26</v>
      </c>
      <c r="K3554" s="18" t="s">
        <v>7262</v>
      </c>
      <c r="L3554" s="12">
        <f t="shared" si="296"/>
        <v>158</v>
      </c>
      <c r="M3554" s="8">
        <v>1</v>
      </c>
      <c r="N3554" s="8" t="s">
        <v>27</v>
      </c>
      <c r="O3554" s="13"/>
      <c r="P3554" s="14">
        <v>0.2</v>
      </c>
      <c r="Q3554" s="15">
        <v>0.4</v>
      </c>
      <c r="R3554" s="16" t="str">
        <f t="shared" si="293"/>
        <v>NUVO</v>
      </c>
      <c r="S3554" s="17"/>
      <c r="T3554" s="10" t="str">
        <f t="shared" si="295"/>
        <v>AMPLIFICADO LOCAL DE 40 VATIOS PARA INSTALACIÓN EN PARED</v>
      </c>
    </row>
    <row r="3555" spans="1:20" ht="27" customHeight="1" x14ac:dyDescent="0.25">
      <c r="A3555" s="8" t="s">
        <v>7114</v>
      </c>
      <c r="B3555" s="9" t="s">
        <v>7115</v>
      </c>
      <c r="C3555" s="9"/>
      <c r="D3555" s="8" t="s">
        <v>188</v>
      </c>
      <c r="E3555" s="8">
        <v>1</v>
      </c>
      <c r="F3555" s="8" t="s">
        <v>22</v>
      </c>
      <c r="G3555" s="10" t="s">
        <v>7263</v>
      </c>
      <c r="H3555" s="8" t="s">
        <v>7264</v>
      </c>
      <c r="I3555" s="10" t="s">
        <v>7263</v>
      </c>
      <c r="J3555" s="11" t="s">
        <v>26</v>
      </c>
      <c r="K3555" s="18" t="s">
        <v>7265</v>
      </c>
      <c r="L3555" s="12">
        <f t="shared" si="296"/>
        <v>390.85714285714283</v>
      </c>
      <c r="M3555" s="8">
        <v>1</v>
      </c>
      <c r="N3555" s="8" t="s">
        <v>27</v>
      </c>
      <c r="O3555" s="13"/>
      <c r="P3555" s="14">
        <v>0.2</v>
      </c>
      <c r="Q3555" s="15">
        <v>0.3</v>
      </c>
      <c r="R3555" s="16" t="str">
        <f t="shared" si="293"/>
        <v>NUVO</v>
      </c>
      <c r="S3555" s="17"/>
      <c r="T3555" s="10" t="str">
        <f t="shared" si="295"/>
        <v>INTERFAZ DE CONTROL INALÁMBRICA DE 4.3" PARA SISTEMA DE AUDIO INALÁMBRICO.</v>
      </c>
    </row>
    <row r="3556" spans="1:20" ht="27" customHeight="1" x14ac:dyDescent="0.25">
      <c r="A3556" s="8" t="s">
        <v>7114</v>
      </c>
      <c r="B3556" s="9" t="s">
        <v>7115</v>
      </c>
      <c r="C3556" s="9"/>
      <c r="D3556" s="8" t="s">
        <v>188</v>
      </c>
      <c r="E3556" s="8">
        <v>2</v>
      </c>
      <c r="F3556" s="8" t="s">
        <v>22</v>
      </c>
      <c r="G3556" s="10" t="s">
        <v>7266</v>
      </c>
      <c r="H3556" s="8" t="s">
        <v>7267</v>
      </c>
      <c r="I3556" s="10" t="s">
        <v>7266</v>
      </c>
      <c r="J3556" s="11" t="s">
        <v>26</v>
      </c>
      <c r="K3556" s="18" t="s">
        <v>7136</v>
      </c>
      <c r="L3556" s="12">
        <f t="shared" si="296"/>
        <v>120</v>
      </c>
      <c r="M3556" s="8">
        <v>1</v>
      </c>
      <c r="N3556" s="8" t="s">
        <v>27</v>
      </c>
      <c r="O3556" s="13"/>
      <c r="P3556" s="14">
        <v>0.2</v>
      </c>
      <c r="Q3556" s="15">
        <v>0.4</v>
      </c>
      <c r="R3556" s="16" t="str">
        <f t="shared" si="293"/>
        <v>NUVO</v>
      </c>
      <c r="S3556" s="17"/>
      <c r="T3556" s="10" t="str">
        <f t="shared" si="295"/>
        <v>TECLADO ALFA NUMÉRICO PARA SISTEMA SIMPLEASE</v>
      </c>
    </row>
    <row r="3557" spans="1:20" ht="27" customHeight="1" x14ac:dyDescent="0.25">
      <c r="A3557" s="8" t="s">
        <v>7114</v>
      </c>
      <c r="B3557" s="9" t="s">
        <v>7115</v>
      </c>
      <c r="C3557" s="9"/>
      <c r="D3557" s="8" t="s">
        <v>188</v>
      </c>
      <c r="E3557" s="8">
        <v>3</v>
      </c>
      <c r="F3557" s="8" t="s">
        <v>22</v>
      </c>
      <c r="G3557" s="10" t="s">
        <v>7268</v>
      </c>
      <c r="H3557" s="8" t="s">
        <v>7269</v>
      </c>
      <c r="I3557" s="10" t="s">
        <v>7270</v>
      </c>
      <c r="J3557" s="11" t="s">
        <v>26</v>
      </c>
      <c r="K3557" s="18" t="s">
        <v>7271</v>
      </c>
      <c r="L3557" s="12">
        <f t="shared" si="296"/>
        <v>208</v>
      </c>
      <c r="M3557" s="8">
        <v>1</v>
      </c>
      <c r="N3557" s="8" t="s">
        <v>27</v>
      </c>
      <c r="O3557" s="13"/>
      <c r="P3557" s="14">
        <v>0.2</v>
      </c>
      <c r="Q3557" s="15">
        <v>0.4</v>
      </c>
      <c r="R3557" s="16" t="str">
        <f t="shared" si="293"/>
        <v>NUVO</v>
      </c>
      <c r="S3557" s="17"/>
      <c r="T3557" s="10" t="str">
        <f t="shared" si="295"/>
        <v>TECLADO CON PANTALLA OLED DE UNA PULGADA PARA CONTROL CON SISTEMAS ESSENTIA.</v>
      </c>
    </row>
    <row r="3558" spans="1:20" ht="27" customHeight="1" x14ac:dyDescent="0.25">
      <c r="A3558" s="8" t="s">
        <v>7114</v>
      </c>
      <c r="B3558" s="9" t="s">
        <v>7115</v>
      </c>
      <c r="C3558" s="9"/>
      <c r="D3558" s="8" t="s">
        <v>188</v>
      </c>
      <c r="E3558" s="8">
        <v>4</v>
      </c>
      <c r="F3558" s="8" t="s">
        <v>22</v>
      </c>
      <c r="G3558" s="10" t="s">
        <v>7272</v>
      </c>
      <c r="H3558" s="8" t="s">
        <v>7273</v>
      </c>
      <c r="I3558" s="10" t="s">
        <v>7274</v>
      </c>
      <c r="J3558" s="11" t="s">
        <v>26</v>
      </c>
      <c r="K3558" s="18" t="s">
        <v>7275</v>
      </c>
      <c r="L3558" s="12">
        <f t="shared" si="296"/>
        <v>292</v>
      </c>
      <c r="M3558" s="8">
        <v>1</v>
      </c>
      <c r="N3558" s="8" t="s">
        <v>27</v>
      </c>
      <c r="O3558" s="13"/>
      <c r="P3558" s="14">
        <v>0.2</v>
      </c>
      <c r="Q3558" s="15">
        <v>0.4</v>
      </c>
      <c r="R3558" s="16" t="str">
        <f t="shared" si="293"/>
        <v>NUVO</v>
      </c>
      <c r="S3558" s="17"/>
      <c r="T3558" s="10" t="str">
        <f t="shared" si="295"/>
        <v>TECLADO CON PANTALLA OLED DE 2.7 PULGADAS PARA CONTROL CON SISTEMAS ESSENTIA.</v>
      </c>
    </row>
    <row r="3559" spans="1:20" ht="27" customHeight="1" x14ac:dyDescent="0.25">
      <c r="A3559" s="8" t="s">
        <v>7114</v>
      </c>
      <c r="B3559" s="9" t="s">
        <v>7115</v>
      </c>
      <c r="C3559" s="9"/>
      <c r="D3559" s="8" t="s">
        <v>188</v>
      </c>
      <c r="E3559" s="8">
        <v>5</v>
      </c>
      <c r="F3559" s="8" t="s">
        <v>22</v>
      </c>
      <c r="G3559" s="10" t="s">
        <v>7276</v>
      </c>
      <c r="H3559" s="8" t="s">
        <v>7277</v>
      </c>
      <c r="I3559" s="10" t="s">
        <v>7278</v>
      </c>
      <c r="J3559" s="11" t="s">
        <v>26</v>
      </c>
      <c r="K3559" s="18" t="s">
        <v>7279</v>
      </c>
      <c r="L3559" s="12">
        <f t="shared" si="296"/>
        <v>1000</v>
      </c>
      <c r="M3559" s="8">
        <v>1</v>
      </c>
      <c r="N3559" s="8" t="s">
        <v>27</v>
      </c>
      <c r="O3559" s="13"/>
      <c r="P3559" s="14">
        <v>0.2</v>
      </c>
      <c r="Q3559" s="15">
        <v>0.4</v>
      </c>
      <c r="R3559" s="16" t="str">
        <f t="shared" si="293"/>
        <v>NUVO</v>
      </c>
      <c r="S3559" s="17"/>
      <c r="T3559" s="10" t="str">
        <f t="shared" si="295"/>
        <v>TECLADO CON 4 PANTALLAS OLED DE 2.7 PULGADAS PARA CONTROL CON SISTEMAS ESSENTIA.</v>
      </c>
    </row>
    <row r="3560" spans="1:20" ht="27" customHeight="1" x14ac:dyDescent="0.25">
      <c r="A3560" s="8" t="s">
        <v>7114</v>
      </c>
      <c r="B3560" s="9" t="s">
        <v>7115</v>
      </c>
      <c r="C3560" s="9"/>
      <c r="D3560" s="8" t="s">
        <v>188</v>
      </c>
      <c r="E3560" s="8">
        <v>6</v>
      </c>
      <c r="F3560" s="8" t="s">
        <v>22</v>
      </c>
      <c r="G3560" s="10" t="s">
        <v>7280</v>
      </c>
      <c r="H3560" s="8" t="s">
        <v>7281</v>
      </c>
      <c r="I3560" s="10" t="s">
        <v>7282</v>
      </c>
      <c r="J3560" s="11" t="s">
        <v>26</v>
      </c>
      <c r="K3560" s="18" t="s">
        <v>7283</v>
      </c>
      <c r="L3560" s="12">
        <f t="shared" si="296"/>
        <v>788</v>
      </c>
      <c r="M3560" s="8">
        <v>1</v>
      </c>
      <c r="N3560" s="8" t="s">
        <v>27</v>
      </c>
      <c r="O3560" s="13"/>
      <c r="P3560" s="14">
        <v>0.2</v>
      </c>
      <c r="Q3560" s="15">
        <v>0.4</v>
      </c>
      <c r="R3560" s="16" t="str">
        <f t="shared" si="293"/>
        <v>NUVO</v>
      </c>
      <c r="S3560" s="17"/>
      <c r="T3560" s="10" t="str">
        <f t="shared" si="295"/>
        <v>TECLADO A COLOR DE 3.6 PULGADAS PARA CONTROL CON SISTEMAS ESSENTIA.</v>
      </c>
    </row>
    <row r="3561" spans="1:20" ht="27" customHeight="1" x14ac:dyDescent="0.25">
      <c r="A3561" s="8" t="s">
        <v>7114</v>
      </c>
      <c r="B3561" s="9" t="s">
        <v>7115</v>
      </c>
      <c r="C3561" s="9"/>
      <c r="D3561" s="8" t="s">
        <v>188</v>
      </c>
      <c r="E3561" s="8">
        <v>7</v>
      </c>
      <c r="F3561" s="8" t="s">
        <v>22</v>
      </c>
      <c r="G3561" s="10" t="s">
        <v>7284</v>
      </c>
      <c r="H3561" s="8" t="s">
        <v>7285</v>
      </c>
      <c r="I3561" s="10" t="s">
        <v>7284</v>
      </c>
      <c r="J3561" s="11" t="s">
        <v>26</v>
      </c>
      <c r="K3561" s="18" t="s">
        <v>7192</v>
      </c>
      <c r="L3561" s="12">
        <f t="shared" si="296"/>
        <v>34</v>
      </c>
      <c r="M3561" s="8">
        <v>1</v>
      </c>
      <c r="N3561" s="8" t="s">
        <v>27</v>
      </c>
      <c r="O3561" s="13"/>
      <c r="P3561" s="14">
        <v>0.2</v>
      </c>
      <c r="Q3561" s="15">
        <v>0.4</v>
      </c>
      <c r="R3561" s="16" t="str">
        <f t="shared" si="293"/>
        <v>NUVO</v>
      </c>
      <c r="S3561" s="17"/>
      <c r="T3561" s="10" t="str">
        <f t="shared" si="295"/>
        <v>CONTROL REMOTO IR PARA SISTEMA GRAND CONCERTO Y ESSENTIA.</v>
      </c>
    </row>
    <row r="3562" spans="1:20" ht="27" customHeight="1" x14ac:dyDescent="0.25">
      <c r="A3562" s="8" t="s">
        <v>7114</v>
      </c>
      <c r="B3562" s="9" t="s">
        <v>7115</v>
      </c>
      <c r="C3562" s="9"/>
      <c r="D3562" s="8" t="s">
        <v>188</v>
      </c>
      <c r="E3562" s="8">
        <v>8</v>
      </c>
      <c r="F3562" s="8" t="s">
        <v>22</v>
      </c>
      <c r="G3562" s="10" t="s">
        <v>7286</v>
      </c>
      <c r="H3562" s="8" t="s">
        <v>7287</v>
      </c>
      <c r="I3562" s="10" t="s">
        <v>7286</v>
      </c>
      <c r="J3562" s="11" t="s">
        <v>26</v>
      </c>
      <c r="K3562" s="18" t="s">
        <v>7288</v>
      </c>
      <c r="L3562" s="12">
        <f t="shared" si="296"/>
        <v>32</v>
      </c>
      <c r="M3562" s="8">
        <v>1</v>
      </c>
      <c r="N3562" s="8" t="s">
        <v>27</v>
      </c>
      <c r="O3562" s="13"/>
      <c r="P3562" s="14">
        <v>0.2</v>
      </c>
      <c r="Q3562" s="15">
        <v>0.4</v>
      </c>
      <c r="R3562" s="16" t="str">
        <f t="shared" si="293"/>
        <v>NUVO</v>
      </c>
      <c r="S3562" s="17"/>
      <c r="T3562" s="10" t="str">
        <f t="shared" si="295"/>
        <v>CONTROL REMOTO PARA TUNER.</v>
      </c>
    </row>
    <row r="3563" spans="1:20" ht="27" customHeight="1" x14ac:dyDescent="0.25">
      <c r="A3563" s="8" t="s">
        <v>7114</v>
      </c>
      <c r="B3563" s="9" t="s">
        <v>7115</v>
      </c>
      <c r="C3563" s="9"/>
      <c r="D3563" s="8" t="s">
        <v>188</v>
      </c>
      <c r="E3563" s="8">
        <v>9</v>
      </c>
      <c r="F3563" s="8" t="s">
        <v>22</v>
      </c>
      <c r="G3563" s="10" t="s">
        <v>7289</v>
      </c>
      <c r="H3563" s="8" t="s">
        <v>7290</v>
      </c>
      <c r="I3563" s="10" t="s">
        <v>7289</v>
      </c>
      <c r="J3563" s="11" t="s">
        <v>26</v>
      </c>
      <c r="K3563" s="18" t="s">
        <v>7192</v>
      </c>
      <c r="L3563" s="12">
        <f t="shared" si="296"/>
        <v>34</v>
      </c>
      <c r="M3563" s="8">
        <v>1</v>
      </c>
      <c r="N3563" s="8" t="s">
        <v>27</v>
      </c>
      <c r="O3563" s="13"/>
      <c r="P3563" s="14">
        <v>0.2</v>
      </c>
      <c r="Q3563" s="15">
        <v>0.4</v>
      </c>
      <c r="R3563" s="16" t="str">
        <f t="shared" si="293"/>
        <v>NUVO</v>
      </c>
      <c r="S3563" s="17"/>
      <c r="T3563" s="10" t="str">
        <f t="shared" si="295"/>
        <v>CONTROL REMOTO PARA AMPLIFICADOR LOCAL</v>
      </c>
    </row>
    <row r="3564" spans="1:20" ht="27" customHeight="1" x14ac:dyDescent="0.25">
      <c r="A3564" s="8" t="s">
        <v>7114</v>
      </c>
      <c r="B3564" s="9" t="s">
        <v>7115</v>
      </c>
      <c r="C3564" s="9"/>
      <c r="D3564" s="8" t="s">
        <v>2048</v>
      </c>
      <c r="E3564" s="8">
        <v>1</v>
      </c>
      <c r="F3564" s="8" t="s">
        <v>22</v>
      </c>
      <c r="G3564" s="10" t="s">
        <v>7291</v>
      </c>
      <c r="H3564" s="8" t="s">
        <v>7292</v>
      </c>
      <c r="I3564" s="10" t="s">
        <v>7293</v>
      </c>
      <c r="J3564" s="11" t="s">
        <v>26</v>
      </c>
      <c r="K3564" s="18" t="s">
        <v>7294</v>
      </c>
      <c r="L3564" s="12">
        <f t="shared" si="296"/>
        <v>3150</v>
      </c>
      <c r="M3564" s="8">
        <v>1</v>
      </c>
      <c r="N3564" s="8" t="s">
        <v>27</v>
      </c>
      <c r="O3564" s="13"/>
      <c r="P3564" s="14">
        <v>0.2</v>
      </c>
      <c r="Q3564" s="15">
        <v>0.4</v>
      </c>
      <c r="R3564" s="16" t="str">
        <f t="shared" si="293"/>
        <v>NUVO</v>
      </c>
      <c r="S3564" s="17"/>
      <c r="T3564" s="10" t="str">
        <f t="shared" ref="T3564:T3595" si="297">G3564</f>
        <v>SISTEMA MULTIROOM DE AUDIO PARA EXPANSIÓN DE 8 ZONAS ADICIONALES.</v>
      </c>
    </row>
    <row r="3565" spans="1:20" ht="27" customHeight="1" x14ac:dyDescent="0.25">
      <c r="A3565" s="8" t="s">
        <v>7114</v>
      </c>
      <c r="B3565" s="9" t="s">
        <v>7115</v>
      </c>
      <c r="C3565" s="9"/>
      <c r="D3565" s="8" t="s">
        <v>2048</v>
      </c>
      <c r="E3565" s="8">
        <v>2</v>
      </c>
      <c r="F3565" s="8" t="s">
        <v>22</v>
      </c>
      <c r="G3565" s="10" t="s">
        <v>7295</v>
      </c>
      <c r="H3565" s="8" t="s">
        <v>7296</v>
      </c>
      <c r="I3565" s="10" t="s">
        <v>7297</v>
      </c>
      <c r="J3565" s="11" t="s">
        <v>26</v>
      </c>
      <c r="K3565" s="18" t="s">
        <v>7298</v>
      </c>
      <c r="L3565" s="12">
        <f t="shared" si="296"/>
        <v>670</v>
      </c>
      <c r="M3565" s="8">
        <v>1</v>
      </c>
      <c r="N3565" s="8" t="s">
        <v>27</v>
      </c>
      <c r="O3565" s="13"/>
      <c r="P3565" s="14">
        <v>0.2</v>
      </c>
      <c r="Q3565" s="15">
        <v>0.4</v>
      </c>
      <c r="R3565" s="16" t="str">
        <f t="shared" si="293"/>
        <v>NUVO</v>
      </c>
      <c r="S3565" s="17"/>
      <c r="T3565" s="10" t="str">
        <f t="shared" si="297"/>
        <v>PAQUETE PARA ZONAS 6 Y 7 DE EQUIPO GRAN CONCERTO.</v>
      </c>
    </row>
    <row r="3566" spans="1:20" ht="27" customHeight="1" x14ac:dyDescent="0.25">
      <c r="A3566" s="8" t="s">
        <v>7114</v>
      </c>
      <c r="B3566" s="9" t="s">
        <v>7115</v>
      </c>
      <c r="C3566" s="9"/>
      <c r="D3566" s="8" t="s">
        <v>2048</v>
      </c>
      <c r="E3566" s="8">
        <v>3</v>
      </c>
      <c r="F3566" s="8" t="s">
        <v>22</v>
      </c>
      <c r="G3566" s="10" t="s">
        <v>7299</v>
      </c>
      <c r="H3566" s="8" t="s">
        <v>7300</v>
      </c>
      <c r="I3566" s="10" t="s">
        <v>7301</v>
      </c>
      <c r="J3566" s="11" t="s">
        <v>26</v>
      </c>
      <c r="K3566" s="18" t="s">
        <v>7302</v>
      </c>
      <c r="L3566" s="12">
        <f t="shared" si="296"/>
        <v>1942.0000000000002</v>
      </c>
      <c r="M3566" s="8">
        <v>1</v>
      </c>
      <c r="N3566" s="8" t="s">
        <v>27</v>
      </c>
      <c r="O3566" s="13"/>
      <c r="P3566" s="14">
        <v>0.2</v>
      </c>
      <c r="Q3566" s="15">
        <v>0.4</v>
      </c>
      <c r="R3566" s="16" t="str">
        <f t="shared" si="293"/>
        <v>NUVO</v>
      </c>
      <c r="S3566" s="17"/>
      <c r="T3566" s="10" t="str">
        <f t="shared" si="297"/>
        <v>SISTEMA MULTIROOM DE AUDIO PARA 6 ZONAS, SALIDA A 40 VATIOS.</v>
      </c>
    </row>
    <row r="3567" spans="1:20" ht="27" customHeight="1" x14ac:dyDescent="0.25">
      <c r="A3567" s="8" t="s">
        <v>7114</v>
      </c>
      <c r="B3567" s="9" t="s">
        <v>7115</v>
      </c>
      <c r="C3567" s="9"/>
      <c r="D3567" s="8" t="s">
        <v>2048</v>
      </c>
      <c r="E3567" s="8">
        <v>4</v>
      </c>
      <c r="F3567" s="8" t="s">
        <v>22</v>
      </c>
      <c r="G3567" s="10" t="s">
        <v>7303</v>
      </c>
      <c r="H3567" s="8" t="s">
        <v>7304</v>
      </c>
      <c r="I3567" s="10" t="s">
        <v>7305</v>
      </c>
      <c r="J3567" s="11" t="s">
        <v>26</v>
      </c>
      <c r="K3567" s="18" t="s">
        <v>7306</v>
      </c>
      <c r="L3567" s="12">
        <f t="shared" si="296"/>
        <v>1922.0000000000002</v>
      </c>
      <c r="M3567" s="8">
        <v>1</v>
      </c>
      <c r="N3567" s="8" t="s">
        <v>27</v>
      </c>
      <c r="O3567" s="13"/>
      <c r="P3567" s="14">
        <v>0.2</v>
      </c>
      <c r="Q3567" s="15">
        <v>0.4</v>
      </c>
      <c r="R3567" s="16" t="str">
        <f t="shared" ref="R3567:R3630" si="298">A3567</f>
        <v>NUVO</v>
      </c>
      <c r="S3567" s="17"/>
      <c r="T3567" s="10" t="str">
        <f t="shared" si="297"/>
        <v>SISTEMA MULTIROOM DE AUDIO PARA EXPANSIÓN DE 6 ZONAS ADICIONALES.</v>
      </c>
    </row>
    <row r="3568" spans="1:20" ht="27" customHeight="1" x14ac:dyDescent="0.25">
      <c r="A3568" s="8" t="s">
        <v>7114</v>
      </c>
      <c r="B3568" s="9" t="s">
        <v>7115</v>
      </c>
      <c r="C3568" s="9"/>
      <c r="D3568" s="8" t="s">
        <v>2048</v>
      </c>
      <c r="E3568" s="8">
        <v>5</v>
      </c>
      <c r="F3568" s="8" t="s">
        <v>22</v>
      </c>
      <c r="G3568" s="10" t="s">
        <v>7307</v>
      </c>
      <c r="H3568" s="8" t="s">
        <v>7308</v>
      </c>
      <c r="I3568" s="10" t="s">
        <v>7309</v>
      </c>
      <c r="J3568" s="11" t="s">
        <v>26</v>
      </c>
      <c r="K3568" s="18" t="s">
        <v>7310</v>
      </c>
      <c r="L3568" s="12">
        <f t="shared" si="296"/>
        <v>664</v>
      </c>
      <c r="M3568" s="8">
        <v>1</v>
      </c>
      <c r="N3568" s="8" t="s">
        <v>27</v>
      </c>
      <c r="O3568" s="13"/>
      <c r="P3568" s="14">
        <v>0.2</v>
      </c>
      <c r="Q3568" s="15">
        <v>0.4</v>
      </c>
      <c r="R3568" s="16" t="str">
        <f t="shared" si="298"/>
        <v>NUVO</v>
      </c>
      <c r="S3568" s="17"/>
      <c r="T3568" s="10" t="str">
        <f t="shared" si="297"/>
        <v>KIT DE 4 TECLADOS CON PANTALLA OLED DE UNA PULGADA.</v>
      </c>
    </row>
    <row r="3569" spans="1:28" ht="27" customHeight="1" x14ac:dyDescent="0.25">
      <c r="A3569" s="8" t="s">
        <v>7114</v>
      </c>
      <c r="B3569" s="9" t="s">
        <v>7115</v>
      </c>
      <c r="C3569" s="9"/>
      <c r="D3569" s="8" t="s">
        <v>7311</v>
      </c>
      <c r="E3569" s="8">
        <v>1</v>
      </c>
      <c r="F3569" s="8" t="s">
        <v>22</v>
      </c>
      <c r="G3569" s="10" t="s">
        <v>7312</v>
      </c>
      <c r="H3569" s="8" t="s">
        <v>7313</v>
      </c>
      <c r="I3569" s="10" t="s">
        <v>7314</v>
      </c>
      <c r="J3569" s="11" t="s">
        <v>26</v>
      </c>
      <c r="K3569" s="18" t="s">
        <v>7315</v>
      </c>
      <c r="L3569" s="12">
        <f t="shared" si="296"/>
        <v>2308</v>
      </c>
      <c r="M3569" s="8">
        <v>1</v>
      </c>
      <c r="N3569" s="8" t="s">
        <v>27</v>
      </c>
      <c r="O3569" s="13"/>
      <c r="P3569" s="14">
        <v>0.2</v>
      </c>
      <c r="Q3569" s="15">
        <v>0.4</v>
      </c>
      <c r="R3569" s="16" t="str">
        <f t="shared" si="298"/>
        <v>NUVO</v>
      </c>
      <c r="S3569" s="17"/>
      <c r="T3569" s="10" t="str">
        <f t="shared" si="297"/>
        <v>SERVIDOR DE AUDIO DE 4 SALIDAS CON 320 GIGAS DE CAPACIDAD.</v>
      </c>
    </row>
    <row r="3570" spans="1:28" ht="27" customHeight="1" x14ac:dyDescent="0.25">
      <c r="A3570" s="8" t="s">
        <v>7114</v>
      </c>
      <c r="B3570" s="9" t="s">
        <v>7115</v>
      </c>
      <c r="C3570" s="9"/>
      <c r="D3570" s="8" t="s">
        <v>7311</v>
      </c>
      <c r="E3570" s="8">
        <v>2</v>
      </c>
      <c r="F3570" s="8" t="s">
        <v>22</v>
      </c>
      <c r="G3570" s="10" t="s">
        <v>7316</v>
      </c>
      <c r="H3570" s="8" t="s">
        <v>7317</v>
      </c>
      <c r="I3570" s="10" t="s">
        <v>7318</v>
      </c>
      <c r="J3570" s="11" t="s">
        <v>26</v>
      </c>
      <c r="K3570" s="18" t="s">
        <v>7319</v>
      </c>
      <c r="L3570" s="12">
        <f t="shared" si="296"/>
        <v>3358</v>
      </c>
      <c r="M3570" s="8">
        <v>1</v>
      </c>
      <c r="N3570" s="8" t="s">
        <v>27</v>
      </c>
      <c r="O3570" s="13"/>
      <c r="P3570" s="14">
        <v>0.2</v>
      </c>
      <c r="Q3570" s="15">
        <v>0.4</v>
      </c>
      <c r="R3570" s="16" t="str">
        <f t="shared" si="298"/>
        <v>NUVO</v>
      </c>
      <c r="S3570" s="17"/>
      <c r="T3570" s="10" t="str">
        <f t="shared" si="297"/>
        <v>SERVIDOR DE AUDIO DE 4 SALIDAS CON 500 GIGAS DE CAPACIDAD.</v>
      </c>
    </row>
    <row r="3571" spans="1:28" ht="27" customHeight="1" x14ac:dyDescent="0.25">
      <c r="A3571" s="8" t="s">
        <v>7114</v>
      </c>
      <c r="B3571" s="9" t="s">
        <v>7115</v>
      </c>
      <c r="C3571" s="9"/>
      <c r="D3571" s="8" t="s">
        <v>775</v>
      </c>
      <c r="E3571" s="8">
        <v>1</v>
      </c>
      <c r="F3571" s="8" t="s">
        <v>22</v>
      </c>
      <c r="G3571" s="10" t="s">
        <v>7320</v>
      </c>
      <c r="H3571" s="8" t="s">
        <v>7321</v>
      </c>
      <c r="I3571" s="10" t="s">
        <v>7322</v>
      </c>
      <c r="J3571" s="11" t="s">
        <v>26</v>
      </c>
      <c r="K3571" s="18" t="s">
        <v>7323</v>
      </c>
      <c r="L3571" s="12">
        <f t="shared" si="296"/>
        <v>140</v>
      </c>
      <c r="M3571" s="8">
        <v>1</v>
      </c>
      <c r="N3571" s="8" t="s">
        <v>27</v>
      </c>
      <c r="O3571" s="13"/>
      <c r="P3571" s="14">
        <v>0.2</v>
      </c>
      <c r="Q3571" s="15">
        <v>0.4</v>
      </c>
      <c r="R3571" s="16" t="str">
        <f t="shared" si="298"/>
        <v>NUVO</v>
      </c>
      <c r="S3571" s="17"/>
      <c r="T3571" s="10" t="str">
        <f t="shared" si="297"/>
        <v>BASE PARA CONEXIÓN DE IPOD Y TRANSMISIÓN DE DATOS A TRAVÉS DE LÍNEA ELÉCTRICA.</v>
      </c>
    </row>
    <row r="3572" spans="1:28" ht="27" customHeight="1" x14ac:dyDescent="0.25">
      <c r="A3572" s="8" t="s">
        <v>7114</v>
      </c>
      <c r="B3572" s="9" t="s">
        <v>7115</v>
      </c>
      <c r="C3572" s="9"/>
      <c r="D3572" s="8" t="s">
        <v>775</v>
      </c>
      <c r="E3572" s="8">
        <v>2</v>
      </c>
      <c r="F3572" s="8" t="s">
        <v>22</v>
      </c>
      <c r="G3572" s="10" t="s">
        <v>7324</v>
      </c>
      <c r="H3572" s="8" t="s">
        <v>7325</v>
      </c>
      <c r="I3572" s="10" t="s">
        <v>7326</v>
      </c>
      <c r="J3572" s="11" t="s">
        <v>26</v>
      </c>
      <c r="K3572" s="18" t="s">
        <v>7327</v>
      </c>
      <c r="L3572" s="12">
        <f t="shared" si="296"/>
        <v>284</v>
      </c>
      <c r="M3572" s="8">
        <v>1</v>
      </c>
      <c r="N3572" s="8" t="s">
        <v>27</v>
      </c>
      <c r="O3572" s="13"/>
      <c r="P3572" s="14">
        <v>0.2</v>
      </c>
      <c r="Q3572" s="15">
        <v>0.4</v>
      </c>
      <c r="R3572" s="16" t="str">
        <f t="shared" si="298"/>
        <v>NUVO</v>
      </c>
      <c r="S3572" s="17"/>
      <c r="T3572" s="10" t="str">
        <f t="shared" si="297"/>
        <v>BASE PARA INTERCONEXIÓN DE IPOD CON SISTEMAS ESSENTIA Y GRAND CONCERTO.</v>
      </c>
    </row>
    <row r="3573" spans="1:28" ht="27" customHeight="1" x14ac:dyDescent="0.25">
      <c r="A3573" s="8" t="s">
        <v>7114</v>
      </c>
      <c r="B3573" s="9" t="s">
        <v>7115</v>
      </c>
      <c r="C3573" s="9"/>
      <c r="D3573" s="8" t="s">
        <v>775</v>
      </c>
      <c r="E3573" s="8">
        <v>3</v>
      </c>
      <c r="F3573" s="8" t="s">
        <v>22</v>
      </c>
      <c r="G3573" s="10" t="s">
        <v>7328</v>
      </c>
      <c r="H3573" s="8" t="s">
        <v>7329</v>
      </c>
      <c r="I3573" s="10" t="s">
        <v>7330</v>
      </c>
      <c r="J3573" s="11" t="s">
        <v>26</v>
      </c>
      <c r="K3573" s="18" t="s">
        <v>7247</v>
      </c>
      <c r="L3573" s="12">
        <f t="shared" si="296"/>
        <v>418</v>
      </c>
      <c r="M3573" s="8">
        <v>1</v>
      </c>
      <c r="N3573" s="8" t="s">
        <v>27</v>
      </c>
      <c r="O3573" s="13"/>
      <c r="P3573" s="14">
        <v>0.2</v>
      </c>
      <c r="Q3573" s="15">
        <v>0.4</v>
      </c>
      <c r="R3573" s="16" t="str">
        <f t="shared" si="298"/>
        <v>NUVO</v>
      </c>
      <c r="S3573" s="17"/>
      <c r="T3573" s="10" t="str">
        <f t="shared" si="297"/>
        <v>BASE PARA INTERCONEXIÓN DE IPOD CON SUJECIÓN A PARED CON SISTEMAS ESSENTIA.</v>
      </c>
    </row>
    <row r="3574" spans="1:28" ht="27" customHeight="1" x14ac:dyDescent="0.25">
      <c r="A3574" s="8" t="s">
        <v>7114</v>
      </c>
      <c r="B3574" s="9" t="s">
        <v>7115</v>
      </c>
      <c r="C3574" s="9"/>
      <c r="D3574" s="8" t="s">
        <v>775</v>
      </c>
      <c r="E3574" s="8">
        <v>4</v>
      </c>
      <c r="F3574" s="8" t="s">
        <v>22</v>
      </c>
      <c r="G3574" s="10" t="s">
        <v>7331</v>
      </c>
      <c r="H3574" s="8" t="s">
        <v>7332</v>
      </c>
      <c r="I3574" s="10" t="s">
        <v>7331</v>
      </c>
      <c r="J3574" s="11" t="s">
        <v>26</v>
      </c>
      <c r="K3574" s="18" t="s">
        <v>7333</v>
      </c>
      <c r="L3574" s="12">
        <f t="shared" si="296"/>
        <v>568</v>
      </c>
      <c r="M3574" s="8">
        <v>1</v>
      </c>
      <c r="N3574" s="8" t="s">
        <v>27</v>
      </c>
      <c r="O3574" s="13"/>
      <c r="P3574" s="14">
        <v>0.2</v>
      </c>
      <c r="Q3574" s="15">
        <v>0.4</v>
      </c>
      <c r="R3574" s="16" t="str">
        <f t="shared" si="298"/>
        <v>NUVO</v>
      </c>
      <c r="S3574" s="17"/>
      <c r="T3574" s="10" t="str">
        <f t="shared" si="297"/>
        <v>SINTONIZADOR DUAL DE EMISORAS FM</v>
      </c>
    </row>
    <row r="3575" spans="1:28" ht="27" customHeight="1" x14ac:dyDescent="0.25">
      <c r="A3575" s="8" t="s">
        <v>7114</v>
      </c>
      <c r="B3575" s="9" t="s">
        <v>7115</v>
      </c>
      <c r="C3575" s="9"/>
      <c r="D3575" s="8" t="s">
        <v>548</v>
      </c>
      <c r="E3575" s="8">
        <v>1</v>
      </c>
      <c r="F3575" s="8" t="s">
        <v>22</v>
      </c>
      <c r="G3575" s="10" t="s">
        <v>7334</v>
      </c>
      <c r="H3575" s="8" t="s">
        <v>7335</v>
      </c>
      <c r="I3575" s="10" t="s">
        <v>7334</v>
      </c>
      <c r="J3575" s="11" t="s">
        <v>26</v>
      </c>
      <c r="K3575" s="18">
        <f>55/2</f>
        <v>27.5</v>
      </c>
      <c r="L3575" s="12">
        <f t="shared" si="296"/>
        <v>55</v>
      </c>
      <c r="M3575" s="8">
        <v>1</v>
      </c>
      <c r="N3575" s="8" t="s">
        <v>27</v>
      </c>
      <c r="O3575" s="13"/>
      <c r="P3575" s="14">
        <v>0.2</v>
      </c>
      <c r="Q3575" s="15">
        <v>0.4</v>
      </c>
      <c r="R3575" s="16" t="str">
        <f t="shared" si="298"/>
        <v>NUVO</v>
      </c>
      <c r="S3575" s="17"/>
      <c r="T3575" s="10" t="str">
        <f t="shared" si="297"/>
        <v>ALTAVOZ DE CUATRO PULGADAS PARA MONTAJE EN PARED</v>
      </c>
    </row>
    <row r="3576" spans="1:28" ht="27" customHeight="1" x14ac:dyDescent="0.25">
      <c r="A3576" s="8" t="s">
        <v>7114</v>
      </c>
      <c r="B3576" s="9" t="s">
        <v>7115</v>
      </c>
      <c r="C3576" s="9"/>
      <c r="D3576" s="8" t="s">
        <v>548</v>
      </c>
      <c r="E3576" s="8">
        <v>2</v>
      </c>
      <c r="F3576" s="8" t="s">
        <v>22</v>
      </c>
      <c r="G3576" s="10" t="s">
        <v>7336</v>
      </c>
      <c r="H3576" s="8" t="s">
        <v>7337</v>
      </c>
      <c r="I3576" s="10" t="s">
        <v>7336</v>
      </c>
      <c r="J3576" s="11" t="s">
        <v>26</v>
      </c>
      <c r="K3576" s="18">
        <v>62.5</v>
      </c>
      <c r="L3576" s="12">
        <f t="shared" ref="L3576:L3601" si="299">IF(J3576="P",ROUNDUP(K3576/(1-Q3576),-2),K3576*(1+P3576)/(1-Q3576))</f>
        <v>125</v>
      </c>
      <c r="M3576" s="8">
        <v>1</v>
      </c>
      <c r="N3576" s="8" t="s">
        <v>27</v>
      </c>
      <c r="O3576" s="13"/>
      <c r="P3576" s="14">
        <v>0.2</v>
      </c>
      <c r="Q3576" s="15">
        <v>0.4</v>
      </c>
      <c r="R3576" s="16" t="str">
        <f t="shared" si="298"/>
        <v>NUVO</v>
      </c>
      <c r="S3576" s="17"/>
      <c r="T3576" s="10" t="str">
        <f t="shared" si="297"/>
        <v>PARLANTE ESTÉREO DE 7 PULGADAS PARA INSTALACIÓN EN TECHO</v>
      </c>
    </row>
    <row r="3577" spans="1:28" ht="27" customHeight="1" x14ac:dyDescent="0.25">
      <c r="A3577" s="8" t="s">
        <v>7114</v>
      </c>
      <c r="B3577" s="9" t="s">
        <v>7115</v>
      </c>
      <c r="C3577" s="9"/>
      <c r="D3577" s="8" t="s">
        <v>548</v>
      </c>
      <c r="E3577" s="8">
        <v>3</v>
      </c>
      <c r="F3577" s="8" t="s">
        <v>22</v>
      </c>
      <c r="G3577" s="10" t="s">
        <v>7338</v>
      </c>
      <c r="H3577" s="8" t="s">
        <v>7339</v>
      </c>
      <c r="I3577" s="10" t="s">
        <v>7340</v>
      </c>
      <c r="J3577" s="11" t="s">
        <v>26</v>
      </c>
      <c r="K3577" s="18">
        <v>38</v>
      </c>
      <c r="L3577" s="12">
        <f t="shared" si="299"/>
        <v>76</v>
      </c>
      <c r="M3577" s="8">
        <v>1</v>
      </c>
      <c r="N3577" s="8" t="s">
        <v>27</v>
      </c>
      <c r="O3577" s="13"/>
      <c r="P3577" s="14">
        <v>0.2</v>
      </c>
      <c r="Q3577" s="15">
        <v>0.4</v>
      </c>
      <c r="R3577" s="16" t="str">
        <f t="shared" si="298"/>
        <v>NUVO</v>
      </c>
      <c r="S3577" s="17"/>
      <c r="T3577" s="10" t="str">
        <f t="shared" si="297"/>
        <v>ALTAVOZ CIRCULAR DE 6.5 PULGADAS EN KEPLAR. IMPEDANCIA DE 8 OHM.</v>
      </c>
    </row>
    <row r="3578" spans="1:28" ht="27" customHeight="1" x14ac:dyDescent="0.25">
      <c r="A3578" s="8" t="s">
        <v>7114</v>
      </c>
      <c r="B3578" s="9" t="s">
        <v>7115</v>
      </c>
      <c r="C3578" s="9"/>
      <c r="D3578" s="8" t="s">
        <v>548</v>
      </c>
      <c r="E3578" s="8">
        <v>4</v>
      </c>
      <c r="F3578" s="8" t="s">
        <v>22</v>
      </c>
      <c r="G3578" s="10" t="s">
        <v>7341</v>
      </c>
      <c r="H3578" s="8" t="s">
        <v>7342</v>
      </c>
      <c r="I3578" s="10" t="s">
        <v>7343</v>
      </c>
      <c r="J3578" s="11" t="s">
        <v>26</v>
      </c>
      <c r="K3578" s="18">
        <v>57</v>
      </c>
      <c r="L3578" s="12">
        <f t="shared" si="299"/>
        <v>113.99999999999999</v>
      </c>
      <c r="M3578" s="8">
        <v>1</v>
      </c>
      <c r="N3578" s="8" t="s">
        <v>27</v>
      </c>
      <c r="O3578" s="13"/>
      <c r="P3578" s="14">
        <v>0.2</v>
      </c>
      <c r="Q3578" s="15">
        <v>0.4</v>
      </c>
      <c r="R3578" s="16" t="str">
        <f t="shared" si="298"/>
        <v>NUVO</v>
      </c>
      <c r="S3578" s="17"/>
      <c r="T3578" s="10" t="str">
        <f t="shared" si="297"/>
        <v>ALTAVOZ CIRCULAR DE 8 PULGADAS EN KEPLAR. IMPEDANCIA DE 8 OHM.</v>
      </c>
    </row>
    <row r="3579" spans="1:28" ht="27" customHeight="1" x14ac:dyDescent="0.25">
      <c r="A3579" s="8" t="s">
        <v>7114</v>
      </c>
      <c r="B3579" s="9" t="s">
        <v>7115</v>
      </c>
      <c r="C3579" s="9"/>
      <c r="D3579" s="8" t="s">
        <v>548</v>
      </c>
      <c r="E3579" s="8">
        <v>5</v>
      </c>
      <c r="F3579" s="8" t="s">
        <v>22</v>
      </c>
      <c r="G3579" s="10" t="s">
        <v>7344</v>
      </c>
      <c r="H3579" s="8" t="s">
        <v>7345</v>
      </c>
      <c r="I3579" s="10" t="s">
        <v>7346</v>
      </c>
      <c r="J3579" s="11" t="s">
        <v>26</v>
      </c>
      <c r="K3579" s="18">
        <v>23.5</v>
      </c>
      <c r="L3579" s="12">
        <f t="shared" si="299"/>
        <v>47</v>
      </c>
      <c r="M3579" s="8">
        <v>1</v>
      </c>
      <c r="N3579" s="8" t="s">
        <v>27</v>
      </c>
      <c r="O3579" s="13"/>
      <c r="P3579" s="14">
        <v>0.2</v>
      </c>
      <c r="Q3579" s="15">
        <v>0.4</v>
      </c>
      <c r="R3579" s="16" t="str">
        <f t="shared" si="298"/>
        <v>NUVO</v>
      </c>
      <c r="S3579" s="17"/>
      <c r="T3579" s="10" t="str">
        <f t="shared" si="297"/>
        <v>ALTAVOZ CIRCULAR ESTÉREO DE 6.5 PULGADAS EN KEPLAR. IMPEDANCIA DE 8 OHM.</v>
      </c>
    </row>
    <row r="3580" spans="1:28" ht="27" customHeight="1" x14ac:dyDescent="0.25">
      <c r="A3580" s="8" t="s">
        <v>7114</v>
      </c>
      <c r="B3580" s="9" t="s">
        <v>7115</v>
      </c>
      <c r="C3580" s="9"/>
      <c r="D3580" s="8" t="s">
        <v>548</v>
      </c>
      <c r="E3580" s="8">
        <v>6</v>
      </c>
      <c r="F3580" s="8" t="s">
        <v>22</v>
      </c>
      <c r="G3580" s="10" t="s">
        <v>7347</v>
      </c>
      <c r="H3580" s="8" t="s">
        <v>7348</v>
      </c>
      <c r="I3580" s="10" t="s">
        <v>7349</v>
      </c>
      <c r="J3580" s="11" t="s">
        <v>26</v>
      </c>
      <c r="K3580" s="18">
        <v>40.5</v>
      </c>
      <c r="L3580" s="12">
        <f t="shared" si="299"/>
        <v>81</v>
      </c>
      <c r="M3580" s="8">
        <v>1</v>
      </c>
      <c r="N3580" s="8" t="s">
        <v>27</v>
      </c>
      <c r="O3580" s="13"/>
      <c r="P3580" s="14">
        <v>0.2</v>
      </c>
      <c r="Q3580" s="15">
        <v>0.4</v>
      </c>
      <c r="R3580" s="16" t="str">
        <f t="shared" si="298"/>
        <v>NUVO</v>
      </c>
      <c r="S3580" s="17"/>
      <c r="T3580" s="10" t="str">
        <f t="shared" si="297"/>
        <v>ALTAVOZ RECTANGULAR DE 6.5 PULGADAS EN KEPLAR. IMPEDANCIA DE 8 OHM.</v>
      </c>
    </row>
    <row r="3581" spans="1:28" ht="27" customHeight="1" x14ac:dyDescent="0.25">
      <c r="A3581" s="8" t="s">
        <v>7114</v>
      </c>
      <c r="B3581" s="9" t="s">
        <v>7115</v>
      </c>
      <c r="C3581" s="9"/>
      <c r="D3581" s="8" t="s">
        <v>548</v>
      </c>
      <c r="E3581" s="8">
        <v>7</v>
      </c>
      <c r="F3581" s="8" t="s">
        <v>22</v>
      </c>
      <c r="G3581" s="10" t="s">
        <v>7350</v>
      </c>
      <c r="H3581" s="8" t="s">
        <v>7351</v>
      </c>
      <c r="I3581" s="10" t="s">
        <v>7352</v>
      </c>
      <c r="J3581" s="11" t="s">
        <v>26</v>
      </c>
      <c r="K3581" s="18">
        <v>57</v>
      </c>
      <c r="L3581" s="12">
        <f t="shared" si="299"/>
        <v>113.99999999999999</v>
      </c>
      <c r="M3581" s="8">
        <v>1</v>
      </c>
      <c r="N3581" s="8" t="s">
        <v>27</v>
      </c>
      <c r="O3581" s="13"/>
      <c r="P3581" s="14">
        <v>0.2</v>
      </c>
      <c r="Q3581" s="15">
        <v>0.4</v>
      </c>
      <c r="R3581" s="16" t="str">
        <f t="shared" si="298"/>
        <v>NUVO</v>
      </c>
      <c r="S3581" s="17"/>
      <c r="T3581" s="10" t="str">
        <f t="shared" si="297"/>
        <v>ALTAVOZ RECTANGULAR DE 8 PULGADAS EN KEPLAR. IMPEDANCIA DE 8 OHM.</v>
      </c>
    </row>
    <row r="3582" spans="1:28" ht="27" customHeight="1" x14ac:dyDescent="0.25">
      <c r="A3582" s="8" t="s">
        <v>7114</v>
      </c>
      <c r="B3582" s="9" t="s">
        <v>7115</v>
      </c>
      <c r="C3582" s="9"/>
      <c r="D3582" s="8" t="s">
        <v>548</v>
      </c>
      <c r="E3582" s="8">
        <v>8</v>
      </c>
      <c r="F3582" s="8" t="s">
        <v>22</v>
      </c>
      <c r="G3582" s="10" t="s">
        <v>7353</v>
      </c>
      <c r="H3582" s="8" t="s">
        <v>7354</v>
      </c>
      <c r="I3582" s="10" t="s">
        <v>7355</v>
      </c>
      <c r="J3582" s="11" t="s">
        <v>26</v>
      </c>
      <c r="K3582" s="18">
        <v>73</v>
      </c>
      <c r="L3582" s="12">
        <f t="shared" si="299"/>
        <v>146</v>
      </c>
      <c r="M3582" s="8">
        <v>1</v>
      </c>
      <c r="N3582" s="8" t="s">
        <v>27</v>
      </c>
      <c r="O3582" s="13"/>
      <c r="P3582" s="14">
        <v>0.2</v>
      </c>
      <c r="Q3582" s="15">
        <v>0.4</v>
      </c>
      <c r="R3582" s="16" t="str">
        <f t="shared" si="298"/>
        <v>NUVO</v>
      </c>
      <c r="S3582" s="17"/>
      <c r="T3582" s="10" t="str">
        <f t="shared" si="297"/>
        <v>ALTAVOZ CIRCULAR DE 6.5 PULGADAS EN KEPLAR PARA INSTALACIÓN EN EXTERIORES.</v>
      </c>
    </row>
    <row r="3583" spans="1:28" ht="27" customHeight="1" x14ac:dyDescent="0.25">
      <c r="A3583" s="8" t="s">
        <v>7114</v>
      </c>
      <c r="B3583" s="9" t="s">
        <v>7115</v>
      </c>
      <c r="C3583" s="9"/>
      <c r="D3583" s="8" t="s">
        <v>548</v>
      </c>
      <c r="E3583" s="8">
        <v>9</v>
      </c>
      <c r="F3583" s="8" t="s">
        <v>22</v>
      </c>
      <c r="G3583" s="10" t="s">
        <v>7353</v>
      </c>
      <c r="H3583" s="8" t="s">
        <v>7356</v>
      </c>
      <c r="I3583" s="10" t="s">
        <v>7357</v>
      </c>
      <c r="J3583" s="11" t="s">
        <v>26</v>
      </c>
      <c r="K3583" s="18">
        <v>73</v>
      </c>
      <c r="L3583" s="12">
        <f t="shared" si="299"/>
        <v>146</v>
      </c>
      <c r="M3583" s="8">
        <v>1</v>
      </c>
      <c r="N3583" s="8" t="s">
        <v>27</v>
      </c>
      <c r="O3583" s="13"/>
      <c r="P3583" s="14">
        <v>0.2</v>
      </c>
      <c r="Q3583" s="15">
        <v>0.4</v>
      </c>
      <c r="R3583" s="16" t="str">
        <f t="shared" si="298"/>
        <v>NUVO</v>
      </c>
      <c r="S3583" s="17"/>
      <c r="T3583" s="10" t="str">
        <f t="shared" si="297"/>
        <v>ALTAVOZ CIRCULAR DE 6.5 PULGADAS EN KEPLAR PARA INSTALACIÓN EN EXTERIORES.</v>
      </c>
    </row>
    <row r="3584" spans="1:28" ht="27" customHeight="1" x14ac:dyDescent="0.25">
      <c r="A3584" s="8" t="s">
        <v>7114</v>
      </c>
      <c r="B3584" s="9" t="s">
        <v>7115</v>
      </c>
      <c r="C3584" s="9"/>
      <c r="D3584" s="8" t="s">
        <v>548</v>
      </c>
      <c r="E3584" s="8">
        <v>10</v>
      </c>
      <c r="F3584" s="8" t="s">
        <v>22</v>
      </c>
      <c r="G3584" s="10" t="s">
        <v>7358</v>
      </c>
      <c r="H3584" s="8" t="s">
        <v>7359</v>
      </c>
      <c r="I3584" s="10" t="s">
        <v>7358</v>
      </c>
      <c r="J3584" s="11" t="s">
        <v>26</v>
      </c>
      <c r="K3584" s="18">
        <v>28.5</v>
      </c>
      <c r="L3584" s="12">
        <f t="shared" si="299"/>
        <v>56.999999999999993</v>
      </c>
      <c r="M3584" s="8">
        <v>1</v>
      </c>
      <c r="N3584" s="8" t="s">
        <v>27</v>
      </c>
      <c r="O3584" s="13"/>
      <c r="P3584" s="14">
        <v>0.2</v>
      </c>
      <c r="Q3584" s="15">
        <v>0.4</v>
      </c>
      <c r="R3584" s="16" t="str">
        <f t="shared" si="298"/>
        <v>NUVO</v>
      </c>
      <c r="S3584" s="17"/>
      <c r="T3584" s="10" t="str">
        <f t="shared" si="297"/>
        <v>ALTAVOZ CIRCULAR DE 6.5 PULGADAS . IMPEDANCIA DE 8 OHM,  POTENCIA DE 50 VATIOS.</v>
      </c>
      <c r="AB3584" s="112">
        <v>2</v>
      </c>
    </row>
    <row r="3585" spans="1:25" ht="27" customHeight="1" x14ac:dyDescent="0.25">
      <c r="A3585" s="8" t="s">
        <v>7114</v>
      </c>
      <c r="B3585" s="9" t="s">
        <v>7115</v>
      </c>
      <c r="C3585" s="9"/>
      <c r="D3585" s="8" t="s">
        <v>548</v>
      </c>
      <c r="E3585" s="8">
        <v>11</v>
      </c>
      <c r="F3585" s="8" t="s">
        <v>22</v>
      </c>
      <c r="G3585" s="10" t="s">
        <v>7360</v>
      </c>
      <c r="H3585" s="8" t="s">
        <v>7361</v>
      </c>
      <c r="I3585" s="10" t="s">
        <v>7360</v>
      </c>
      <c r="J3585" s="11" t="s">
        <v>26</v>
      </c>
      <c r="K3585" s="18">
        <v>37</v>
      </c>
      <c r="L3585" s="12">
        <f t="shared" si="299"/>
        <v>74</v>
      </c>
      <c r="M3585" s="8">
        <v>1</v>
      </c>
      <c r="N3585" s="8" t="s">
        <v>27</v>
      </c>
      <c r="O3585" s="13"/>
      <c r="P3585" s="14">
        <v>0.2</v>
      </c>
      <c r="Q3585" s="15">
        <v>0.4</v>
      </c>
      <c r="R3585" s="16" t="str">
        <f t="shared" si="298"/>
        <v>NUVO</v>
      </c>
      <c r="S3585" s="17"/>
      <c r="T3585" s="10" t="str">
        <f t="shared" si="297"/>
        <v>ALTAVOZ CIRCULAR DE 8 PULGADAS. IMPEDANCIA DE 8 OHM,  POTENCIA DE 50 VATIOS.</v>
      </c>
    </row>
    <row r="3586" spans="1:25" ht="27" customHeight="1" x14ac:dyDescent="0.25">
      <c r="A3586" s="8" t="s">
        <v>7114</v>
      </c>
      <c r="B3586" s="9" t="s">
        <v>7115</v>
      </c>
      <c r="C3586" s="9"/>
      <c r="D3586" s="8" t="s">
        <v>548</v>
      </c>
      <c r="E3586" s="8">
        <v>12</v>
      </c>
      <c r="F3586" s="8" t="s">
        <v>22</v>
      </c>
      <c r="G3586" s="10" t="s">
        <v>7362</v>
      </c>
      <c r="H3586" s="8" t="s">
        <v>7363</v>
      </c>
      <c r="I3586" s="10" t="s">
        <v>7364</v>
      </c>
      <c r="J3586" s="11" t="s">
        <v>26</v>
      </c>
      <c r="K3586" s="18">
        <v>18.5</v>
      </c>
      <c r="L3586" s="12">
        <f t="shared" si="299"/>
        <v>37</v>
      </c>
      <c r="M3586" s="8">
        <v>1</v>
      </c>
      <c r="N3586" s="8" t="s">
        <v>27</v>
      </c>
      <c r="O3586" s="13"/>
      <c r="P3586" s="14">
        <v>0.2</v>
      </c>
      <c r="Q3586" s="15">
        <v>0.4</v>
      </c>
      <c r="R3586" s="16" t="str">
        <f t="shared" si="298"/>
        <v>NUVO</v>
      </c>
      <c r="S3586" s="17"/>
      <c r="T3586" s="10" t="str">
        <f t="shared" si="297"/>
        <v>ALTAVOZ CIRCULAR ESTÉREO DE 6.5 PULGADAS. IMPEDANCIA DE 8 OHM.</v>
      </c>
    </row>
    <row r="3587" spans="1:25" ht="27" customHeight="1" x14ac:dyDescent="0.25">
      <c r="A3587" s="8" t="s">
        <v>7114</v>
      </c>
      <c r="B3587" s="9" t="s">
        <v>7115</v>
      </c>
      <c r="C3587" s="9"/>
      <c r="D3587" s="8" t="s">
        <v>548</v>
      </c>
      <c r="E3587" s="8">
        <v>13</v>
      </c>
      <c r="F3587" s="8" t="s">
        <v>22</v>
      </c>
      <c r="G3587" s="10" t="s">
        <v>7365</v>
      </c>
      <c r="H3587" s="8" t="s">
        <v>7366</v>
      </c>
      <c r="I3587" s="10" t="s">
        <v>7367</v>
      </c>
      <c r="J3587" s="11" t="s">
        <v>26</v>
      </c>
      <c r="K3587" s="18">
        <v>27.5</v>
      </c>
      <c r="L3587" s="12">
        <f t="shared" si="299"/>
        <v>55</v>
      </c>
      <c r="M3587" s="8">
        <v>1</v>
      </c>
      <c r="N3587" s="8" t="s">
        <v>27</v>
      </c>
      <c r="O3587" s="13"/>
      <c r="P3587" s="14">
        <v>0.2</v>
      </c>
      <c r="Q3587" s="15">
        <v>0.4</v>
      </c>
      <c r="R3587" s="16" t="str">
        <f t="shared" si="298"/>
        <v>NUVO</v>
      </c>
      <c r="S3587" s="17"/>
      <c r="T3587" s="10" t="str">
        <f t="shared" si="297"/>
        <v>ALTAVOZ RECTANGULAR DE 6.5 PULGADAS. IMPEDANCIA DE 8 OHM.</v>
      </c>
    </row>
    <row r="3588" spans="1:25" ht="27" customHeight="1" x14ac:dyDescent="0.25">
      <c r="A3588" s="8" t="s">
        <v>7114</v>
      </c>
      <c r="B3588" s="9" t="s">
        <v>7115</v>
      </c>
      <c r="C3588" s="9"/>
      <c r="D3588" s="8" t="s">
        <v>548</v>
      </c>
      <c r="E3588" s="8">
        <v>14</v>
      </c>
      <c r="F3588" s="8" t="s">
        <v>22</v>
      </c>
      <c r="G3588" s="10" t="s">
        <v>7368</v>
      </c>
      <c r="H3588" s="8" t="s">
        <v>7369</v>
      </c>
      <c r="I3588" s="10" t="s">
        <v>7368</v>
      </c>
      <c r="J3588" s="11" t="s">
        <v>26</v>
      </c>
      <c r="K3588" s="18">
        <v>38</v>
      </c>
      <c r="L3588" s="12">
        <f t="shared" si="299"/>
        <v>76</v>
      </c>
      <c r="M3588" s="8">
        <v>1</v>
      </c>
      <c r="N3588" s="8" t="s">
        <v>27</v>
      </c>
      <c r="O3588" s="13"/>
      <c r="P3588" s="14">
        <v>0.2</v>
      </c>
      <c r="Q3588" s="15">
        <v>0.4</v>
      </c>
      <c r="R3588" s="16" t="str">
        <f t="shared" si="298"/>
        <v>NUVO</v>
      </c>
      <c r="S3588" s="17"/>
      <c r="T3588" s="10" t="str">
        <f t="shared" si="297"/>
        <v>ALTAVOZ RECTANGULAR DE 8 PULGADAS. IMPEDANCIA DE 8 OHM,  POTENCIA DE 50 VATIOS.</v>
      </c>
    </row>
    <row r="3589" spans="1:25" ht="27" customHeight="1" x14ac:dyDescent="0.25">
      <c r="A3589" s="8" t="s">
        <v>7114</v>
      </c>
      <c r="B3589" s="9" t="s">
        <v>7115</v>
      </c>
      <c r="C3589" s="9"/>
      <c r="D3589" s="8" t="s">
        <v>548</v>
      </c>
      <c r="E3589" s="8">
        <v>15</v>
      </c>
      <c r="F3589" s="8" t="s">
        <v>22</v>
      </c>
      <c r="G3589" s="10" t="s">
        <v>7370</v>
      </c>
      <c r="H3589" s="8" t="s">
        <v>7371</v>
      </c>
      <c r="I3589" s="10" t="s">
        <v>7372</v>
      </c>
      <c r="J3589" s="11" t="s">
        <v>26</v>
      </c>
      <c r="K3589" s="18">
        <v>62.5</v>
      </c>
      <c r="L3589" s="12">
        <f t="shared" si="299"/>
        <v>125</v>
      </c>
      <c r="M3589" s="8">
        <v>1</v>
      </c>
      <c r="N3589" s="8" t="s">
        <v>27</v>
      </c>
      <c r="O3589" s="13"/>
      <c r="P3589" s="14">
        <v>0.2</v>
      </c>
      <c r="Q3589" s="15">
        <v>0.4</v>
      </c>
      <c r="R3589" s="16" t="str">
        <f t="shared" si="298"/>
        <v>NUVO</v>
      </c>
      <c r="S3589" s="17"/>
      <c r="T3589" s="10" t="str">
        <f t="shared" si="297"/>
        <v>ALTAVOZ CIRCULAR DE 6.5 PULGADAS PARA INSTALACIÓN EN EXTERIORES.</v>
      </c>
    </row>
    <row r="3590" spans="1:25" ht="27" customHeight="1" x14ac:dyDescent="0.25">
      <c r="A3590" s="8" t="s">
        <v>7114</v>
      </c>
      <c r="B3590" s="9" t="s">
        <v>7115</v>
      </c>
      <c r="C3590" s="9"/>
      <c r="D3590" s="8" t="s">
        <v>548</v>
      </c>
      <c r="E3590" s="8">
        <v>16</v>
      </c>
      <c r="F3590" s="8" t="s">
        <v>22</v>
      </c>
      <c r="G3590" s="10" t="s">
        <v>7370</v>
      </c>
      <c r="H3590" s="8" t="s">
        <v>7373</v>
      </c>
      <c r="I3590" s="10" t="s">
        <v>7374</v>
      </c>
      <c r="J3590" s="11" t="s">
        <v>26</v>
      </c>
      <c r="K3590" s="18">
        <v>62.5</v>
      </c>
      <c r="L3590" s="12">
        <f t="shared" si="299"/>
        <v>125</v>
      </c>
      <c r="M3590" s="8">
        <v>1</v>
      </c>
      <c r="N3590" s="8" t="s">
        <v>27</v>
      </c>
      <c r="O3590" s="13"/>
      <c r="P3590" s="14">
        <v>0.2</v>
      </c>
      <c r="Q3590" s="15">
        <v>0.4</v>
      </c>
      <c r="R3590" s="16" t="str">
        <f t="shared" si="298"/>
        <v>NUVO</v>
      </c>
      <c r="S3590" s="17"/>
      <c r="T3590" s="10" t="str">
        <f t="shared" si="297"/>
        <v>ALTAVOZ CIRCULAR DE 6.5 PULGADAS PARA INSTALACIÓN EN EXTERIORES.</v>
      </c>
    </row>
    <row r="3591" spans="1:25" ht="27" customHeight="1" x14ac:dyDescent="0.25">
      <c r="A3591" s="8" t="s">
        <v>7114</v>
      </c>
      <c r="B3591" s="9" t="s">
        <v>7115</v>
      </c>
      <c r="C3591" s="9"/>
      <c r="D3591" s="8" t="s">
        <v>548</v>
      </c>
      <c r="E3591" s="8">
        <v>17</v>
      </c>
      <c r="F3591" s="8" t="s">
        <v>22</v>
      </c>
      <c r="G3591" s="10" t="s">
        <v>7375</v>
      </c>
      <c r="H3591" s="8" t="s">
        <v>7376</v>
      </c>
      <c r="I3591" s="10" t="s">
        <v>7377</v>
      </c>
      <c r="J3591" s="11" t="s">
        <v>26</v>
      </c>
      <c r="K3591" s="18">
        <v>64</v>
      </c>
      <c r="L3591" s="12">
        <f t="shared" si="299"/>
        <v>128</v>
      </c>
      <c r="M3591" s="8">
        <v>1</v>
      </c>
      <c r="N3591" s="8" t="s">
        <v>27</v>
      </c>
      <c r="O3591" s="13"/>
      <c r="P3591" s="14">
        <v>0.2</v>
      </c>
      <c r="Q3591" s="15">
        <v>0.4</v>
      </c>
      <c r="R3591" s="16" t="str">
        <f t="shared" si="298"/>
        <v>NUVO</v>
      </c>
      <c r="S3591" s="17"/>
      <c r="T3591" s="10" t="str">
        <f t="shared" si="297"/>
        <v>ALTAVOZ PARA EXTERIOR EN COLOR GRANITO CON APARIENCIA TIPO ROCA.</v>
      </c>
    </row>
    <row r="3592" spans="1:25" ht="27" customHeight="1" x14ac:dyDescent="0.25">
      <c r="A3592" s="8" t="s">
        <v>7114</v>
      </c>
      <c r="B3592" s="9" t="s">
        <v>7115</v>
      </c>
      <c r="C3592" s="9"/>
      <c r="D3592" s="8" t="s">
        <v>548</v>
      </c>
      <c r="E3592" s="8">
        <v>18</v>
      </c>
      <c r="F3592" s="8" t="s">
        <v>22</v>
      </c>
      <c r="G3592" s="10" t="s">
        <v>7378</v>
      </c>
      <c r="H3592" s="8" t="s">
        <v>7379</v>
      </c>
      <c r="I3592" s="10" t="s">
        <v>7380</v>
      </c>
      <c r="J3592" s="11" t="s">
        <v>26</v>
      </c>
      <c r="K3592" s="18">
        <v>64</v>
      </c>
      <c r="L3592" s="12">
        <f t="shared" si="299"/>
        <v>128</v>
      </c>
      <c r="M3592" s="8">
        <v>1</v>
      </c>
      <c r="N3592" s="8" t="s">
        <v>27</v>
      </c>
      <c r="O3592" s="13"/>
      <c r="P3592" s="14">
        <v>0.2</v>
      </c>
      <c r="Q3592" s="15">
        <v>0.4</v>
      </c>
      <c r="R3592" s="16" t="str">
        <f t="shared" si="298"/>
        <v>NUVO</v>
      </c>
      <c r="S3592" s="17"/>
      <c r="T3592" s="10" t="str">
        <f t="shared" si="297"/>
        <v>ALTAVOZ PARA EXTERIOR EN COLOR GRIS CON APARIENCIA TIPO ROCA.</v>
      </c>
    </row>
    <row r="3593" spans="1:25" ht="27" customHeight="1" x14ac:dyDescent="0.25">
      <c r="A3593" s="8" t="s">
        <v>7114</v>
      </c>
      <c r="B3593" s="9" t="s">
        <v>7115</v>
      </c>
      <c r="C3593" s="9"/>
      <c r="D3593" s="8" t="s">
        <v>548</v>
      </c>
      <c r="E3593" s="8">
        <v>19</v>
      </c>
      <c r="F3593" s="8" t="s">
        <v>22</v>
      </c>
      <c r="G3593" s="10" t="s">
        <v>7375</v>
      </c>
      <c r="H3593" s="8" t="s">
        <v>7381</v>
      </c>
      <c r="I3593" s="10" t="s">
        <v>7382</v>
      </c>
      <c r="J3593" s="11" t="s">
        <v>26</v>
      </c>
      <c r="K3593" s="18">
        <v>92</v>
      </c>
      <c r="L3593" s="12">
        <f t="shared" si="299"/>
        <v>184</v>
      </c>
      <c r="M3593" s="8">
        <v>1</v>
      </c>
      <c r="N3593" s="8" t="s">
        <v>27</v>
      </c>
      <c r="O3593" s="13"/>
      <c r="P3593" s="14">
        <v>0.2</v>
      </c>
      <c r="Q3593" s="15">
        <v>0.4</v>
      </c>
      <c r="R3593" s="16" t="str">
        <f t="shared" si="298"/>
        <v>NUVO</v>
      </c>
      <c r="S3593" s="17"/>
      <c r="T3593" s="10" t="str">
        <f t="shared" si="297"/>
        <v>ALTAVOZ PARA EXTERIOR EN COLOR GRANITO CON APARIENCIA TIPO ROCA.</v>
      </c>
    </row>
    <row r="3594" spans="1:25" ht="27" customHeight="1" x14ac:dyDescent="0.25">
      <c r="A3594" s="8" t="s">
        <v>7114</v>
      </c>
      <c r="B3594" s="9" t="s">
        <v>7115</v>
      </c>
      <c r="C3594" s="9"/>
      <c r="D3594" s="8" t="s">
        <v>548</v>
      </c>
      <c r="E3594" s="8">
        <v>20</v>
      </c>
      <c r="F3594" s="8" t="s">
        <v>22</v>
      </c>
      <c r="G3594" s="10" t="s">
        <v>7378</v>
      </c>
      <c r="H3594" s="8" t="s">
        <v>7383</v>
      </c>
      <c r="I3594" s="10" t="s">
        <v>7384</v>
      </c>
      <c r="J3594" s="11" t="s">
        <v>26</v>
      </c>
      <c r="K3594" s="18">
        <v>92</v>
      </c>
      <c r="L3594" s="12">
        <f t="shared" si="299"/>
        <v>184</v>
      </c>
      <c r="M3594" s="8">
        <v>1</v>
      </c>
      <c r="N3594" s="8" t="s">
        <v>27</v>
      </c>
      <c r="O3594" s="13"/>
      <c r="P3594" s="14">
        <v>0.2</v>
      </c>
      <c r="Q3594" s="15">
        <v>0.4</v>
      </c>
      <c r="R3594" s="16" t="str">
        <f t="shared" si="298"/>
        <v>NUVO</v>
      </c>
      <c r="S3594" s="17"/>
      <c r="T3594" s="10" t="str">
        <f t="shared" si="297"/>
        <v>ALTAVOZ PARA EXTERIOR EN COLOR GRIS CON APARIENCIA TIPO ROCA.</v>
      </c>
    </row>
    <row r="3595" spans="1:25" ht="27" customHeight="1" x14ac:dyDescent="0.25">
      <c r="A3595" s="8" t="s">
        <v>7114</v>
      </c>
      <c r="B3595" s="9" t="s">
        <v>7115</v>
      </c>
      <c r="C3595" s="9"/>
      <c r="D3595" s="8" t="s">
        <v>188</v>
      </c>
      <c r="E3595" s="8">
        <v>2</v>
      </c>
      <c r="F3595" s="8" t="s">
        <v>22</v>
      </c>
      <c r="G3595" s="10" t="s">
        <v>7385</v>
      </c>
      <c r="H3595" s="8" t="s">
        <v>7386</v>
      </c>
      <c r="I3595" s="10" t="s">
        <v>7385</v>
      </c>
      <c r="J3595" s="11" t="s">
        <v>26</v>
      </c>
      <c r="K3595" s="18">
        <v>104</v>
      </c>
      <c r="L3595" s="12">
        <f t="shared" si="299"/>
        <v>178.28571428571431</v>
      </c>
      <c r="M3595" s="8">
        <v>1</v>
      </c>
      <c r="N3595" s="8" t="s">
        <v>27</v>
      </c>
      <c r="O3595" s="13"/>
      <c r="P3595" s="14">
        <v>0.2</v>
      </c>
      <c r="Q3595" s="15">
        <v>0.3</v>
      </c>
      <c r="R3595" s="16" t="str">
        <f t="shared" si="298"/>
        <v>NUVO</v>
      </c>
      <c r="S3595" s="17"/>
      <c r="T3595" s="10" t="str">
        <f t="shared" si="297"/>
        <v>TECLADO PARA CONTROL DE VOLUMEN Y SELECCIÓN DE FUENTE.</v>
      </c>
    </row>
    <row r="3596" spans="1:25" ht="27" customHeight="1" x14ac:dyDescent="0.25">
      <c r="A3596" s="8" t="s">
        <v>7114</v>
      </c>
      <c r="B3596" s="9" t="s">
        <v>7115</v>
      </c>
      <c r="C3596" s="9"/>
      <c r="D3596" s="8" t="s">
        <v>188</v>
      </c>
      <c r="E3596" s="8">
        <v>2</v>
      </c>
      <c r="F3596" s="8" t="s">
        <v>22</v>
      </c>
      <c r="G3596" s="10" t="s">
        <v>7387</v>
      </c>
      <c r="H3596" s="8" t="s">
        <v>7150</v>
      </c>
      <c r="I3596" s="10" t="s">
        <v>7387</v>
      </c>
      <c r="J3596" s="11" t="s">
        <v>26</v>
      </c>
      <c r="K3596" s="18">
        <v>37</v>
      </c>
      <c r="L3596" s="12">
        <f t="shared" si="299"/>
        <v>74</v>
      </c>
      <c r="M3596" s="8">
        <v>1</v>
      </c>
      <c r="N3596" s="8" t="s">
        <v>27</v>
      </c>
      <c r="O3596" s="13"/>
      <c r="P3596" s="14">
        <v>0.2</v>
      </c>
      <c r="Q3596" s="15">
        <v>0.4</v>
      </c>
      <c r="R3596" s="16" t="str">
        <f t="shared" si="298"/>
        <v>NUVO</v>
      </c>
      <c r="S3596" s="17"/>
      <c r="T3596" s="10" t="str">
        <f t="shared" ref="T3596:T3602" si="300">G3596</f>
        <v>PUERTO DE CONEXIÓN ALL PORT CABLE</v>
      </c>
    </row>
    <row r="3597" spans="1:25" ht="27" customHeight="1" x14ac:dyDescent="0.25">
      <c r="A3597" s="8" t="s">
        <v>7114</v>
      </c>
      <c r="B3597" s="9"/>
      <c r="C3597" s="9"/>
      <c r="D3597" s="8"/>
      <c r="E3597" s="8"/>
      <c r="F3597" s="8" t="s">
        <v>22</v>
      </c>
      <c r="G3597" s="10" t="s">
        <v>7388</v>
      </c>
      <c r="H3597" s="8" t="s">
        <v>7389</v>
      </c>
      <c r="I3597" s="10" t="s">
        <v>7390</v>
      </c>
      <c r="J3597" s="11" t="s">
        <v>26</v>
      </c>
      <c r="K3597" s="18">
        <v>72</v>
      </c>
      <c r="L3597" s="12">
        <f t="shared" si="299"/>
        <v>144</v>
      </c>
      <c r="M3597" s="8">
        <v>1</v>
      </c>
      <c r="N3597" s="8" t="s">
        <v>27</v>
      </c>
      <c r="O3597" s="13"/>
      <c r="P3597" s="14">
        <v>0.2</v>
      </c>
      <c r="Q3597" s="15">
        <v>0.4</v>
      </c>
      <c r="R3597" s="16" t="str">
        <f t="shared" si="298"/>
        <v>NUVO</v>
      </c>
      <c r="S3597" s="17"/>
      <c r="T3597" s="10" t="str">
        <f t="shared" si="300"/>
        <v>TARJETA DE AMPLIFICACIÓN DE ZONA DE 80 VATIOS.</v>
      </c>
    </row>
    <row r="3598" spans="1:25" ht="27" customHeight="1" x14ac:dyDescent="0.25">
      <c r="A3598" s="8" t="s">
        <v>7114</v>
      </c>
      <c r="B3598" s="9"/>
      <c r="C3598" s="9"/>
      <c r="D3598" s="8"/>
      <c r="E3598" s="8"/>
      <c r="F3598" s="8" t="s">
        <v>22</v>
      </c>
      <c r="G3598" s="10" t="s">
        <v>7391</v>
      </c>
      <c r="H3598" s="8" t="s">
        <v>7392</v>
      </c>
      <c r="I3598" s="10" t="s">
        <v>7391</v>
      </c>
      <c r="J3598" s="11" t="s">
        <v>26</v>
      </c>
      <c r="K3598" s="18">
        <v>665</v>
      </c>
      <c r="L3598" s="12">
        <f t="shared" si="299"/>
        <v>1023.0769230769231</v>
      </c>
      <c r="M3598" s="8">
        <v>1</v>
      </c>
      <c r="N3598" s="8" t="s">
        <v>27</v>
      </c>
      <c r="O3598" s="13"/>
      <c r="P3598" s="14">
        <v>0.2</v>
      </c>
      <c r="Q3598" s="15">
        <v>0.22</v>
      </c>
      <c r="R3598" s="16" t="str">
        <f t="shared" si="298"/>
        <v>NUVO</v>
      </c>
      <c r="S3598" s="17"/>
      <c r="T3598" s="10" t="str">
        <f t="shared" si="300"/>
        <v>BARRA DE SONIDO CON COMUNICACIÓN WIFI, ENTRADAS ÓPTICA Y ANÁLOGA</v>
      </c>
    </row>
    <row r="3599" spans="1:25" ht="27" customHeight="1" x14ac:dyDescent="0.25">
      <c r="A3599" s="8" t="s">
        <v>7114</v>
      </c>
      <c r="B3599" s="9"/>
      <c r="C3599" s="9"/>
      <c r="D3599" s="8"/>
      <c r="E3599" s="8"/>
      <c r="F3599" s="8" t="s">
        <v>22</v>
      </c>
      <c r="G3599" s="10" t="s">
        <v>7393</v>
      </c>
      <c r="H3599" s="8" t="s">
        <v>7394</v>
      </c>
      <c r="I3599" s="10" t="s">
        <v>7393</v>
      </c>
      <c r="J3599" s="11" t="s">
        <v>26</v>
      </c>
      <c r="K3599" s="18">
        <f>170/2</f>
        <v>85</v>
      </c>
      <c r="L3599" s="12">
        <f t="shared" si="299"/>
        <v>212.49995386248335</v>
      </c>
      <c r="M3599" s="8">
        <v>1</v>
      </c>
      <c r="N3599" s="8" t="s">
        <v>27</v>
      </c>
      <c r="O3599" s="13"/>
      <c r="P3599" s="14">
        <v>0.2</v>
      </c>
      <c r="Q3599" s="15">
        <v>0.51999989578346917</v>
      </c>
      <c r="R3599" s="16" t="str">
        <f t="shared" si="298"/>
        <v>NUVO</v>
      </c>
      <c r="S3599" s="17"/>
      <c r="T3599" s="10" t="str">
        <f t="shared" si="300"/>
        <v xml:space="preserve">ALTAVOCES DE EXTERIOR NEGROS DE 100 VATIOS. </v>
      </c>
      <c r="Y3599">
        <f>329/0.95</f>
        <v>346.31578947368422</v>
      </c>
    </row>
    <row r="3600" spans="1:25" ht="27" customHeight="1" x14ac:dyDescent="0.25">
      <c r="A3600" s="8" t="s">
        <v>7114</v>
      </c>
      <c r="B3600" s="9"/>
      <c r="C3600" s="9"/>
      <c r="D3600" s="8" t="s">
        <v>45</v>
      </c>
      <c r="E3600" s="8"/>
      <c r="F3600" s="8" t="s">
        <v>22</v>
      </c>
      <c r="G3600" s="10" t="s">
        <v>7395</v>
      </c>
      <c r="H3600" s="8" t="s">
        <v>7223</v>
      </c>
      <c r="I3600" s="10" t="s">
        <v>7396</v>
      </c>
      <c r="J3600" s="11" t="s">
        <v>26</v>
      </c>
      <c r="K3600" s="18">
        <v>1649</v>
      </c>
      <c r="L3600" s="12">
        <f t="shared" si="299"/>
        <v>2748.3333333333335</v>
      </c>
      <c r="M3600" s="8">
        <v>1</v>
      </c>
      <c r="N3600" s="8" t="s">
        <v>27</v>
      </c>
      <c r="O3600" s="13"/>
      <c r="P3600" s="14">
        <v>0</v>
      </c>
      <c r="Q3600" s="15">
        <v>0.4</v>
      </c>
      <c r="R3600" s="16" t="str">
        <f t="shared" si="298"/>
        <v>NUVO</v>
      </c>
      <c r="S3600" s="17"/>
      <c r="T3600" s="10" t="str">
        <f t="shared" si="300"/>
        <v>SISTEMA AMPLIFICACIÓN DE 6 ZONAS EXPANDIBLE A 8.</v>
      </c>
    </row>
    <row r="3601" spans="1:24" ht="27" customHeight="1" x14ac:dyDescent="0.25">
      <c r="A3601" s="8" t="s">
        <v>7114</v>
      </c>
      <c r="B3601" s="9"/>
      <c r="C3601" s="9"/>
      <c r="D3601" s="8" t="s">
        <v>45</v>
      </c>
      <c r="E3601" s="8"/>
      <c r="F3601" s="8" t="s">
        <v>22</v>
      </c>
      <c r="G3601" s="10" t="s">
        <v>7397</v>
      </c>
      <c r="H3601" s="8" t="s">
        <v>7398</v>
      </c>
      <c r="I3601" s="10" t="s">
        <v>7397</v>
      </c>
      <c r="J3601" s="11" t="s">
        <v>26</v>
      </c>
      <c r="K3601" s="18">
        <v>192.6</v>
      </c>
      <c r="L3601" s="12">
        <f t="shared" si="299"/>
        <v>240.74999999999997</v>
      </c>
      <c r="M3601" s="8">
        <v>1</v>
      </c>
      <c r="N3601" s="8" t="s">
        <v>27</v>
      </c>
      <c r="O3601" s="13"/>
      <c r="P3601" s="14">
        <v>0</v>
      </c>
      <c r="Q3601" s="15">
        <v>0.2</v>
      </c>
      <c r="R3601" s="16" t="str">
        <f t="shared" si="298"/>
        <v>NUVO</v>
      </c>
      <c r="S3601" s="17"/>
      <c r="T3601" s="10" t="str">
        <f t="shared" si="300"/>
        <v>FUENTE DE ALIMENTACIÓN 24 VOLTIOS DIFERENCIALES PARA SISTEMA ESSENTIA.</v>
      </c>
    </row>
    <row r="3602" spans="1:24" ht="27" customHeight="1" x14ac:dyDescent="0.25">
      <c r="A3602" s="8" t="s">
        <v>7114</v>
      </c>
      <c r="B3602" s="9"/>
      <c r="C3602" s="9"/>
      <c r="D3602" s="8" t="s">
        <v>45</v>
      </c>
      <c r="E3602" s="8"/>
      <c r="F3602" s="8" t="s">
        <v>22</v>
      </c>
      <c r="G3602" s="10" t="s">
        <v>7399</v>
      </c>
      <c r="H3602" s="8" t="s">
        <v>7400</v>
      </c>
      <c r="I3602" s="10" t="s">
        <v>7399</v>
      </c>
      <c r="J3602" s="11" t="s">
        <v>26</v>
      </c>
      <c r="K3602" s="18">
        <f>165/2</f>
        <v>82.5</v>
      </c>
      <c r="L3602" s="12">
        <f>ROUNDUP(K3602*(1+P3602)/(1-Q3602),0)</f>
        <v>165</v>
      </c>
      <c r="M3602" s="8">
        <v>1</v>
      </c>
      <c r="N3602" s="8" t="s">
        <v>27</v>
      </c>
      <c r="O3602" s="13"/>
      <c r="P3602" s="14">
        <v>0.2</v>
      </c>
      <c r="Q3602" s="15">
        <v>0.4</v>
      </c>
      <c r="R3602" s="16" t="str">
        <f t="shared" si="298"/>
        <v>NUVO</v>
      </c>
      <c r="S3602" s="17"/>
      <c r="T3602" s="10" t="str">
        <f t="shared" si="300"/>
        <v>PARLANTES RECTANGULARES DE 6.5"</v>
      </c>
    </row>
    <row r="3603" spans="1:24" ht="27" customHeight="1" x14ac:dyDescent="0.25">
      <c r="A3603" s="8" t="s">
        <v>7114</v>
      </c>
      <c r="B3603" s="9"/>
      <c r="C3603" s="9"/>
      <c r="D3603" s="8"/>
      <c r="E3603" s="8"/>
      <c r="F3603" s="8"/>
      <c r="G3603" s="10"/>
      <c r="H3603" s="8" t="s">
        <v>7401</v>
      </c>
      <c r="I3603" s="10" t="s">
        <v>7402</v>
      </c>
      <c r="J3603" s="11" t="s">
        <v>26</v>
      </c>
      <c r="K3603" s="18">
        <v>1870</v>
      </c>
      <c r="L3603" s="12">
        <f t="shared" ref="L3603:L3624" si="301">K3603*(1+P3603)/(1-Q3603)</f>
        <v>2999.0000002899569</v>
      </c>
      <c r="M3603" s="8">
        <v>1</v>
      </c>
      <c r="N3603" s="8" t="s">
        <v>27</v>
      </c>
      <c r="O3603" s="13"/>
      <c r="P3603" s="14">
        <v>0.2</v>
      </c>
      <c r="Q3603" s="15">
        <v>0.25175058360018682</v>
      </c>
      <c r="R3603" s="16" t="str">
        <f t="shared" si="298"/>
        <v>NUVO</v>
      </c>
      <c r="S3603" s="17"/>
      <c r="T3603" s="10"/>
    </row>
    <row r="3604" spans="1:24" ht="27" customHeight="1" x14ac:dyDescent="0.25">
      <c r="A3604" s="8" t="s">
        <v>7114</v>
      </c>
      <c r="B3604" s="9"/>
      <c r="C3604" s="9"/>
      <c r="D3604" s="8"/>
      <c r="E3604" s="8"/>
      <c r="F3604" s="8"/>
      <c r="G3604" s="10"/>
      <c r="H3604" s="8" t="s">
        <v>7403</v>
      </c>
      <c r="I3604" s="10" t="s">
        <v>7404</v>
      </c>
      <c r="J3604" s="11" t="s">
        <v>26</v>
      </c>
      <c r="K3604" s="18">
        <f>82.25/2</f>
        <v>41.125</v>
      </c>
      <c r="L3604" s="12">
        <f t="shared" si="301"/>
        <v>99.50030880154354</v>
      </c>
      <c r="M3604" s="8">
        <v>1</v>
      </c>
      <c r="N3604" s="8" t="s">
        <v>27</v>
      </c>
      <c r="O3604" s="13"/>
      <c r="P3604" s="14">
        <v>0.2</v>
      </c>
      <c r="Q3604" s="15">
        <v>0.50402163978777081</v>
      </c>
      <c r="R3604" s="16" t="str">
        <f t="shared" si="298"/>
        <v>NUVO</v>
      </c>
      <c r="S3604" s="17"/>
      <c r="T3604" s="10"/>
    </row>
    <row r="3605" spans="1:24" ht="27" customHeight="1" x14ac:dyDescent="0.25">
      <c r="A3605" s="8" t="s">
        <v>7114</v>
      </c>
      <c r="B3605" s="9"/>
      <c r="C3605" s="9"/>
      <c r="D3605" s="8"/>
      <c r="E3605" s="8"/>
      <c r="F3605" s="8"/>
      <c r="G3605" s="10"/>
      <c r="H3605" s="8" t="s">
        <v>7405</v>
      </c>
      <c r="I3605" s="10" t="s">
        <v>7404</v>
      </c>
      <c r="J3605" s="11" t="s">
        <v>26</v>
      </c>
      <c r="K3605" s="18">
        <v>57.25</v>
      </c>
      <c r="L3605" s="12">
        <f t="shared" si="301"/>
        <v>148.99957692163545</v>
      </c>
      <c r="M3605" s="8">
        <v>1</v>
      </c>
      <c r="N3605" s="8" t="s">
        <v>27</v>
      </c>
      <c r="O3605" s="13"/>
      <c r="P3605" s="14">
        <v>0.2</v>
      </c>
      <c r="Q3605" s="15">
        <v>0.53892486529587968</v>
      </c>
      <c r="R3605" s="16" t="str">
        <f t="shared" si="298"/>
        <v>NUVO</v>
      </c>
      <c r="S3605" s="17"/>
      <c r="T3605" s="10"/>
    </row>
    <row r="3606" spans="1:24" ht="27" customHeight="1" x14ac:dyDescent="0.25">
      <c r="A3606" s="8" t="s">
        <v>7114</v>
      </c>
      <c r="B3606" s="9"/>
      <c r="C3606" s="9"/>
      <c r="D3606" s="8"/>
      <c r="E3606" s="8"/>
      <c r="F3606" s="8"/>
      <c r="G3606" s="10"/>
      <c r="H3606" s="8" t="s">
        <v>7406</v>
      </c>
      <c r="I3606" s="10" t="s">
        <v>7407</v>
      </c>
      <c r="J3606" s="11" t="s">
        <v>26</v>
      </c>
      <c r="K3606" s="18">
        <v>54.75</v>
      </c>
      <c r="L3606" s="12">
        <f t="shared" si="301"/>
        <v>148.9997041989935</v>
      </c>
      <c r="M3606" s="8">
        <v>1</v>
      </c>
      <c r="N3606" s="8" t="s">
        <v>27</v>
      </c>
      <c r="O3606" s="13"/>
      <c r="P3606" s="14">
        <v>0.2</v>
      </c>
      <c r="Q3606" s="15">
        <v>0.55905952731117026</v>
      </c>
      <c r="R3606" s="16" t="str">
        <f t="shared" si="298"/>
        <v>NUVO</v>
      </c>
      <c r="S3606" s="17"/>
      <c r="T3606" s="10"/>
    </row>
    <row r="3607" spans="1:24" ht="27" customHeight="1" x14ac:dyDescent="0.25">
      <c r="A3607" s="8" t="s">
        <v>7114</v>
      </c>
      <c r="B3607" s="9"/>
      <c r="C3607" s="9"/>
      <c r="D3607" s="8"/>
      <c r="E3607" s="8"/>
      <c r="F3607" s="8"/>
      <c r="G3607" s="10"/>
      <c r="H3607" s="8" t="s">
        <v>7408</v>
      </c>
      <c r="I3607" s="10" t="s">
        <v>7409</v>
      </c>
      <c r="J3607" s="11" t="s">
        <v>26</v>
      </c>
      <c r="K3607" s="18">
        <f>104.75/2</f>
        <v>52.375</v>
      </c>
      <c r="L3607" s="12">
        <f t="shared" si="301"/>
        <v>124.50015124560232</v>
      </c>
      <c r="M3607" s="8">
        <v>1</v>
      </c>
      <c r="N3607" s="8" t="s">
        <v>27</v>
      </c>
      <c r="O3607" s="13"/>
      <c r="P3607" s="14">
        <v>0.2</v>
      </c>
      <c r="Q3607" s="15">
        <v>0.49518133615745291</v>
      </c>
      <c r="R3607" s="16" t="str">
        <f t="shared" si="298"/>
        <v>NUVO</v>
      </c>
      <c r="S3607" s="17"/>
      <c r="T3607" s="10"/>
    </row>
    <row r="3608" spans="1:24" ht="27" customHeight="1" x14ac:dyDescent="0.25">
      <c r="A3608" s="8" t="s">
        <v>7114</v>
      </c>
      <c r="B3608" s="9"/>
      <c r="C3608" s="9"/>
      <c r="D3608" s="8"/>
      <c r="E3608" s="8"/>
      <c r="F3608" s="8"/>
      <c r="G3608" s="10"/>
      <c r="H3608" s="8" t="s">
        <v>7410</v>
      </c>
      <c r="I3608" s="10" t="s">
        <v>7409</v>
      </c>
      <c r="J3608" s="11" t="s">
        <v>26</v>
      </c>
      <c r="K3608" s="18">
        <v>82.25</v>
      </c>
      <c r="L3608" s="12">
        <f t="shared" si="301"/>
        <v>238.99980302678719</v>
      </c>
      <c r="M3608" s="8">
        <v>1</v>
      </c>
      <c r="N3608" s="8" t="s">
        <v>27</v>
      </c>
      <c r="O3608" s="13"/>
      <c r="P3608" s="14">
        <v>0.2</v>
      </c>
      <c r="Q3608" s="15">
        <v>0.58702894835048181</v>
      </c>
      <c r="R3608" s="16" t="str">
        <f t="shared" si="298"/>
        <v>NUVO</v>
      </c>
      <c r="S3608" s="17"/>
      <c r="T3608" s="10"/>
    </row>
    <row r="3609" spans="1:24" ht="27" customHeight="1" x14ac:dyDescent="0.25">
      <c r="A3609" s="8" t="s">
        <v>7114</v>
      </c>
      <c r="B3609" s="9"/>
      <c r="C3609" s="9"/>
      <c r="D3609" s="8"/>
      <c r="E3609" s="8"/>
      <c r="F3609" s="8"/>
      <c r="G3609" s="10"/>
      <c r="H3609" s="8" t="s">
        <v>7411</v>
      </c>
      <c r="I3609" s="10" t="s">
        <v>7404</v>
      </c>
      <c r="J3609" s="11" t="s">
        <v>26</v>
      </c>
      <c r="K3609" s="18">
        <f>97.25/2</f>
        <v>48.625</v>
      </c>
      <c r="L3609" s="12">
        <f t="shared" si="301"/>
        <v>124.49999159881693</v>
      </c>
      <c r="M3609" s="8">
        <v>1</v>
      </c>
      <c r="N3609" s="8" t="s">
        <v>27</v>
      </c>
      <c r="O3609" s="13"/>
      <c r="P3609" s="14">
        <v>0.2</v>
      </c>
      <c r="Q3609" s="15">
        <v>0.53132526957893811</v>
      </c>
      <c r="R3609" s="16" t="str">
        <f t="shared" si="298"/>
        <v>NUVO</v>
      </c>
      <c r="S3609" s="17"/>
      <c r="T3609" s="10"/>
      <c r="X3609">
        <f>536*0.8</f>
        <v>428.8</v>
      </c>
    </row>
    <row r="3610" spans="1:24" ht="27" customHeight="1" x14ac:dyDescent="0.25">
      <c r="A3610" s="8" t="s">
        <v>7114</v>
      </c>
      <c r="B3610" s="9"/>
      <c r="C3610" s="9"/>
      <c r="D3610" s="8"/>
      <c r="E3610" s="8"/>
      <c r="F3610" s="8"/>
      <c r="G3610" s="10"/>
      <c r="H3610" s="8" t="s">
        <v>7412</v>
      </c>
      <c r="I3610" s="10" t="s">
        <v>7413</v>
      </c>
      <c r="J3610" s="11" t="s">
        <v>26</v>
      </c>
      <c r="K3610" s="18">
        <v>74.75</v>
      </c>
      <c r="L3610" s="12">
        <f t="shared" si="301"/>
        <v>179.00032555539892</v>
      </c>
      <c r="M3610" s="8">
        <v>1</v>
      </c>
      <c r="N3610" s="8" t="s">
        <v>27</v>
      </c>
      <c r="O3610" s="13"/>
      <c r="P3610" s="14">
        <v>0.2</v>
      </c>
      <c r="Q3610" s="15">
        <v>0.49888359296732843</v>
      </c>
      <c r="R3610" s="16" t="str">
        <f t="shared" si="298"/>
        <v>NUVO</v>
      </c>
      <c r="S3610" s="17"/>
      <c r="T3610" s="10"/>
    </row>
    <row r="3611" spans="1:24" ht="27" customHeight="1" x14ac:dyDescent="0.25">
      <c r="A3611" s="8" t="s">
        <v>7114</v>
      </c>
      <c r="B3611" s="9"/>
      <c r="C3611" s="9"/>
      <c r="D3611" s="8"/>
      <c r="E3611" s="8"/>
      <c r="F3611" s="8"/>
      <c r="G3611" s="10"/>
      <c r="H3611" s="8" t="s">
        <v>7414</v>
      </c>
      <c r="I3611" s="10" t="s">
        <v>7415</v>
      </c>
      <c r="J3611" s="11" t="s">
        <v>26</v>
      </c>
      <c r="K3611" s="18">
        <f>109.75/2</f>
        <v>54.875</v>
      </c>
      <c r="L3611" s="12">
        <f t="shared" si="301"/>
        <v>164.49995817785324</v>
      </c>
      <c r="M3611" s="8">
        <v>1</v>
      </c>
      <c r="N3611" s="8" t="s">
        <v>27</v>
      </c>
      <c r="O3611" s="13"/>
      <c r="P3611" s="14">
        <v>0.2</v>
      </c>
      <c r="Q3611" s="15">
        <v>0.59969594685972738</v>
      </c>
      <c r="R3611" s="16" t="str">
        <f t="shared" si="298"/>
        <v>NUVO</v>
      </c>
      <c r="S3611" s="17"/>
      <c r="T3611" s="10"/>
    </row>
    <row r="3612" spans="1:24" ht="27" customHeight="1" x14ac:dyDescent="0.25">
      <c r="A3612" s="8" t="s">
        <v>7114</v>
      </c>
      <c r="B3612" s="9"/>
      <c r="C3612" s="9"/>
      <c r="D3612" s="8"/>
      <c r="E3612" s="8"/>
      <c r="F3612" s="8"/>
      <c r="G3612" s="10"/>
      <c r="H3612" s="8" t="s">
        <v>7416</v>
      </c>
      <c r="I3612" s="10" t="s">
        <v>7415</v>
      </c>
      <c r="J3612" s="11" t="s">
        <v>26</v>
      </c>
      <c r="K3612" s="18">
        <v>68.75</v>
      </c>
      <c r="L3612" s="12">
        <f t="shared" si="301"/>
        <v>178.99996710999113</v>
      </c>
      <c r="M3612" s="8">
        <v>1</v>
      </c>
      <c r="N3612" s="8" t="s">
        <v>27</v>
      </c>
      <c r="O3612" s="13"/>
      <c r="P3612" s="14">
        <v>0.2</v>
      </c>
      <c r="Q3612" s="15">
        <v>0.53910606056533095</v>
      </c>
      <c r="R3612" s="16" t="str">
        <f t="shared" si="298"/>
        <v>NUVO</v>
      </c>
      <c r="S3612" s="17"/>
      <c r="T3612" s="10"/>
    </row>
    <row r="3613" spans="1:24" ht="27" customHeight="1" x14ac:dyDescent="0.25">
      <c r="A3613" s="8" t="s">
        <v>7114</v>
      </c>
      <c r="B3613" s="9"/>
      <c r="C3613" s="9"/>
      <c r="D3613" s="8"/>
      <c r="E3613" s="8"/>
      <c r="F3613" s="8"/>
      <c r="G3613" s="10"/>
      <c r="H3613" s="8" t="s">
        <v>7417</v>
      </c>
      <c r="I3613" s="10" t="s">
        <v>7418</v>
      </c>
      <c r="J3613" s="11" t="s">
        <v>26</v>
      </c>
      <c r="K3613" s="18">
        <v>82.25</v>
      </c>
      <c r="L3613" s="12">
        <f t="shared" si="301"/>
        <v>279.00000693185865</v>
      </c>
      <c r="M3613" s="8">
        <v>1</v>
      </c>
      <c r="N3613" s="8" t="s">
        <v>27</v>
      </c>
      <c r="O3613" s="13"/>
      <c r="P3613" s="14">
        <v>0.2</v>
      </c>
      <c r="Q3613" s="15">
        <v>0.64623656792916884</v>
      </c>
      <c r="R3613" s="16" t="str">
        <f t="shared" si="298"/>
        <v>NUVO</v>
      </c>
      <c r="S3613" s="17"/>
      <c r="T3613" s="10"/>
    </row>
    <row r="3614" spans="1:24" ht="27" customHeight="1" x14ac:dyDescent="0.25">
      <c r="A3614" s="8" t="s">
        <v>7114</v>
      </c>
      <c r="B3614" s="9"/>
      <c r="C3614" s="9"/>
      <c r="D3614" s="8"/>
      <c r="E3614" s="8"/>
      <c r="F3614" s="8"/>
      <c r="G3614" s="10"/>
      <c r="H3614" s="8" t="s">
        <v>7419</v>
      </c>
      <c r="I3614" s="10" t="s">
        <v>7420</v>
      </c>
      <c r="J3614" s="11" t="s">
        <v>26</v>
      </c>
      <c r="K3614" s="18">
        <f>133.75/2</f>
        <v>66.875</v>
      </c>
      <c r="L3614" s="12">
        <f t="shared" si="301"/>
        <v>214.50024370065128</v>
      </c>
      <c r="M3614" s="8">
        <v>1</v>
      </c>
      <c r="N3614" s="8" t="s">
        <v>27</v>
      </c>
      <c r="O3614" s="13"/>
      <c r="P3614" s="14">
        <v>0.2</v>
      </c>
      <c r="Q3614" s="15">
        <v>0.62587455093060884</v>
      </c>
      <c r="R3614" s="16" t="str">
        <f t="shared" si="298"/>
        <v>NUVO</v>
      </c>
      <c r="S3614" s="17"/>
      <c r="T3614" s="10"/>
    </row>
    <row r="3615" spans="1:24" ht="27" customHeight="1" x14ac:dyDescent="0.25">
      <c r="A3615" s="8" t="s">
        <v>7114</v>
      </c>
      <c r="B3615" s="9"/>
      <c r="C3615" s="9"/>
      <c r="D3615" s="8"/>
      <c r="E3615" s="8"/>
      <c r="F3615" s="8"/>
      <c r="G3615" s="10"/>
      <c r="H3615" s="8" t="s">
        <v>7421</v>
      </c>
      <c r="I3615" s="10" t="s">
        <v>7415</v>
      </c>
      <c r="J3615" s="11" t="s">
        <v>26</v>
      </c>
      <c r="K3615" s="18">
        <v>97.25</v>
      </c>
      <c r="L3615" s="12">
        <f t="shared" si="301"/>
        <v>288.99989214604284</v>
      </c>
      <c r="M3615" s="8">
        <v>1</v>
      </c>
      <c r="N3615" s="8" t="s">
        <v>27</v>
      </c>
      <c r="O3615" s="13"/>
      <c r="P3615" s="14">
        <v>0.2</v>
      </c>
      <c r="Q3615" s="15">
        <v>0.59619362092693462</v>
      </c>
      <c r="R3615" s="16" t="str">
        <f t="shared" si="298"/>
        <v>NUVO</v>
      </c>
      <c r="S3615" s="17"/>
      <c r="T3615" s="10"/>
    </row>
    <row r="3616" spans="1:24" ht="27" customHeight="1" x14ac:dyDescent="0.25">
      <c r="A3616" s="8" t="s">
        <v>7114</v>
      </c>
      <c r="B3616" s="9"/>
      <c r="C3616" s="9"/>
      <c r="D3616" s="8"/>
      <c r="E3616" s="8"/>
      <c r="F3616" s="8"/>
      <c r="G3616" s="10"/>
      <c r="H3616" s="8" t="s">
        <v>7422</v>
      </c>
      <c r="I3616" s="10" t="s">
        <v>7423</v>
      </c>
      <c r="J3616" s="11" t="s">
        <v>26</v>
      </c>
      <c r="K3616" s="18">
        <v>89.75</v>
      </c>
      <c r="L3616" s="12">
        <f t="shared" si="301"/>
        <v>268.9999310634372</v>
      </c>
      <c r="M3616" s="8">
        <v>1</v>
      </c>
      <c r="N3616" s="8" t="s">
        <v>27</v>
      </c>
      <c r="O3616" s="13"/>
      <c r="P3616" s="14">
        <v>0.2</v>
      </c>
      <c r="Q3616" s="15">
        <v>0.59962815018491011</v>
      </c>
      <c r="R3616" s="16" t="str">
        <f t="shared" si="298"/>
        <v>NUVO</v>
      </c>
      <c r="S3616" s="17"/>
      <c r="T3616" s="10"/>
    </row>
    <row r="3617" spans="1:20" ht="27" customHeight="1" x14ac:dyDescent="0.25">
      <c r="A3617" s="8" t="s">
        <v>7114</v>
      </c>
      <c r="B3617" s="9"/>
      <c r="C3617" s="9"/>
      <c r="D3617" s="8"/>
      <c r="E3617" s="8"/>
      <c r="F3617" s="8"/>
      <c r="G3617" s="10"/>
      <c r="H3617" s="8" t="s">
        <v>7424</v>
      </c>
      <c r="I3617" s="10" t="s">
        <v>7425</v>
      </c>
      <c r="J3617" s="11" t="s">
        <v>26</v>
      </c>
      <c r="K3617" s="18">
        <f>149.75/2</f>
        <v>74.875</v>
      </c>
      <c r="L3617" s="12">
        <f t="shared" si="301"/>
        <v>224.49994346703207</v>
      </c>
      <c r="M3617" s="8">
        <v>1</v>
      </c>
      <c r="N3617" s="8" t="s">
        <v>27</v>
      </c>
      <c r="O3617" s="13"/>
      <c r="P3617" s="14">
        <v>0.2</v>
      </c>
      <c r="Q3617" s="15">
        <v>0.59977718206777852</v>
      </c>
      <c r="R3617" s="16" t="str">
        <f t="shared" si="298"/>
        <v>NUVO</v>
      </c>
      <c r="S3617" s="17"/>
      <c r="T3617" s="10"/>
    </row>
    <row r="3618" spans="1:20" ht="27" customHeight="1" x14ac:dyDescent="0.25">
      <c r="A3618" s="8" t="s">
        <v>7114</v>
      </c>
      <c r="B3618" s="9"/>
      <c r="C3618" s="9"/>
      <c r="D3618" s="8"/>
      <c r="E3618" s="8"/>
      <c r="F3618" s="8"/>
      <c r="G3618" s="10"/>
      <c r="H3618" s="8" t="s">
        <v>7426</v>
      </c>
      <c r="I3618" s="10" t="s">
        <v>7425</v>
      </c>
      <c r="J3618" s="11" t="s">
        <v>26</v>
      </c>
      <c r="K3618" s="18">
        <v>87.25</v>
      </c>
      <c r="L3618" s="12">
        <f t="shared" si="301"/>
        <v>258.9998989287289</v>
      </c>
      <c r="M3618" s="8">
        <v>1</v>
      </c>
      <c r="N3618" s="8" t="s">
        <v>27</v>
      </c>
      <c r="O3618" s="13"/>
      <c r="P3618" s="14">
        <v>0.2</v>
      </c>
      <c r="Q3618" s="15">
        <v>0.59575273800083162</v>
      </c>
      <c r="R3618" s="16" t="str">
        <f t="shared" si="298"/>
        <v>NUVO</v>
      </c>
      <c r="S3618" s="17"/>
      <c r="T3618" s="10"/>
    </row>
    <row r="3619" spans="1:20" ht="27" customHeight="1" x14ac:dyDescent="0.25">
      <c r="A3619" s="8" t="s">
        <v>7114</v>
      </c>
      <c r="B3619" s="9"/>
      <c r="C3619" s="9"/>
      <c r="D3619" s="8"/>
      <c r="E3619" s="8"/>
      <c r="F3619" s="8"/>
      <c r="G3619" s="10"/>
      <c r="H3619" s="8" t="s">
        <v>7427</v>
      </c>
      <c r="I3619" s="10" t="s">
        <v>7428</v>
      </c>
      <c r="J3619" s="11" t="s">
        <v>26</v>
      </c>
      <c r="K3619" s="18">
        <f>174.75/2</f>
        <v>87.375</v>
      </c>
      <c r="L3619" s="12">
        <f t="shared" si="301"/>
        <v>259.49990076322911</v>
      </c>
      <c r="M3619" s="8">
        <v>1</v>
      </c>
      <c r="N3619" s="8" t="s">
        <v>27</v>
      </c>
      <c r="O3619" s="13"/>
      <c r="P3619" s="14">
        <v>0.2</v>
      </c>
      <c r="Q3619" s="15">
        <v>0.59595360271190845</v>
      </c>
      <c r="R3619" s="16" t="str">
        <f t="shared" si="298"/>
        <v>NUVO</v>
      </c>
      <c r="S3619" s="17"/>
      <c r="T3619" s="10"/>
    </row>
    <row r="3620" spans="1:20" ht="27" customHeight="1" x14ac:dyDescent="0.25">
      <c r="A3620" s="8" t="s">
        <v>7114</v>
      </c>
      <c r="B3620" s="9"/>
      <c r="C3620" s="9"/>
      <c r="D3620" s="8"/>
      <c r="E3620" s="8"/>
      <c r="F3620" s="8"/>
      <c r="G3620" s="10"/>
      <c r="H3620" s="8" t="s">
        <v>7429</v>
      </c>
      <c r="I3620" s="10" t="s">
        <v>7428</v>
      </c>
      <c r="J3620" s="11" t="s">
        <v>26</v>
      </c>
      <c r="K3620" s="18">
        <v>119.75</v>
      </c>
      <c r="L3620" s="12">
        <f t="shared" si="301"/>
        <v>348.9997374161664</v>
      </c>
      <c r="M3620" s="8">
        <v>1</v>
      </c>
      <c r="N3620" s="8" t="s">
        <v>27</v>
      </c>
      <c r="O3620" s="13"/>
      <c r="P3620" s="14">
        <v>0.2</v>
      </c>
      <c r="Q3620" s="15">
        <v>0.58825183920226209</v>
      </c>
      <c r="R3620" s="16" t="str">
        <f t="shared" si="298"/>
        <v>NUVO</v>
      </c>
      <c r="S3620" s="17"/>
      <c r="T3620" s="10"/>
    </row>
    <row r="3621" spans="1:20" ht="27" customHeight="1" x14ac:dyDescent="0.25">
      <c r="A3621" s="8" t="s">
        <v>7114</v>
      </c>
      <c r="B3621" s="9"/>
      <c r="C3621" s="9"/>
      <c r="D3621" s="8"/>
      <c r="E3621" s="8"/>
      <c r="F3621" s="8"/>
      <c r="G3621" s="10"/>
      <c r="H3621" s="8" t="s">
        <v>7400</v>
      </c>
      <c r="I3621" s="10" t="s">
        <v>7425</v>
      </c>
      <c r="J3621" s="11" t="s">
        <v>26</v>
      </c>
      <c r="K3621" s="18">
        <v>164.75</v>
      </c>
      <c r="L3621" s="12">
        <f t="shared" si="301"/>
        <v>488.99980826532084</v>
      </c>
      <c r="M3621" s="8">
        <v>1</v>
      </c>
      <c r="N3621" s="8" t="s">
        <v>27</v>
      </c>
      <c r="O3621" s="13"/>
      <c r="P3621" s="14">
        <v>0.2</v>
      </c>
      <c r="Q3621" s="15">
        <v>0.59570536295030163</v>
      </c>
      <c r="R3621" s="16" t="str">
        <f t="shared" si="298"/>
        <v>NUVO</v>
      </c>
      <c r="S3621" s="17"/>
      <c r="T3621" s="10"/>
    </row>
    <row r="3622" spans="1:20" ht="27" customHeight="1" x14ac:dyDescent="0.25">
      <c r="A3622" s="8" t="s">
        <v>7114</v>
      </c>
      <c r="B3622" s="9"/>
      <c r="C3622" s="9"/>
      <c r="D3622" s="8"/>
      <c r="E3622" s="8"/>
      <c r="F3622" s="8"/>
      <c r="G3622" s="10"/>
      <c r="H3622" s="8" t="s">
        <v>7430</v>
      </c>
      <c r="I3622" s="10" t="s">
        <v>7431</v>
      </c>
      <c r="J3622" s="11" t="s">
        <v>26</v>
      </c>
      <c r="K3622" s="18">
        <v>132.25</v>
      </c>
      <c r="L3622" s="12">
        <f t="shared" si="301"/>
        <v>394.99988126207035</v>
      </c>
      <c r="M3622" s="8">
        <v>1</v>
      </c>
      <c r="N3622" s="8" t="s">
        <v>27</v>
      </c>
      <c r="O3622" s="13"/>
      <c r="P3622" s="14">
        <v>0.2</v>
      </c>
      <c r="Q3622" s="15">
        <v>0.59822772732757512</v>
      </c>
      <c r="R3622" s="16" t="str">
        <f t="shared" si="298"/>
        <v>NUVO</v>
      </c>
      <c r="S3622" s="17"/>
      <c r="T3622" s="10"/>
    </row>
    <row r="3623" spans="1:20" ht="27" customHeight="1" x14ac:dyDescent="0.25">
      <c r="A3623" s="8" t="s">
        <v>7114</v>
      </c>
      <c r="B3623" s="9"/>
      <c r="C3623" s="9"/>
      <c r="D3623" s="8"/>
      <c r="E3623" s="8"/>
      <c r="F3623" s="8"/>
      <c r="G3623" s="10"/>
      <c r="H3623" s="8" t="s">
        <v>7432</v>
      </c>
      <c r="I3623" s="10" t="s">
        <v>7433</v>
      </c>
      <c r="J3623" s="11" t="s">
        <v>26</v>
      </c>
      <c r="K3623" s="18">
        <v>130</v>
      </c>
      <c r="L3623" s="12">
        <f t="shared" si="301"/>
        <v>325.00012762741119</v>
      </c>
      <c r="M3623" s="8">
        <v>1</v>
      </c>
      <c r="N3623" s="8" t="s">
        <v>27</v>
      </c>
      <c r="O3623" s="13"/>
      <c r="P3623" s="14">
        <v>0.2</v>
      </c>
      <c r="Q3623" s="15">
        <v>0.52000018849579477</v>
      </c>
      <c r="R3623" s="16" t="str">
        <f t="shared" si="298"/>
        <v>NUVO</v>
      </c>
      <c r="S3623" s="17"/>
      <c r="T3623" s="10"/>
    </row>
    <row r="3624" spans="1:20" ht="27" customHeight="1" x14ac:dyDescent="0.25">
      <c r="A3624" s="8" t="s">
        <v>7114</v>
      </c>
      <c r="B3624" s="9"/>
      <c r="C3624" s="9"/>
      <c r="D3624" s="8"/>
      <c r="E3624" s="8"/>
      <c r="F3624" s="8"/>
      <c r="G3624" s="10"/>
      <c r="H3624" s="8" t="s">
        <v>7434</v>
      </c>
      <c r="I3624" s="10" t="s">
        <v>7435</v>
      </c>
      <c r="J3624" s="11" t="s">
        <v>26</v>
      </c>
      <c r="K3624" s="18">
        <v>1312.5</v>
      </c>
      <c r="L3624" s="12">
        <f t="shared" si="301"/>
        <v>2299.0000318586494</v>
      </c>
      <c r="M3624" s="8">
        <v>1</v>
      </c>
      <c r="N3624" s="8" t="s">
        <v>27</v>
      </c>
      <c r="O3624" s="13"/>
      <c r="P3624" s="14">
        <v>0.2</v>
      </c>
      <c r="Q3624" s="15">
        <v>0.31491953972411402</v>
      </c>
      <c r="R3624" s="16" t="str">
        <f t="shared" si="298"/>
        <v>NUVO</v>
      </c>
      <c r="S3624" s="17"/>
      <c r="T3624" s="10"/>
    </row>
    <row r="3625" spans="1:20" ht="27" customHeight="1" x14ac:dyDescent="0.25">
      <c r="A3625" s="8" t="s">
        <v>7114</v>
      </c>
      <c r="B3625" s="9"/>
      <c r="C3625" s="9"/>
      <c r="D3625" s="8"/>
      <c r="E3625" s="8"/>
      <c r="F3625" s="8"/>
      <c r="G3625" s="10"/>
      <c r="H3625" s="8" t="s">
        <v>7436</v>
      </c>
      <c r="I3625" s="10" t="s">
        <v>7437</v>
      </c>
      <c r="J3625" s="11" t="s">
        <v>26</v>
      </c>
      <c r="K3625" s="18">
        <v>29</v>
      </c>
      <c r="L3625" s="12">
        <f>IF(J3625="P",ROUNDUP(K3625/(1-Q3625),-2),K3625*(1+P3625)/(1-Q3625))</f>
        <v>58</v>
      </c>
      <c r="M3625" s="8">
        <v>1</v>
      </c>
      <c r="N3625" s="8" t="s">
        <v>27</v>
      </c>
      <c r="O3625" s="13"/>
      <c r="P3625" s="14">
        <v>0.2</v>
      </c>
      <c r="Q3625" s="15">
        <v>0.4</v>
      </c>
      <c r="R3625" s="16" t="str">
        <f t="shared" si="298"/>
        <v>NUVO</v>
      </c>
      <c r="S3625" s="17" t="s">
        <v>7438</v>
      </c>
      <c r="T3625" s="10"/>
    </row>
    <row r="3626" spans="1:20" ht="27" customHeight="1" x14ac:dyDescent="0.25">
      <c r="A3626" s="8" t="s">
        <v>7114</v>
      </c>
      <c r="B3626" s="9"/>
      <c r="C3626" s="9"/>
      <c r="D3626" s="8"/>
      <c r="E3626" s="8"/>
      <c r="F3626" s="8"/>
      <c r="G3626" s="10"/>
      <c r="H3626" s="8" t="s">
        <v>7439</v>
      </c>
      <c r="I3626" s="10" t="s">
        <v>7440</v>
      </c>
      <c r="J3626" s="11" t="s">
        <v>26</v>
      </c>
      <c r="K3626" s="18">
        <v>1900</v>
      </c>
      <c r="L3626" s="12">
        <f>IF(J3626="P",ROUNDUP(K3626/(1-Q3626),-2),K3626*(1+P3626)/(1-Q3626))</f>
        <v>2682.3529411764707</v>
      </c>
      <c r="M3626" s="8">
        <v>1</v>
      </c>
      <c r="N3626" s="8" t="s">
        <v>110</v>
      </c>
      <c r="O3626" s="13"/>
      <c r="P3626" s="14">
        <v>0.2</v>
      </c>
      <c r="Q3626" s="15">
        <v>0.15</v>
      </c>
      <c r="R3626" s="16" t="str">
        <f t="shared" si="298"/>
        <v>NUVO</v>
      </c>
      <c r="S3626" s="17"/>
      <c r="T3626" s="10"/>
    </row>
    <row r="3627" spans="1:20" ht="27" customHeight="1" x14ac:dyDescent="0.25">
      <c r="A3627" s="8" t="s">
        <v>7114</v>
      </c>
      <c r="B3627" s="9" t="s">
        <v>7115</v>
      </c>
      <c r="C3627" s="9"/>
      <c r="D3627" s="8" t="s">
        <v>148</v>
      </c>
      <c r="E3627" s="8">
        <v>3</v>
      </c>
      <c r="F3627" s="8" t="s">
        <v>22</v>
      </c>
      <c r="G3627" s="10" t="s">
        <v>7214</v>
      </c>
      <c r="H3627" s="8" t="s">
        <v>7441</v>
      </c>
      <c r="I3627" s="10" t="s">
        <v>7442</v>
      </c>
      <c r="J3627" s="11" t="s">
        <v>26</v>
      </c>
      <c r="K3627" s="18">
        <v>951.91348172064863</v>
      </c>
      <c r="L3627" s="12">
        <f>IF(J3627="P",ROUNDUP(K3627/(1-Q3627),-2),K3627*(1+P3627)/(1-Q3627))</f>
        <v>1799.0000000000002</v>
      </c>
      <c r="M3627" s="8">
        <v>1</v>
      </c>
      <c r="N3627" s="8" t="s">
        <v>27</v>
      </c>
      <c r="O3627" s="13"/>
      <c r="P3627" s="14">
        <v>0.2</v>
      </c>
      <c r="Q3627" s="15">
        <v>0.36503825566160181</v>
      </c>
      <c r="R3627" s="16" t="str">
        <f t="shared" si="298"/>
        <v>NUVO</v>
      </c>
      <c r="S3627" s="17"/>
      <c r="T3627" s="10" t="str">
        <f>G3627</f>
        <v>AMPLIFICADOR DE 3 CANALES EN ESTÉREO CON SALIDAS DE 40 VATIOS.</v>
      </c>
    </row>
    <row r="3628" spans="1:20" ht="27" customHeight="1" x14ac:dyDescent="0.25">
      <c r="A3628" s="8" t="s">
        <v>7114</v>
      </c>
      <c r="B3628" s="9"/>
      <c r="C3628" s="9"/>
      <c r="D3628" s="8"/>
      <c r="E3628" s="8"/>
      <c r="F3628" s="8"/>
      <c r="G3628" s="10"/>
      <c r="H3628" s="8" t="s">
        <v>7359</v>
      </c>
      <c r="I3628" s="10" t="s">
        <v>7443</v>
      </c>
      <c r="J3628" s="11" t="s">
        <v>26</v>
      </c>
      <c r="K3628" s="18">
        <v>14</v>
      </c>
      <c r="L3628" s="12">
        <f>K3628*(1+P3628)/(1-Q3628)</f>
        <v>28.000000000000004</v>
      </c>
      <c r="M3628" s="8">
        <v>1</v>
      </c>
      <c r="N3628" s="8" t="s">
        <v>27</v>
      </c>
      <c r="O3628" s="13"/>
      <c r="P3628" s="14">
        <v>0.2</v>
      </c>
      <c r="Q3628" s="15">
        <v>0.4</v>
      </c>
      <c r="R3628" s="16" t="str">
        <f t="shared" si="298"/>
        <v>NUVO</v>
      </c>
      <c r="S3628" s="17"/>
      <c r="T3628" s="10"/>
    </row>
    <row r="3629" spans="1:20" ht="27" customHeight="1" x14ac:dyDescent="0.25">
      <c r="A3629" s="8" t="s">
        <v>7114</v>
      </c>
      <c r="B3629" s="9"/>
      <c r="C3629" s="9"/>
      <c r="D3629" s="8"/>
      <c r="E3629" s="8"/>
      <c r="F3629" s="8"/>
      <c r="G3629" s="10"/>
      <c r="H3629" s="8" t="s">
        <v>7339</v>
      </c>
      <c r="I3629" s="10" t="s">
        <v>7444</v>
      </c>
      <c r="J3629" s="11" t="s">
        <v>26</v>
      </c>
      <c r="K3629" s="18">
        <v>38</v>
      </c>
      <c r="L3629" s="12">
        <f>K3629*(1+P3629)/(1-Q3629)</f>
        <v>76</v>
      </c>
      <c r="M3629" s="8">
        <v>1</v>
      </c>
      <c r="N3629" s="8" t="s">
        <v>27</v>
      </c>
      <c r="O3629" s="13"/>
      <c r="P3629" s="14">
        <v>0.2</v>
      </c>
      <c r="Q3629" s="15">
        <v>0.4</v>
      </c>
      <c r="R3629" s="16" t="str">
        <f t="shared" si="298"/>
        <v>NUVO</v>
      </c>
      <c r="S3629" s="17"/>
      <c r="T3629" s="10"/>
    </row>
    <row r="3630" spans="1:20" ht="27" customHeight="1" x14ac:dyDescent="0.25">
      <c r="A3630" s="8" t="s">
        <v>7114</v>
      </c>
      <c r="B3630" s="9"/>
      <c r="C3630" s="9"/>
      <c r="D3630" s="8"/>
      <c r="E3630" s="8"/>
      <c r="F3630" s="8"/>
      <c r="G3630" s="10"/>
      <c r="H3630" s="8" t="s">
        <v>7348</v>
      </c>
      <c r="I3630" s="10" t="s">
        <v>7445</v>
      </c>
      <c r="J3630" s="11" t="s">
        <v>26</v>
      </c>
      <c r="K3630" s="18">
        <v>41</v>
      </c>
      <c r="L3630" s="12">
        <f>K3630*(1+P3630)/(1-Q3630)</f>
        <v>82</v>
      </c>
      <c r="M3630" s="8">
        <v>1</v>
      </c>
      <c r="N3630" s="8" t="s">
        <v>27</v>
      </c>
      <c r="O3630" s="13"/>
      <c r="P3630" s="14">
        <v>0.2</v>
      </c>
      <c r="Q3630" s="15">
        <v>0.4</v>
      </c>
      <c r="R3630" s="16" t="str">
        <f t="shared" si="298"/>
        <v>NUVO</v>
      </c>
      <c r="S3630" s="17"/>
      <c r="T3630" s="10"/>
    </row>
    <row r="3631" spans="1:20" ht="27" customHeight="1" x14ac:dyDescent="0.25">
      <c r="A3631" s="8" t="s">
        <v>7446</v>
      </c>
      <c r="B3631" s="9"/>
      <c r="C3631" s="9"/>
      <c r="D3631" s="8" t="s">
        <v>45</v>
      </c>
      <c r="E3631" s="8"/>
      <c r="F3631" s="8" t="s">
        <v>22</v>
      </c>
      <c r="G3631" s="10" t="s">
        <v>7447</v>
      </c>
      <c r="H3631" s="8" t="s">
        <v>7448</v>
      </c>
      <c r="I3631" s="10" t="s">
        <v>7447</v>
      </c>
      <c r="J3631" s="11" t="s">
        <v>33</v>
      </c>
      <c r="K3631" s="18">
        <v>1450000</v>
      </c>
      <c r="L3631" s="12">
        <f t="shared" ref="L3631:L3652" si="302">IF(J3631="P",ROUNDUP(K3631/(1-Q3631),-2),K3631*(1+P3631)/(1-Q3631))</f>
        <v>2071500</v>
      </c>
      <c r="M3631" s="8">
        <v>1</v>
      </c>
      <c r="N3631" s="8" t="s">
        <v>27</v>
      </c>
      <c r="O3631" s="13"/>
      <c r="P3631" s="14">
        <v>0</v>
      </c>
      <c r="Q3631" s="15">
        <v>0.3</v>
      </c>
      <c r="R3631" s="16" t="str">
        <f t="shared" ref="R3631:R3694" si="303">A3631</f>
        <v>OBSIDIAN</v>
      </c>
      <c r="S3631" s="17"/>
      <c r="T3631" s="10" t="str">
        <f t="shared" ref="T3631:T3641" si="304">G3631</f>
        <v>CONSOLA TOUCH PARA CONTROL DE ILUMINACION DMX</v>
      </c>
    </row>
    <row r="3632" spans="1:20" ht="27" customHeight="1" x14ac:dyDescent="0.25">
      <c r="A3632" s="8" t="s">
        <v>7446</v>
      </c>
      <c r="B3632" s="9"/>
      <c r="C3632" s="9"/>
      <c r="D3632" s="8" t="s">
        <v>45</v>
      </c>
      <c r="E3632" s="8"/>
      <c r="F3632" s="8" t="s">
        <v>22</v>
      </c>
      <c r="G3632" s="10" t="s">
        <v>7449</v>
      </c>
      <c r="H3632" s="8" t="s">
        <v>7450</v>
      </c>
      <c r="I3632" s="10" t="s">
        <v>7451</v>
      </c>
      <c r="J3632" s="11" t="s">
        <v>26</v>
      </c>
      <c r="K3632" s="18">
        <v>292</v>
      </c>
      <c r="L3632" s="12">
        <f t="shared" si="302"/>
        <v>417.14285714285717</v>
      </c>
      <c r="M3632" s="8">
        <v>1</v>
      </c>
      <c r="N3632" s="8" t="s">
        <v>27</v>
      </c>
      <c r="O3632" s="13"/>
      <c r="P3632" s="14">
        <v>0</v>
      </c>
      <c r="Q3632" s="15">
        <v>0.3</v>
      </c>
      <c r="R3632" s="16" t="str">
        <f t="shared" si="303"/>
        <v>OBSIDIAN</v>
      </c>
      <c r="S3632" s="17"/>
      <c r="T3632" s="10" t="str">
        <f t="shared" si="304"/>
        <v>NODO DE DOS PUERTOS DMX ALIMENTADO POR USB.</v>
      </c>
    </row>
    <row r="3633" spans="1:20" ht="27" customHeight="1" x14ac:dyDescent="0.25">
      <c r="A3633" s="8" t="s">
        <v>7452</v>
      </c>
      <c r="B3633" s="9" t="s">
        <v>7453</v>
      </c>
      <c r="C3633" s="9"/>
      <c r="D3633" s="8" t="s">
        <v>568</v>
      </c>
      <c r="E3633" s="8">
        <v>1</v>
      </c>
      <c r="F3633" s="8" t="s">
        <v>22</v>
      </c>
      <c r="G3633" s="10" t="s">
        <v>7454</v>
      </c>
      <c r="H3633" s="8" t="s">
        <v>7455</v>
      </c>
      <c r="I3633" s="10" t="s">
        <v>7454</v>
      </c>
      <c r="J3633" s="11" t="s">
        <v>26</v>
      </c>
      <c r="K3633" s="18">
        <v>35</v>
      </c>
      <c r="L3633" s="12">
        <f t="shared" si="302"/>
        <v>70</v>
      </c>
      <c r="M3633" s="8">
        <v>1</v>
      </c>
      <c r="N3633" s="8" t="s">
        <v>27</v>
      </c>
      <c r="O3633" s="13"/>
      <c r="P3633" s="14">
        <v>0.2</v>
      </c>
      <c r="Q3633" s="15">
        <v>0.4</v>
      </c>
      <c r="R3633" s="16" t="str">
        <f t="shared" si="303"/>
        <v>OMNIMOUNT</v>
      </c>
      <c r="S3633" s="17"/>
      <c r="T3633" s="10" t="str">
        <f t="shared" si="304"/>
        <v>SOPORTE UNIVERSAL FIJO DE TECHO PARA PROYECTOR MEDIANO.</v>
      </c>
    </row>
    <row r="3634" spans="1:20" ht="27" customHeight="1" x14ac:dyDescent="0.25">
      <c r="A3634" s="8" t="s">
        <v>7452</v>
      </c>
      <c r="B3634" s="9" t="s">
        <v>7453</v>
      </c>
      <c r="C3634" s="9"/>
      <c r="D3634" s="8" t="s">
        <v>568</v>
      </c>
      <c r="E3634" s="8">
        <v>2</v>
      </c>
      <c r="F3634" s="8" t="s">
        <v>22</v>
      </c>
      <c r="G3634" s="10" t="s">
        <v>7454</v>
      </c>
      <c r="H3634" s="8" t="s">
        <v>7456</v>
      </c>
      <c r="I3634" s="10" t="s">
        <v>7454</v>
      </c>
      <c r="J3634" s="11" t="s">
        <v>26</v>
      </c>
      <c r="K3634" s="18">
        <v>96</v>
      </c>
      <c r="L3634" s="12">
        <f t="shared" si="302"/>
        <v>192</v>
      </c>
      <c r="M3634" s="8">
        <v>1</v>
      </c>
      <c r="N3634" s="8" t="s">
        <v>27</v>
      </c>
      <c r="O3634" s="13"/>
      <c r="P3634" s="14">
        <v>0.2</v>
      </c>
      <c r="Q3634" s="15">
        <v>0.4</v>
      </c>
      <c r="R3634" s="16" t="str">
        <f t="shared" si="303"/>
        <v>OMNIMOUNT</v>
      </c>
      <c r="S3634" s="17"/>
      <c r="T3634" s="10" t="str">
        <f t="shared" si="304"/>
        <v>SOPORTE UNIVERSAL FIJO DE TECHO PARA PROYECTOR MEDIANO.</v>
      </c>
    </row>
    <row r="3635" spans="1:20" ht="27" customHeight="1" x14ac:dyDescent="0.25">
      <c r="A3635" s="8" t="s">
        <v>7452</v>
      </c>
      <c r="B3635" s="9" t="s">
        <v>7453</v>
      </c>
      <c r="C3635" s="9"/>
      <c r="D3635" s="8" t="s">
        <v>568</v>
      </c>
      <c r="E3635" s="8">
        <v>3</v>
      </c>
      <c r="F3635" s="8" t="s">
        <v>22</v>
      </c>
      <c r="G3635" s="10" t="s">
        <v>7457</v>
      </c>
      <c r="H3635" s="8" t="s">
        <v>7458</v>
      </c>
      <c r="I3635" s="10" t="s">
        <v>7457</v>
      </c>
      <c r="J3635" s="11" t="s">
        <v>26</v>
      </c>
      <c r="K3635" s="18">
        <v>100</v>
      </c>
      <c r="L3635" s="12">
        <f t="shared" si="302"/>
        <v>200</v>
      </c>
      <c r="M3635" s="8">
        <v>1</v>
      </c>
      <c r="N3635" s="8" t="s">
        <v>27</v>
      </c>
      <c r="O3635" s="13"/>
      <c r="P3635" s="14">
        <v>0.2</v>
      </c>
      <c r="Q3635" s="15">
        <v>0.4</v>
      </c>
      <c r="R3635" s="16" t="str">
        <f t="shared" si="303"/>
        <v>OMNIMOUNT</v>
      </c>
      <c r="S3635" s="17"/>
      <c r="T3635" s="10" t="str">
        <f t="shared" si="304"/>
        <v>SOPORTE ESTÁTICO PARA TV ENTRE 37" Y 90".</v>
      </c>
    </row>
    <row r="3636" spans="1:20" ht="27" customHeight="1" x14ac:dyDescent="0.25">
      <c r="A3636" s="8" t="s">
        <v>7452</v>
      </c>
      <c r="B3636" s="9" t="s">
        <v>7453</v>
      </c>
      <c r="C3636" s="9"/>
      <c r="D3636" s="8" t="s">
        <v>568</v>
      </c>
      <c r="E3636" s="8">
        <v>4</v>
      </c>
      <c r="F3636" s="8" t="s">
        <v>22</v>
      </c>
      <c r="G3636" s="10" t="s">
        <v>7459</v>
      </c>
      <c r="H3636" s="8" t="s">
        <v>7460</v>
      </c>
      <c r="I3636" s="10" t="s">
        <v>7459</v>
      </c>
      <c r="J3636" s="11" t="s">
        <v>26</v>
      </c>
      <c r="K3636" s="18">
        <v>14</v>
      </c>
      <c r="L3636" s="12">
        <f t="shared" si="302"/>
        <v>28.000000000000004</v>
      </c>
      <c r="M3636" s="8">
        <v>1</v>
      </c>
      <c r="N3636" s="8" t="s">
        <v>27</v>
      </c>
      <c r="O3636" s="13"/>
      <c r="P3636" s="14">
        <v>0.2</v>
      </c>
      <c r="Q3636" s="15">
        <v>0.4</v>
      </c>
      <c r="R3636" s="16" t="str">
        <f t="shared" si="303"/>
        <v>OMNIMOUNT</v>
      </c>
      <c r="S3636" s="17"/>
      <c r="T3636" s="10" t="str">
        <f t="shared" si="304"/>
        <v>SOPORTE TIPO GANCHO PARA TV 13"-26".</v>
      </c>
    </row>
    <row r="3637" spans="1:20" ht="27" customHeight="1" x14ac:dyDescent="0.25">
      <c r="A3637" s="8" t="s">
        <v>7452</v>
      </c>
      <c r="B3637" s="9" t="s">
        <v>7453</v>
      </c>
      <c r="C3637" s="9"/>
      <c r="D3637" s="8" t="s">
        <v>568</v>
      </c>
      <c r="E3637" s="8">
        <v>5</v>
      </c>
      <c r="F3637" s="8" t="s">
        <v>22</v>
      </c>
      <c r="G3637" s="10" t="s">
        <v>7461</v>
      </c>
      <c r="H3637" s="8" t="s">
        <v>7462</v>
      </c>
      <c r="I3637" s="10" t="s">
        <v>7461</v>
      </c>
      <c r="J3637" s="11" t="s">
        <v>26</v>
      </c>
      <c r="K3637" s="18">
        <v>147</v>
      </c>
      <c r="L3637" s="12">
        <f t="shared" si="302"/>
        <v>294</v>
      </c>
      <c r="M3637" s="8">
        <v>1</v>
      </c>
      <c r="N3637" s="8" t="s">
        <v>27</v>
      </c>
      <c r="O3637" s="13"/>
      <c r="P3637" s="14">
        <v>0.2</v>
      </c>
      <c r="Q3637" s="15">
        <v>0.4</v>
      </c>
      <c r="R3637" s="16" t="str">
        <f t="shared" si="303"/>
        <v>OMNIMOUNT</v>
      </c>
      <c r="S3637" s="17"/>
      <c r="T3637" s="10" t="str">
        <f t="shared" si="304"/>
        <v>SOPORTE DE DOBLE CODO PARA TV ENTRE 47 Y 80". MARCA OMNIMOUNT.</v>
      </c>
    </row>
    <row r="3638" spans="1:20" ht="27" customHeight="1" x14ac:dyDescent="0.25">
      <c r="A3638" s="8" t="s">
        <v>7452</v>
      </c>
      <c r="B3638" s="9" t="s">
        <v>7453</v>
      </c>
      <c r="C3638" s="9"/>
      <c r="D3638" s="8" t="s">
        <v>568</v>
      </c>
      <c r="E3638" s="8">
        <v>6</v>
      </c>
      <c r="F3638" s="8" t="s">
        <v>22</v>
      </c>
      <c r="G3638" s="10" t="s">
        <v>7463</v>
      </c>
      <c r="H3638" s="8" t="s">
        <v>7464</v>
      </c>
      <c r="I3638" s="10" t="s">
        <v>7463</v>
      </c>
      <c r="J3638" s="11" t="s">
        <v>26</v>
      </c>
      <c r="K3638" s="18">
        <v>38</v>
      </c>
      <c r="L3638" s="12">
        <f t="shared" si="302"/>
        <v>76</v>
      </c>
      <c r="M3638" s="8">
        <v>1</v>
      </c>
      <c r="N3638" s="8" t="s">
        <v>27</v>
      </c>
      <c r="O3638" s="13"/>
      <c r="P3638" s="14">
        <v>0.2</v>
      </c>
      <c r="Q3638" s="15">
        <v>0.4</v>
      </c>
      <c r="R3638" s="16" t="str">
        <f t="shared" si="303"/>
        <v>OMNIMOUNT</v>
      </c>
      <c r="S3638" s="17"/>
      <c r="T3638" s="10" t="str">
        <f t="shared" si="304"/>
        <v>SOPORTE PARA IPAD MINI</v>
      </c>
    </row>
    <row r="3639" spans="1:20" ht="27" customHeight="1" x14ac:dyDescent="0.25">
      <c r="A3639" s="8" t="s">
        <v>7452</v>
      </c>
      <c r="B3639" s="9" t="s">
        <v>7453</v>
      </c>
      <c r="C3639" s="9"/>
      <c r="D3639" s="8" t="s">
        <v>568</v>
      </c>
      <c r="E3639" s="8">
        <v>7</v>
      </c>
      <c r="F3639" s="8" t="s">
        <v>22</v>
      </c>
      <c r="G3639" s="10" t="s">
        <v>7465</v>
      </c>
      <c r="H3639" s="8" t="s">
        <v>7466</v>
      </c>
      <c r="I3639" s="10" t="s">
        <v>7465</v>
      </c>
      <c r="J3639" s="11" t="s">
        <v>26</v>
      </c>
      <c r="K3639" s="18">
        <v>40</v>
      </c>
      <c r="L3639" s="12">
        <f t="shared" si="302"/>
        <v>80</v>
      </c>
      <c r="M3639" s="8">
        <v>1</v>
      </c>
      <c r="N3639" s="8" t="s">
        <v>27</v>
      </c>
      <c r="O3639" s="13"/>
      <c r="P3639" s="14">
        <v>0.2</v>
      </c>
      <c r="Q3639" s="15">
        <v>0.4</v>
      </c>
      <c r="R3639" s="16" t="str">
        <f t="shared" si="303"/>
        <v>OMNIMOUNT</v>
      </c>
      <c r="S3639" s="17"/>
      <c r="T3639" s="10" t="str">
        <f t="shared" si="304"/>
        <v>SOPORTE FIJO DE PARED PARA TV ENTRE 52" Y 90". SOPORTA EQUIPOS HASTA 200 LIBRAS.</v>
      </c>
    </row>
    <row r="3640" spans="1:20" ht="27" customHeight="1" x14ac:dyDescent="0.25">
      <c r="A3640" s="8" t="s">
        <v>7452</v>
      </c>
      <c r="B3640" s="9" t="s">
        <v>7453</v>
      </c>
      <c r="C3640" s="9"/>
      <c r="D3640" s="8" t="s">
        <v>568</v>
      </c>
      <c r="E3640" s="8">
        <v>7</v>
      </c>
      <c r="F3640" s="8" t="s">
        <v>22</v>
      </c>
      <c r="G3640" s="10" t="s">
        <v>7467</v>
      </c>
      <c r="H3640" s="8" t="s">
        <v>7468</v>
      </c>
      <c r="I3640" s="10" t="s">
        <v>7467</v>
      </c>
      <c r="J3640" s="11" t="s">
        <v>26</v>
      </c>
      <c r="K3640" s="18">
        <v>127</v>
      </c>
      <c r="L3640" s="12">
        <f t="shared" si="302"/>
        <v>254.00000000000003</v>
      </c>
      <c r="M3640" s="8">
        <v>1</v>
      </c>
      <c r="N3640" s="8" t="s">
        <v>27</v>
      </c>
      <c r="O3640" s="13"/>
      <c r="P3640" s="14">
        <v>0.2</v>
      </c>
      <c r="Q3640" s="15">
        <v>0.4</v>
      </c>
      <c r="R3640" s="16" t="str">
        <f t="shared" si="303"/>
        <v>OMNIMOUNT</v>
      </c>
      <c r="S3640" s="17"/>
      <c r="T3640" s="10" t="str">
        <f t="shared" si="304"/>
        <v>SOPORTE FIJO DE TECHO PARA TV ENTRE 37" Y 65". SOPORTA EQUIPOS HASTA 57.6Kg.</v>
      </c>
    </row>
    <row r="3641" spans="1:20" ht="27" customHeight="1" x14ac:dyDescent="0.25">
      <c r="A3641" s="8" t="s">
        <v>7452</v>
      </c>
      <c r="B3641" s="9"/>
      <c r="C3641" s="9"/>
      <c r="D3641" s="8" t="s">
        <v>45</v>
      </c>
      <c r="E3641" s="8"/>
      <c r="F3641" s="8" t="s">
        <v>22</v>
      </c>
      <c r="G3641" s="10" t="s">
        <v>7469</v>
      </c>
      <c r="H3641" s="8" t="s">
        <v>7470</v>
      </c>
      <c r="I3641" s="10" t="s">
        <v>7469</v>
      </c>
      <c r="J3641" s="11" t="s">
        <v>26</v>
      </c>
      <c r="K3641" s="18">
        <v>23</v>
      </c>
      <c r="L3641" s="12">
        <f t="shared" si="302"/>
        <v>39.428571428571431</v>
      </c>
      <c r="M3641" s="8">
        <v>1</v>
      </c>
      <c r="N3641" s="8" t="s">
        <v>27</v>
      </c>
      <c r="O3641" s="13" t="s">
        <v>588</v>
      </c>
      <c r="P3641" s="14">
        <v>0.2</v>
      </c>
      <c r="Q3641" s="15">
        <v>0.3</v>
      </c>
      <c r="R3641" s="16" t="str">
        <f t="shared" si="303"/>
        <v>OMNIMOUNT</v>
      </c>
      <c r="S3641" s="17"/>
      <c r="T3641" s="10" t="str">
        <f t="shared" si="304"/>
        <v>EXTENSOR PARA SOPORTE</v>
      </c>
    </row>
    <row r="3642" spans="1:20" ht="27" customHeight="1" x14ac:dyDescent="0.25">
      <c r="A3642" s="8" t="s">
        <v>7471</v>
      </c>
      <c r="B3642" s="9"/>
      <c r="C3642" s="9"/>
      <c r="D3642" s="8"/>
      <c r="E3642" s="8"/>
      <c r="F3642" s="8"/>
      <c r="G3642" s="10"/>
      <c r="H3642" s="8" t="s">
        <v>7472</v>
      </c>
      <c r="I3642" s="10" t="str">
        <f>UPPER("Pantalla interactiva táctil 4K UHD, Android 8 Google Play Store y EShare - Licencia OneScreen Annotate / 3 años de OneScreen Hype para 50 usuariosSoporte de pared - 3 Años de garantía.")</f>
        <v>PANTALLA INTERACTIVA TÁCTIL 4K UHD, ANDROID 8 GOOGLE PLAY STORE Y ESHARE - LICENCIA ONESCREEN ANNOTATE / 3 AÑOS DE ONESCREEN HYPE PARA 50 USUARIOSSOPORTE DE PARED - 3 AÑOS DE GARANTÍA.</v>
      </c>
      <c r="J3642" s="11" t="s">
        <v>26</v>
      </c>
      <c r="K3642" s="18">
        <v>4022</v>
      </c>
      <c r="L3642" s="12">
        <f t="shared" si="302"/>
        <v>4731.7647058823532</v>
      </c>
      <c r="M3642" s="8">
        <v>1</v>
      </c>
      <c r="N3642" s="8" t="s">
        <v>27</v>
      </c>
      <c r="O3642" s="13">
        <f>F3642</f>
        <v>0</v>
      </c>
      <c r="P3642" s="14">
        <v>0</v>
      </c>
      <c r="Q3642" s="15">
        <v>0.15</v>
      </c>
      <c r="R3642" s="16" t="str">
        <f t="shared" si="303"/>
        <v>ONE NOTE</v>
      </c>
      <c r="S3642" s="17"/>
      <c r="T3642" s="10"/>
    </row>
    <row r="3643" spans="1:20" ht="27" customHeight="1" x14ac:dyDescent="0.25">
      <c r="A3643" s="8" t="s">
        <v>7471</v>
      </c>
      <c r="B3643" s="9"/>
      <c r="C3643" s="9"/>
      <c r="D3643" s="8"/>
      <c r="E3643" s="8"/>
      <c r="F3643" s="8"/>
      <c r="G3643" s="10"/>
      <c r="H3643" s="8" t="s">
        <v>7473</v>
      </c>
      <c r="I3643" s="10" t="str">
        <f>UPPER("Intel core i5 7th Gen - 256GB SSD - 8GB RAM")</f>
        <v>INTEL CORE I5 7TH GEN - 256GB SSD - 8GB RAM</v>
      </c>
      <c r="J3643" s="11" t="s">
        <v>26</v>
      </c>
      <c r="K3643" s="18">
        <v>575</v>
      </c>
      <c r="L3643" s="12">
        <f t="shared" si="302"/>
        <v>676.47058823529414</v>
      </c>
      <c r="M3643" s="8">
        <v>1</v>
      </c>
      <c r="N3643" s="8" t="s">
        <v>27</v>
      </c>
      <c r="O3643" s="13">
        <f>F3643</f>
        <v>0</v>
      </c>
      <c r="P3643" s="14">
        <v>0</v>
      </c>
      <c r="Q3643" s="15">
        <v>0.15</v>
      </c>
      <c r="R3643" s="16" t="str">
        <f t="shared" si="303"/>
        <v>ONE NOTE</v>
      </c>
      <c r="S3643" s="17"/>
      <c r="T3643" s="10"/>
    </row>
    <row r="3644" spans="1:20" ht="27" customHeight="1" x14ac:dyDescent="0.25">
      <c r="A3644" s="8" t="s">
        <v>7474</v>
      </c>
      <c r="B3644" s="9"/>
      <c r="C3644" s="9"/>
      <c r="D3644" s="8"/>
      <c r="E3644" s="8"/>
      <c r="F3644" s="8" t="s">
        <v>22</v>
      </c>
      <c r="G3644" s="10" t="s">
        <v>7475</v>
      </c>
      <c r="H3644" s="8" t="s">
        <v>7476</v>
      </c>
      <c r="I3644" s="10" t="s">
        <v>7475</v>
      </c>
      <c r="J3644" s="11" t="s">
        <v>26</v>
      </c>
      <c r="K3644" s="18">
        <v>138</v>
      </c>
      <c r="L3644" s="12">
        <f t="shared" si="302"/>
        <v>226.84931506849315</v>
      </c>
      <c r="M3644" s="8">
        <v>1</v>
      </c>
      <c r="N3644" s="8" t="s">
        <v>27</v>
      </c>
      <c r="O3644" s="13"/>
      <c r="P3644" s="14">
        <v>0.2</v>
      </c>
      <c r="Q3644" s="15">
        <v>0.27</v>
      </c>
      <c r="R3644" s="16" t="str">
        <f t="shared" si="303"/>
        <v>ONKYO</v>
      </c>
      <c r="S3644" s="17"/>
      <c r="T3644" s="10" t="str">
        <f t="shared" ref="T3644:T3650" si="305">G3644</f>
        <v>REPRODUCTOR DE CD DE ALTA CALIDAD: 192 kHz/24-Bit DAC</v>
      </c>
    </row>
    <row r="3645" spans="1:20" ht="27" customHeight="1" x14ac:dyDescent="0.25">
      <c r="A3645" s="8" t="s">
        <v>7474</v>
      </c>
      <c r="B3645" s="9" t="s">
        <v>1871</v>
      </c>
      <c r="C3645" s="9"/>
      <c r="D3645" s="8" t="s">
        <v>1872</v>
      </c>
      <c r="E3645" s="8">
        <v>1</v>
      </c>
      <c r="F3645" s="8" t="s">
        <v>22</v>
      </c>
      <c r="G3645" s="10" t="s">
        <v>7477</v>
      </c>
      <c r="H3645" s="8" t="s">
        <v>7478</v>
      </c>
      <c r="I3645" s="10" t="s">
        <v>7477</v>
      </c>
      <c r="J3645" s="11" t="s">
        <v>26</v>
      </c>
      <c r="K3645" s="18">
        <v>299</v>
      </c>
      <c r="L3645" s="12">
        <f t="shared" si="302"/>
        <v>512.57142857142867</v>
      </c>
      <c r="M3645" s="8">
        <v>1</v>
      </c>
      <c r="N3645" s="8" t="s">
        <v>27</v>
      </c>
      <c r="O3645" s="13"/>
      <c r="P3645" s="14">
        <v>0.2</v>
      </c>
      <c r="Q3645" s="15">
        <v>0.3</v>
      </c>
      <c r="R3645" s="16" t="str">
        <f t="shared" si="303"/>
        <v>ONKYO</v>
      </c>
      <c r="S3645" s="17"/>
      <c r="T3645" s="10" t="str">
        <f t="shared" si="305"/>
        <v>PROCESADOR DE AUDIO Y VIDEO CON SALIDAS DE 140W, 4K, ENTRADA USB</v>
      </c>
    </row>
    <row r="3646" spans="1:20" ht="27" customHeight="1" x14ac:dyDescent="0.25">
      <c r="A3646" s="8" t="s">
        <v>7474</v>
      </c>
      <c r="B3646" s="9" t="s">
        <v>1871</v>
      </c>
      <c r="C3646" s="9"/>
      <c r="D3646" s="8" t="s">
        <v>1872</v>
      </c>
      <c r="E3646" s="8">
        <v>1</v>
      </c>
      <c r="F3646" s="8" t="s">
        <v>22</v>
      </c>
      <c r="G3646" s="10" t="s">
        <v>7479</v>
      </c>
      <c r="H3646" s="8" t="s">
        <v>7480</v>
      </c>
      <c r="I3646" s="10" t="s">
        <v>7479</v>
      </c>
      <c r="J3646" s="11" t="s">
        <v>26</v>
      </c>
      <c r="K3646" s="18">
        <v>349</v>
      </c>
      <c r="L3646" s="12">
        <f t="shared" si="302"/>
        <v>598.28571428571433</v>
      </c>
      <c r="M3646" s="8">
        <v>1</v>
      </c>
      <c r="N3646" s="8" t="s">
        <v>27</v>
      </c>
      <c r="O3646" s="13"/>
      <c r="P3646" s="14">
        <v>0.2</v>
      </c>
      <c r="Q3646" s="15">
        <v>0.3</v>
      </c>
      <c r="R3646" s="16" t="str">
        <f t="shared" si="303"/>
        <v>ONKYO</v>
      </c>
      <c r="S3646" s="17"/>
      <c r="T3646" s="10" t="str">
        <f t="shared" si="305"/>
        <v>PROCESADOR DE AUDIO Y VIDEO CON SALIDAS DE 80W, 4K, ENTRADA USB</v>
      </c>
    </row>
    <row r="3647" spans="1:20" ht="27" customHeight="1" x14ac:dyDescent="0.25">
      <c r="A3647" s="8" t="s">
        <v>7474</v>
      </c>
      <c r="B3647" s="9" t="s">
        <v>1871</v>
      </c>
      <c r="C3647" s="9"/>
      <c r="D3647" s="8" t="s">
        <v>1872</v>
      </c>
      <c r="E3647" s="8">
        <v>1</v>
      </c>
      <c r="F3647" s="8" t="s">
        <v>22</v>
      </c>
      <c r="G3647" s="10" t="s">
        <v>7481</v>
      </c>
      <c r="H3647" s="8" t="s">
        <v>7482</v>
      </c>
      <c r="I3647" s="10" t="s">
        <v>7481</v>
      </c>
      <c r="J3647" s="11" t="s">
        <v>26</v>
      </c>
      <c r="K3647" s="18">
        <v>140</v>
      </c>
      <c r="L3647" s="12">
        <f t="shared" si="302"/>
        <v>240.00000000000003</v>
      </c>
      <c r="M3647" s="8">
        <v>1</v>
      </c>
      <c r="N3647" s="8" t="s">
        <v>27</v>
      </c>
      <c r="O3647" s="13"/>
      <c r="P3647" s="14">
        <v>0.2</v>
      </c>
      <c r="Q3647" s="15">
        <v>0.3</v>
      </c>
      <c r="R3647" s="16" t="str">
        <f t="shared" si="303"/>
        <v>ONKYO</v>
      </c>
      <c r="S3647" s="17"/>
      <c r="T3647" s="10" t="str">
        <f t="shared" si="305"/>
        <v>SUBWOOFER DE 230W, Y CONTROL DE CROSSOVER.</v>
      </c>
    </row>
    <row r="3648" spans="1:20" ht="27" customHeight="1" x14ac:dyDescent="0.25">
      <c r="A3648" s="8" t="s">
        <v>7483</v>
      </c>
      <c r="B3648" s="9" t="s">
        <v>7484</v>
      </c>
      <c r="C3648" s="9"/>
      <c r="D3648" s="8" t="s">
        <v>208</v>
      </c>
      <c r="E3648" s="8">
        <v>1</v>
      </c>
      <c r="F3648" s="8" t="s">
        <v>22</v>
      </c>
      <c r="G3648" s="10" t="s">
        <v>7485</v>
      </c>
      <c r="H3648" s="8" t="s">
        <v>7486</v>
      </c>
      <c r="I3648" s="10" t="s">
        <v>7487</v>
      </c>
      <c r="J3648" s="11" t="s">
        <v>26</v>
      </c>
      <c r="K3648" s="18">
        <f>619</f>
        <v>619</v>
      </c>
      <c r="L3648" s="12">
        <f t="shared" si="302"/>
        <v>1238</v>
      </c>
      <c r="M3648" s="8">
        <v>1</v>
      </c>
      <c r="N3648" s="8" t="s">
        <v>27</v>
      </c>
      <c r="O3648" s="13"/>
      <c r="P3648" s="14">
        <v>0.2</v>
      </c>
      <c r="Q3648" s="15">
        <v>0.4</v>
      </c>
      <c r="R3648" s="16" t="str">
        <f t="shared" si="303"/>
        <v>OPTOMA</v>
      </c>
      <c r="S3648" s="17"/>
      <c r="T3648" s="10" t="str">
        <f t="shared" si="305"/>
        <v>PROYECTOR RESOLUCIÓN FULL HD 1080P. CONTRASTE 25.000:1.</v>
      </c>
    </row>
    <row r="3649" spans="1:20" ht="27" customHeight="1" x14ac:dyDescent="0.25">
      <c r="A3649" s="8" t="s">
        <v>7483</v>
      </c>
      <c r="B3649" s="9"/>
      <c r="C3649" s="9"/>
      <c r="D3649" s="8"/>
      <c r="E3649" s="8"/>
      <c r="F3649" s="8" t="s">
        <v>22</v>
      </c>
      <c r="G3649" s="10" t="s">
        <v>7488</v>
      </c>
      <c r="H3649" s="8" t="s">
        <v>7489</v>
      </c>
      <c r="I3649" s="10" t="s">
        <v>7490</v>
      </c>
      <c r="J3649" s="11" t="s">
        <v>26</v>
      </c>
      <c r="K3649" s="18">
        <v>689</v>
      </c>
      <c r="L3649" s="12">
        <f t="shared" si="302"/>
        <v>1378</v>
      </c>
      <c r="M3649" s="8">
        <v>1</v>
      </c>
      <c r="N3649" s="8" t="s">
        <v>27</v>
      </c>
      <c r="O3649" s="13"/>
      <c r="P3649" s="14">
        <v>0.2</v>
      </c>
      <c r="Q3649" s="15">
        <v>0.4</v>
      </c>
      <c r="R3649" s="16" t="str">
        <f t="shared" si="303"/>
        <v>OPTOMA</v>
      </c>
      <c r="S3649" s="17"/>
      <c r="T3649" s="10" t="str">
        <f t="shared" si="305"/>
        <v>PROYECTOR FULL HD 1080P, 3000 LUMENS.</v>
      </c>
    </row>
    <row r="3650" spans="1:20" ht="27" customHeight="1" x14ac:dyDescent="0.25">
      <c r="A3650" s="8" t="s">
        <v>7483</v>
      </c>
      <c r="B3650" s="9"/>
      <c r="C3650" s="9"/>
      <c r="D3650" s="8" t="s">
        <v>45</v>
      </c>
      <c r="E3650" s="8"/>
      <c r="F3650" s="8" t="s">
        <v>22</v>
      </c>
      <c r="G3650" s="10" t="s">
        <v>7491</v>
      </c>
      <c r="H3650" s="8" t="s">
        <v>7492</v>
      </c>
      <c r="I3650" s="10" t="s">
        <v>7493</v>
      </c>
      <c r="J3650" s="11" t="s">
        <v>26</v>
      </c>
      <c r="K3650" s="18">
        <v>1227</v>
      </c>
      <c r="L3650" s="12">
        <f t="shared" si="302"/>
        <v>2103.4285714285716</v>
      </c>
      <c r="M3650" s="8">
        <v>1</v>
      </c>
      <c r="N3650" s="8" t="s">
        <v>27</v>
      </c>
      <c r="O3650" s="13" t="s">
        <v>588</v>
      </c>
      <c r="P3650" s="14">
        <v>0.2</v>
      </c>
      <c r="Q3650" s="15">
        <v>0.3</v>
      </c>
      <c r="R3650" s="16" t="str">
        <f t="shared" si="303"/>
        <v>OPTOMA</v>
      </c>
      <c r="S3650" s="17"/>
      <c r="T3650" s="10" t="str">
        <f t="shared" si="305"/>
        <v>PROYECTOR RESOLUCIÓN 4K UHD, 2400 ANSI LUMENS.</v>
      </c>
    </row>
    <row r="3651" spans="1:20" ht="27" customHeight="1" x14ac:dyDescent="0.25">
      <c r="A3651" s="8" t="s">
        <v>7483</v>
      </c>
      <c r="B3651" s="9"/>
      <c r="C3651" s="9"/>
      <c r="D3651" s="8"/>
      <c r="E3651" s="8"/>
      <c r="F3651" s="8"/>
      <c r="G3651" s="10"/>
      <c r="H3651" s="8" t="s">
        <v>7494</v>
      </c>
      <c r="I3651" s="10" t="s">
        <v>7495</v>
      </c>
      <c r="J3651" s="11" t="s">
        <v>26</v>
      </c>
      <c r="K3651" s="18">
        <v>499</v>
      </c>
      <c r="L3651" s="12">
        <f t="shared" si="302"/>
        <v>880.58823529411768</v>
      </c>
      <c r="M3651" s="8">
        <v>1</v>
      </c>
      <c r="N3651" s="8" t="s">
        <v>27</v>
      </c>
      <c r="O3651" s="13"/>
      <c r="P3651" s="14">
        <v>0.2</v>
      </c>
      <c r="Q3651" s="15">
        <v>0.32</v>
      </c>
      <c r="R3651" s="16" t="str">
        <f t="shared" si="303"/>
        <v>OPTOMA</v>
      </c>
      <c r="S3651" s="17"/>
      <c r="T3651" s="10"/>
    </row>
    <row r="3652" spans="1:20" ht="27" customHeight="1" x14ac:dyDescent="0.25">
      <c r="A3652" s="8" t="s">
        <v>7483</v>
      </c>
      <c r="B3652" s="9"/>
      <c r="C3652" s="9"/>
      <c r="D3652" s="8"/>
      <c r="E3652" s="8"/>
      <c r="F3652" s="8"/>
      <c r="G3652" s="10"/>
      <c r="H3652" s="8" t="s">
        <v>7496</v>
      </c>
      <c r="I3652" s="10" t="s">
        <v>7058</v>
      </c>
      <c r="J3652" s="11" t="s">
        <v>26</v>
      </c>
      <c r="K3652" s="18">
        <v>5999</v>
      </c>
      <c r="L3652" s="12">
        <f t="shared" si="302"/>
        <v>9598.4</v>
      </c>
      <c r="M3652" s="8">
        <v>1</v>
      </c>
      <c r="N3652" s="8" t="s">
        <v>27</v>
      </c>
      <c r="O3652" s="13"/>
      <c r="P3652" s="14">
        <v>0.2</v>
      </c>
      <c r="Q3652" s="15">
        <v>0.25</v>
      </c>
      <c r="R3652" s="16" t="str">
        <f t="shared" si="303"/>
        <v>OPTOMA</v>
      </c>
      <c r="S3652" s="17"/>
      <c r="T3652" s="10"/>
    </row>
    <row r="3653" spans="1:20" ht="27" customHeight="1" x14ac:dyDescent="0.25">
      <c r="A3653" s="8" t="s">
        <v>7483</v>
      </c>
      <c r="B3653" s="9"/>
      <c r="C3653" s="9"/>
      <c r="D3653" s="8"/>
      <c r="E3653" s="8"/>
      <c r="F3653" s="8"/>
      <c r="G3653" s="10"/>
      <c r="H3653" s="8" t="s">
        <v>7497</v>
      </c>
      <c r="I3653" s="10" t="s">
        <v>7498</v>
      </c>
      <c r="J3653" s="11" t="s">
        <v>26</v>
      </c>
      <c r="K3653" s="18">
        <v>3799</v>
      </c>
      <c r="L3653" s="12">
        <f>ROUNDUP(K3653*(1+P3653)/(1-Q3653),0)</f>
        <v>7124</v>
      </c>
      <c r="M3653" s="8">
        <v>1</v>
      </c>
      <c r="N3653" s="8" t="s">
        <v>27</v>
      </c>
      <c r="O3653" s="13"/>
      <c r="P3653" s="14">
        <v>0.2</v>
      </c>
      <c r="Q3653" s="15">
        <v>0.36</v>
      </c>
      <c r="R3653" s="16" t="str">
        <f t="shared" si="303"/>
        <v>OPTOMA</v>
      </c>
      <c r="S3653" s="17"/>
      <c r="T3653" s="10"/>
    </row>
    <row r="3654" spans="1:20" ht="27" customHeight="1" x14ac:dyDescent="0.25">
      <c r="A3654" s="8" t="s">
        <v>7483</v>
      </c>
      <c r="B3654" s="9"/>
      <c r="C3654" s="9"/>
      <c r="D3654" s="8"/>
      <c r="E3654" s="8"/>
      <c r="F3654" s="8"/>
      <c r="G3654" s="10"/>
      <c r="H3654" s="8" t="s">
        <v>7499</v>
      </c>
      <c r="I3654" s="10" t="s">
        <v>7500</v>
      </c>
      <c r="J3654" s="11" t="s">
        <v>26</v>
      </c>
      <c r="K3654" s="18">
        <v>1399</v>
      </c>
      <c r="L3654" s="12">
        <f t="shared" ref="L3654:L3691" si="306">IF(J3654="P",ROUNDUP(K3654/(1-Q3654),-2),K3654*(1+P3654)/(1-Q3654))</f>
        <v>2238.4</v>
      </c>
      <c r="M3654" s="8">
        <v>1</v>
      </c>
      <c r="N3654" s="8" t="s">
        <v>27</v>
      </c>
      <c r="O3654" s="13" t="s">
        <v>588</v>
      </c>
      <c r="P3654" s="14">
        <v>0.2</v>
      </c>
      <c r="Q3654" s="15">
        <v>0.25</v>
      </c>
      <c r="R3654" s="16" t="str">
        <f t="shared" si="303"/>
        <v>OPTOMA</v>
      </c>
      <c r="S3654" s="17"/>
      <c r="T3654" s="10"/>
    </row>
    <row r="3655" spans="1:20" ht="27" customHeight="1" x14ac:dyDescent="0.25">
      <c r="A3655" s="8" t="s">
        <v>7501</v>
      </c>
      <c r="B3655" s="9"/>
      <c r="C3655" s="9"/>
      <c r="D3655" s="8"/>
      <c r="E3655" s="8"/>
      <c r="F3655" s="8" t="s">
        <v>22</v>
      </c>
      <c r="G3655" s="10" t="s">
        <v>7502</v>
      </c>
      <c r="H3655" s="8" t="s">
        <v>7503</v>
      </c>
      <c r="I3655" s="10" t="s">
        <v>7502</v>
      </c>
      <c r="J3655" s="11" t="s">
        <v>26</v>
      </c>
      <c r="K3655" s="18">
        <v>30</v>
      </c>
      <c r="L3655" s="12">
        <f t="shared" si="306"/>
        <v>60</v>
      </c>
      <c r="M3655" s="8">
        <v>1</v>
      </c>
      <c r="N3655" s="8" t="s">
        <v>27</v>
      </c>
      <c r="O3655" s="13"/>
      <c r="P3655" s="14">
        <v>0.2</v>
      </c>
      <c r="Q3655" s="15">
        <v>0.4</v>
      </c>
      <c r="R3655" s="16" t="str">
        <f t="shared" si="303"/>
        <v>ORBIT</v>
      </c>
      <c r="S3655" s="17" t="s">
        <v>7504</v>
      </c>
      <c r="T3655" s="10" t="str">
        <f t="shared" ref="T3655:T3697" si="307">G3655</f>
        <v>TOMA ELÉCTRICA PARA PISO</v>
      </c>
    </row>
    <row r="3656" spans="1:20" ht="27" customHeight="1" x14ac:dyDescent="0.25">
      <c r="A3656" s="8" t="s">
        <v>7505</v>
      </c>
      <c r="B3656" s="9" t="s">
        <v>7506</v>
      </c>
      <c r="C3656" s="9"/>
      <c r="D3656" s="8" t="s">
        <v>7507</v>
      </c>
      <c r="E3656" s="8">
        <v>1</v>
      </c>
      <c r="F3656" s="8" t="s">
        <v>22</v>
      </c>
      <c r="G3656" s="10" t="s">
        <v>7508</v>
      </c>
      <c r="H3656" s="8" t="s">
        <v>7509</v>
      </c>
      <c r="I3656" s="10" t="s">
        <v>7508</v>
      </c>
      <c r="J3656" s="11" t="s">
        <v>33</v>
      </c>
      <c r="K3656" s="18">
        <v>5822.52</v>
      </c>
      <c r="L3656" s="12">
        <f t="shared" si="306"/>
        <v>8400</v>
      </c>
      <c r="M3656" s="8">
        <v>1</v>
      </c>
      <c r="N3656" s="8" t="s">
        <v>27</v>
      </c>
      <c r="O3656" s="13"/>
      <c r="P3656" s="14">
        <v>0.2</v>
      </c>
      <c r="Q3656" s="15">
        <v>0.3</v>
      </c>
      <c r="R3656" s="16" t="str">
        <f t="shared" si="303"/>
        <v>ORTRONICS</v>
      </c>
      <c r="S3656" s="17"/>
      <c r="T3656" s="10" t="str">
        <f t="shared" si="307"/>
        <v>Face plate blanco marfil doble.</v>
      </c>
    </row>
    <row r="3657" spans="1:20" ht="27" customHeight="1" x14ac:dyDescent="0.25">
      <c r="A3657" s="8" t="s">
        <v>7505</v>
      </c>
      <c r="B3657" s="9" t="s">
        <v>7506</v>
      </c>
      <c r="C3657" s="9"/>
      <c r="D3657" s="8" t="s">
        <v>7507</v>
      </c>
      <c r="E3657" s="8">
        <v>2</v>
      </c>
      <c r="F3657" s="8" t="s">
        <v>22</v>
      </c>
      <c r="G3657" s="10" t="s">
        <v>7510</v>
      </c>
      <c r="H3657" s="8" t="s">
        <v>7511</v>
      </c>
      <c r="I3657" s="10" t="s">
        <v>7510</v>
      </c>
      <c r="J3657" s="11" t="s">
        <v>26</v>
      </c>
      <c r="K3657" s="18">
        <v>1.990588235294118</v>
      </c>
      <c r="L3657" s="12">
        <f t="shared" si="306"/>
        <v>2.9858823529411769</v>
      </c>
      <c r="M3657" s="8">
        <v>1</v>
      </c>
      <c r="N3657" s="8" t="s">
        <v>27</v>
      </c>
      <c r="O3657" s="13"/>
      <c r="P3657" s="14">
        <v>0.2</v>
      </c>
      <c r="Q3657" s="15">
        <v>0.2</v>
      </c>
      <c r="R3657" s="16" t="str">
        <f t="shared" si="303"/>
        <v>ORTRONICS</v>
      </c>
      <c r="S3657" s="17"/>
      <c r="T3657" s="10" t="str">
        <f t="shared" si="307"/>
        <v>Face plate blanco marfil sencillo.</v>
      </c>
    </row>
    <row r="3658" spans="1:20" ht="27" customHeight="1" x14ac:dyDescent="0.25">
      <c r="A3658" s="8" t="s">
        <v>7505</v>
      </c>
      <c r="B3658" s="9" t="s">
        <v>7506</v>
      </c>
      <c r="C3658" s="9"/>
      <c r="D3658" s="8" t="s">
        <v>7507</v>
      </c>
      <c r="E3658" s="8">
        <v>3</v>
      </c>
      <c r="F3658" s="8" t="s">
        <v>22</v>
      </c>
      <c r="G3658" s="10" t="s">
        <v>7512</v>
      </c>
      <c r="H3658" s="8" t="s">
        <v>7513</v>
      </c>
      <c r="I3658" s="10" t="s">
        <v>7512</v>
      </c>
      <c r="J3658" s="11" t="s">
        <v>33</v>
      </c>
      <c r="K3658" s="18">
        <v>8733.7800000000007</v>
      </c>
      <c r="L3658" s="12">
        <f t="shared" si="306"/>
        <v>12500</v>
      </c>
      <c r="M3658" s="8">
        <v>1</v>
      </c>
      <c r="N3658" s="8" t="s">
        <v>27</v>
      </c>
      <c r="O3658" s="13"/>
      <c r="P3658" s="14">
        <v>0.2</v>
      </c>
      <c r="Q3658" s="15">
        <v>0.3</v>
      </c>
      <c r="R3658" s="16" t="str">
        <f t="shared" si="303"/>
        <v>ORTRONICS</v>
      </c>
      <c r="S3658" s="17"/>
      <c r="T3658" s="10" t="str">
        <f t="shared" si="307"/>
        <v>Trac Jack, C6, T568A/B, azul.</v>
      </c>
    </row>
    <row r="3659" spans="1:20" ht="27" customHeight="1" x14ac:dyDescent="0.25">
      <c r="A3659" s="8" t="s">
        <v>7505</v>
      </c>
      <c r="B3659" s="9" t="s">
        <v>7506</v>
      </c>
      <c r="C3659" s="9"/>
      <c r="D3659" s="8" t="s">
        <v>7507</v>
      </c>
      <c r="E3659" s="8">
        <v>4</v>
      </c>
      <c r="F3659" s="8" t="s">
        <v>22</v>
      </c>
      <c r="G3659" s="10" t="s">
        <v>7514</v>
      </c>
      <c r="H3659" s="8" t="s">
        <v>7515</v>
      </c>
      <c r="I3659" s="10" t="s">
        <v>7514</v>
      </c>
      <c r="J3659" s="11" t="s">
        <v>33</v>
      </c>
      <c r="K3659" s="18">
        <v>8733.7800000000007</v>
      </c>
      <c r="L3659" s="12">
        <f t="shared" si="306"/>
        <v>12500</v>
      </c>
      <c r="M3659" s="8">
        <v>1</v>
      </c>
      <c r="N3659" s="8" t="s">
        <v>27</v>
      </c>
      <c r="O3659" s="13"/>
      <c r="P3659" s="14">
        <v>0.2</v>
      </c>
      <c r="Q3659" s="15">
        <v>0.3</v>
      </c>
      <c r="R3659" s="16" t="str">
        <f t="shared" si="303"/>
        <v>ORTRONICS</v>
      </c>
      <c r="S3659" s="17"/>
      <c r="T3659" s="10" t="str">
        <f t="shared" si="307"/>
        <v>Trac Jack, C6, T568A/B, rojo.</v>
      </c>
    </row>
    <row r="3660" spans="1:20" ht="27" customHeight="1" x14ac:dyDescent="0.25">
      <c r="A3660" s="8" t="s">
        <v>7505</v>
      </c>
      <c r="B3660" s="9" t="s">
        <v>7506</v>
      </c>
      <c r="C3660" s="9"/>
      <c r="D3660" s="8" t="s">
        <v>7507</v>
      </c>
      <c r="E3660" s="8">
        <v>5</v>
      </c>
      <c r="F3660" s="8" t="s">
        <v>22</v>
      </c>
      <c r="G3660" s="10" t="s">
        <v>7516</v>
      </c>
      <c r="H3660" s="8" t="s">
        <v>7517</v>
      </c>
      <c r="I3660" s="10" t="s">
        <v>7516</v>
      </c>
      <c r="J3660" s="11" t="s">
        <v>33</v>
      </c>
      <c r="K3660" s="18">
        <v>13391.8</v>
      </c>
      <c r="L3660" s="12">
        <f t="shared" si="306"/>
        <v>19200</v>
      </c>
      <c r="M3660" s="8">
        <v>1</v>
      </c>
      <c r="N3660" s="8" t="s">
        <v>27</v>
      </c>
      <c r="O3660" s="13"/>
      <c r="P3660" s="14">
        <v>0.2</v>
      </c>
      <c r="Q3660" s="15">
        <v>0.3</v>
      </c>
      <c r="R3660" s="16" t="str">
        <f t="shared" si="303"/>
        <v>ORTRONICS</v>
      </c>
      <c r="S3660" s="17"/>
      <c r="T3660" s="10" t="str">
        <f t="shared" si="307"/>
        <v>Patch cord 6 3 ft (1 metro) azul.</v>
      </c>
    </row>
    <row r="3661" spans="1:20" ht="27" customHeight="1" x14ac:dyDescent="0.25">
      <c r="A3661" s="8" t="s">
        <v>7505</v>
      </c>
      <c r="B3661" s="9" t="s">
        <v>7506</v>
      </c>
      <c r="C3661" s="9"/>
      <c r="D3661" s="8" t="s">
        <v>7507</v>
      </c>
      <c r="E3661" s="8">
        <v>6</v>
      </c>
      <c r="F3661" s="8" t="s">
        <v>22</v>
      </c>
      <c r="G3661" s="10" t="s">
        <v>7518</v>
      </c>
      <c r="H3661" s="8" t="s">
        <v>7519</v>
      </c>
      <c r="I3661" s="10" t="s">
        <v>7518</v>
      </c>
      <c r="J3661" s="11" t="s">
        <v>26</v>
      </c>
      <c r="K3661" s="18">
        <v>48.426666666666669</v>
      </c>
      <c r="L3661" s="12">
        <f t="shared" si="306"/>
        <v>72.64</v>
      </c>
      <c r="M3661" s="8">
        <v>1</v>
      </c>
      <c r="N3661" s="8" t="s">
        <v>27</v>
      </c>
      <c r="O3661" s="13"/>
      <c r="P3661" s="14">
        <v>0.2</v>
      </c>
      <c r="Q3661" s="15">
        <v>0.2</v>
      </c>
      <c r="R3661" s="16" t="str">
        <f t="shared" si="303"/>
        <v>ORTRONICS</v>
      </c>
      <c r="S3661" s="17"/>
      <c r="T3661" s="10" t="str">
        <f t="shared" si="307"/>
        <v>Patch cord 6 5 ft (1.5 metros) azul. Paquete de 10 unidades.</v>
      </c>
    </row>
    <row r="3662" spans="1:20" ht="27" customHeight="1" x14ac:dyDescent="0.25">
      <c r="A3662" s="8" t="s">
        <v>7505</v>
      </c>
      <c r="B3662" s="9" t="s">
        <v>7506</v>
      </c>
      <c r="C3662" s="9"/>
      <c r="D3662" s="8" t="s">
        <v>7507</v>
      </c>
      <c r="E3662" s="8">
        <v>7</v>
      </c>
      <c r="F3662" s="8" t="s">
        <v>22</v>
      </c>
      <c r="G3662" s="10" t="s">
        <v>7520</v>
      </c>
      <c r="H3662" s="8" t="s">
        <v>7521</v>
      </c>
      <c r="I3662" s="10" t="s">
        <v>7520</v>
      </c>
      <c r="J3662" s="11" t="s">
        <v>33</v>
      </c>
      <c r="K3662" s="18">
        <v>18340.939999999999</v>
      </c>
      <c r="L3662" s="12">
        <f t="shared" si="306"/>
        <v>26300</v>
      </c>
      <c r="M3662" s="8">
        <v>1</v>
      </c>
      <c r="N3662" s="8" t="s">
        <v>27</v>
      </c>
      <c r="O3662" s="13"/>
      <c r="P3662" s="14">
        <v>0.2</v>
      </c>
      <c r="Q3662" s="15">
        <v>0.3</v>
      </c>
      <c r="R3662" s="16" t="str">
        <f t="shared" si="303"/>
        <v>ORTRONICS</v>
      </c>
      <c r="S3662" s="17"/>
      <c r="T3662" s="10" t="str">
        <f t="shared" si="307"/>
        <v>Patch cord 6 7 ft (2,1 metros) azul.</v>
      </c>
    </row>
    <row r="3663" spans="1:20" ht="27" customHeight="1" x14ac:dyDescent="0.25">
      <c r="A3663" s="8" t="s">
        <v>7505</v>
      </c>
      <c r="B3663" s="9" t="s">
        <v>7506</v>
      </c>
      <c r="C3663" s="9"/>
      <c r="D3663" s="8" t="s">
        <v>7507</v>
      </c>
      <c r="E3663" s="8">
        <v>8</v>
      </c>
      <c r="F3663" s="8" t="s">
        <v>22</v>
      </c>
      <c r="G3663" s="10" t="s">
        <v>7522</v>
      </c>
      <c r="H3663" s="8" t="s">
        <v>7523</v>
      </c>
      <c r="I3663" s="10" t="s">
        <v>7522</v>
      </c>
      <c r="J3663" s="11" t="s">
        <v>26</v>
      </c>
      <c r="K3663" s="18">
        <v>136.33001038855161</v>
      </c>
      <c r="L3663" s="12">
        <f t="shared" si="306"/>
        <v>204.49501558282739</v>
      </c>
      <c r="M3663" s="8">
        <v>1</v>
      </c>
      <c r="N3663" s="8" t="s">
        <v>27</v>
      </c>
      <c r="O3663" s="13"/>
      <c r="P3663" s="14">
        <v>0.2</v>
      </c>
      <c r="Q3663" s="15">
        <v>0.2</v>
      </c>
      <c r="R3663" s="16" t="str">
        <f t="shared" si="303"/>
        <v>ORTRONICS</v>
      </c>
      <c r="S3663" s="17"/>
      <c r="T3663" s="10" t="str">
        <f t="shared" si="307"/>
        <v>Caja de 305m de cable UTP 4 pares cat 6 , PVC, azul, tipo CMR.</v>
      </c>
    </row>
    <row r="3664" spans="1:20" ht="27" customHeight="1" x14ac:dyDescent="0.25">
      <c r="A3664" s="8" t="s">
        <v>7505</v>
      </c>
      <c r="B3664" s="9" t="s">
        <v>7506</v>
      </c>
      <c r="C3664" s="9"/>
      <c r="D3664" s="8" t="s">
        <v>7507</v>
      </c>
      <c r="E3664" s="8">
        <v>9</v>
      </c>
      <c r="F3664" s="8" t="s">
        <v>22</v>
      </c>
      <c r="G3664" s="10" t="s">
        <v>7524</v>
      </c>
      <c r="H3664" s="8" t="s">
        <v>7525</v>
      </c>
      <c r="I3664" s="10" t="s">
        <v>7524</v>
      </c>
      <c r="J3664" s="11" t="s">
        <v>33</v>
      </c>
      <c r="K3664" s="18">
        <v>331883</v>
      </c>
      <c r="L3664" s="12">
        <f t="shared" si="306"/>
        <v>474200</v>
      </c>
      <c r="M3664" s="8">
        <v>1</v>
      </c>
      <c r="N3664" s="8" t="s">
        <v>27</v>
      </c>
      <c r="O3664" s="13"/>
      <c r="P3664" s="14">
        <v>0.2</v>
      </c>
      <c r="Q3664" s="15">
        <v>0.3</v>
      </c>
      <c r="R3664" s="16" t="str">
        <f t="shared" si="303"/>
        <v>ORTRONICS</v>
      </c>
      <c r="S3664" s="17"/>
      <c r="T3664" s="10" t="str">
        <f t="shared" si="307"/>
        <v>Caja de 305m de cable UTP 4 pares cat 6, azul, tipo LSZH.</v>
      </c>
    </row>
    <row r="3665" spans="1:20" ht="27" customHeight="1" x14ac:dyDescent="0.25">
      <c r="A3665" s="8" t="s">
        <v>7505</v>
      </c>
      <c r="B3665" s="9" t="s">
        <v>7506</v>
      </c>
      <c r="C3665" s="9"/>
      <c r="D3665" s="8" t="s">
        <v>7507</v>
      </c>
      <c r="E3665" s="8">
        <v>10</v>
      </c>
      <c r="F3665" s="8" t="s">
        <v>22</v>
      </c>
      <c r="G3665" s="10" t="s">
        <v>7526</v>
      </c>
      <c r="H3665" s="8" t="s">
        <v>7527</v>
      </c>
      <c r="I3665" s="10" t="s">
        <v>7526</v>
      </c>
      <c r="J3665" s="11" t="s">
        <v>33</v>
      </c>
      <c r="K3665" s="18">
        <v>422132.7</v>
      </c>
      <c r="L3665" s="12">
        <f t="shared" si="306"/>
        <v>603100</v>
      </c>
      <c r="M3665" s="8">
        <v>1</v>
      </c>
      <c r="N3665" s="8" t="s">
        <v>27</v>
      </c>
      <c r="O3665" s="13"/>
      <c r="P3665" s="14">
        <v>0.2</v>
      </c>
      <c r="Q3665" s="15">
        <v>0.3</v>
      </c>
      <c r="R3665" s="16" t="str">
        <f t="shared" si="303"/>
        <v>ORTRONICS</v>
      </c>
      <c r="S3665" s="17"/>
      <c r="T3665" s="10" t="str">
        <f t="shared" si="307"/>
        <v>Patch panel 24 puertos cat 6.</v>
      </c>
    </row>
    <row r="3666" spans="1:20" ht="27" customHeight="1" x14ac:dyDescent="0.25">
      <c r="A3666" s="8" t="s">
        <v>7505</v>
      </c>
      <c r="B3666" s="9" t="s">
        <v>7506</v>
      </c>
      <c r="C3666" s="9"/>
      <c r="D3666" s="8" t="s">
        <v>7507</v>
      </c>
      <c r="E3666" s="8">
        <v>11</v>
      </c>
      <c r="F3666" s="8" t="s">
        <v>22</v>
      </c>
      <c r="G3666" s="10" t="s">
        <v>7528</v>
      </c>
      <c r="H3666" s="8" t="s">
        <v>7529</v>
      </c>
      <c r="I3666" s="10" t="s">
        <v>7528</v>
      </c>
      <c r="J3666" s="11" t="s">
        <v>26</v>
      </c>
      <c r="K3666" s="18">
        <v>145.0980392156863</v>
      </c>
      <c r="L3666" s="12">
        <f t="shared" si="306"/>
        <v>217.64705882352945</v>
      </c>
      <c r="M3666" s="8">
        <v>1</v>
      </c>
      <c r="N3666" s="8" t="s">
        <v>27</v>
      </c>
      <c r="O3666" s="13"/>
      <c r="P3666" s="14">
        <v>0.2</v>
      </c>
      <c r="Q3666" s="15">
        <v>0.2</v>
      </c>
      <c r="R3666" s="16" t="str">
        <f t="shared" si="303"/>
        <v>ORTRONICS</v>
      </c>
      <c r="S3666" s="17"/>
      <c r="T3666" s="10" t="str">
        <f t="shared" si="307"/>
        <v>Patch panel 48 puertos cat 6.</v>
      </c>
    </row>
    <row r="3667" spans="1:20" ht="27" customHeight="1" x14ac:dyDescent="0.25">
      <c r="A3667" s="8" t="s">
        <v>7505</v>
      </c>
      <c r="B3667" s="9" t="s">
        <v>7506</v>
      </c>
      <c r="C3667" s="9"/>
      <c r="D3667" s="8" t="s">
        <v>7507</v>
      </c>
      <c r="E3667" s="8">
        <v>12</v>
      </c>
      <c r="F3667" s="8" t="s">
        <v>22</v>
      </c>
      <c r="G3667" s="10" t="s">
        <v>7530</v>
      </c>
      <c r="H3667" s="8" t="s">
        <v>7531</v>
      </c>
      <c r="I3667" s="10" t="s">
        <v>7530</v>
      </c>
      <c r="J3667" s="11" t="s">
        <v>26</v>
      </c>
      <c r="K3667" s="18">
        <v>46.980392156862742</v>
      </c>
      <c r="L3667" s="12">
        <f t="shared" si="306"/>
        <v>70.470588235294102</v>
      </c>
      <c r="M3667" s="8">
        <v>1</v>
      </c>
      <c r="N3667" s="8" t="s">
        <v>27</v>
      </c>
      <c r="O3667" s="13"/>
      <c r="P3667" s="14">
        <v>0.2</v>
      </c>
      <c r="Q3667" s="15">
        <v>0.2</v>
      </c>
      <c r="R3667" s="16" t="str">
        <f t="shared" si="303"/>
        <v>ORTRONICS</v>
      </c>
      <c r="S3667" s="17"/>
      <c r="T3667" s="10" t="str">
        <f t="shared" si="307"/>
        <v>Organizador doble con tapa.</v>
      </c>
    </row>
    <row r="3668" spans="1:20" ht="27" customHeight="1" x14ac:dyDescent="0.25">
      <c r="A3668" s="8" t="s">
        <v>7505</v>
      </c>
      <c r="B3668" s="9" t="s">
        <v>7506</v>
      </c>
      <c r="C3668" s="9"/>
      <c r="D3668" s="8" t="s">
        <v>7507</v>
      </c>
      <c r="E3668" s="8">
        <v>13</v>
      </c>
      <c r="F3668" s="8" t="s">
        <v>22</v>
      </c>
      <c r="G3668" s="10" t="s">
        <v>7532</v>
      </c>
      <c r="H3668" s="8" t="s">
        <v>7533</v>
      </c>
      <c r="I3668" s="10" t="s">
        <v>7532</v>
      </c>
      <c r="J3668" s="11" t="s">
        <v>26</v>
      </c>
      <c r="K3668" s="18">
        <v>187.60784313725489</v>
      </c>
      <c r="L3668" s="12">
        <f t="shared" si="306"/>
        <v>281.41176470588232</v>
      </c>
      <c r="M3668" s="8">
        <v>1</v>
      </c>
      <c r="N3668" s="8" t="s">
        <v>27</v>
      </c>
      <c r="O3668" s="13"/>
      <c r="P3668" s="14">
        <v>0.2</v>
      </c>
      <c r="Q3668" s="15">
        <v>0.2</v>
      </c>
      <c r="R3668" s="16" t="str">
        <f t="shared" si="303"/>
        <v>ORTRONICS</v>
      </c>
      <c r="S3668" s="17"/>
      <c r="T3668" s="10" t="str">
        <f t="shared" si="307"/>
        <v>Rack Estándar EIA, altura 7', 44U , color negro</v>
      </c>
    </row>
    <row r="3669" spans="1:20" ht="27" customHeight="1" x14ac:dyDescent="0.25">
      <c r="A3669" s="8" t="s">
        <v>7505</v>
      </c>
      <c r="B3669" s="9" t="s">
        <v>7506</v>
      </c>
      <c r="C3669" s="9"/>
      <c r="D3669" s="8" t="s">
        <v>7507</v>
      </c>
      <c r="E3669" s="8">
        <v>14</v>
      </c>
      <c r="F3669" s="8" t="s">
        <v>22</v>
      </c>
      <c r="G3669" s="10" t="s">
        <v>7534</v>
      </c>
      <c r="H3669" s="8" t="s">
        <v>7535</v>
      </c>
      <c r="I3669" s="10" t="s">
        <v>7534</v>
      </c>
      <c r="J3669" s="11" t="s">
        <v>26</v>
      </c>
      <c r="K3669" s="18">
        <v>191.84941176470591</v>
      </c>
      <c r="L3669" s="12">
        <f t="shared" si="306"/>
        <v>287.77411764705886</v>
      </c>
      <c r="M3669" s="8">
        <v>1</v>
      </c>
      <c r="N3669" s="8" t="s">
        <v>27</v>
      </c>
      <c r="O3669" s="13"/>
      <c r="P3669" s="14">
        <v>0.2</v>
      </c>
      <c r="Q3669" s="15">
        <v>0.2</v>
      </c>
      <c r="R3669" s="16" t="str">
        <f t="shared" si="303"/>
        <v>ORTRONICS</v>
      </c>
      <c r="S3669" s="17"/>
      <c r="T3669" s="10" t="str">
        <f t="shared" si="307"/>
        <v>Organizador para Rack EIA 4" Ancho</v>
      </c>
    </row>
    <row r="3670" spans="1:20" ht="27" customHeight="1" x14ac:dyDescent="0.25">
      <c r="A3670" s="8" t="s">
        <v>7505</v>
      </c>
      <c r="B3670" s="9" t="s">
        <v>7506</v>
      </c>
      <c r="C3670" s="9"/>
      <c r="D3670" s="8" t="s">
        <v>7507</v>
      </c>
      <c r="E3670" s="8">
        <v>15</v>
      </c>
      <c r="F3670" s="8" t="s">
        <v>22</v>
      </c>
      <c r="G3670" s="10" t="s">
        <v>7536</v>
      </c>
      <c r="H3670" s="8" t="s">
        <v>7537</v>
      </c>
      <c r="I3670" s="10" t="s">
        <v>7536</v>
      </c>
      <c r="J3670" s="11" t="s">
        <v>26</v>
      </c>
      <c r="K3670" s="18">
        <v>1332.6627450980391</v>
      </c>
      <c r="L3670" s="12">
        <f t="shared" si="306"/>
        <v>1998.9941176470586</v>
      </c>
      <c r="M3670" s="8">
        <v>1</v>
      </c>
      <c r="N3670" s="8" t="s">
        <v>27</v>
      </c>
      <c r="O3670" s="13"/>
      <c r="P3670" s="14">
        <v>0.2</v>
      </c>
      <c r="Q3670" s="15">
        <v>0.2</v>
      </c>
      <c r="R3670" s="16" t="str">
        <f t="shared" si="303"/>
        <v>ORTRONICS</v>
      </c>
      <c r="S3670" s="17"/>
      <c r="T3670" s="10" t="str">
        <f t="shared" si="307"/>
        <v>Gabinete 26U 24"w*26"D*48"H</v>
      </c>
    </row>
    <row r="3671" spans="1:20" ht="27" customHeight="1" x14ac:dyDescent="0.25">
      <c r="A3671" s="8" t="s">
        <v>7505</v>
      </c>
      <c r="B3671" s="9" t="s">
        <v>7506</v>
      </c>
      <c r="C3671" s="9"/>
      <c r="D3671" s="8" t="s">
        <v>7507</v>
      </c>
      <c r="E3671" s="8">
        <v>16</v>
      </c>
      <c r="F3671" s="8" t="s">
        <v>22</v>
      </c>
      <c r="G3671" s="10" t="s">
        <v>7538</v>
      </c>
      <c r="H3671" s="8" t="s">
        <v>7539</v>
      </c>
      <c r="I3671" s="10" t="s">
        <v>7538</v>
      </c>
      <c r="J3671" s="11" t="s">
        <v>33</v>
      </c>
      <c r="K3671" s="18">
        <v>148474</v>
      </c>
      <c r="L3671" s="12">
        <f t="shared" si="306"/>
        <v>212200</v>
      </c>
      <c r="M3671" s="8">
        <v>1</v>
      </c>
      <c r="N3671" s="8" t="s">
        <v>27</v>
      </c>
      <c r="O3671" s="13"/>
      <c r="P3671" s="14">
        <v>0.2</v>
      </c>
      <c r="Q3671" s="15">
        <v>0.3</v>
      </c>
      <c r="R3671" s="16" t="str">
        <f t="shared" si="303"/>
        <v>ORTRONICS</v>
      </c>
      <c r="S3671" s="17"/>
      <c r="T3671" s="10" t="str">
        <f t="shared" si="307"/>
        <v>Mutitoma con cable de 1.8m, 8 salidas, con supresor de 13kA.</v>
      </c>
    </row>
    <row r="3672" spans="1:20" ht="27" customHeight="1" x14ac:dyDescent="0.25">
      <c r="A3672" s="8" t="s">
        <v>7505</v>
      </c>
      <c r="B3672" s="9" t="s">
        <v>7506</v>
      </c>
      <c r="C3672" s="9"/>
      <c r="D3672" s="8" t="s">
        <v>7507</v>
      </c>
      <c r="E3672" s="8">
        <v>17</v>
      </c>
      <c r="F3672" s="8" t="s">
        <v>22</v>
      </c>
      <c r="G3672" s="10" t="s">
        <v>7540</v>
      </c>
      <c r="H3672" s="8" t="s">
        <v>7541</v>
      </c>
      <c r="I3672" s="10" t="s">
        <v>7540</v>
      </c>
      <c r="J3672" s="11" t="s">
        <v>26</v>
      </c>
      <c r="K3672" s="18">
        <v>70.588235294117652</v>
      </c>
      <c r="L3672" s="12">
        <f t="shared" si="306"/>
        <v>105.88235294117646</v>
      </c>
      <c r="M3672" s="8">
        <v>1</v>
      </c>
      <c r="N3672" s="8" t="s">
        <v>27</v>
      </c>
      <c r="O3672" s="13"/>
      <c r="P3672" s="14">
        <v>0.2</v>
      </c>
      <c r="Q3672" s="15">
        <v>0.2</v>
      </c>
      <c r="R3672" s="16" t="str">
        <f t="shared" si="303"/>
        <v>ORTRONICS</v>
      </c>
      <c r="S3672" s="17"/>
      <c r="T3672" s="10" t="str">
        <f t="shared" si="307"/>
        <v>Mutitoma de 8 salidas, con cable de 1.8m, con supresor de 13kA.</v>
      </c>
    </row>
    <row r="3673" spans="1:20" ht="27" customHeight="1" x14ac:dyDescent="0.25">
      <c r="A3673" s="8" t="s">
        <v>7505</v>
      </c>
      <c r="B3673" s="9" t="s">
        <v>7506</v>
      </c>
      <c r="C3673" s="9"/>
      <c r="D3673" s="8" t="s">
        <v>7507</v>
      </c>
      <c r="E3673" s="8">
        <v>18</v>
      </c>
      <c r="F3673" s="8" t="s">
        <v>22</v>
      </c>
      <c r="G3673" s="10" t="s">
        <v>7542</v>
      </c>
      <c r="H3673" s="8" t="s">
        <v>7543</v>
      </c>
      <c r="I3673" s="10" t="s">
        <v>7542</v>
      </c>
      <c r="J3673" s="11" t="s">
        <v>26</v>
      </c>
      <c r="K3673" s="18">
        <v>98.039215686274503</v>
      </c>
      <c r="L3673" s="12">
        <f t="shared" si="306"/>
        <v>147.05882352941174</v>
      </c>
      <c r="M3673" s="8">
        <v>1</v>
      </c>
      <c r="N3673" s="8" t="s">
        <v>27</v>
      </c>
      <c r="O3673" s="13"/>
      <c r="P3673" s="14">
        <v>0.2</v>
      </c>
      <c r="Q3673" s="15">
        <v>0.2</v>
      </c>
      <c r="R3673" s="16" t="str">
        <f t="shared" si="303"/>
        <v>ORTRONICS</v>
      </c>
      <c r="S3673" s="17"/>
      <c r="T3673" s="10" t="str">
        <f t="shared" si="307"/>
        <v>Mutitoma de 12 salidas con cable de 1.8m, con supresor de 13kA.</v>
      </c>
    </row>
    <row r="3674" spans="1:20" ht="27" customHeight="1" x14ac:dyDescent="0.25">
      <c r="A3674" s="8" t="s">
        <v>7505</v>
      </c>
      <c r="B3674" s="9" t="s">
        <v>7506</v>
      </c>
      <c r="C3674" s="9"/>
      <c r="D3674" s="8" t="s">
        <v>7507</v>
      </c>
      <c r="E3674" s="8">
        <v>19</v>
      </c>
      <c r="F3674" s="8" t="s">
        <v>22</v>
      </c>
      <c r="G3674" s="10" t="s">
        <v>7544</v>
      </c>
      <c r="H3674" s="8" t="s">
        <v>7545</v>
      </c>
      <c r="I3674" s="10" t="s">
        <v>7546</v>
      </c>
      <c r="J3674" s="11" t="s">
        <v>26</v>
      </c>
      <c r="K3674" s="18">
        <v>170.47843137254901</v>
      </c>
      <c r="L3674" s="12">
        <f t="shared" si="306"/>
        <v>255.7176470588235</v>
      </c>
      <c r="M3674" s="8">
        <v>1</v>
      </c>
      <c r="N3674" s="8" t="s">
        <v>27</v>
      </c>
      <c r="O3674" s="13"/>
      <c r="P3674" s="14">
        <v>0.2</v>
      </c>
      <c r="Q3674" s="15">
        <v>0.2</v>
      </c>
      <c r="R3674" s="16" t="str">
        <f t="shared" si="303"/>
        <v>ORTRONICS</v>
      </c>
      <c r="S3674" s="17"/>
      <c r="T3674" s="10" t="str">
        <f t="shared" si="307"/>
        <v>KIT DE PUESTA A TIERRA.</v>
      </c>
    </row>
    <row r="3675" spans="1:20" ht="27" customHeight="1" x14ac:dyDescent="0.25">
      <c r="A3675" s="8" t="s">
        <v>7505</v>
      </c>
      <c r="B3675" s="9" t="s">
        <v>7506</v>
      </c>
      <c r="C3675" s="9"/>
      <c r="D3675" s="8" t="s">
        <v>7507</v>
      </c>
      <c r="E3675" s="8">
        <v>20</v>
      </c>
      <c r="F3675" s="8" t="s">
        <v>22</v>
      </c>
      <c r="G3675" s="10" t="s">
        <v>7547</v>
      </c>
      <c r="H3675" s="8" t="s">
        <v>7548</v>
      </c>
      <c r="I3675" s="10" t="s">
        <v>7549</v>
      </c>
      <c r="J3675" s="11" t="s">
        <v>26</v>
      </c>
      <c r="K3675" s="18">
        <v>74.364705882352951</v>
      </c>
      <c r="L3675" s="12">
        <f t="shared" si="306"/>
        <v>111.54705882352943</v>
      </c>
      <c r="M3675" s="8">
        <v>1</v>
      </c>
      <c r="N3675" s="8" t="s">
        <v>27</v>
      </c>
      <c r="O3675" s="13"/>
      <c r="P3675" s="14">
        <v>0.2</v>
      </c>
      <c r="Q3675" s="15">
        <v>0.2</v>
      </c>
      <c r="R3675" s="16" t="str">
        <f t="shared" si="303"/>
        <v>ORTRONICS</v>
      </c>
      <c r="S3675" s="17"/>
      <c r="T3675" s="10" t="str">
        <f t="shared" si="307"/>
        <v>SISTEMA DE PUESTA A TIERRA.</v>
      </c>
    </row>
    <row r="3676" spans="1:20" ht="27" customHeight="1" x14ac:dyDescent="0.25">
      <c r="A3676" s="8" t="s">
        <v>7505</v>
      </c>
      <c r="B3676" s="9" t="s">
        <v>7506</v>
      </c>
      <c r="C3676" s="9"/>
      <c r="D3676" s="8" t="s">
        <v>7507</v>
      </c>
      <c r="E3676" s="8">
        <v>21</v>
      </c>
      <c r="F3676" s="8" t="s">
        <v>22</v>
      </c>
      <c r="G3676" s="10" t="s">
        <v>7550</v>
      </c>
      <c r="H3676" s="8" t="s">
        <v>7551</v>
      </c>
      <c r="I3676" s="10" t="s">
        <v>7550</v>
      </c>
      <c r="J3676" s="11" t="s">
        <v>26</v>
      </c>
      <c r="K3676" s="18">
        <v>13.725490196078431</v>
      </c>
      <c r="L3676" s="12">
        <f t="shared" si="306"/>
        <v>20.588235294117645</v>
      </c>
      <c r="M3676" s="8">
        <v>1</v>
      </c>
      <c r="N3676" s="8" t="s">
        <v>27</v>
      </c>
      <c r="O3676" s="13"/>
      <c r="P3676" s="14">
        <v>0.2</v>
      </c>
      <c r="Q3676" s="15">
        <v>0.2</v>
      </c>
      <c r="R3676" s="16" t="str">
        <f t="shared" si="303"/>
        <v>ORTRONICS</v>
      </c>
      <c r="S3676" s="17"/>
      <c r="T3676" s="10" t="str">
        <f t="shared" si="307"/>
        <v>CANALETA PLÁSTICA CON HABITÁCULO PARA POTENCIA Y DATOS, FORMATO DE 10cm X 5cm.</v>
      </c>
    </row>
    <row r="3677" spans="1:20" ht="27" customHeight="1" x14ac:dyDescent="0.25">
      <c r="A3677" s="8" t="s">
        <v>7505</v>
      </c>
      <c r="B3677" s="9" t="s">
        <v>7506</v>
      </c>
      <c r="C3677" s="9"/>
      <c r="D3677" s="8" t="s">
        <v>7507</v>
      </c>
      <c r="E3677" s="8">
        <v>22</v>
      </c>
      <c r="F3677" s="8" t="s">
        <v>22</v>
      </c>
      <c r="G3677" s="10" t="s">
        <v>7552</v>
      </c>
      <c r="H3677" s="8" t="s">
        <v>7553</v>
      </c>
      <c r="I3677" s="10" t="s">
        <v>7552</v>
      </c>
      <c r="J3677" s="11" t="s">
        <v>697</v>
      </c>
      <c r="K3677" s="18">
        <v>8733</v>
      </c>
      <c r="L3677" s="12">
        <f t="shared" si="306"/>
        <v>12500</v>
      </c>
      <c r="M3677" s="8">
        <v>1</v>
      </c>
      <c r="N3677" s="8" t="s">
        <v>27</v>
      </c>
      <c r="O3677" s="13"/>
      <c r="P3677" s="14">
        <v>0.2</v>
      </c>
      <c r="Q3677" s="15">
        <v>0.3</v>
      </c>
      <c r="R3677" s="16" t="str">
        <f t="shared" si="303"/>
        <v>ORTRONICS</v>
      </c>
      <c r="S3677" s="17"/>
      <c r="T3677" s="10" t="str">
        <f t="shared" si="307"/>
        <v>MARCO UNIVERSAL PARA EQUIPOS ELECTRICOS.</v>
      </c>
    </row>
    <row r="3678" spans="1:20" ht="27" customHeight="1" x14ac:dyDescent="0.25">
      <c r="A3678" s="8" t="s">
        <v>7554</v>
      </c>
      <c r="B3678" s="9"/>
      <c r="C3678" s="9"/>
      <c r="D3678" s="8"/>
      <c r="E3678" s="8"/>
      <c r="F3678" s="8" t="s">
        <v>22</v>
      </c>
      <c r="G3678" s="10" t="s">
        <v>7555</v>
      </c>
      <c r="H3678" s="8" t="s">
        <v>7556</v>
      </c>
      <c r="I3678" s="10" t="s">
        <v>7557</v>
      </c>
      <c r="J3678" s="11" t="s">
        <v>33</v>
      </c>
      <c r="K3678" s="18">
        <v>81000</v>
      </c>
      <c r="L3678" s="12">
        <f t="shared" si="306"/>
        <v>135000</v>
      </c>
      <c r="M3678" s="8">
        <v>1</v>
      </c>
      <c r="N3678" s="8" t="s">
        <v>27</v>
      </c>
      <c r="O3678" s="13"/>
      <c r="P3678" s="14">
        <v>0.2</v>
      </c>
      <c r="Q3678" s="15">
        <v>0.4</v>
      </c>
      <c r="R3678" s="16" t="str">
        <f t="shared" si="303"/>
        <v>OSRAM</v>
      </c>
      <c r="S3678" s="17"/>
      <c r="T3678" s="10" t="str">
        <f t="shared" si="307"/>
        <v>DRIVER DE 50 VATIOS PARA CONTROL DE CARGAS LED DALÍ.</v>
      </c>
    </row>
    <row r="3679" spans="1:20" ht="27" customHeight="1" x14ac:dyDescent="0.25">
      <c r="A3679" s="8" t="s">
        <v>7554</v>
      </c>
      <c r="B3679" s="9"/>
      <c r="C3679" s="9"/>
      <c r="D3679" s="8"/>
      <c r="E3679" s="8"/>
      <c r="F3679" s="8" t="s">
        <v>22</v>
      </c>
      <c r="G3679" s="10" t="s">
        <v>7558</v>
      </c>
      <c r="H3679" s="8" t="s">
        <v>7559</v>
      </c>
      <c r="I3679" s="10" t="s">
        <v>7558</v>
      </c>
      <c r="J3679" s="11" t="s">
        <v>33</v>
      </c>
      <c r="K3679" s="18">
        <f>220000*0.9</f>
        <v>198000</v>
      </c>
      <c r="L3679" s="12">
        <f t="shared" si="306"/>
        <v>264000</v>
      </c>
      <c r="M3679" s="8">
        <v>1</v>
      </c>
      <c r="N3679" s="8" t="s">
        <v>27</v>
      </c>
      <c r="O3679" s="13"/>
      <c r="P3679" s="14">
        <v>0.4</v>
      </c>
      <c r="Q3679" s="15">
        <v>0.25</v>
      </c>
      <c r="R3679" s="16" t="str">
        <f t="shared" si="303"/>
        <v>OSRAM</v>
      </c>
      <c r="S3679" s="17"/>
      <c r="T3679" s="10" t="str">
        <f t="shared" si="307"/>
        <v>BALASTRO DIMERIZABLE 2X28 DALÍ</v>
      </c>
    </row>
    <row r="3680" spans="1:20" ht="27" customHeight="1" x14ac:dyDescent="0.25">
      <c r="A3680" s="8" t="s">
        <v>7554</v>
      </c>
      <c r="B3680" s="9"/>
      <c r="C3680" s="9"/>
      <c r="D3680" s="8"/>
      <c r="E3680" s="8"/>
      <c r="F3680" s="8" t="s">
        <v>22</v>
      </c>
      <c r="G3680" s="10" t="s">
        <v>7560</v>
      </c>
      <c r="H3680" s="8" t="s">
        <v>7561</v>
      </c>
      <c r="I3680" s="10" t="s">
        <v>7562</v>
      </c>
      <c r="J3680" s="11" t="s">
        <v>33</v>
      </c>
      <c r="K3680" s="18">
        <v>44000</v>
      </c>
      <c r="L3680" s="12">
        <f t="shared" si="306"/>
        <v>58700</v>
      </c>
      <c r="M3680" s="8">
        <v>1</v>
      </c>
      <c r="N3680" s="8" t="s">
        <v>27</v>
      </c>
      <c r="O3680" s="13"/>
      <c r="P3680" s="14">
        <v>0.4</v>
      </c>
      <c r="Q3680" s="15">
        <v>0.25</v>
      </c>
      <c r="R3680" s="16" t="str">
        <f t="shared" si="303"/>
        <v>OSRAM</v>
      </c>
      <c r="S3680" s="17"/>
      <c r="T3680" s="10" t="str">
        <f t="shared" si="307"/>
        <v>TARJETA DE ILUMINACIÓN LED DE 1.12 METROS.</v>
      </c>
    </row>
    <row r="3681" spans="1:20" ht="27" customHeight="1" x14ac:dyDescent="0.25">
      <c r="A3681" s="8" t="s">
        <v>7554</v>
      </c>
      <c r="B3681" s="9"/>
      <c r="C3681" s="9"/>
      <c r="D3681" s="8"/>
      <c r="E3681" s="8"/>
      <c r="F3681" s="8" t="s">
        <v>22</v>
      </c>
      <c r="G3681" s="10" t="s">
        <v>7563</v>
      </c>
      <c r="H3681" s="8" t="s">
        <v>7564</v>
      </c>
      <c r="I3681" s="10" t="s">
        <v>7565</v>
      </c>
      <c r="J3681" s="11" t="s">
        <v>33</v>
      </c>
      <c r="K3681" s="18">
        <v>66000</v>
      </c>
      <c r="L3681" s="12">
        <f t="shared" si="306"/>
        <v>88000</v>
      </c>
      <c r="M3681" s="8">
        <v>1</v>
      </c>
      <c r="N3681" s="8" t="s">
        <v>27</v>
      </c>
      <c r="O3681" s="13"/>
      <c r="P3681" s="14">
        <v>0.4</v>
      </c>
      <c r="Q3681" s="15">
        <v>0.25</v>
      </c>
      <c r="R3681" s="16" t="str">
        <f t="shared" si="303"/>
        <v>OSRAM</v>
      </c>
      <c r="S3681" s="17"/>
      <c r="T3681" s="10" t="str">
        <f t="shared" si="307"/>
        <v>DRIVER PARA MANEJO DE CARGAS LED CON 0-10V.</v>
      </c>
    </row>
    <row r="3682" spans="1:20" ht="27" customHeight="1" x14ac:dyDescent="0.25">
      <c r="A3682" s="8" t="s">
        <v>7554</v>
      </c>
      <c r="B3682" s="9"/>
      <c r="C3682" s="9"/>
      <c r="D3682" s="8"/>
      <c r="E3682" s="8"/>
      <c r="F3682" s="8" t="s">
        <v>22</v>
      </c>
      <c r="G3682" s="10" t="s">
        <v>7566</v>
      </c>
      <c r="H3682" s="8" t="s">
        <v>7567</v>
      </c>
      <c r="I3682" s="10" t="s">
        <v>7566</v>
      </c>
      <c r="J3682" s="11" t="s">
        <v>33</v>
      </c>
      <c r="K3682" s="18">
        <v>66000</v>
      </c>
      <c r="L3682" s="12">
        <f t="shared" si="306"/>
        <v>88000</v>
      </c>
      <c r="M3682" s="8">
        <v>1</v>
      </c>
      <c r="N3682" s="8" t="s">
        <v>27</v>
      </c>
      <c r="O3682" s="13"/>
      <c r="P3682" s="14">
        <v>0.4</v>
      </c>
      <c r="Q3682" s="15">
        <v>0.25</v>
      </c>
      <c r="R3682" s="16" t="str">
        <f t="shared" si="303"/>
        <v>OSRAM</v>
      </c>
      <c r="S3682" s="17"/>
      <c r="T3682" s="10" t="str">
        <f t="shared" si="307"/>
        <v>DRIVER PARA MANEJO DE CARGAS LED CON 0-10V</v>
      </c>
    </row>
    <row r="3683" spans="1:20" ht="27" customHeight="1" x14ac:dyDescent="0.25">
      <c r="A3683" s="8" t="s">
        <v>7554</v>
      </c>
      <c r="B3683" s="9"/>
      <c r="C3683" s="9"/>
      <c r="D3683" s="8"/>
      <c r="E3683" s="8"/>
      <c r="F3683" s="8" t="s">
        <v>22</v>
      </c>
      <c r="G3683" s="10" t="s">
        <v>7568</v>
      </c>
      <c r="H3683" s="8" t="s">
        <v>7569</v>
      </c>
      <c r="I3683" s="10" t="s">
        <v>7568</v>
      </c>
      <c r="J3683" s="11" t="s">
        <v>33</v>
      </c>
      <c r="K3683" s="18">
        <v>18000</v>
      </c>
      <c r="L3683" s="12">
        <f t="shared" si="306"/>
        <v>30000</v>
      </c>
      <c r="M3683" s="8">
        <v>1</v>
      </c>
      <c r="N3683" s="8" t="s">
        <v>27</v>
      </c>
      <c r="O3683" s="13"/>
      <c r="P3683" s="14">
        <v>0.2</v>
      </c>
      <c r="Q3683" s="15">
        <v>0.4</v>
      </c>
      <c r="R3683" s="16" t="str">
        <f t="shared" si="303"/>
        <v>OSRAM</v>
      </c>
      <c r="S3683" s="17"/>
      <c r="T3683" s="10" t="str">
        <f t="shared" si="307"/>
        <v>BALASTRO PARA 4 TUBOS DE 17 VATIOS.</v>
      </c>
    </row>
    <row r="3684" spans="1:20" ht="27" customHeight="1" x14ac:dyDescent="0.25">
      <c r="A3684" s="8" t="s">
        <v>7554</v>
      </c>
      <c r="B3684" s="9"/>
      <c r="C3684" s="9"/>
      <c r="D3684" s="8"/>
      <c r="E3684" s="8"/>
      <c r="F3684" s="8" t="s">
        <v>22</v>
      </c>
      <c r="G3684" s="10" t="s">
        <v>7570</v>
      </c>
      <c r="H3684" s="8" t="s">
        <v>7571</v>
      </c>
      <c r="I3684" s="10" t="s">
        <v>7570</v>
      </c>
      <c r="J3684" s="11" t="s">
        <v>33</v>
      </c>
      <c r="K3684" s="18">
        <v>2600</v>
      </c>
      <c r="L3684" s="12">
        <f t="shared" si="306"/>
        <v>4400</v>
      </c>
      <c r="M3684" s="8">
        <v>1</v>
      </c>
      <c r="N3684" s="8" t="s">
        <v>27</v>
      </c>
      <c r="O3684" s="13"/>
      <c r="P3684" s="14">
        <v>0.2</v>
      </c>
      <c r="Q3684" s="15">
        <v>0.4</v>
      </c>
      <c r="R3684" s="16" t="str">
        <f t="shared" si="303"/>
        <v>OSRAM</v>
      </c>
      <c r="S3684" s="17"/>
      <c r="T3684" s="10" t="str">
        <f t="shared" si="307"/>
        <v>TUBO FLUORESCENTE DE 17 VATIOS</v>
      </c>
    </row>
    <row r="3685" spans="1:20" ht="27" customHeight="1" x14ac:dyDescent="0.25">
      <c r="A3685" s="8" t="s">
        <v>7554</v>
      </c>
      <c r="B3685" s="9"/>
      <c r="C3685" s="9"/>
      <c r="D3685" s="8"/>
      <c r="E3685" s="8"/>
      <c r="F3685" s="8" t="s">
        <v>22</v>
      </c>
      <c r="G3685" s="10" t="s">
        <v>7572</v>
      </c>
      <c r="H3685" s="8" t="s">
        <v>7573</v>
      </c>
      <c r="I3685" s="10" t="s">
        <v>7572</v>
      </c>
      <c r="J3685" s="11" t="s">
        <v>33</v>
      </c>
      <c r="K3685" s="18">
        <v>3200</v>
      </c>
      <c r="L3685" s="12">
        <f t="shared" si="306"/>
        <v>5400</v>
      </c>
      <c r="M3685" s="8">
        <v>1</v>
      </c>
      <c r="N3685" s="8" t="s">
        <v>27</v>
      </c>
      <c r="O3685" s="13"/>
      <c r="P3685" s="14">
        <v>0.2</v>
      </c>
      <c r="Q3685" s="15">
        <v>0.4</v>
      </c>
      <c r="R3685" s="16" t="str">
        <f t="shared" si="303"/>
        <v>OSRAM</v>
      </c>
      <c r="S3685" s="17"/>
      <c r="T3685" s="10" t="str">
        <f t="shared" si="307"/>
        <v>TUBO FLUORESCENTE DE 28 VATIOS</v>
      </c>
    </row>
    <row r="3686" spans="1:20" ht="27" customHeight="1" x14ac:dyDescent="0.25">
      <c r="A3686" s="8" t="s">
        <v>7554</v>
      </c>
      <c r="B3686" s="9"/>
      <c r="C3686" s="9"/>
      <c r="D3686" s="8"/>
      <c r="E3686" s="8"/>
      <c r="F3686" s="8" t="s">
        <v>22</v>
      </c>
      <c r="G3686" s="10" t="s">
        <v>7574</v>
      </c>
      <c r="H3686" s="8" t="s">
        <v>7575</v>
      </c>
      <c r="I3686" s="10" t="s">
        <v>7574</v>
      </c>
      <c r="J3686" s="11" t="s">
        <v>26</v>
      </c>
      <c r="K3686" s="18">
        <v>19</v>
      </c>
      <c r="L3686" s="12">
        <f t="shared" si="306"/>
        <v>32.571428571428577</v>
      </c>
      <c r="M3686" s="8">
        <v>1</v>
      </c>
      <c r="N3686" s="8" t="s">
        <v>27</v>
      </c>
      <c r="O3686" s="13"/>
      <c r="P3686" s="14">
        <v>0.2</v>
      </c>
      <c r="Q3686" s="15">
        <v>0.3</v>
      </c>
      <c r="R3686" s="16" t="str">
        <f t="shared" si="303"/>
        <v>OSRAM</v>
      </c>
      <c r="S3686" s="17"/>
      <c r="T3686" s="10" t="str">
        <f t="shared" si="307"/>
        <v>BOMBILLA HALÓGENA DIMERIZABLE DE 100W</v>
      </c>
    </row>
    <row r="3687" spans="1:20" ht="27" customHeight="1" x14ac:dyDescent="0.25">
      <c r="A3687" s="8" t="s">
        <v>7554</v>
      </c>
      <c r="B3687" s="9"/>
      <c r="C3687" s="9"/>
      <c r="D3687" s="8"/>
      <c r="E3687" s="8"/>
      <c r="F3687" s="8" t="s">
        <v>22</v>
      </c>
      <c r="G3687" s="10" t="s">
        <v>7576</v>
      </c>
      <c r="H3687" s="8" t="s">
        <v>7577</v>
      </c>
      <c r="I3687" s="10" t="s">
        <v>7576</v>
      </c>
      <c r="J3687" s="11" t="s">
        <v>33</v>
      </c>
      <c r="K3687" s="18">
        <v>85000</v>
      </c>
      <c r="L3687" s="12">
        <f t="shared" si="306"/>
        <v>113400</v>
      </c>
      <c r="M3687" s="8">
        <v>1</v>
      </c>
      <c r="N3687" s="8" t="s">
        <v>27</v>
      </c>
      <c r="O3687" s="13" t="s">
        <v>588</v>
      </c>
      <c r="P3687" s="14">
        <v>0</v>
      </c>
      <c r="Q3687" s="15">
        <v>0.25</v>
      </c>
      <c r="R3687" s="16" t="str">
        <f t="shared" si="303"/>
        <v>OSRAM</v>
      </c>
      <c r="S3687" s="17"/>
      <c r="T3687" s="10" t="str">
        <f t="shared" si="307"/>
        <v>CINTA LED 12V, IP65, 25.000 HORAS DE VIDA ÚTIL ESPERADA. 6500K, 700LmxMetro</v>
      </c>
    </row>
    <row r="3688" spans="1:20" ht="27" customHeight="1" x14ac:dyDescent="0.25">
      <c r="A3688" s="8" t="s">
        <v>7554</v>
      </c>
      <c r="B3688" s="9"/>
      <c r="C3688" s="9"/>
      <c r="D3688" s="8"/>
      <c r="E3688" s="8"/>
      <c r="F3688" s="8" t="s">
        <v>22</v>
      </c>
      <c r="G3688" s="10" t="s">
        <v>7578</v>
      </c>
      <c r="H3688" s="8" t="s">
        <v>7579</v>
      </c>
      <c r="I3688" s="10" t="s">
        <v>7580</v>
      </c>
      <c r="J3688" s="11" t="s">
        <v>33</v>
      </c>
      <c r="K3688" s="18">
        <v>251636</v>
      </c>
      <c r="L3688" s="12">
        <f t="shared" si="306"/>
        <v>335600</v>
      </c>
      <c r="M3688" s="8">
        <v>1</v>
      </c>
      <c r="N3688" s="8" t="s">
        <v>27</v>
      </c>
      <c r="O3688" s="13" t="s">
        <v>588</v>
      </c>
      <c r="P3688" s="14">
        <v>0</v>
      </c>
      <c r="Q3688" s="15">
        <v>0.25</v>
      </c>
      <c r="R3688" s="16" t="str">
        <f t="shared" si="303"/>
        <v>OSRAM</v>
      </c>
      <c r="S3688" s="17"/>
      <c r="T3688" s="10" t="str">
        <f t="shared" si="307"/>
        <v>CINTA LED 24V, IP65, 35.000 HORAS DE VIDA ÚTIL ESPERADA.</v>
      </c>
    </row>
    <row r="3689" spans="1:20" ht="27" customHeight="1" x14ac:dyDescent="0.25">
      <c r="A3689" s="8" t="s">
        <v>7554</v>
      </c>
      <c r="B3689" s="9"/>
      <c r="C3689" s="9"/>
      <c r="D3689" s="8"/>
      <c r="E3689" s="8"/>
      <c r="F3689" s="8" t="s">
        <v>22</v>
      </c>
      <c r="G3689" s="10" t="s">
        <v>7581</v>
      </c>
      <c r="H3689" s="8" t="s">
        <v>7582</v>
      </c>
      <c r="I3689" s="10" t="s">
        <v>7581</v>
      </c>
      <c r="J3689" s="11" t="s">
        <v>33</v>
      </c>
      <c r="K3689" s="18">
        <v>109000</v>
      </c>
      <c r="L3689" s="12">
        <f t="shared" si="306"/>
        <v>145400</v>
      </c>
      <c r="M3689" s="8">
        <v>1</v>
      </c>
      <c r="N3689" s="8" t="s">
        <v>27</v>
      </c>
      <c r="O3689" s="13" t="s">
        <v>588</v>
      </c>
      <c r="P3689" s="14">
        <v>0</v>
      </c>
      <c r="Q3689" s="15">
        <v>0.25</v>
      </c>
      <c r="R3689" s="16" t="str">
        <f t="shared" si="303"/>
        <v>OSRAM</v>
      </c>
      <c r="S3689" s="17"/>
      <c r="T3689" s="10" t="str">
        <f t="shared" si="307"/>
        <v>DRIVER PARA CINTA 12V DE 60 VATIOS</v>
      </c>
    </row>
    <row r="3690" spans="1:20" ht="27" customHeight="1" x14ac:dyDescent="0.25">
      <c r="A3690" s="8" t="s">
        <v>7554</v>
      </c>
      <c r="B3690" s="9"/>
      <c r="C3690" s="9"/>
      <c r="D3690" s="8"/>
      <c r="E3690" s="8"/>
      <c r="F3690" s="8" t="s">
        <v>22</v>
      </c>
      <c r="G3690" s="10" t="s">
        <v>7583</v>
      </c>
      <c r="H3690" s="8" t="s">
        <v>7584</v>
      </c>
      <c r="I3690" s="10" t="s">
        <v>7583</v>
      </c>
      <c r="J3690" s="11" t="s">
        <v>33</v>
      </c>
      <c r="K3690" s="18">
        <v>108500</v>
      </c>
      <c r="L3690" s="12">
        <f t="shared" si="306"/>
        <v>135700</v>
      </c>
      <c r="M3690" s="8">
        <v>1</v>
      </c>
      <c r="N3690" s="8" t="s">
        <v>27</v>
      </c>
      <c r="O3690" s="13"/>
      <c r="P3690" s="14">
        <v>0</v>
      </c>
      <c r="Q3690" s="15">
        <v>0.2</v>
      </c>
      <c r="R3690" s="16" t="str">
        <f t="shared" si="303"/>
        <v>OSRAM</v>
      </c>
      <c r="S3690" s="17"/>
      <c r="T3690" s="10" t="str">
        <f t="shared" si="307"/>
        <v>FUENTE DE ALIMENTACIÓN CON CONTROL 0-10V DE 96 VATIOS.</v>
      </c>
    </row>
    <row r="3691" spans="1:20" ht="27" customHeight="1" x14ac:dyDescent="0.25">
      <c r="A3691" s="8" t="s">
        <v>7554</v>
      </c>
      <c r="B3691" s="9"/>
      <c r="C3691" s="9"/>
      <c r="D3691" s="8"/>
      <c r="E3691" s="8"/>
      <c r="F3691" s="8" t="s">
        <v>22</v>
      </c>
      <c r="G3691" s="10" t="s">
        <v>7585</v>
      </c>
      <c r="H3691" s="8" t="s">
        <v>7586</v>
      </c>
      <c r="I3691" s="10" t="s">
        <v>7585</v>
      </c>
      <c r="J3691" s="11" t="s">
        <v>33</v>
      </c>
      <c r="K3691" s="18">
        <v>173000</v>
      </c>
      <c r="L3691" s="12">
        <f t="shared" si="306"/>
        <v>216300</v>
      </c>
      <c r="M3691" s="8">
        <v>1</v>
      </c>
      <c r="N3691" s="8" t="s">
        <v>27</v>
      </c>
      <c r="O3691" s="13"/>
      <c r="P3691" s="14">
        <v>0</v>
      </c>
      <c r="Q3691" s="15">
        <v>0.2</v>
      </c>
      <c r="R3691" s="16" t="str">
        <f t="shared" si="303"/>
        <v>OSRAM</v>
      </c>
      <c r="S3691" s="17"/>
      <c r="T3691" s="10" t="str">
        <f t="shared" si="307"/>
        <v>CINTA LED DE 24V, 4.6WxM, ROLLO DE 5 METROS, 3000K. 142lm/w</v>
      </c>
    </row>
    <row r="3692" spans="1:20" ht="27" customHeight="1" x14ac:dyDescent="0.25">
      <c r="A3692" s="8" t="s">
        <v>7554</v>
      </c>
      <c r="B3692" s="9"/>
      <c r="C3692" s="9"/>
      <c r="D3692" s="8" t="s">
        <v>45</v>
      </c>
      <c r="E3692" s="8"/>
      <c r="F3692" s="8" t="s">
        <v>22</v>
      </c>
      <c r="G3692" s="10" t="s">
        <v>7587</v>
      </c>
      <c r="H3692" s="8" t="s">
        <v>7588</v>
      </c>
      <c r="I3692" s="10" t="s">
        <v>7587</v>
      </c>
      <c r="J3692" s="11" t="s">
        <v>33</v>
      </c>
      <c r="K3692" s="18">
        <v>166000</v>
      </c>
      <c r="L3692" s="12">
        <f>ROUNDUP(K3692*(1+P3692)/(1-Q3692),0)</f>
        <v>237143</v>
      </c>
      <c r="M3692" s="8">
        <v>1</v>
      </c>
      <c r="N3692" s="8" t="s">
        <v>27</v>
      </c>
      <c r="O3692" s="13"/>
      <c r="P3692" s="14">
        <v>0</v>
      </c>
      <c r="Q3692" s="15">
        <v>0.3</v>
      </c>
      <c r="R3692" s="16" t="str">
        <f t="shared" si="303"/>
        <v>OSRAM</v>
      </c>
      <c r="S3692" s="17"/>
      <c r="T3692" s="10" t="str">
        <f t="shared" si="307"/>
        <v>ROLLO DE CINTA LED DE 5 METROS, 690Lm/W. 4000K, 24VDC.</v>
      </c>
    </row>
    <row r="3693" spans="1:20" ht="27" customHeight="1" x14ac:dyDescent="0.25">
      <c r="A3693" s="8" t="s">
        <v>7554</v>
      </c>
      <c r="B3693" s="9"/>
      <c r="C3693" s="9"/>
      <c r="D3693" s="8" t="s">
        <v>45</v>
      </c>
      <c r="E3693" s="8"/>
      <c r="F3693" s="8" t="s">
        <v>22</v>
      </c>
      <c r="G3693" s="10" t="s">
        <v>7589</v>
      </c>
      <c r="H3693" s="8" t="s">
        <v>7584</v>
      </c>
      <c r="I3693" s="10" t="s">
        <v>7589</v>
      </c>
      <c r="J3693" s="11" t="s">
        <v>33</v>
      </c>
      <c r="K3693" s="18">
        <v>101200</v>
      </c>
      <c r="L3693" s="12">
        <f>ROUNDUP(K3693*(1+P3693)/(1-Q3693),0)</f>
        <v>144572</v>
      </c>
      <c r="M3693" s="8">
        <v>1</v>
      </c>
      <c r="N3693" s="8" t="s">
        <v>27</v>
      </c>
      <c r="O3693" s="13"/>
      <c r="P3693" s="14">
        <v>0</v>
      </c>
      <c r="Q3693" s="15">
        <v>0.3</v>
      </c>
      <c r="R3693" s="16" t="str">
        <f t="shared" si="303"/>
        <v>OSRAM</v>
      </c>
      <c r="S3693" s="17"/>
      <c r="T3693" s="10" t="str">
        <f t="shared" si="307"/>
        <v>FUENTE DE ALIMENTACIÓN DE 96 VATIOS ATENUABLE 0-10</v>
      </c>
    </row>
    <row r="3694" spans="1:20" ht="27" customHeight="1" x14ac:dyDescent="0.25">
      <c r="A3694" s="8" t="s">
        <v>7554</v>
      </c>
      <c r="B3694" s="9"/>
      <c r="C3694" s="9"/>
      <c r="D3694" s="8" t="s">
        <v>45</v>
      </c>
      <c r="E3694" s="8"/>
      <c r="F3694" s="8" t="s">
        <v>22</v>
      </c>
      <c r="G3694" s="10" t="s">
        <v>7590</v>
      </c>
      <c r="H3694" s="8" t="s">
        <v>7591</v>
      </c>
      <c r="I3694" s="10" t="s">
        <v>7590</v>
      </c>
      <c r="J3694" s="11" t="s">
        <v>33</v>
      </c>
      <c r="K3694" s="18">
        <v>76900</v>
      </c>
      <c r="L3694" s="12">
        <f>ROUNDUP(K3694*(1+P3694)/(1-Q3694),0)</f>
        <v>109858</v>
      </c>
      <c r="M3694" s="8">
        <v>1</v>
      </c>
      <c r="N3694" s="8" t="s">
        <v>27</v>
      </c>
      <c r="O3694" s="13"/>
      <c r="P3694" s="14">
        <v>0</v>
      </c>
      <c r="Q3694" s="15">
        <v>0.3</v>
      </c>
      <c r="R3694" s="16" t="str">
        <f t="shared" si="303"/>
        <v>OSRAM</v>
      </c>
      <c r="S3694" s="17"/>
      <c r="T3694" s="10" t="str">
        <f t="shared" si="307"/>
        <v>CINTA LED DE 12VDC, 4000K. 3500Lm</v>
      </c>
    </row>
    <row r="3695" spans="1:20" ht="27" customHeight="1" x14ac:dyDescent="0.25">
      <c r="A3695" s="8" t="s">
        <v>7554</v>
      </c>
      <c r="B3695" s="9"/>
      <c r="C3695" s="9"/>
      <c r="D3695" s="8" t="s">
        <v>45</v>
      </c>
      <c r="E3695" s="8"/>
      <c r="F3695" s="8" t="s">
        <v>22</v>
      </c>
      <c r="G3695" s="10" t="s">
        <v>7592</v>
      </c>
      <c r="H3695" s="8" t="s">
        <v>7593</v>
      </c>
      <c r="I3695" s="10" t="s">
        <v>7592</v>
      </c>
      <c r="J3695" s="11" t="s">
        <v>33</v>
      </c>
      <c r="K3695" s="18">
        <v>109400</v>
      </c>
      <c r="L3695" s="12">
        <f>ROUNDUP(K3695*(1+P3695)/(1-Q3695),0)</f>
        <v>156286</v>
      </c>
      <c r="M3695" s="8">
        <v>1</v>
      </c>
      <c r="N3695" s="8" t="s">
        <v>27</v>
      </c>
      <c r="O3695" s="13"/>
      <c r="P3695" s="14">
        <v>0</v>
      </c>
      <c r="Q3695" s="15">
        <v>0.3</v>
      </c>
      <c r="R3695" s="16" t="str">
        <f t="shared" ref="R3695:R3758" si="308">A3695</f>
        <v>OSRAM</v>
      </c>
      <c r="S3695" s="17"/>
      <c r="T3695" s="10" t="str">
        <f t="shared" si="307"/>
        <v>FUENTE NO ATENUABLE DE 120 VATIOS.</v>
      </c>
    </row>
    <row r="3696" spans="1:20" ht="27" customHeight="1" x14ac:dyDescent="0.25">
      <c r="A3696" s="8" t="s">
        <v>7554</v>
      </c>
      <c r="B3696" s="9"/>
      <c r="C3696" s="9"/>
      <c r="D3696" s="8"/>
      <c r="E3696" s="8"/>
      <c r="F3696" s="8" t="s">
        <v>22</v>
      </c>
      <c r="G3696" s="10" t="s">
        <v>7594</v>
      </c>
      <c r="H3696" s="8" t="s">
        <v>7595</v>
      </c>
      <c r="I3696" s="10" t="s">
        <v>7594</v>
      </c>
      <c r="J3696" s="11" t="s">
        <v>33</v>
      </c>
      <c r="K3696" s="18">
        <v>95000</v>
      </c>
      <c r="L3696" s="12">
        <f>IF(J3696="P",ROUNDUP(K3696/(1-Q3696),-2),K3696*(1+P3696)/(1-Q3696))</f>
        <v>158400</v>
      </c>
      <c r="M3696" s="8">
        <v>1</v>
      </c>
      <c r="N3696" s="8" t="s">
        <v>27</v>
      </c>
      <c r="O3696" s="13"/>
      <c r="P3696" s="14">
        <v>0</v>
      </c>
      <c r="Q3696" s="15">
        <v>0.4</v>
      </c>
      <c r="R3696" s="16" t="str">
        <f t="shared" si="308"/>
        <v>OSRAM</v>
      </c>
      <c r="S3696" s="17"/>
      <c r="T3696" s="10" t="str">
        <f t="shared" si="307"/>
        <v>DRIVER PARA MANEJO DE CARGAS LED CON 0-10V, PROGRAMABLE HASTA 85 VATIOS.</v>
      </c>
    </row>
    <row r="3697" spans="1:20" ht="27" customHeight="1" x14ac:dyDescent="0.25">
      <c r="A3697" s="8" t="s">
        <v>7554</v>
      </c>
      <c r="B3697" s="9"/>
      <c r="C3697" s="9"/>
      <c r="D3697" s="8"/>
      <c r="E3697" s="8"/>
      <c r="F3697" s="8"/>
      <c r="G3697" s="10"/>
      <c r="H3697" s="8" t="s">
        <v>7596</v>
      </c>
      <c r="I3697" s="10" t="s">
        <v>7565</v>
      </c>
      <c r="J3697" s="11" t="s">
        <v>33</v>
      </c>
      <c r="K3697" s="18">
        <v>66000</v>
      </c>
      <c r="L3697" s="12">
        <f>IF(J3697="P",ROUNDUP(K3697/(1-Q3697),-2),K3697*(1+P3697)/(1-Q3697))</f>
        <v>88000</v>
      </c>
      <c r="M3697" s="8">
        <v>1</v>
      </c>
      <c r="N3697" s="8" t="s">
        <v>27</v>
      </c>
      <c r="O3697" s="13"/>
      <c r="P3697" s="14">
        <v>0.4</v>
      </c>
      <c r="Q3697" s="15">
        <v>0.25</v>
      </c>
      <c r="R3697" s="16" t="str">
        <f t="shared" si="308"/>
        <v>OSRAM</v>
      </c>
      <c r="S3697" s="17"/>
      <c r="T3697" s="10">
        <f t="shared" si="307"/>
        <v>0</v>
      </c>
    </row>
    <row r="3698" spans="1:20" ht="27" customHeight="1" x14ac:dyDescent="0.25">
      <c r="A3698" s="8" t="s">
        <v>7554</v>
      </c>
      <c r="B3698" s="9"/>
      <c r="C3698" s="9"/>
      <c r="D3698" s="8"/>
      <c r="E3698" s="8"/>
      <c r="F3698" s="8"/>
      <c r="G3698" s="10"/>
      <c r="H3698" s="8" t="s">
        <v>7597</v>
      </c>
      <c r="I3698" s="10" t="s">
        <v>7598</v>
      </c>
      <c r="J3698" s="11" t="s">
        <v>33</v>
      </c>
      <c r="K3698" s="18">
        <v>45000</v>
      </c>
      <c r="L3698" s="12">
        <f>ROUNDUP(K3698*(1+P3698)/(1-Q3698),0)</f>
        <v>64286</v>
      </c>
      <c r="M3698" s="8">
        <v>1</v>
      </c>
      <c r="N3698" s="8" t="s">
        <v>27</v>
      </c>
      <c r="O3698" s="13"/>
      <c r="P3698" s="14">
        <v>0</v>
      </c>
      <c r="Q3698" s="15">
        <v>0.3</v>
      </c>
      <c r="R3698" s="16" t="str">
        <f t="shared" si="308"/>
        <v>OSRAM</v>
      </c>
      <c r="S3698" s="17"/>
      <c r="T3698" s="10"/>
    </row>
    <row r="3699" spans="1:20" ht="27" customHeight="1" x14ac:dyDescent="0.25">
      <c r="A3699" s="8" t="s">
        <v>7554</v>
      </c>
      <c r="B3699" s="9"/>
      <c r="C3699" s="9"/>
      <c r="D3699" s="8"/>
      <c r="E3699" s="8"/>
      <c r="F3699" s="8"/>
      <c r="G3699" s="10"/>
      <c r="H3699" s="8" t="s">
        <v>7599</v>
      </c>
      <c r="I3699" s="10" t="s">
        <v>7600</v>
      </c>
      <c r="J3699" s="11" t="s">
        <v>33</v>
      </c>
      <c r="K3699" s="18">
        <v>80000</v>
      </c>
      <c r="L3699" s="12">
        <f>ROUNDUP(K3699*(1+P3699)/(1-Q3699),0)</f>
        <v>114286</v>
      </c>
      <c r="M3699" s="8">
        <v>1</v>
      </c>
      <c r="N3699" s="8" t="s">
        <v>27</v>
      </c>
      <c r="O3699" s="13"/>
      <c r="P3699" s="14">
        <v>0</v>
      </c>
      <c r="Q3699" s="15">
        <v>0.3</v>
      </c>
      <c r="R3699" s="16" t="str">
        <f t="shared" si="308"/>
        <v>OSRAM</v>
      </c>
      <c r="S3699" s="17"/>
      <c r="T3699" s="10"/>
    </row>
    <row r="3700" spans="1:20" ht="27" customHeight="1" x14ac:dyDescent="0.25">
      <c r="A3700" s="8" t="s">
        <v>7554</v>
      </c>
      <c r="B3700" s="9"/>
      <c r="C3700" s="9"/>
      <c r="D3700" s="8"/>
      <c r="E3700" s="8"/>
      <c r="F3700" s="8"/>
      <c r="G3700" s="10"/>
      <c r="H3700" s="8" t="s">
        <v>7601</v>
      </c>
      <c r="I3700" s="10" t="s">
        <v>7602</v>
      </c>
      <c r="J3700" s="11" t="s">
        <v>26</v>
      </c>
      <c r="K3700" s="18">
        <v>85</v>
      </c>
      <c r="L3700" s="12">
        <f t="shared" ref="L3700:L3720" si="309">IF(J3700="P",ROUNDUP(K3700/(1-Q3700),-2),K3700*(1+P3700)/(1-Q3700))</f>
        <v>121.42857142857143</v>
      </c>
      <c r="M3700" s="8">
        <v>1</v>
      </c>
      <c r="N3700" s="8" t="s">
        <v>27</v>
      </c>
      <c r="O3700" s="13">
        <f>F3700</f>
        <v>0</v>
      </c>
      <c r="P3700" s="14">
        <v>0</v>
      </c>
      <c r="Q3700" s="15">
        <v>0.3</v>
      </c>
      <c r="R3700" s="16" t="str">
        <f t="shared" si="308"/>
        <v>OSRAM</v>
      </c>
      <c r="S3700" s="17"/>
      <c r="T3700" s="10"/>
    </row>
    <row r="3701" spans="1:20" ht="27" customHeight="1" x14ac:dyDescent="0.25">
      <c r="A3701" s="8" t="s">
        <v>7554</v>
      </c>
      <c r="B3701" s="9"/>
      <c r="C3701" s="9"/>
      <c r="D3701" s="8"/>
      <c r="E3701" s="8"/>
      <c r="F3701" s="8"/>
      <c r="G3701" s="10"/>
      <c r="H3701" s="8" t="s">
        <v>7603</v>
      </c>
      <c r="I3701" s="10" t="s">
        <v>7604</v>
      </c>
      <c r="J3701" s="11" t="s">
        <v>26</v>
      </c>
      <c r="K3701" s="18">
        <v>34</v>
      </c>
      <c r="L3701" s="12">
        <f t="shared" si="309"/>
        <v>42.5</v>
      </c>
      <c r="M3701" s="8">
        <v>1</v>
      </c>
      <c r="N3701" s="8" t="s">
        <v>27</v>
      </c>
      <c r="O3701" s="13" t="s">
        <v>588</v>
      </c>
      <c r="P3701" s="14">
        <v>0</v>
      </c>
      <c r="Q3701" s="15">
        <v>0.2</v>
      </c>
      <c r="R3701" s="16" t="str">
        <f t="shared" si="308"/>
        <v>OSRAM</v>
      </c>
      <c r="S3701" s="17"/>
      <c r="T3701" s="10"/>
    </row>
    <row r="3702" spans="1:20" ht="27" customHeight="1" x14ac:dyDescent="0.25">
      <c r="A3702" s="8" t="s">
        <v>7605</v>
      </c>
      <c r="B3702" s="9"/>
      <c r="C3702" s="9"/>
      <c r="D3702" s="8"/>
      <c r="E3702" s="8"/>
      <c r="F3702" s="8" t="s">
        <v>22</v>
      </c>
      <c r="G3702" s="10" t="s">
        <v>7606</v>
      </c>
      <c r="H3702" s="8" t="s">
        <v>7605</v>
      </c>
      <c r="I3702" s="10" t="s">
        <v>7606</v>
      </c>
      <c r="J3702" s="11" t="s">
        <v>26</v>
      </c>
      <c r="K3702" s="18">
        <v>149</v>
      </c>
      <c r="L3702" s="12">
        <f t="shared" si="309"/>
        <v>298</v>
      </c>
      <c r="M3702" s="8">
        <v>1</v>
      </c>
      <c r="N3702" s="8" t="s">
        <v>27</v>
      </c>
      <c r="O3702" s="13"/>
      <c r="P3702" s="14">
        <v>0.2</v>
      </c>
      <c r="Q3702" s="15">
        <v>0.4</v>
      </c>
      <c r="R3702" s="16" t="str">
        <f t="shared" si="308"/>
        <v>OXA</v>
      </c>
      <c r="S3702" s="17"/>
      <c r="T3702" s="10" t="str">
        <f t="shared" ref="T3702:T3708" si="310">G3702</f>
        <v>SISTEMA DE ALARMA PARA MONITOREO A TRÁVEZ DE RED WIFI</v>
      </c>
    </row>
    <row r="3703" spans="1:20" ht="27" customHeight="1" x14ac:dyDescent="0.25">
      <c r="A3703" s="8" t="s">
        <v>7607</v>
      </c>
      <c r="B3703" s="9"/>
      <c r="C3703" s="9"/>
      <c r="D3703" s="8"/>
      <c r="E3703" s="8"/>
      <c r="F3703" s="8" t="s">
        <v>22</v>
      </c>
      <c r="G3703" s="10" t="s">
        <v>7608</v>
      </c>
      <c r="H3703" s="8" t="s">
        <v>7609</v>
      </c>
      <c r="I3703" s="10" t="s">
        <v>7608</v>
      </c>
      <c r="J3703" s="11" t="s">
        <v>26</v>
      </c>
      <c r="K3703" s="18">
        <v>13</v>
      </c>
      <c r="L3703" s="12">
        <f t="shared" si="309"/>
        <v>31.2</v>
      </c>
      <c r="M3703" s="8">
        <v>1</v>
      </c>
      <c r="N3703" s="8" t="s">
        <v>27</v>
      </c>
      <c r="O3703" s="13"/>
      <c r="P3703" s="14">
        <v>0.2</v>
      </c>
      <c r="Q3703" s="15">
        <v>0.5</v>
      </c>
      <c r="R3703" s="16" t="str">
        <f t="shared" si="308"/>
        <v>PAC</v>
      </c>
      <c r="S3703" s="17"/>
      <c r="T3703" s="10" t="str">
        <f t="shared" si="310"/>
        <v>CONVERTIDOR DE IMPEDANCIAS PARA SALIDA DE AMPLIFICADORES</v>
      </c>
    </row>
    <row r="3704" spans="1:20" ht="27" customHeight="1" x14ac:dyDescent="0.25">
      <c r="A3704" s="8" t="s">
        <v>7610</v>
      </c>
      <c r="B3704" s="9" t="s">
        <v>2277</v>
      </c>
      <c r="C3704" s="9"/>
      <c r="D3704" s="8" t="s">
        <v>595</v>
      </c>
      <c r="E3704" s="8">
        <v>1</v>
      </c>
      <c r="F3704" s="8" t="s">
        <v>22</v>
      </c>
      <c r="G3704" s="10" t="s">
        <v>7611</v>
      </c>
      <c r="H3704" s="8" t="s">
        <v>7612</v>
      </c>
      <c r="I3704" s="10" t="s">
        <v>7613</v>
      </c>
      <c r="J3704" s="11" t="s">
        <v>26</v>
      </c>
      <c r="K3704" s="18">
        <v>388</v>
      </c>
      <c r="L3704" s="12">
        <f t="shared" si="309"/>
        <v>581.99999999999989</v>
      </c>
      <c r="M3704" s="8">
        <v>1</v>
      </c>
      <c r="N3704" s="8" t="s">
        <v>27</v>
      </c>
      <c r="O3704" s="13"/>
      <c r="P3704" s="14">
        <v>0.2</v>
      </c>
      <c r="Q3704" s="15">
        <v>0.2</v>
      </c>
      <c r="R3704" s="16" t="str">
        <f t="shared" si="308"/>
        <v>PANAMAX</v>
      </c>
      <c r="S3704" s="17"/>
      <c r="T3704" s="10" t="str">
        <f t="shared" si="310"/>
        <v>UPS DE 600 VA, 360 VATIOS, 2 UNIDADES DE RACK.</v>
      </c>
    </row>
    <row r="3705" spans="1:20" ht="27" customHeight="1" x14ac:dyDescent="0.25">
      <c r="A3705" s="8" t="s">
        <v>7610</v>
      </c>
      <c r="B3705" s="9" t="s">
        <v>2277</v>
      </c>
      <c r="C3705" s="9"/>
      <c r="D3705" s="8" t="s">
        <v>595</v>
      </c>
      <c r="E3705" s="8">
        <v>1</v>
      </c>
      <c r="F3705" s="8" t="s">
        <v>22</v>
      </c>
      <c r="G3705" s="10" t="s">
        <v>7614</v>
      </c>
      <c r="H3705" s="8" t="s">
        <v>7615</v>
      </c>
      <c r="I3705" s="10" t="s">
        <v>7616</v>
      </c>
      <c r="J3705" s="11" t="s">
        <v>26</v>
      </c>
      <c r="K3705" s="18">
        <v>500</v>
      </c>
      <c r="L3705" s="12">
        <f t="shared" si="309"/>
        <v>750</v>
      </c>
      <c r="M3705" s="8">
        <v>2</v>
      </c>
      <c r="N3705" s="8" t="s">
        <v>27</v>
      </c>
      <c r="O3705" s="13"/>
      <c r="P3705" s="14">
        <v>0.2</v>
      </c>
      <c r="Q3705" s="15">
        <v>0.2</v>
      </c>
      <c r="R3705" s="16" t="str">
        <f t="shared" si="308"/>
        <v>PANAMAX</v>
      </c>
      <c r="S3705" s="17"/>
      <c r="T3705" s="10" t="str">
        <f t="shared" si="310"/>
        <v>UPS DE 1000VA, 360 VATIOS, 2 UNIDADES DE RACK.</v>
      </c>
    </row>
    <row r="3706" spans="1:20" ht="27" customHeight="1" x14ac:dyDescent="0.25">
      <c r="A3706" s="8" t="s">
        <v>7610</v>
      </c>
      <c r="B3706" s="9"/>
      <c r="C3706" s="9"/>
      <c r="D3706" s="8" t="s">
        <v>45</v>
      </c>
      <c r="E3706" s="8"/>
      <c r="F3706" s="8" t="s">
        <v>22</v>
      </c>
      <c r="G3706" s="10" t="s">
        <v>7617</v>
      </c>
      <c r="H3706" s="8" t="s">
        <v>7618</v>
      </c>
      <c r="I3706" s="10" t="s">
        <v>7617</v>
      </c>
      <c r="J3706" s="11" t="s">
        <v>26</v>
      </c>
      <c r="K3706" s="18">
        <v>469</v>
      </c>
      <c r="L3706" s="12">
        <f t="shared" si="309"/>
        <v>938</v>
      </c>
      <c r="M3706" s="8">
        <v>1</v>
      </c>
      <c r="N3706" s="8" t="s">
        <v>27</v>
      </c>
      <c r="O3706" s="13"/>
      <c r="P3706" s="14">
        <v>0.2</v>
      </c>
      <c r="Q3706" s="15">
        <v>0.4</v>
      </c>
      <c r="R3706" s="16" t="str">
        <f t="shared" si="308"/>
        <v>PANAMAX</v>
      </c>
      <c r="S3706" s="17"/>
      <c r="T3706" s="10" t="str">
        <f t="shared" si="310"/>
        <v>UPS DE 11 SALIDAS, CARGA USB Y DISPLAY DE SALIDA</v>
      </c>
    </row>
    <row r="3707" spans="1:20" ht="27" customHeight="1" x14ac:dyDescent="0.25">
      <c r="A3707" s="8" t="s">
        <v>7619</v>
      </c>
      <c r="B3707" s="9"/>
      <c r="C3707" s="9"/>
      <c r="D3707" s="8"/>
      <c r="E3707" s="8"/>
      <c r="F3707" s="8" t="s">
        <v>22</v>
      </c>
      <c r="G3707" s="10" t="s">
        <v>7620</v>
      </c>
      <c r="H3707" s="8" t="s">
        <v>7621</v>
      </c>
      <c r="I3707" s="10" t="s">
        <v>7620</v>
      </c>
      <c r="J3707" s="11" t="s">
        <v>33</v>
      </c>
      <c r="K3707" s="18">
        <v>50000</v>
      </c>
      <c r="L3707" s="12">
        <f t="shared" si="309"/>
        <v>71500</v>
      </c>
      <c r="M3707" s="8">
        <v>1</v>
      </c>
      <c r="N3707" s="8" t="s">
        <v>27</v>
      </c>
      <c r="O3707" s="13"/>
      <c r="P3707" s="14">
        <v>0.2</v>
      </c>
      <c r="Q3707" s="15">
        <v>0.3</v>
      </c>
      <c r="R3707" s="16" t="str">
        <f t="shared" si="308"/>
        <v>PANASONIC</v>
      </c>
      <c r="S3707" s="17"/>
      <c r="T3707" s="10" t="str">
        <f t="shared" si="310"/>
        <v>TELÉFONO PANASONIC PARA CITÓFONO</v>
      </c>
    </row>
    <row r="3708" spans="1:20" ht="27" customHeight="1" x14ac:dyDescent="0.25">
      <c r="A3708" s="8" t="s">
        <v>7619</v>
      </c>
      <c r="B3708" s="9"/>
      <c r="C3708" s="9"/>
      <c r="D3708" s="8"/>
      <c r="E3708" s="8"/>
      <c r="F3708" s="8" t="s">
        <v>22</v>
      </c>
      <c r="G3708" s="10" t="s">
        <v>7622</v>
      </c>
      <c r="H3708" s="8" t="s">
        <v>7623</v>
      </c>
      <c r="I3708" s="10" t="s">
        <v>7622</v>
      </c>
      <c r="J3708" s="11" t="s">
        <v>33</v>
      </c>
      <c r="K3708" s="18">
        <v>290000</v>
      </c>
      <c r="L3708" s="12">
        <f t="shared" si="309"/>
        <v>362500</v>
      </c>
      <c r="M3708" s="8">
        <v>1</v>
      </c>
      <c r="N3708" s="8" t="s">
        <v>27</v>
      </c>
      <c r="O3708" s="13"/>
      <c r="P3708" s="14">
        <v>0.2</v>
      </c>
      <c r="Q3708" s="15">
        <v>0.2</v>
      </c>
      <c r="R3708" s="16" t="str">
        <f t="shared" si="308"/>
        <v>PANASONIC</v>
      </c>
      <c r="S3708" s="17"/>
      <c r="T3708" s="10" t="str">
        <f t="shared" si="310"/>
        <v>BLU-RAY FULL HD CON SALIDA HDMI Y LECTOR USB</v>
      </c>
    </row>
    <row r="3709" spans="1:20" ht="27" customHeight="1" x14ac:dyDescent="0.25">
      <c r="A3709" s="8" t="s">
        <v>7619</v>
      </c>
      <c r="B3709" s="9"/>
      <c r="C3709" s="9"/>
      <c r="D3709" s="8"/>
      <c r="E3709" s="8"/>
      <c r="F3709" s="8"/>
      <c r="G3709" s="10"/>
      <c r="H3709" s="8" t="s">
        <v>7624</v>
      </c>
      <c r="I3709" s="10" t="s">
        <v>7625</v>
      </c>
      <c r="J3709" s="11" t="s">
        <v>26</v>
      </c>
      <c r="K3709" s="18">
        <v>699</v>
      </c>
      <c r="L3709" s="12">
        <f t="shared" si="309"/>
        <v>998.57142857142867</v>
      </c>
      <c r="M3709" s="8">
        <v>1</v>
      </c>
      <c r="N3709" s="8" t="s">
        <v>27</v>
      </c>
      <c r="O3709" s="13"/>
      <c r="P3709" s="14">
        <v>0</v>
      </c>
      <c r="Q3709" s="15">
        <v>0.3</v>
      </c>
      <c r="R3709" s="16" t="str">
        <f t="shared" si="308"/>
        <v>PANASONIC</v>
      </c>
      <c r="S3709" s="17"/>
      <c r="T3709" s="10"/>
    </row>
    <row r="3710" spans="1:20" ht="27" customHeight="1" x14ac:dyDescent="0.25">
      <c r="A3710" s="8" t="s">
        <v>7619</v>
      </c>
      <c r="B3710" s="9"/>
      <c r="C3710" s="9"/>
      <c r="D3710" s="8"/>
      <c r="E3710" s="8"/>
      <c r="F3710" s="8"/>
      <c r="G3710" s="10"/>
      <c r="H3710" s="8" t="s">
        <v>7626</v>
      </c>
      <c r="I3710" s="10" t="s">
        <v>7627</v>
      </c>
      <c r="J3710" s="11" t="s">
        <v>26</v>
      </c>
      <c r="K3710" s="18">
        <v>1000</v>
      </c>
      <c r="L3710" s="12">
        <f t="shared" si="309"/>
        <v>1538.4615384615383</v>
      </c>
      <c r="M3710" s="8">
        <v>1</v>
      </c>
      <c r="N3710" s="8" t="s">
        <v>27</v>
      </c>
      <c r="O3710" s="13"/>
      <c r="P3710" s="14">
        <v>0</v>
      </c>
      <c r="Q3710" s="15">
        <v>0.35</v>
      </c>
      <c r="R3710" s="16" t="str">
        <f t="shared" si="308"/>
        <v>PANASONIC</v>
      </c>
      <c r="S3710" s="17"/>
      <c r="T3710" s="10"/>
    </row>
    <row r="3711" spans="1:20" ht="27" customHeight="1" x14ac:dyDescent="0.25">
      <c r="A3711" s="8" t="s">
        <v>7619</v>
      </c>
      <c r="B3711" s="9"/>
      <c r="C3711" s="9"/>
      <c r="D3711" s="8"/>
      <c r="E3711" s="8"/>
      <c r="F3711" s="8"/>
      <c r="G3711" s="10"/>
      <c r="H3711" s="8" t="s">
        <v>7628</v>
      </c>
      <c r="I3711" s="10" t="s">
        <v>7629</v>
      </c>
      <c r="J3711" s="11" t="s">
        <v>26</v>
      </c>
      <c r="K3711" s="18">
        <v>550</v>
      </c>
      <c r="L3711" s="12">
        <f t="shared" si="309"/>
        <v>687.5</v>
      </c>
      <c r="M3711" s="8">
        <v>1</v>
      </c>
      <c r="N3711" s="8" t="s">
        <v>27</v>
      </c>
      <c r="O3711" s="13"/>
      <c r="P3711" s="14">
        <v>0</v>
      </c>
      <c r="Q3711" s="15">
        <v>0.2</v>
      </c>
      <c r="R3711" s="16" t="str">
        <f t="shared" si="308"/>
        <v>PANASONIC</v>
      </c>
      <c r="S3711" s="17"/>
      <c r="T3711" s="10"/>
    </row>
    <row r="3712" spans="1:20" ht="27" customHeight="1" x14ac:dyDescent="0.25">
      <c r="A3712" s="8" t="s">
        <v>7619</v>
      </c>
      <c r="B3712" s="9"/>
      <c r="C3712" s="9"/>
      <c r="D3712" s="8"/>
      <c r="E3712" s="8"/>
      <c r="F3712" s="8"/>
      <c r="G3712" s="10"/>
      <c r="H3712" s="8" t="s">
        <v>7630</v>
      </c>
      <c r="I3712" s="10" t="s">
        <v>7631</v>
      </c>
      <c r="J3712" s="11" t="s">
        <v>26</v>
      </c>
      <c r="K3712" s="18">
        <v>2100</v>
      </c>
      <c r="L3712" s="12">
        <f t="shared" si="309"/>
        <v>3500</v>
      </c>
      <c r="M3712" s="8">
        <v>1</v>
      </c>
      <c r="N3712" s="8" t="s">
        <v>27</v>
      </c>
      <c r="O3712" s="13"/>
      <c r="P3712" s="14">
        <v>0</v>
      </c>
      <c r="Q3712" s="15">
        <v>0.4</v>
      </c>
      <c r="R3712" s="16" t="str">
        <f t="shared" si="308"/>
        <v>PANASONIC</v>
      </c>
      <c r="S3712" s="17"/>
      <c r="T3712" s="10"/>
    </row>
    <row r="3713" spans="1:20" ht="27" customHeight="1" x14ac:dyDescent="0.25">
      <c r="A3713" s="8" t="s">
        <v>7619</v>
      </c>
      <c r="B3713" s="9"/>
      <c r="C3713" s="9"/>
      <c r="D3713" s="8"/>
      <c r="E3713" s="8"/>
      <c r="F3713" s="8"/>
      <c r="G3713" s="10"/>
      <c r="H3713" s="8" t="s">
        <v>7628</v>
      </c>
      <c r="I3713" s="10" t="s">
        <v>7632</v>
      </c>
      <c r="J3713" s="11" t="s">
        <v>26</v>
      </c>
      <c r="K3713" s="18">
        <v>575</v>
      </c>
      <c r="L3713" s="12">
        <f t="shared" si="309"/>
        <v>821.42857142857144</v>
      </c>
      <c r="M3713" s="8">
        <v>1</v>
      </c>
      <c r="N3713" s="8" t="s">
        <v>27</v>
      </c>
      <c r="O3713" s="13"/>
      <c r="P3713" s="14">
        <v>0</v>
      </c>
      <c r="Q3713" s="15">
        <v>0.3</v>
      </c>
      <c r="R3713" s="16" t="str">
        <f t="shared" si="308"/>
        <v>PANASONIC</v>
      </c>
      <c r="S3713" s="17"/>
      <c r="T3713" s="10"/>
    </row>
    <row r="3714" spans="1:20" ht="27" customHeight="1" x14ac:dyDescent="0.25">
      <c r="A3714" s="8" t="s">
        <v>7633</v>
      </c>
      <c r="B3714" s="9"/>
      <c r="C3714" s="9"/>
      <c r="D3714" s="8"/>
      <c r="E3714" s="8"/>
      <c r="F3714" s="8" t="s">
        <v>22</v>
      </c>
      <c r="G3714" s="10" t="s">
        <v>7634</v>
      </c>
      <c r="H3714" s="8" t="s">
        <v>7635</v>
      </c>
      <c r="I3714" s="10" t="s">
        <v>7634</v>
      </c>
      <c r="J3714" s="11" t="s">
        <v>33</v>
      </c>
      <c r="K3714" s="18">
        <v>6800</v>
      </c>
      <c r="L3714" s="12">
        <f t="shared" si="309"/>
        <v>9800</v>
      </c>
      <c r="M3714" s="8">
        <v>1</v>
      </c>
      <c r="N3714" s="8" t="s">
        <v>27</v>
      </c>
      <c r="O3714" s="13"/>
      <c r="P3714" s="14">
        <v>0</v>
      </c>
      <c r="Q3714" s="15">
        <v>0.3</v>
      </c>
      <c r="R3714" s="16" t="str">
        <f t="shared" si="308"/>
        <v>PANDUIT</v>
      </c>
      <c r="S3714" s="17"/>
      <c r="T3714" s="10" t="str">
        <f t="shared" ref="T3714:T3720" si="311">G3714</f>
        <v>TERMINAL EN OJO DE PONCHAR PARA CABLE AWG 4/0</v>
      </c>
    </row>
    <row r="3715" spans="1:20" ht="27" customHeight="1" x14ac:dyDescent="0.25">
      <c r="A3715" s="8" t="s">
        <v>7633</v>
      </c>
      <c r="B3715" s="9"/>
      <c r="C3715" s="9"/>
      <c r="D3715" s="8"/>
      <c r="E3715" s="8"/>
      <c r="F3715" s="8" t="s">
        <v>22</v>
      </c>
      <c r="G3715" s="10" t="s">
        <v>7636</v>
      </c>
      <c r="H3715" s="8" t="s">
        <v>7637</v>
      </c>
      <c r="I3715" s="10" t="s">
        <v>7636</v>
      </c>
      <c r="J3715" s="11" t="s">
        <v>33</v>
      </c>
      <c r="K3715" s="18">
        <v>4400</v>
      </c>
      <c r="L3715" s="12">
        <f t="shared" si="309"/>
        <v>6300</v>
      </c>
      <c r="M3715" s="8">
        <v>1</v>
      </c>
      <c r="N3715" s="8" t="s">
        <v>27</v>
      </c>
      <c r="O3715" s="13"/>
      <c r="P3715" s="14">
        <v>0</v>
      </c>
      <c r="Q3715" s="15">
        <v>0.3</v>
      </c>
      <c r="R3715" s="16" t="str">
        <f t="shared" si="308"/>
        <v>PANDUIT</v>
      </c>
      <c r="S3715" s="17"/>
      <c r="T3715" s="10" t="str">
        <f t="shared" si="311"/>
        <v>TERMINAL EN OJO DE PONCHAR PARA CABLE AWG 1/0</v>
      </c>
    </row>
    <row r="3716" spans="1:20" ht="27" customHeight="1" x14ac:dyDescent="0.25">
      <c r="A3716" s="8" t="s">
        <v>7633</v>
      </c>
      <c r="B3716" s="9"/>
      <c r="C3716" s="9"/>
      <c r="D3716" s="8"/>
      <c r="E3716" s="8"/>
      <c r="F3716" s="8" t="s">
        <v>22</v>
      </c>
      <c r="G3716" s="10" t="s">
        <v>7638</v>
      </c>
      <c r="H3716" s="8" t="s">
        <v>7639</v>
      </c>
      <c r="I3716" s="10" t="s">
        <v>7638</v>
      </c>
      <c r="J3716" s="11" t="s">
        <v>33</v>
      </c>
      <c r="K3716" s="18">
        <v>2800</v>
      </c>
      <c r="L3716" s="12">
        <f t="shared" si="309"/>
        <v>4000</v>
      </c>
      <c r="M3716" s="8">
        <v>1</v>
      </c>
      <c r="N3716" s="8" t="s">
        <v>27</v>
      </c>
      <c r="O3716" s="13"/>
      <c r="P3716" s="14">
        <v>0</v>
      </c>
      <c r="Q3716" s="15">
        <v>0.3</v>
      </c>
      <c r="R3716" s="16" t="str">
        <f t="shared" si="308"/>
        <v>PANDUIT</v>
      </c>
      <c r="S3716" s="17"/>
      <c r="T3716" s="10" t="str">
        <f t="shared" si="311"/>
        <v>TERMINAL EN OJO DE PONCHAR PARA CABLE AWG 2</v>
      </c>
    </row>
    <row r="3717" spans="1:20" ht="27" customHeight="1" x14ac:dyDescent="0.25">
      <c r="A3717" s="8" t="s">
        <v>7633</v>
      </c>
      <c r="B3717" s="9"/>
      <c r="C3717" s="9"/>
      <c r="D3717" s="8"/>
      <c r="E3717" s="8"/>
      <c r="F3717" s="8" t="s">
        <v>22</v>
      </c>
      <c r="G3717" s="10" t="s">
        <v>7640</v>
      </c>
      <c r="H3717" s="8" t="s">
        <v>7641</v>
      </c>
      <c r="I3717" s="10" t="s">
        <v>7640</v>
      </c>
      <c r="J3717" s="11" t="s">
        <v>33</v>
      </c>
      <c r="K3717" s="18">
        <v>1960</v>
      </c>
      <c r="L3717" s="12">
        <f t="shared" si="309"/>
        <v>2800</v>
      </c>
      <c r="M3717" s="8">
        <v>1</v>
      </c>
      <c r="N3717" s="8" t="s">
        <v>27</v>
      </c>
      <c r="O3717" s="13"/>
      <c r="P3717" s="14">
        <v>0</v>
      </c>
      <c r="Q3717" s="15">
        <v>0.3</v>
      </c>
      <c r="R3717" s="16" t="str">
        <f t="shared" si="308"/>
        <v>PANDUIT</v>
      </c>
      <c r="S3717" s="17"/>
      <c r="T3717" s="10" t="str">
        <f t="shared" si="311"/>
        <v>TERMINAL EN OJO DE PONCHAR PARA CABLE AWG 4</v>
      </c>
    </row>
    <row r="3718" spans="1:20" ht="27" customHeight="1" x14ac:dyDescent="0.25">
      <c r="A3718" s="8" t="s">
        <v>7633</v>
      </c>
      <c r="B3718" s="9"/>
      <c r="C3718" s="9"/>
      <c r="D3718" s="8"/>
      <c r="E3718" s="8"/>
      <c r="F3718" s="8" t="s">
        <v>22</v>
      </c>
      <c r="G3718" s="10" t="s">
        <v>7642</v>
      </c>
      <c r="H3718" s="8" t="s">
        <v>7643</v>
      </c>
      <c r="I3718" s="10" t="s">
        <v>7642</v>
      </c>
      <c r="J3718" s="11" t="s">
        <v>33</v>
      </c>
      <c r="K3718" s="18">
        <v>1612</v>
      </c>
      <c r="L3718" s="12">
        <f t="shared" si="309"/>
        <v>2400</v>
      </c>
      <c r="M3718" s="8">
        <v>1</v>
      </c>
      <c r="N3718" s="8" t="s">
        <v>27</v>
      </c>
      <c r="O3718" s="13"/>
      <c r="P3718" s="14">
        <v>0</v>
      </c>
      <c r="Q3718" s="15">
        <v>0.3</v>
      </c>
      <c r="R3718" s="16" t="str">
        <f t="shared" si="308"/>
        <v>PANDUIT</v>
      </c>
      <c r="S3718" s="17"/>
      <c r="T3718" s="10" t="str">
        <f t="shared" si="311"/>
        <v>TERMINAL EN OJO DE PONCHAR PARA CABLE AWG 6</v>
      </c>
    </row>
    <row r="3719" spans="1:20" ht="27" customHeight="1" x14ac:dyDescent="0.25">
      <c r="A3719" s="8" t="s">
        <v>7633</v>
      </c>
      <c r="B3719" s="9"/>
      <c r="C3719" s="9"/>
      <c r="D3719" s="8"/>
      <c r="E3719" s="8"/>
      <c r="F3719" s="8" t="s">
        <v>22</v>
      </c>
      <c r="G3719" s="10" t="s">
        <v>7644</v>
      </c>
      <c r="H3719" s="8" t="s">
        <v>7645</v>
      </c>
      <c r="I3719" s="10" t="s">
        <v>7644</v>
      </c>
      <c r="J3719" s="11" t="s">
        <v>33</v>
      </c>
      <c r="K3719" s="18">
        <v>1360</v>
      </c>
      <c r="L3719" s="12">
        <f t="shared" si="309"/>
        <v>2000</v>
      </c>
      <c r="M3719" s="8">
        <v>1</v>
      </c>
      <c r="N3719" s="8" t="s">
        <v>27</v>
      </c>
      <c r="O3719" s="13"/>
      <c r="P3719" s="14">
        <v>0</v>
      </c>
      <c r="Q3719" s="15">
        <v>0.3</v>
      </c>
      <c r="R3719" s="16" t="str">
        <f t="shared" si="308"/>
        <v>PANDUIT</v>
      </c>
      <c r="S3719" s="17"/>
      <c r="T3719" s="10" t="str">
        <f t="shared" si="311"/>
        <v>TERMINAL EN OJO DE PONCHAR PARA CABLE AWG 8</v>
      </c>
    </row>
    <row r="3720" spans="1:20" ht="27" customHeight="1" x14ac:dyDescent="0.25">
      <c r="A3720" s="8" t="s">
        <v>7646</v>
      </c>
      <c r="B3720" s="9"/>
      <c r="C3720" s="9"/>
      <c r="D3720" s="8"/>
      <c r="E3720" s="8"/>
      <c r="F3720" s="8" t="s">
        <v>22</v>
      </c>
      <c r="G3720" s="10" t="s">
        <v>7647</v>
      </c>
      <c r="H3720" s="8" t="s">
        <v>7648</v>
      </c>
      <c r="I3720" s="10" t="s">
        <v>7647</v>
      </c>
      <c r="J3720" s="11" t="s">
        <v>33</v>
      </c>
      <c r="K3720" s="18">
        <v>28000</v>
      </c>
      <c r="L3720" s="12">
        <f t="shared" si="309"/>
        <v>46700</v>
      </c>
      <c r="M3720" s="8">
        <v>1</v>
      </c>
      <c r="N3720" s="8" t="s">
        <v>27</v>
      </c>
      <c r="O3720" s="13"/>
      <c r="P3720" s="14">
        <v>0.2</v>
      </c>
      <c r="Q3720" s="15">
        <v>0.4</v>
      </c>
      <c r="R3720" s="16" t="str">
        <f t="shared" si="308"/>
        <v>PANELROCK</v>
      </c>
      <c r="S3720" s="17"/>
      <c r="T3720" s="10" t="str">
        <f t="shared" si="311"/>
        <v>CANECA DE MASILLA</v>
      </c>
    </row>
    <row r="3721" spans="1:20" ht="27" customHeight="1" x14ac:dyDescent="0.25">
      <c r="A3721" s="8" t="s">
        <v>7649</v>
      </c>
      <c r="B3721" s="9"/>
      <c r="C3721" s="9"/>
      <c r="D3721" s="8"/>
      <c r="E3721" s="8"/>
      <c r="F3721" s="8"/>
      <c r="G3721" s="10"/>
      <c r="H3721" s="8" t="s">
        <v>7650</v>
      </c>
      <c r="I3721" s="10" t="s">
        <v>7651</v>
      </c>
      <c r="J3721" s="11" t="s">
        <v>33</v>
      </c>
      <c r="K3721" s="18">
        <v>3263265.06</v>
      </c>
      <c r="L3721" s="12">
        <f>K3721*(1+P3721)/(1-Q3721)</f>
        <v>4449906.9000368211</v>
      </c>
      <c r="M3721" s="8">
        <v>1</v>
      </c>
      <c r="N3721" s="8" t="s">
        <v>27</v>
      </c>
      <c r="O3721" s="13"/>
      <c r="P3721" s="14">
        <v>0</v>
      </c>
      <c r="Q3721" s="15">
        <v>0.26666666667273459</v>
      </c>
      <c r="R3721" s="16" t="str">
        <f t="shared" si="308"/>
        <v>PANORAMA</v>
      </c>
      <c r="S3721" s="17"/>
      <c r="T3721" s="10"/>
    </row>
    <row r="3722" spans="1:20" ht="27" customHeight="1" x14ac:dyDescent="0.25">
      <c r="A3722" s="8" t="s">
        <v>7649</v>
      </c>
      <c r="B3722" s="9"/>
      <c r="C3722" s="9"/>
      <c r="D3722" s="8"/>
      <c r="E3722" s="8"/>
      <c r="F3722" s="8"/>
      <c r="G3722" s="10"/>
      <c r="H3722" s="8" t="s">
        <v>7652</v>
      </c>
      <c r="I3722" s="10" t="s">
        <v>7653</v>
      </c>
      <c r="J3722" s="11" t="s">
        <v>33</v>
      </c>
      <c r="K3722" s="18">
        <v>6000000</v>
      </c>
      <c r="L3722" s="12">
        <f>IF(J3722="P",ROUNDUP(K3722/(1-Q3722),-2),K3722*(1+P3722)/(1-Q3722))</f>
        <v>8571500</v>
      </c>
      <c r="M3722" s="8">
        <v>1</v>
      </c>
      <c r="N3722" s="8" t="s">
        <v>27</v>
      </c>
      <c r="O3722" s="13"/>
      <c r="P3722" s="14">
        <v>0</v>
      </c>
      <c r="Q3722" s="15">
        <v>0.3</v>
      </c>
      <c r="R3722" s="16" t="str">
        <f t="shared" si="308"/>
        <v>PANORAMA</v>
      </c>
      <c r="S3722" s="17"/>
      <c r="T3722" s="10"/>
    </row>
    <row r="3723" spans="1:20" ht="27" customHeight="1" x14ac:dyDescent="0.25">
      <c r="A3723" s="8" t="s">
        <v>7654</v>
      </c>
      <c r="B3723" s="9"/>
      <c r="C3723" s="9"/>
      <c r="D3723" s="8"/>
      <c r="E3723" s="8"/>
      <c r="F3723" s="8" t="s">
        <v>22</v>
      </c>
      <c r="G3723" s="10" t="s">
        <v>7655</v>
      </c>
      <c r="H3723" s="8" t="s">
        <v>7656</v>
      </c>
      <c r="I3723" s="10" t="s">
        <v>7655</v>
      </c>
      <c r="J3723" s="11" t="s">
        <v>33</v>
      </c>
      <c r="K3723" s="18">
        <v>2500</v>
      </c>
      <c r="L3723" s="12">
        <f>IF(J3723="P",ROUNDUP(K3723/(1-Q3723),-2),K3723*(1+P3723)/(1-Q3723))</f>
        <v>3600</v>
      </c>
      <c r="M3723" s="8">
        <v>1</v>
      </c>
      <c r="N3723" s="8" t="s">
        <v>27</v>
      </c>
      <c r="O3723" s="13"/>
      <c r="P3723" s="14">
        <v>0.2</v>
      </c>
      <c r="Q3723" s="15">
        <v>0.3</v>
      </c>
      <c r="R3723" s="16" t="str">
        <f t="shared" si="308"/>
        <v>PAVCO</v>
      </c>
      <c r="S3723" s="17"/>
      <c r="T3723" s="10" t="str">
        <f>G3723</f>
        <v>CAJA 2400 EN PVC</v>
      </c>
    </row>
    <row r="3724" spans="1:20" ht="27" customHeight="1" x14ac:dyDescent="0.25">
      <c r="A3724" s="8" t="s">
        <v>7654</v>
      </c>
      <c r="B3724" s="9"/>
      <c r="C3724" s="9"/>
      <c r="D3724" s="8"/>
      <c r="E3724" s="8"/>
      <c r="F3724" s="8" t="s">
        <v>22</v>
      </c>
      <c r="G3724" s="10" t="s">
        <v>7657</v>
      </c>
      <c r="H3724" s="8" t="s">
        <v>7658</v>
      </c>
      <c r="I3724" s="10" t="s">
        <v>7657</v>
      </c>
      <c r="J3724" s="11" t="s">
        <v>33</v>
      </c>
      <c r="K3724" s="18">
        <v>400</v>
      </c>
      <c r="L3724" s="12">
        <f>IF(J3724="P",ROUNDUP(K3724/(1-Q3724),-2),K3724*(1+P3724)/(1-Q3724))</f>
        <v>700</v>
      </c>
      <c r="M3724" s="8">
        <v>1</v>
      </c>
      <c r="N3724" s="8" t="s">
        <v>27</v>
      </c>
      <c r="O3724" s="13" t="s">
        <v>588</v>
      </c>
      <c r="P3724" s="14">
        <v>0</v>
      </c>
      <c r="Q3724" s="15">
        <v>0.4</v>
      </c>
      <c r="R3724" s="16" t="str">
        <f t="shared" si="308"/>
        <v>PAVCO</v>
      </c>
      <c r="S3724" s="17"/>
      <c r="T3724" s="10" t="str">
        <f>G3724</f>
        <v>CURVA PARA TUBO PVC DE 3/4 DE PULGADA</v>
      </c>
    </row>
    <row r="3725" spans="1:20" ht="27" customHeight="1" x14ac:dyDescent="0.25">
      <c r="A3725" s="8" t="s">
        <v>7659</v>
      </c>
      <c r="B3725" s="9"/>
      <c r="C3725" s="9"/>
      <c r="D3725" s="8"/>
      <c r="E3725" s="8"/>
      <c r="F3725" s="8"/>
      <c r="G3725" s="10"/>
      <c r="H3725" s="8" t="s">
        <v>7660</v>
      </c>
      <c r="I3725" s="10" t="s">
        <v>7661</v>
      </c>
      <c r="J3725" s="11" t="s">
        <v>33</v>
      </c>
      <c r="K3725" s="18">
        <v>13000</v>
      </c>
      <c r="L3725" s="12">
        <f>K3725*(1+P3725)/(1-Q3725)</f>
        <v>21666.666666666668</v>
      </c>
      <c r="M3725" s="8">
        <v>1</v>
      </c>
      <c r="N3725" s="8" t="s">
        <v>27</v>
      </c>
      <c r="O3725" s="13"/>
      <c r="P3725" s="14">
        <v>0</v>
      </c>
      <c r="Q3725" s="15">
        <v>0.4</v>
      </c>
      <c r="R3725" s="16" t="str">
        <f t="shared" si="308"/>
        <v>PG</v>
      </c>
      <c r="S3725" s="17"/>
      <c r="T3725" s="10"/>
    </row>
    <row r="3726" spans="1:20" ht="27" customHeight="1" x14ac:dyDescent="0.25">
      <c r="A3726" s="8" t="s">
        <v>7662</v>
      </c>
      <c r="B3726" s="9" t="s">
        <v>7662</v>
      </c>
      <c r="C3726" s="9"/>
      <c r="D3726" s="8" t="s">
        <v>184</v>
      </c>
      <c r="E3726" s="8"/>
      <c r="F3726" s="8" t="s">
        <v>22</v>
      </c>
      <c r="G3726" s="10" t="s">
        <v>7663</v>
      </c>
      <c r="H3726" s="8" t="s">
        <v>7664</v>
      </c>
      <c r="I3726" s="10" t="s">
        <v>7663</v>
      </c>
      <c r="J3726" s="11" t="s">
        <v>33</v>
      </c>
      <c r="K3726" s="18">
        <v>31150</v>
      </c>
      <c r="L3726" s="12">
        <f t="shared" ref="L3726:L3745" si="312">IF(J3726="P",ROUNDUP(K3726/(1-Q3726),-2),K3726*(1+P3726)/(1-Q3726))</f>
        <v>44500</v>
      </c>
      <c r="M3726" s="8">
        <v>1</v>
      </c>
      <c r="N3726" s="8" t="s">
        <v>27</v>
      </c>
      <c r="O3726" s="13"/>
      <c r="P3726" s="14">
        <v>0.2</v>
      </c>
      <c r="Q3726" s="15">
        <v>0.3</v>
      </c>
      <c r="R3726" s="16" t="str">
        <f t="shared" si="308"/>
        <v>PHILIPS</v>
      </c>
      <c r="S3726" s="17"/>
      <c r="T3726" s="10" t="str">
        <f t="shared" ref="T3726:T3747" si="313">G3726</f>
        <v>BALASTO ELECTRÓNICO T5, 2X28.</v>
      </c>
    </row>
    <row r="3727" spans="1:20" ht="27" customHeight="1" x14ac:dyDescent="0.25">
      <c r="A3727" s="8" t="s">
        <v>7662</v>
      </c>
      <c r="B3727" s="9" t="s">
        <v>7662</v>
      </c>
      <c r="C3727" s="9"/>
      <c r="D3727" s="8" t="s">
        <v>184</v>
      </c>
      <c r="E3727" s="8"/>
      <c r="F3727" s="8" t="s">
        <v>22</v>
      </c>
      <c r="G3727" s="10" t="s">
        <v>7665</v>
      </c>
      <c r="H3727" s="8" t="s">
        <v>7666</v>
      </c>
      <c r="I3727" s="10" t="s">
        <v>7665</v>
      </c>
      <c r="J3727" s="11" t="s">
        <v>33</v>
      </c>
      <c r="K3727" s="18">
        <v>3920</v>
      </c>
      <c r="L3727" s="12">
        <f t="shared" si="312"/>
        <v>5600</v>
      </c>
      <c r="M3727" s="8">
        <v>1</v>
      </c>
      <c r="N3727" s="8" t="s">
        <v>27</v>
      </c>
      <c r="O3727" s="13"/>
      <c r="P3727" s="14">
        <v>0.2</v>
      </c>
      <c r="Q3727" s="15">
        <v>0.3</v>
      </c>
      <c r="R3727" s="16" t="str">
        <f t="shared" si="308"/>
        <v>PHILIPS</v>
      </c>
      <c r="S3727" s="17"/>
      <c r="T3727" s="10" t="str">
        <f t="shared" si="313"/>
        <v>TUBO T5 28W 865 ESSENTIAL</v>
      </c>
    </row>
    <row r="3728" spans="1:20" ht="27" customHeight="1" x14ac:dyDescent="0.25">
      <c r="A3728" s="8" t="s">
        <v>7662</v>
      </c>
      <c r="B3728" s="9" t="s">
        <v>7667</v>
      </c>
      <c r="C3728" s="9"/>
      <c r="D3728" s="8" t="s">
        <v>184</v>
      </c>
      <c r="E3728" s="8"/>
      <c r="F3728" s="8" t="s">
        <v>22</v>
      </c>
      <c r="G3728" s="10" t="s">
        <v>7668</v>
      </c>
      <c r="H3728" s="8" t="s">
        <v>7669</v>
      </c>
      <c r="I3728" s="10" t="s">
        <v>7670</v>
      </c>
      <c r="J3728" s="11" t="s">
        <v>26</v>
      </c>
      <c r="K3728" s="18">
        <v>37.35</v>
      </c>
      <c r="L3728" s="12">
        <f t="shared" si="312"/>
        <v>61.397260273972606</v>
      </c>
      <c r="M3728" s="8">
        <v>1</v>
      </c>
      <c r="N3728" s="8" t="s">
        <v>27</v>
      </c>
      <c r="O3728" s="13"/>
      <c r="P3728" s="14">
        <v>0.2</v>
      </c>
      <c r="Q3728" s="15">
        <v>0.27</v>
      </c>
      <c r="R3728" s="16" t="str">
        <f t="shared" si="308"/>
        <v>PHILIPS</v>
      </c>
      <c r="S3728" s="17"/>
      <c r="T3728" s="10" t="str">
        <f t="shared" si="313"/>
        <v>BALASTO ELECTRÓNICO PARA TUBO T8, 2X32.</v>
      </c>
    </row>
    <row r="3729" spans="1:20" ht="27" customHeight="1" x14ac:dyDescent="0.25">
      <c r="A3729" s="8" t="s">
        <v>7662</v>
      </c>
      <c r="B3729" s="9" t="s">
        <v>7667</v>
      </c>
      <c r="C3729" s="9"/>
      <c r="D3729" s="8" t="s">
        <v>2087</v>
      </c>
      <c r="E3729" s="8"/>
      <c r="F3729" s="8" t="s">
        <v>22</v>
      </c>
      <c r="G3729" s="10" t="s">
        <v>7671</v>
      </c>
      <c r="H3729" s="8" t="s">
        <v>7672</v>
      </c>
      <c r="I3729" s="10" t="s">
        <v>7671</v>
      </c>
      <c r="J3729" s="11" t="s">
        <v>33</v>
      </c>
      <c r="K3729" s="18">
        <v>25000</v>
      </c>
      <c r="L3729" s="12">
        <f t="shared" si="312"/>
        <v>41700</v>
      </c>
      <c r="M3729" s="8">
        <v>1</v>
      </c>
      <c r="N3729" s="8" t="s">
        <v>27</v>
      </c>
      <c r="O3729" s="13"/>
      <c r="P3729" s="14">
        <v>0.2</v>
      </c>
      <c r="Q3729" s="15">
        <v>0.4</v>
      </c>
      <c r="R3729" s="16" t="str">
        <f t="shared" si="308"/>
        <v>PHILIPS</v>
      </c>
      <c r="S3729" s="17"/>
      <c r="T3729" s="10" t="str">
        <f t="shared" si="313"/>
        <v>BALA ATENUABLE GU10 EN COLOR BLANCO CÁLIDO.</v>
      </c>
    </row>
    <row r="3730" spans="1:20" ht="27" customHeight="1" x14ac:dyDescent="0.25">
      <c r="A3730" s="8" t="s">
        <v>7662</v>
      </c>
      <c r="B3730" s="9" t="s">
        <v>7667</v>
      </c>
      <c r="C3730" s="9"/>
      <c r="D3730" s="8" t="s">
        <v>2087</v>
      </c>
      <c r="E3730" s="8"/>
      <c r="F3730" s="8" t="s">
        <v>22</v>
      </c>
      <c r="G3730" s="10" t="s">
        <v>7673</v>
      </c>
      <c r="H3730" s="8" t="s">
        <v>7674</v>
      </c>
      <c r="I3730" s="10" t="s">
        <v>7675</v>
      </c>
      <c r="J3730" s="11" t="s">
        <v>697</v>
      </c>
      <c r="K3730" s="18">
        <v>4720000</v>
      </c>
      <c r="L3730" s="12">
        <f t="shared" si="312"/>
        <v>5900000</v>
      </c>
      <c r="M3730" s="8">
        <v>1</v>
      </c>
      <c r="N3730" s="8" t="s">
        <v>27</v>
      </c>
      <c r="O3730" s="13"/>
      <c r="P3730" s="14">
        <v>0.2</v>
      </c>
      <c r="Q3730" s="15">
        <v>0.2</v>
      </c>
      <c r="R3730" s="16" t="str">
        <f t="shared" si="308"/>
        <v>PHILIPS</v>
      </c>
      <c r="S3730" s="17"/>
      <c r="T3730" s="10" t="str">
        <f t="shared" si="313"/>
        <v>REFLECTOR RGB DE 80 VATIOS.</v>
      </c>
    </row>
    <row r="3731" spans="1:20" ht="27" customHeight="1" x14ac:dyDescent="0.25">
      <c r="A3731" s="8" t="s">
        <v>7662</v>
      </c>
      <c r="B3731" s="9" t="s">
        <v>7667</v>
      </c>
      <c r="C3731" s="9"/>
      <c r="D3731" s="8" t="s">
        <v>2087</v>
      </c>
      <c r="E3731" s="8"/>
      <c r="F3731" s="8" t="s">
        <v>22</v>
      </c>
      <c r="G3731" s="10" t="s">
        <v>7676</v>
      </c>
      <c r="H3731" s="8" t="s">
        <v>7677</v>
      </c>
      <c r="I3731" s="10" t="s">
        <v>7676</v>
      </c>
      <c r="J3731" s="11" t="s">
        <v>33</v>
      </c>
      <c r="K3731" s="18">
        <v>527000</v>
      </c>
      <c r="L3731" s="12">
        <f t="shared" si="312"/>
        <v>658800</v>
      </c>
      <c r="M3731" s="8">
        <v>1</v>
      </c>
      <c r="N3731" s="8" t="s">
        <v>27</v>
      </c>
      <c r="O3731" s="13"/>
      <c r="P3731" s="14">
        <v>0.2</v>
      </c>
      <c r="Q3731" s="15">
        <v>0.2</v>
      </c>
      <c r="R3731" s="16" t="str">
        <f t="shared" si="308"/>
        <v>PHILIPS</v>
      </c>
      <c r="S3731" s="17"/>
      <c r="T3731" s="10" t="str">
        <f t="shared" si="313"/>
        <v>CABLE TIPO JUMPER DE INTERCONEXIÓN DE 10 PIES</v>
      </c>
    </row>
    <row r="3732" spans="1:20" ht="27" customHeight="1" x14ac:dyDescent="0.25">
      <c r="A3732" s="8" t="s">
        <v>7662</v>
      </c>
      <c r="B3732" s="9" t="s">
        <v>7667</v>
      </c>
      <c r="C3732" s="9"/>
      <c r="D3732" s="8" t="s">
        <v>2087</v>
      </c>
      <c r="E3732" s="8"/>
      <c r="F3732" s="8" t="s">
        <v>22</v>
      </c>
      <c r="G3732" s="10" t="s">
        <v>7676</v>
      </c>
      <c r="H3732" s="8" t="s">
        <v>7678</v>
      </c>
      <c r="I3732" s="10" t="s">
        <v>7676</v>
      </c>
      <c r="J3732" s="11" t="s">
        <v>33</v>
      </c>
      <c r="K3732" s="18">
        <v>775000</v>
      </c>
      <c r="L3732" s="12">
        <f t="shared" si="312"/>
        <v>968800</v>
      </c>
      <c r="M3732" s="8">
        <v>1</v>
      </c>
      <c r="N3732" s="8" t="s">
        <v>27</v>
      </c>
      <c r="O3732" s="13"/>
      <c r="P3732" s="14">
        <v>0.2</v>
      </c>
      <c r="Q3732" s="15">
        <v>0.2</v>
      </c>
      <c r="R3732" s="16" t="str">
        <f t="shared" si="308"/>
        <v>PHILIPS</v>
      </c>
      <c r="S3732" s="17"/>
      <c r="T3732" s="10" t="str">
        <f t="shared" si="313"/>
        <v>CABLE TIPO JUMPER DE INTERCONEXIÓN DE 10 PIES</v>
      </c>
    </row>
    <row r="3733" spans="1:20" ht="27" customHeight="1" x14ac:dyDescent="0.25">
      <c r="A3733" s="8" t="s">
        <v>7662</v>
      </c>
      <c r="B3733" s="9" t="s">
        <v>7667</v>
      </c>
      <c r="C3733" s="9"/>
      <c r="D3733" s="8" t="s">
        <v>2087</v>
      </c>
      <c r="E3733" s="8"/>
      <c r="F3733" s="8" t="s">
        <v>22</v>
      </c>
      <c r="G3733" s="10" t="s">
        <v>7679</v>
      </c>
      <c r="H3733" s="8" t="s">
        <v>7680</v>
      </c>
      <c r="I3733" s="10" t="s">
        <v>7679</v>
      </c>
      <c r="J3733" s="11" t="s">
        <v>33</v>
      </c>
      <c r="K3733" s="18">
        <v>1860000</v>
      </c>
      <c r="L3733" s="12">
        <f t="shared" si="312"/>
        <v>2325000</v>
      </c>
      <c r="M3733" s="8">
        <v>1</v>
      </c>
      <c r="N3733" s="8" t="s">
        <v>27</v>
      </c>
      <c r="O3733" s="13"/>
      <c r="P3733" s="14">
        <v>0.2</v>
      </c>
      <c r="Q3733" s="15">
        <v>0.2</v>
      </c>
      <c r="R3733" s="16" t="str">
        <f t="shared" si="308"/>
        <v>PHILIPS</v>
      </c>
      <c r="S3733" s="17"/>
      <c r="T3733" s="10" t="str">
        <f t="shared" si="313"/>
        <v>FUENTE DE ALIMENTACIÓN Y DATOS PARA EQUIPOS COLOR KINETICS</v>
      </c>
    </row>
    <row r="3734" spans="1:20" ht="27" customHeight="1" x14ac:dyDescent="0.25">
      <c r="A3734" s="8" t="s">
        <v>7662</v>
      </c>
      <c r="B3734" s="9" t="s">
        <v>7667</v>
      </c>
      <c r="C3734" s="9"/>
      <c r="D3734" s="8" t="s">
        <v>2087</v>
      </c>
      <c r="E3734" s="8"/>
      <c r="F3734" s="8" t="s">
        <v>22</v>
      </c>
      <c r="G3734" s="10" t="s">
        <v>1293</v>
      </c>
      <c r="H3734" s="8" t="s">
        <v>7681</v>
      </c>
      <c r="I3734" s="10" t="s">
        <v>1293</v>
      </c>
      <c r="J3734" s="11" t="s">
        <v>33</v>
      </c>
      <c r="K3734" s="18">
        <v>1450000</v>
      </c>
      <c r="L3734" s="12">
        <f t="shared" si="312"/>
        <v>1812500</v>
      </c>
      <c r="M3734" s="8">
        <v>1</v>
      </c>
      <c r="N3734" s="8" t="s">
        <v>27</v>
      </c>
      <c r="O3734" s="13"/>
      <c r="P3734" s="14">
        <v>0.2</v>
      </c>
      <c r="Q3734" s="15">
        <v>0.2</v>
      </c>
      <c r="R3734" s="16" t="str">
        <f t="shared" si="308"/>
        <v>PHILIPS</v>
      </c>
      <c r="S3734" s="17"/>
      <c r="T3734" s="10" t="str">
        <f t="shared" si="313"/>
        <v>CONTROLADOR DMX CON EVENTOS DE MEMORIA</v>
      </c>
    </row>
    <row r="3735" spans="1:20" ht="27" customHeight="1" x14ac:dyDescent="0.25">
      <c r="A3735" s="8" t="s">
        <v>7662</v>
      </c>
      <c r="B3735" s="9" t="s">
        <v>93</v>
      </c>
      <c r="C3735" s="9"/>
      <c r="D3735" s="8" t="s">
        <v>93</v>
      </c>
      <c r="E3735" s="8"/>
      <c r="F3735" s="8" t="s">
        <v>22</v>
      </c>
      <c r="G3735" s="10" t="s">
        <v>7682</v>
      </c>
      <c r="H3735" s="8" t="s">
        <v>7683</v>
      </c>
      <c r="I3735" s="10" t="s">
        <v>7682</v>
      </c>
      <c r="J3735" s="11" t="s">
        <v>33</v>
      </c>
      <c r="K3735" s="18">
        <v>38793.1</v>
      </c>
      <c r="L3735" s="12">
        <f t="shared" si="312"/>
        <v>55500</v>
      </c>
      <c r="M3735" s="8">
        <v>1</v>
      </c>
      <c r="N3735" s="8" t="s">
        <v>27</v>
      </c>
      <c r="O3735" s="13"/>
      <c r="P3735" s="14">
        <v>0.2</v>
      </c>
      <c r="Q3735" s="15">
        <v>0.3</v>
      </c>
      <c r="R3735" s="16" t="str">
        <f t="shared" si="308"/>
        <v>PHILIPS</v>
      </c>
      <c r="S3735" s="17"/>
      <c r="T3735" s="10" t="str">
        <f t="shared" si="313"/>
        <v>CARDAN PARA UNA BOMBILLA AR111.</v>
      </c>
    </row>
    <row r="3736" spans="1:20" ht="27" customHeight="1" x14ac:dyDescent="0.25">
      <c r="A3736" s="8" t="s">
        <v>7662</v>
      </c>
      <c r="B3736" s="9" t="s">
        <v>93</v>
      </c>
      <c r="C3736" s="9"/>
      <c r="D3736" s="8" t="s">
        <v>93</v>
      </c>
      <c r="E3736" s="8"/>
      <c r="F3736" s="8" t="s">
        <v>22</v>
      </c>
      <c r="G3736" s="10" t="s">
        <v>7684</v>
      </c>
      <c r="H3736" s="8" t="s">
        <v>7685</v>
      </c>
      <c r="I3736" s="10" t="s">
        <v>7684</v>
      </c>
      <c r="J3736" s="11" t="s">
        <v>33</v>
      </c>
      <c r="K3736" s="18">
        <v>41379.31</v>
      </c>
      <c r="L3736" s="12">
        <f t="shared" si="312"/>
        <v>59200</v>
      </c>
      <c r="M3736" s="8">
        <v>1</v>
      </c>
      <c r="N3736" s="8" t="s">
        <v>27</v>
      </c>
      <c r="O3736" s="13"/>
      <c r="P3736" s="14">
        <v>0.2</v>
      </c>
      <c r="Q3736" s="15">
        <v>0.3</v>
      </c>
      <c r="R3736" s="16" t="str">
        <f t="shared" si="308"/>
        <v>PHILIPS</v>
      </c>
      <c r="S3736" s="17"/>
      <c r="T3736" s="10" t="str">
        <f t="shared" si="313"/>
        <v>LUMINARIA HERMÉTICA PARA TUBO T8 2X32.</v>
      </c>
    </row>
    <row r="3737" spans="1:20" ht="27" customHeight="1" x14ac:dyDescent="0.25">
      <c r="A3737" s="8" t="s">
        <v>7662</v>
      </c>
      <c r="B3737" s="9" t="s">
        <v>93</v>
      </c>
      <c r="C3737" s="9"/>
      <c r="D3737" s="8" t="s">
        <v>93</v>
      </c>
      <c r="E3737" s="8"/>
      <c r="F3737" s="8" t="s">
        <v>22</v>
      </c>
      <c r="G3737" s="10" t="s">
        <v>7686</v>
      </c>
      <c r="H3737" s="8" t="s">
        <v>7687</v>
      </c>
      <c r="I3737" s="10" t="s">
        <v>7686</v>
      </c>
      <c r="J3737" s="11" t="s">
        <v>33</v>
      </c>
      <c r="K3737" s="18">
        <v>63825</v>
      </c>
      <c r="L3737" s="12">
        <f t="shared" si="312"/>
        <v>91200</v>
      </c>
      <c r="M3737" s="8">
        <v>1</v>
      </c>
      <c r="N3737" s="8" t="s">
        <v>27</v>
      </c>
      <c r="O3737" s="13"/>
      <c r="P3737" s="14">
        <v>0.2</v>
      </c>
      <c r="Q3737" s="15">
        <v>0.3</v>
      </c>
      <c r="R3737" s="16" t="str">
        <f t="shared" si="308"/>
        <v>PHILIPS</v>
      </c>
      <c r="S3737" s="17"/>
      <c r="T3737" s="10" t="str">
        <f t="shared" si="313"/>
        <v>LED AR111 DIMERIZABLE DE 15 VATIOS</v>
      </c>
    </row>
    <row r="3738" spans="1:20" ht="27" customHeight="1" x14ac:dyDescent="0.25">
      <c r="A3738" s="8" t="s">
        <v>7662</v>
      </c>
      <c r="B3738" s="9"/>
      <c r="C3738" s="9"/>
      <c r="D3738" s="8"/>
      <c r="E3738" s="8"/>
      <c r="F3738" s="8" t="s">
        <v>22</v>
      </c>
      <c r="G3738" s="10" t="s">
        <v>7688</v>
      </c>
      <c r="H3738" s="8" t="s">
        <v>7689</v>
      </c>
      <c r="I3738" s="10" t="s">
        <v>7688</v>
      </c>
      <c r="J3738" s="11" t="s">
        <v>33</v>
      </c>
      <c r="K3738" s="18">
        <v>9000</v>
      </c>
      <c r="L3738" s="12">
        <f t="shared" si="312"/>
        <v>12900</v>
      </c>
      <c r="M3738" s="8">
        <v>1</v>
      </c>
      <c r="N3738" s="8" t="s">
        <v>27</v>
      </c>
      <c r="O3738" s="13"/>
      <c r="P3738" s="14">
        <v>0.2</v>
      </c>
      <c r="Q3738" s="15">
        <v>0.3</v>
      </c>
      <c r="R3738" s="16" t="str">
        <f t="shared" si="308"/>
        <v>PHILIPS</v>
      </c>
      <c r="S3738" s="17"/>
      <c r="T3738" s="10" t="str">
        <f t="shared" si="313"/>
        <v>BOMBILLO LED ATENUABLE 5W 12V, 3000K, BIPIN.</v>
      </c>
    </row>
    <row r="3739" spans="1:20" ht="27" customHeight="1" x14ac:dyDescent="0.25">
      <c r="A3739" s="8" t="s">
        <v>7662</v>
      </c>
      <c r="B3739" s="9"/>
      <c r="C3739" s="9"/>
      <c r="D3739" s="8"/>
      <c r="E3739" s="8"/>
      <c r="F3739" s="8" t="s">
        <v>22</v>
      </c>
      <c r="G3739" s="10" t="s">
        <v>7690</v>
      </c>
      <c r="H3739" s="8" t="s">
        <v>7691</v>
      </c>
      <c r="I3739" s="10" t="s">
        <v>7690</v>
      </c>
      <c r="J3739" s="11" t="s">
        <v>33</v>
      </c>
      <c r="K3739" s="18">
        <v>11000</v>
      </c>
      <c r="L3739" s="12">
        <f t="shared" si="312"/>
        <v>18400</v>
      </c>
      <c r="M3739" s="8">
        <v>1</v>
      </c>
      <c r="N3739" s="8" t="s">
        <v>27</v>
      </c>
      <c r="O3739" s="13"/>
      <c r="P3739" s="14">
        <v>0.2</v>
      </c>
      <c r="Q3739" s="15">
        <v>0.4</v>
      </c>
      <c r="R3739" s="16" t="str">
        <f t="shared" si="308"/>
        <v>PHILIPS</v>
      </c>
      <c r="S3739" s="17"/>
      <c r="T3739" s="10" t="str">
        <f t="shared" si="313"/>
        <v>LUMINARIA LED DE 6W, REEMPLAZO DE HALÓGENO 50W. CONECTOR GU10, LUZ CÁLIDA 3000K.</v>
      </c>
    </row>
    <row r="3740" spans="1:20" ht="27" customHeight="1" x14ac:dyDescent="0.25">
      <c r="A3740" s="8" t="s">
        <v>7662</v>
      </c>
      <c r="B3740" s="9"/>
      <c r="C3740" s="9"/>
      <c r="D3740" s="8"/>
      <c r="E3740" s="8"/>
      <c r="F3740" s="8" t="s">
        <v>22</v>
      </c>
      <c r="G3740" s="10" t="s">
        <v>7692</v>
      </c>
      <c r="H3740" s="8" t="s">
        <v>7693</v>
      </c>
      <c r="I3740" s="10" t="s">
        <v>7692</v>
      </c>
      <c r="J3740" s="11" t="s">
        <v>33</v>
      </c>
      <c r="K3740" s="18">
        <v>8500</v>
      </c>
      <c r="L3740" s="12">
        <f t="shared" si="312"/>
        <v>14200</v>
      </c>
      <c r="M3740" s="8">
        <v>1</v>
      </c>
      <c r="N3740" s="8" t="s">
        <v>27</v>
      </c>
      <c r="O3740" s="13"/>
      <c r="P3740" s="14">
        <v>0.2</v>
      </c>
      <c r="Q3740" s="15">
        <v>0.4</v>
      </c>
      <c r="R3740" s="16" t="str">
        <f t="shared" si="308"/>
        <v>PHILIPS</v>
      </c>
      <c r="S3740" s="17"/>
      <c r="T3740" s="10" t="str">
        <f t="shared" si="313"/>
        <v>LED CÁLIDO DE 2700K, MR16, 5 VATIOS.</v>
      </c>
    </row>
    <row r="3741" spans="1:20" ht="27" customHeight="1" x14ac:dyDescent="0.25">
      <c r="A3741" s="8" t="s">
        <v>7662</v>
      </c>
      <c r="B3741" s="9"/>
      <c r="C3741" s="9"/>
      <c r="D3741" s="8"/>
      <c r="E3741" s="8"/>
      <c r="F3741" s="8" t="s">
        <v>22</v>
      </c>
      <c r="G3741" s="10" t="s">
        <v>7694</v>
      </c>
      <c r="H3741" s="8" t="s">
        <v>7695</v>
      </c>
      <c r="I3741" s="10" t="s">
        <v>7694</v>
      </c>
      <c r="J3741" s="11" t="s">
        <v>33</v>
      </c>
      <c r="K3741" s="18">
        <v>23000</v>
      </c>
      <c r="L3741" s="12">
        <f t="shared" si="312"/>
        <v>38400</v>
      </c>
      <c r="M3741" s="8">
        <v>1</v>
      </c>
      <c r="N3741" s="8" t="s">
        <v>27</v>
      </c>
      <c r="O3741" s="13"/>
      <c r="P3741" s="14">
        <v>0.2</v>
      </c>
      <c r="Q3741" s="15">
        <v>0.4</v>
      </c>
      <c r="R3741" s="16" t="str">
        <f t="shared" si="308"/>
        <v>PHILIPS</v>
      </c>
      <c r="S3741" s="17"/>
      <c r="T3741" s="10" t="str">
        <f t="shared" si="313"/>
        <v>BALASTRO T5 PARA 2 TUBOS DE 28 VATIOS</v>
      </c>
    </row>
    <row r="3742" spans="1:20" ht="27" customHeight="1" x14ac:dyDescent="0.25">
      <c r="A3742" s="8" t="s">
        <v>7662</v>
      </c>
      <c r="B3742" s="9" t="s">
        <v>7667</v>
      </c>
      <c r="C3742" s="9"/>
      <c r="D3742" s="8" t="s">
        <v>94</v>
      </c>
      <c r="E3742" s="8">
        <v>1</v>
      </c>
      <c r="F3742" s="8" t="s">
        <v>22</v>
      </c>
      <c r="G3742" s="10" t="s">
        <v>7696</v>
      </c>
      <c r="H3742" s="8" t="s">
        <v>7697</v>
      </c>
      <c r="I3742" s="10" t="s">
        <v>7698</v>
      </c>
      <c r="J3742" s="11" t="s">
        <v>26</v>
      </c>
      <c r="K3742" s="18">
        <v>21.95</v>
      </c>
      <c r="L3742" s="12">
        <f t="shared" si="312"/>
        <v>32.924999999999997</v>
      </c>
      <c r="M3742" s="8">
        <v>1</v>
      </c>
      <c r="N3742" s="8" t="s">
        <v>27</v>
      </c>
      <c r="O3742" s="13"/>
      <c r="P3742" s="14">
        <v>0.2</v>
      </c>
      <c r="Q3742" s="15">
        <v>0.2</v>
      </c>
      <c r="R3742" s="16" t="str">
        <f t="shared" si="308"/>
        <v>PHILIPS</v>
      </c>
      <c r="S3742" s="17"/>
      <c r="T3742" s="10" t="str">
        <f t="shared" si="313"/>
        <v>TUBO LED PARA REEMPLAZO DE LUMINARIA T8.</v>
      </c>
    </row>
    <row r="3743" spans="1:20" ht="27" customHeight="1" x14ac:dyDescent="0.25">
      <c r="A3743" s="8" t="s">
        <v>7662</v>
      </c>
      <c r="B3743" s="9" t="s">
        <v>7667</v>
      </c>
      <c r="C3743" s="9"/>
      <c r="D3743" s="8" t="s">
        <v>94</v>
      </c>
      <c r="E3743" s="8">
        <v>1</v>
      </c>
      <c r="F3743" s="8" t="s">
        <v>22</v>
      </c>
      <c r="G3743" s="10" t="s">
        <v>7699</v>
      </c>
      <c r="H3743" s="8" t="s">
        <v>7700</v>
      </c>
      <c r="I3743" s="10" t="s">
        <v>7701</v>
      </c>
      <c r="J3743" s="11" t="s">
        <v>26</v>
      </c>
      <c r="K3743" s="18">
        <v>4.7</v>
      </c>
      <c r="L3743" s="12">
        <f t="shared" si="312"/>
        <v>8.0571428571428569</v>
      </c>
      <c r="M3743" s="8">
        <v>1</v>
      </c>
      <c r="N3743" s="8" t="s">
        <v>27</v>
      </c>
      <c r="O3743" s="13"/>
      <c r="P3743" s="14">
        <v>0.2</v>
      </c>
      <c r="Q3743" s="15">
        <v>0.3</v>
      </c>
      <c r="R3743" s="16" t="str">
        <f t="shared" si="308"/>
        <v>PHILIPS</v>
      </c>
      <c r="S3743" s="17"/>
      <c r="T3743" s="10" t="str">
        <f t="shared" si="313"/>
        <v>BOMBILLA LED ATENUABLE 2700K, 10.5W, 800 LUMEN.</v>
      </c>
    </row>
    <row r="3744" spans="1:20" ht="27" customHeight="1" x14ac:dyDescent="0.25">
      <c r="A3744" s="8" t="s">
        <v>7662</v>
      </c>
      <c r="B3744" s="9" t="s">
        <v>7667</v>
      </c>
      <c r="C3744" s="9"/>
      <c r="D3744" s="8" t="s">
        <v>94</v>
      </c>
      <c r="E3744" s="8">
        <v>1</v>
      </c>
      <c r="F3744" s="8" t="s">
        <v>22</v>
      </c>
      <c r="G3744" s="10" t="s">
        <v>7702</v>
      </c>
      <c r="H3744" s="8" t="s">
        <v>7703</v>
      </c>
      <c r="I3744" s="10" t="s">
        <v>7702</v>
      </c>
      <c r="J3744" s="11" t="s">
        <v>26</v>
      </c>
      <c r="K3744" s="18">
        <v>3</v>
      </c>
      <c r="L3744" s="12">
        <f t="shared" si="312"/>
        <v>5.1428571428571423</v>
      </c>
      <c r="M3744" s="8">
        <v>1</v>
      </c>
      <c r="N3744" s="8" t="s">
        <v>27</v>
      </c>
      <c r="O3744" s="13"/>
      <c r="P3744" s="14">
        <v>0.2</v>
      </c>
      <c r="Q3744" s="15">
        <v>0.3</v>
      </c>
      <c r="R3744" s="16" t="str">
        <f t="shared" si="308"/>
        <v>PHILIPS</v>
      </c>
      <c r="S3744" s="17"/>
      <c r="T3744" s="10" t="str">
        <f t="shared" si="313"/>
        <v>LUMINARIA LED TIPO VELA ATENUABLE, 7W, 2700K.</v>
      </c>
    </row>
    <row r="3745" spans="1:20" ht="27" customHeight="1" x14ac:dyDescent="0.25">
      <c r="A3745" s="8" t="s">
        <v>7662</v>
      </c>
      <c r="B3745" s="9" t="s">
        <v>7667</v>
      </c>
      <c r="C3745" s="9"/>
      <c r="D3745" s="8" t="s">
        <v>94</v>
      </c>
      <c r="E3745" s="8">
        <v>1</v>
      </c>
      <c r="F3745" s="8" t="s">
        <v>22</v>
      </c>
      <c r="G3745" s="10" t="s">
        <v>7704</v>
      </c>
      <c r="H3745" s="8" t="s">
        <v>7705</v>
      </c>
      <c r="I3745" s="10" t="s">
        <v>7704</v>
      </c>
      <c r="J3745" s="11" t="s">
        <v>33</v>
      </c>
      <c r="K3745" s="18">
        <v>90000</v>
      </c>
      <c r="L3745" s="12">
        <f t="shared" si="312"/>
        <v>128600</v>
      </c>
      <c r="M3745" s="8">
        <v>1</v>
      </c>
      <c r="N3745" s="8" t="s">
        <v>27</v>
      </c>
      <c r="O3745" s="13"/>
      <c r="P3745" s="14">
        <v>0.2</v>
      </c>
      <c r="Q3745" s="15">
        <v>0.3</v>
      </c>
      <c r="R3745" s="16" t="str">
        <f t="shared" si="308"/>
        <v>PHILIPS</v>
      </c>
      <c r="S3745" s="17"/>
      <c r="T3745" s="10" t="str">
        <f t="shared" si="313"/>
        <v>DRIVER PARA CARGAS 0-10</v>
      </c>
    </row>
    <row r="3746" spans="1:20" ht="27" customHeight="1" x14ac:dyDescent="0.25">
      <c r="A3746" s="8" t="s">
        <v>7662</v>
      </c>
      <c r="B3746" s="9"/>
      <c r="C3746" s="9"/>
      <c r="D3746" s="8" t="s">
        <v>45</v>
      </c>
      <c r="E3746" s="8"/>
      <c r="F3746" s="8" t="s">
        <v>22</v>
      </c>
      <c r="G3746" s="10" t="s">
        <v>7706</v>
      </c>
      <c r="H3746" s="8" t="s">
        <v>7707</v>
      </c>
      <c r="I3746" s="10" t="s">
        <v>7706</v>
      </c>
      <c r="J3746" s="11" t="s">
        <v>33</v>
      </c>
      <c r="K3746" s="18">
        <v>7330</v>
      </c>
      <c r="L3746" s="12">
        <f>ROUNDUP(K3746*(1+P3746)/(1-Q3746),0)</f>
        <v>12217</v>
      </c>
      <c r="M3746" s="8">
        <v>1</v>
      </c>
      <c r="N3746" s="8" t="s">
        <v>27</v>
      </c>
      <c r="O3746" s="13"/>
      <c r="P3746" s="14">
        <v>0</v>
      </c>
      <c r="Q3746" s="15">
        <v>0.4</v>
      </c>
      <c r="R3746" s="16" t="str">
        <f t="shared" si="308"/>
        <v>PHILIPS</v>
      </c>
      <c r="S3746" s="17"/>
      <c r="T3746" s="10" t="str">
        <f t="shared" si="313"/>
        <v>BOMBILLA LED DE 5W, 2700K, 12V, 400Lm.</v>
      </c>
    </row>
    <row r="3747" spans="1:20" ht="27" customHeight="1" x14ac:dyDescent="0.25">
      <c r="A3747" s="8" t="s">
        <v>7662</v>
      </c>
      <c r="B3747" s="9"/>
      <c r="C3747" s="9"/>
      <c r="D3747" s="8" t="s">
        <v>45</v>
      </c>
      <c r="E3747" s="8"/>
      <c r="F3747" s="8" t="s">
        <v>22</v>
      </c>
      <c r="G3747" s="10" t="s">
        <v>7708</v>
      </c>
      <c r="H3747" s="8" t="s">
        <v>7709</v>
      </c>
      <c r="I3747" s="10" t="s">
        <v>7708</v>
      </c>
      <c r="J3747" s="11" t="s">
        <v>33</v>
      </c>
      <c r="K3747" s="18">
        <f>35500/1.19</f>
        <v>29831.932773109245</v>
      </c>
      <c r="L3747" s="12">
        <f>ROUNDUP(K3747*(1+P3747)/(1-Q3747),0)</f>
        <v>49720</v>
      </c>
      <c r="M3747" s="8">
        <v>1</v>
      </c>
      <c r="N3747" s="8" t="s">
        <v>27</v>
      </c>
      <c r="O3747" s="13"/>
      <c r="P3747" s="14">
        <v>0</v>
      </c>
      <c r="Q3747" s="15">
        <v>0.4</v>
      </c>
      <c r="R3747" s="16" t="str">
        <f t="shared" si="308"/>
        <v>PHILIPS</v>
      </c>
      <c r="S3747" s="17"/>
      <c r="T3747" s="10" t="str">
        <f t="shared" si="313"/>
        <v>BOMBILLA LED DE 7W, 2700K, 12V, 500Lm. ATENUABLE.</v>
      </c>
    </row>
    <row r="3748" spans="1:20" ht="27" customHeight="1" x14ac:dyDescent="0.25">
      <c r="A3748" s="8" t="s">
        <v>7662</v>
      </c>
      <c r="B3748" s="9"/>
      <c r="C3748" s="9"/>
      <c r="D3748" s="8"/>
      <c r="E3748" s="8"/>
      <c r="F3748" s="8"/>
      <c r="G3748" s="10"/>
      <c r="H3748" s="8" t="s">
        <v>7710</v>
      </c>
      <c r="I3748" s="10" t="s">
        <v>7711</v>
      </c>
      <c r="J3748" s="11" t="s">
        <v>26</v>
      </c>
      <c r="K3748" s="18">
        <v>78</v>
      </c>
      <c r="L3748" s="12">
        <f>K3748*(1+P3748)/(1-Q3748)</f>
        <v>133.71428571428572</v>
      </c>
      <c r="M3748" s="8">
        <v>1</v>
      </c>
      <c r="N3748" s="8" t="s">
        <v>27</v>
      </c>
      <c r="O3748" s="13"/>
      <c r="P3748" s="14">
        <v>0.2</v>
      </c>
      <c r="Q3748" s="15">
        <v>0.3</v>
      </c>
      <c r="R3748" s="16" t="str">
        <f t="shared" si="308"/>
        <v>PHILIPS</v>
      </c>
      <c r="S3748" s="17" t="s">
        <v>7712</v>
      </c>
      <c r="T3748" s="10"/>
    </row>
    <row r="3749" spans="1:20" ht="27" customHeight="1" x14ac:dyDescent="0.25">
      <c r="A3749" s="8" t="s">
        <v>7662</v>
      </c>
      <c r="B3749" s="9"/>
      <c r="C3749" s="9"/>
      <c r="D3749" s="8"/>
      <c r="E3749" s="8"/>
      <c r="F3749" s="8"/>
      <c r="G3749" s="10"/>
      <c r="H3749" s="8" t="s">
        <v>7713</v>
      </c>
      <c r="I3749" s="10" t="s">
        <v>7714</v>
      </c>
      <c r="J3749" s="11" t="s">
        <v>26</v>
      </c>
      <c r="K3749" s="18">
        <v>68</v>
      </c>
      <c r="L3749" s="12">
        <f>K3749*(1+P3749)/(1-Q3749)</f>
        <v>116.57142857142857</v>
      </c>
      <c r="M3749" s="8">
        <v>1</v>
      </c>
      <c r="N3749" s="8" t="s">
        <v>27</v>
      </c>
      <c r="O3749" s="13"/>
      <c r="P3749" s="14">
        <v>0.2</v>
      </c>
      <c r="Q3749" s="15">
        <v>0.3</v>
      </c>
      <c r="R3749" s="16" t="str">
        <f t="shared" si="308"/>
        <v>PHILIPS</v>
      </c>
      <c r="S3749" s="17" t="s">
        <v>7715</v>
      </c>
      <c r="T3749" s="10"/>
    </row>
    <row r="3750" spans="1:20" ht="27" customHeight="1" x14ac:dyDescent="0.25">
      <c r="A3750" s="8" t="s">
        <v>7662</v>
      </c>
      <c r="B3750" s="9"/>
      <c r="C3750" s="9"/>
      <c r="D3750" s="8"/>
      <c r="E3750" s="8"/>
      <c r="F3750" s="8"/>
      <c r="G3750" s="10"/>
      <c r="H3750" s="8" t="s">
        <v>7716</v>
      </c>
      <c r="I3750" s="10" t="s">
        <v>7717</v>
      </c>
      <c r="J3750" s="11" t="s">
        <v>26</v>
      </c>
      <c r="K3750" s="18">
        <v>90</v>
      </c>
      <c r="L3750" s="12">
        <f>K3750*(1+P3750)/(1-Q3750)</f>
        <v>154.28571428571431</v>
      </c>
      <c r="M3750" s="8">
        <v>1</v>
      </c>
      <c r="N3750" s="8" t="s">
        <v>27</v>
      </c>
      <c r="O3750" s="13"/>
      <c r="P3750" s="14">
        <v>0.2</v>
      </c>
      <c r="Q3750" s="15">
        <v>0.3</v>
      </c>
      <c r="R3750" s="16" t="str">
        <f t="shared" si="308"/>
        <v>PHILIPS</v>
      </c>
      <c r="S3750" s="17" t="s">
        <v>7718</v>
      </c>
      <c r="T3750" s="10"/>
    </row>
    <row r="3751" spans="1:20" ht="27" customHeight="1" x14ac:dyDescent="0.25">
      <c r="A3751" s="8" t="s">
        <v>7662</v>
      </c>
      <c r="B3751" s="9"/>
      <c r="C3751" s="9"/>
      <c r="D3751" s="8"/>
      <c r="E3751" s="8"/>
      <c r="F3751" s="8"/>
      <c r="G3751" s="10"/>
      <c r="H3751" s="8" t="s">
        <v>7719</v>
      </c>
      <c r="I3751" s="10" t="s">
        <v>7686</v>
      </c>
      <c r="J3751" s="11" t="s">
        <v>33</v>
      </c>
      <c r="K3751" s="18">
        <v>63825</v>
      </c>
      <c r="L3751" s="12">
        <f>IF(J3751="P",ROUNDUP(K3751/(1-Q3751),-2),K3751*(1+P3751)/(1-Q3751))</f>
        <v>91200</v>
      </c>
      <c r="M3751" s="8">
        <v>1</v>
      </c>
      <c r="N3751" s="8" t="s">
        <v>27</v>
      </c>
      <c r="O3751" s="13"/>
      <c r="P3751" s="14">
        <v>0.2</v>
      </c>
      <c r="Q3751" s="15">
        <v>0.3</v>
      </c>
      <c r="R3751" s="16" t="str">
        <f t="shared" si="308"/>
        <v>PHILIPS</v>
      </c>
      <c r="S3751" s="17"/>
      <c r="T3751" s="10">
        <f>G3751</f>
        <v>0</v>
      </c>
    </row>
    <row r="3752" spans="1:20" ht="27" customHeight="1" x14ac:dyDescent="0.25">
      <c r="A3752" s="8" t="s">
        <v>7662</v>
      </c>
      <c r="B3752" s="9" t="s">
        <v>93</v>
      </c>
      <c r="C3752" s="9"/>
      <c r="D3752" s="8" t="s">
        <v>93</v>
      </c>
      <c r="E3752" s="8"/>
      <c r="F3752" s="8" t="s">
        <v>22</v>
      </c>
      <c r="G3752" s="10" t="s">
        <v>3703</v>
      </c>
      <c r="H3752" s="8" t="s">
        <v>7720</v>
      </c>
      <c r="I3752" s="10" t="s">
        <v>7721</v>
      </c>
      <c r="J3752" s="11" t="s">
        <v>33</v>
      </c>
      <c r="K3752" s="18">
        <v>5500</v>
      </c>
      <c r="L3752" s="12">
        <f t="shared" ref="L3752:L3758" si="314">ROUNDUP(K3752*(1+P3752)/(1-Q3752),0)</f>
        <v>10820</v>
      </c>
      <c r="M3752" s="8">
        <v>1</v>
      </c>
      <c r="N3752" s="8" t="s">
        <v>27</v>
      </c>
      <c r="O3752" s="13"/>
      <c r="P3752" s="14">
        <v>0.2</v>
      </c>
      <c r="Q3752" s="15">
        <v>0.39</v>
      </c>
      <c r="R3752" s="16" t="str">
        <f t="shared" si="308"/>
        <v>PHILIPS</v>
      </c>
      <c r="S3752" s="17"/>
      <c r="T3752" s="10" t="s">
        <v>3703</v>
      </c>
    </row>
    <row r="3753" spans="1:20" ht="27" customHeight="1" x14ac:dyDescent="0.25">
      <c r="A3753" s="8" t="s">
        <v>7662</v>
      </c>
      <c r="B3753" s="9"/>
      <c r="C3753" s="9"/>
      <c r="D3753" s="8"/>
      <c r="E3753" s="8"/>
      <c r="F3753" s="8"/>
      <c r="G3753" s="10"/>
      <c r="H3753" s="8" t="s">
        <v>7722</v>
      </c>
      <c r="I3753" s="10" t="s">
        <v>7723</v>
      </c>
      <c r="J3753" s="11" t="s">
        <v>33</v>
      </c>
      <c r="K3753" s="18">
        <v>5500</v>
      </c>
      <c r="L3753" s="12">
        <f t="shared" si="314"/>
        <v>10820</v>
      </c>
      <c r="M3753" s="8">
        <v>1</v>
      </c>
      <c r="N3753" s="8" t="s">
        <v>27</v>
      </c>
      <c r="O3753" s="13"/>
      <c r="P3753" s="14">
        <v>0.2</v>
      </c>
      <c r="Q3753" s="15">
        <v>0.39</v>
      </c>
      <c r="R3753" s="16" t="str">
        <f t="shared" si="308"/>
        <v>PHILIPS</v>
      </c>
      <c r="S3753" s="17"/>
      <c r="T3753" s="10"/>
    </row>
    <row r="3754" spans="1:20" ht="27" customHeight="1" x14ac:dyDescent="0.25">
      <c r="A3754" s="8" t="s">
        <v>7662</v>
      </c>
      <c r="B3754" s="9"/>
      <c r="C3754" s="9"/>
      <c r="D3754" s="8"/>
      <c r="E3754" s="8"/>
      <c r="F3754" s="8"/>
      <c r="G3754" s="10"/>
      <c r="H3754" s="8" t="s">
        <v>7724</v>
      </c>
      <c r="I3754" s="10" t="s">
        <v>7725</v>
      </c>
      <c r="J3754" s="11" t="s">
        <v>33</v>
      </c>
      <c r="K3754" s="18">
        <v>5500</v>
      </c>
      <c r="L3754" s="12">
        <f t="shared" si="314"/>
        <v>10820</v>
      </c>
      <c r="M3754" s="8">
        <v>1</v>
      </c>
      <c r="N3754" s="8" t="s">
        <v>27</v>
      </c>
      <c r="O3754" s="13"/>
      <c r="P3754" s="14">
        <v>0.2</v>
      </c>
      <c r="Q3754" s="15">
        <v>0.39</v>
      </c>
      <c r="R3754" s="16" t="str">
        <f t="shared" si="308"/>
        <v>PHILIPS</v>
      </c>
      <c r="S3754" s="17"/>
      <c r="T3754" s="10"/>
    </row>
    <row r="3755" spans="1:20" ht="27" customHeight="1" x14ac:dyDescent="0.25">
      <c r="A3755" s="8" t="s">
        <v>7662</v>
      </c>
      <c r="B3755" s="9"/>
      <c r="C3755" s="9"/>
      <c r="D3755" s="8"/>
      <c r="E3755" s="8"/>
      <c r="F3755" s="8"/>
      <c r="G3755" s="10"/>
      <c r="H3755" s="8" t="s">
        <v>7726</v>
      </c>
      <c r="I3755" s="10" t="s">
        <v>7727</v>
      </c>
      <c r="J3755" s="11" t="s">
        <v>33</v>
      </c>
      <c r="K3755" s="18">
        <v>15000</v>
      </c>
      <c r="L3755" s="12">
        <f t="shared" si="314"/>
        <v>17648</v>
      </c>
      <c r="M3755" s="8">
        <v>1</v>
      </c>
      <c r="N3755" s="8" t="s">
        <v>27</v>
      </c>
      <c r="O3755" s="13"/>
      <c r="P3755" s="14">
        <v>0</v>
      </c>
      <c r="Q3755" s="15">
        <v>0.15</v>
      </c>
      <c r="R3755" s="16" t="str">
        <f t="shared" si="308"/>
        <v>PHILIPS</v>
      </c>
      <c r="S3755" s="17"/>
      <c r="T3755" s="10"/>
    </row>
    <row r="3756" spans="1:20" ht="27" customHeight="1" x14ac:dyDescent="0.25">
      <c r="A3756" s="8" t="s">
        <v>7662</v>
      </c>
      <c r="B3756" s="9"/>
      <c r="C3756" s="9"/>
      <c r="D3756" s="8"/>
      <c r="E3756" s="8"/>
      <c r="F3756" s="8"/>
      <c r="G3756" s="10"/>
      <c r="H3756" s="8" t="s">
        <v>7728</v>
      </c>
      <c r="I3756" s="10" t="s">
        <v>7729</v>
      </c>
      <c r="J3756" s="11" t="s">
        <v>33</v>
      </c>
      <c r="K3756" s="18">
        <v>19000</v>
      </c>
      <c r="L3756" s="12">
        <f t="shared" si="314"/>
        <v>22353</v>
      </c>
      <c r="M3756" s="8">
        <v>1</v>
      </c>
      <c r="N3756" s="8" t="s">
        <v>27</v>
      </c>
      <c r="O3756" s="13"/>
      <c r="P3756" s="14">
        <v>0</v>
      </c>
      <c r="Q3756" s="15">
        <v>0.15</v>
      </c>
      <c r="R3756" s="16" t="str">
        <f t="shared" si="308"/>
        <v>PHILIPS</v>
      </c>
      <c r="S3756" s="17"/>
      <c r="T3756" s="10"/>
    </row>
    <row r="3757" spans="1:20" ht="27" customHeight="1" x14ac:dyDescent="0.25">
      <c r="A3757" s="8" t="s">
        <v>7662</v>
      </c>
      <c r="B3757" s="9"/>
      <c r="C3757" s="9"/>
      <c r="D3757" s="8"/>
      <c r="E3757" s="8"/>
      <c r="F3757" s="8"/>
      <c r="G3757" s="10"/>
      <c r="H3757" s="8" t="s">
        <v>7730</v>
      </c>
      <c r="I3757" s="10" t="s">
        <v>7731</v>
      </c>
      <c r="J3757" s="11" t="s">
        <v>33</v>
      </c>
      <c r="K3757" s="18">
        <v>28000</v>
      </c>
      <c r="L3757" s="12">
        <f t="shared" si="314"/>
        <v>32942</v>
      </c>
      <c r="M3757" s="8">
        <v>1</v>
      </c>
      <c r="N3757" s="8" t="s">
        <v>27</v>
      </c>
      <c r="O3757" s="13"/>
      <c r="P3757" s="14">
        <v>0</v>
      </c>
      <c r="Q3757" s="15">
        <v>0.15</v>
      </c>
      <c r="R3757" s="16" t="str">
        <f t="shared" si="308"/>
        <v>PHILIPS</v>
      </c>
      <c r="S3757" s="17"/>
      <c r="T3757" s="10"/>
    </row>
    <row r="3758" spans="1:20" ht="27" customHeight="1" x14ac:dyDescent="0.25">
      <c r="A3758" s="8" t="s">
        <v>7662</v>
      </c>
      <c r="B3758" s="9"/>
      <c r="C3758" s="9"/>
      <c r="D3758" s="8"/>
      <c r="E3758" s="8"/>
      <c r="F3758" s="8"/>
      <c r="G3758" s="10"/>
      <c r="H3758" s="8" t="s">
        <v>7732</v>
      </c>
      <c r="I3758" s="10" t="s">
        <v>7733</v>
      </c>
      <c r="J3758" s="11" t="s">
        <v>33</v>
      </c>
      <c r="K3758" s="18">
        <v>22000</v>
      </c>
      <c r="L3758" s="12">
        <f t="shared" si="314"/>
        <v>36667</v>
      </c>
      <c r="M3758" s="8">
        <v>1</v>
      </c>
      <c r="N3758" s="8" t="s">
        <v>27</v>
      </c>
      <c r="O3758" s="13"/>
      <c r="P3758" s="14">
        <v>0</v>
      </c>
      <c r="Q3758" s="15">
        <v>0.4</v>
      </c>
      <c r="R3758" s="16" t="str">
        <f t="shared" si="308"/>
        <v>PHILIPS</v>
      </c>
      <c r="S3758" s="17"/>
      <c r="T3758" s="10"/>
    </row>
    <row r="3759" spans="1:20" ht="27" customHeight="1" x14ac:dyDescent="0.25">
      <c r="A3759" s="8" t="s">
        <v>7734</v>
      </c>
      <c r="B3759" s="9" t="s">
        <v>7667</v>
      </c>
      <c r="C3759" s="9"/>
      <c r="D3759" s="8" t="s">
        <v>626</v>
      </c>
      <c r="E3759" s="8">
        <v>1</v>
      </c>
      <c r="F3759" s="8" t="s">
        <v>22</v>
      </c>
      <c r="G3759" s="10" t="s">
        <v>7735</v>
      </c>
      <c r="H3759" s="8" t="s">
        <v>7736</v>
      </c>
      <c r="I3759" s="10" t="s">
        <v>7735</v>
      </c>
      <c r="J3759" s="11" t="s">
        <v>26</v>
      </c>
      <c r="K3759" s="18">
        <v>14.95</v>
      </c>
      <c r="L3759" s="12">
        <f>IF(J3759="P",ROUNDUP(K3759/(1-Q3759),-2),K3759*(1+P3759)/(1-Q3759))</f>
        <v>23.919999999999998</v>
      </c>
      <c r="M3759" s="8">
        <v>1</v>
      </c>
      <c r="N3759" s="8" t="s">
        <v>27</v>
      </c>
      <c r="O3759" s="13"/>
      <c r="P3759" s="14">
        <v>0.2</v>
      </c>
      <c r="Q3759" s="15">
        <v>0.25</v>
      </c>
      <c r="R3759" s="16" t="str">
        <f t="shared" ref="R3759:R3822" si="315">A3759</f>
        <v>PHILMORE</v>
      </c>
      <c r="S3759" s="17"/>
      <c r="T3759" s="10" t="str">
        <f>G3759</f>
        <v>FACEPLATE 3.5mm y XLR</v>
      </c>
    </row>
    <row r="3760" spans="1:20" ht="27" customHeight="1" x14ac:dyDescent="0.25">
      <c r="A3760" s="8" t="s">
        <v>7737</v>
      </c>
      <c r="B3760" s="9"/>
      <c r="C3760" s="9"/>
      <c r="D3760" s="8" t="s">
        <v>45</v>
      </c>
      <c r="E3760" s="8"/>
      <c r="F3760" s="8" t="s">
        <v>22</v>
      </c>
      <c r="G3760" s="10" t="s">
        <v>7738</v>
      </c>
      <c r="H3760" s="8" t="s">
        <v>7739</v>
      </c>
      <c r="I3760" s="10" t="s">
        <v>7740</v>
      </c>
      <c r="J3760" s="11" t="s">
        <v>26</v>
      </c>
      <c r="K3760" s="18">
        <v>1000</v>
      </c>
      <c r="L3760" s="12">
        <f>IF(J3760="P",ROUNDUP(K3760/(1-Q3760),-2),K3760*(1+P3760)/(1-Q3760))</f>
        <v>1500</v>
      </c>
      <c r="M3760" s="8">
        <v>1</v>
      </c>
      <c r="N3760" s="8" t="s">
        <v>27</v>
      </c>
      <c r="O3760" s="13" t="s">
        <v>588</v>
      </c>
      <c r="P3760" s="14">
        <v>0.2</v>
      </c>
      <c r="Q3760" s="15">
        <v>0.2</v>
      </c>
      <c r="R3760" s="16" t="str">
        <f t="shared" si="315"/>
        <v>PIONEER</v>
      </c>
      <c r="S3760" s="17"/>
      <c r="T3760" s="10" t="str">
        <f>G3760</f>
        <v>PROCESADOR DE AV 4K DE 9.2 CANALES, 215 VATIOS.</v>
      </c>
    </row>
    <row r="3761" spans="1:24" ht="27" customHeight="1" x14ac:dyDescent="0.25">
      <c r="A3761" s="8" t="s">
        <v>7737</v>
      </c>
      <c r="B3761" s="9"/>
      <c r="C3761" s="9"/>
      <c r="D3761" s="8" t="s">
        <v>45</v>
      </c>
      <c r="E3761" s="8"/>
      <c r="F3761" s="8" t="s">
        <v>22</v>
      </c>
      <c r="G3761" s="10" t="s">
        <v>7741</v>
      </c>
      <c r="H3761" s="8" t="s">
        <v>7742</v>
      </c>
      <c r="I3761" s="10" t="s">
        <v>7743</v>
      </c>
      <c r="J3761" s="11" t="s">
        <v>26</v>
      </c>
      <c r="K3761" s="18">
        <v>800</v>
      </c>
      <c r="L3761" s="12">
        <f>IF(J3761="P",ROUNDUP(K3761/(1-Q3761),-2),K3761*(1+P3761)/(1-Q3761))</f>
        <v>1200</v>
      </c>
      <c r="M3761" s="8">
        <v>1</v>
      </c>
      <c r="N3761" s="8" t="s">
        <v>27</v>
      </c>
      <c r="O3761" s="13" t="s">
        <v>588</v>
      </c>
      <c r="P3761" s="14">
        <v>0.2</v>
      </c>
      <c r="Q3761" s="15">
        <v>0.2</v>
      </c>
      <c r="R3761" s="16" t="str">
        <f t="shared" si="315"/>
        <v>PIONEER</v>
      </c>
      <c r="S3761" s="17"/>
      <c r="T3761" s="10" t="str">
        <f>G3761</f>
        <v>PROCESADOR DE AV 4K DE 9.2 CANALES, 185 VATIOS.</v>
      </c>
    </row>
    <row r="3762" spans="1:24" ht="27" customHeight="1" x14ac:dyDescent="0.25">
      <c r="A3762" s="8" t="s">
        <v>7737</v>
      </c>
      <c r="B3762" s="9"/>
      <c r="C3762" s="9"/>
      <c r="D3762" s="8" t="s">
        <v>45</v>
      </c>
      <c r="E3762" s="8"/>
      <c r="F3762" s="8" t="s">
        <v>22</v>
      </c>
      <c r="G3762" s="10" t="str">
        <f>B3762&amp;"-"&amp;D3762&amp;"-"&amp;E3762&amp;F3762</f>
        <v>-PROG_-BLANCO</v>
      </c>
      <c r="H3762" s="8" t="s">
        <v>7744</v>
      </c>
      <c r="I3762" s="10" t="s">
        <v>7745</v>
      </c>
      <c r="J3762" s="11" t="s">
        <v>26</v>
      </c>
      <c r="K3762" s="18">
        <v>396</v>
      </c>
      <c r="L3762" s="12">
        <f>K3762*(1+P3762)/(1-Q3762)</f>
        <v>678.85714285714289</v>
      </c>
      <c r="M3762" s="8">
        <v>1</v>
      </c>
      <c r="N3762" s="8" t="s">
        <v>27</v>
      </c>
      <c r="O3762" s="13"/>
      <c r="P3762" s="14">
        <v>0.2</v>
      </c>
      <c r="Q3762" s="15">
        <v>0.3</v>
      </c>
      <c r="R3762" s="16" t="str">
        <f t="shared" si="315"/>
        <v>PIONEER</v>
      </c>
      <c r="S3762" s="17"/>
      <c r="T3762" s="10" t="str">
        <f>G3762</f>
        <v>-PROG_-BLANCO</v>
      </c>
      <c r="W3762" s="20">
        <f>396*1.2*4250*1.19</f>
        <v>2403324</v>
      </c>
      <c r="X3762" s="21">
        <f>L3762/0.9*4400</f>
        <v>3318857.1428571432</v>
      </c>
    </row>
    <row r="3763" spans="1:24" ht="27" customHeight="1" x14ac:dyDescent="0.25">
      <c r="A3763" s="8" t="s">
        <v>7737</v>
      </c>
      <c r="B3763" s="9"/>
      <c r="C3763" s="9"/>
      <c r="D3763" s="8" t="s">
        <v>45</v>
      </c>
      <c r="E3763" s="8"/>
      <c r="F3763" s="8" t="s">
        <v>22</v>
      </c>
      <c r="G3763" s="10" t="s">
        <v>7738</v>
      </c>
      <c r="H3763" s="8" t="s">
        <v>7744</v>
      </c>
      <c r="I3763" s="10" t="s">
        <v>7746</v>
      </c>
      <c r="J3763" s="11" t="s">
        <v>26</v>
      </c>
      <c r="K3763" s="18">
        <v>550</v>
      </c>
      <c r="L3763" s="12">
        <f t="shared" ref="L3763:L3788" si="316">IF(J3763="P",ROUNDUP(K3763/(1-Q3763),-2),K3763*(1+P3763)/(1-Q3763))</f>
        <v>825</v>
      </c>
      <c r="M3763" s="8">
        <v>1</v>
      </c>
      <c r="N3763" s="8" t="s">
        <v>27</v>
      </c>
      <c r="O3763" s="13" t="s">
        <v>588</v>
      </c>
      <c r="P3763" s="14">
        <v>0.2</v>
      </c>
      <c r="Q3763" s="15">
        <v>0.2</v>
      </c>
      <c r="R3763" s="16" t="str">
        <f t="shared" si="315"/>
        <v>PIONEER</v>
      </c>
      <c r="S3763" s="17"/>
      <c r="T3763" s="10" t="str">
        <f>G3763</f>
        <v>PROCESADOR DE AV 4K DE 9.2 CANALES, 215 VATIOS.</v>
      </c>
      <c r="W3763" s="20">
        <f>W3762*1.19</f>
        <v>2859955.56</v>
      </c>
      <c r="X3763" s="21">
        <f>X3762*1.19</f>
        <v>3949440</v>
      </c>
    </row>
    <row r="3764" spans="1:24" ht="27" customHeight="1" x14ac:dyDescent="0.25">
      <c r="A3764" s="8" t="s">
        <v>7747</v>
      </c>
      <c r="B3764" s="9"/>
      <c r="C3764" s="9"/>
      <c r="D3764" s="8"/>
      <c r="E3764" s="8"/>
      <c r="F3764" s="8"/>
      <c r="G3764" s="10"/>
      <c r="H3764" s="8" t="s">
        <v>7748</v>
      </c>
      <c r="I3764" s="10" t="s">
        <v>7749</v>
      </c>
      <c r="J3764" s="11" t="s">
        <v>33</v>
      </c>
      <c r="K3764" s="18">
        <v>410422</v>
      </c>
      <c r="L3764" s="12">
        <f t="shared" si="316"/>
        <v>586400</v>
      </c>
      <c r="M3764" s="8">
        <v>1</v>
      </c>
      <c r="N3764" s="8" t="s">
        <v>27</v>
      </c>
      <c r="O3764" s="13">
        <f>F3764</f>
        <v>0</v>
      </c>
      <c r="P3764" s="14">
        <v>0</v>
      </c>
      <c r="Q3764" s="15">
        <v>0.3</v>
      </c>
      <c r="R3764" s="16" t="str">
        <f t="shared" si="315"/>
        <v>PLANET</v>
      </c>
      <c r="S3764" s="17"/>
      <c r="T3764" s="10"/>
    </row>
    <row r="3765" spans="1:24" ht="27" customHeight="1" x14ac:dyDescent="0.25">
      <c r="A3765" s="8" t="s">
        <v>7747</v>
      </c>
      <c r="B3765" s="9"/>
      <c r="C3765" s="9"/>
      <c r="D3765" s="8"/>
      <c r="E3765" s="8"/>
      <c r="F3765" s="8"/>
      <c r="G3765" s="10"/>
      <c r="H3765" s="8" t="s">
        <v>7750</v>
      </c>
      <c r="I3765" s="10" t="s">
        <v>7751</v>
      </c>
      <c r="J3765" s="11" t="s">
        <v>26</v>
      </c>
      <c r="K3765" s="18">
        <v>65</v>
      </c>
      <c r="L3765" s="12">
        <f t="shared" si="316"/>
        <v>130</v>
      </c>
      <c r="M3765" s="8">
        <v>1</v>
      </c>
      <c r="N3765" s="8" t="s">
        <v>27</v>
      </c>
      <c r="O3765" s="13"/>
      <c r="P3765" s="14">
        <v>0.2</v>
      </c>
      <c r="Q3765" s="15">
        <v>0.4</v>
      </c>
      <c r="R3765" s="16" t="str">
        <f t="shared" si="315"/>
        <v>PLANET</v>
      </c>
      <c r="S3765" s="17"/>
      <c r="T3765" s="10"/>
    </row>
    <row r="3766" spans="1:24" ht="27" customHeight="1" x14ac:dyDescent="0.25">
      <c r="A3766" s="8" t="s">
        <v>7752</v>
      </c>
      <c r="B3766" s="9"/>
      <c r="C3766" s="9"/>
      <c r="D3766" s="8"/>
      <c r="E3766" s="8"/>
      <c r="F3766" s="8"/>
      <c r="G3766" s="10"/>
      <c r="H3766" s="8" t="s">
        <v>7753</v>
      </c>
      <c r="I3766" s="10" t="s">
        <v>7754</v>
      </c>
      <c r="J3766" s="11" t="s">
        <v>33</v>
      </c>
      <c r="K3766" s="18">
        <v>13024</v>
      </c>
      <c r="L3766" s="12">
        <f t="shared" si="316"/>
        <v>18700</v>
      </c>
      <c r="M3766" s="8">
        <v>1</v>
      </c>
      <c r="N3766" s="8" t="s">
        <v>27</v>
      </c>
      <c r="O3766" s="13">
        <f>F3766</f>
        <v>0</v>
      </c>
      <c r="P3766" s="14">
        <v>0</v>
      </c>
      <c r="Q3766" s="15">
        <v>0.3</v>
      </c>
      <c r="R3766" s="16" t="str">
        <f t="shared" si="315"/>
        <v>PLASTIMEC</v>
      </c>
      <c r="S3766" s="17"/>
      <c r="T3766" s="10"/>
    </row>
    <row r="3767" spans="1:24" ht="27" customHeight="1" x14ac:dyDescent="0.25">
      <c r="A3767" s="8" t="s">
        <v>7755</v>
      </c>
      <c r="B3767" s="9"/>
      <c r="C3767" s="9"/>
      <c r="D3767" s="8"/>
      <c r="E3767" s="8"/>
      <c r="F3767" s="8" t="s">
        <v>22</v>
      </c>
      <c r="G3767" s="10" t="s">
        <v>7756</v>
      </c>
      <c r="H3767" s="8" t="s">
        <v>7757</v>
      </c>
      <c r="I3767" s="10" t="s">
        <v>7756</v>
      </c>
      <c r="J3767" s="11" t="s">
        <v>33</v>
      </c>
      <c r="K3767" s="18">
        <v>750000</v>
      </c>
      <c r="L3767" s="12">
        <f t="shared" si="316"/>
        <v>1250000</v>
      </c>
      <c r="M3767" s="8">
        <v>1</v>
      </c>
      <c r="N3767" s="8" t="s">
        <v>27</v>
      </c>
      <c r="O3767" s="13"/>
      <c r="P3767" s="14">
        <v>0.2</v>
      </c>
      <c r="Q3767" s="15">
        <v>0.4</v>
      </c>
      <c r="R3767" s="16" t="str">
        <f t="shared" si="315"/>
        <v>POLYCOM</v>
      </c>
      <c r="S3767" s="17"/>
      <c r="T3767" s="10" t="str">
        <f>G3767</f>
        <v>INSTALACIÓN DE EQUIPOS EN SALA</v>
      </c>
    </row>
    <row r="3768" spans="1:24" ht="27" customHeight="1" x14ac:dyDescent="0.25">
      <c r="A3768" s="8" t="s">
        <v>7755</v>
      </c>
      <c r="B3768" s="9"/>
      <c r="C3768" s="9"/>
      <c r="D3768" s="8"/>
      <c r="E3768" s="8"/>
      <c r="F3768" s="8" t="s">
        <v>22</v>
      </c>
      <c r="G3768" s="10" t="s">
        <v>7758</v>
      </c>
      <c r="H3768" s="8" t="s">
        <v>7759</v>
      </c>
      <c r="I3768" s="10" t="s">
        <v>7760</v>
      </c>
      <c r="J3768" s="11" t="s">
        <v>26</v>
      </c>
      <c r="K3768" s="18">
        <v>4235</v>
      </c>
      <c r="L3768" s="12">
        <f t="shared" si="316"/>
        <v>6050</v>
      </c>
      <c r="M3768" s="8">
        <v>1</v>
      </c>
      <c r="N3768" s="8" t="s">
        <v>27</v>
      </c>
      <c r="O3768" s="13"/>
      <c r="P3768" s="14">
        <v>0.2</v>
      </c>
      <c r="Q3768" s="15">
        <v>0.16</v>
      </c>
      <c r="R3768" s="16" t="str">
        <f t="shared" si="315"/>
        <v>POLYCOM</v>
      </c>
      <c r="S3768" s="17"/>
      <c r="T3768" s="10" t="str">
        <f>G3768</f>
        <v>VIDEO CONFERENCIA 720P.</v>
      </c>
    </row>
    <row r="3769" spans="1:24" ht="27" customHeight="1" x14ac:dyDescent="0.25">
      <c r="A3769" s="8" t="s">
        <v>7761</v>
      </c>
      <c r="B3769" s="9"/>
      <c r="C3769" s="9"/>
      <c r="D3769" s="8" t="s">
        <v>45</v>
      </c>
      <c r="E3769" s="8"/>
      <c r="F3769" s="8" t="s">
        <v>22</v>
      </c>
      <c r="G3769" s="10" t="s">
        <v>7762</v>
      </c>
      <c r="H3769" s="8" t="s">
        <v>7763</v>
      </c>
      <c r="I3769" s="10" t="s">
        <v>7762</v>
      </c>
      <c r="J3769" s="11" t="s">
        <v>33</v>
      </c>
      <c r="K3769" s="18">
        <v>180000</v>
      </c>
      <c r="L3769" s="12">
        <f t="shared" si="316"/>
        <v>300000</v>
      </c>
      <c r="M3769" s="8">
        <v>1</v>
      </c>
      <c r="N3769" s="8" t="s">
        <v>27</v>
      </c>
      <c r="O3769" s="13" t="s">
        <v>588</v>
      </c>
      <c r="P3769" s="14">
        <v>0</v>
      </c>
      <c r="Q3769" s="15">
        <v>0.4</v>
      </c>
      <c r="R3769" s="16" t="str">
        <f t="shared" si="315"/>
        <v>POWEST</v>
      </c>
      <c r="S3769" s="17"/>
      <c r="T3769" s="10" t="str">
        <f>G3769</f>
        <v>UPS DE 750VA, 360 VATIOS. CON SOFTWARE DE MONITOREO POR USB</v>
      </c>
    </row>
    <row r="3770" spans="1:24" ht="27" customHeight="1" x14ac:dyDescent="0.25">
      <c r="A3770" s="8" t="s">
        <v>7761</v>
      </c>
      <c r="B3770" s="9"/>
      <c r="C3770" s="9"/>
      <c r="D3770" s="8" t="s">
        <v>45</v>
      </c>
      <c r="E3770" s="8"/>
      <c r="F3770" s="8" t="s">
        <v>22</v>
      </c>
      <c r="G3770" s="10" t="s">
        <v>7764</v>
      </c>
      <c r="H3770" s="8" t="s">
        <v>7765</v>
      </c>
      <c r="I3770" s="10" t="s">
        <v>7764</v>
      </c>
      <c r="J3770" s="11" t="s">
        <v>33</v>
      </c>
      <c r="K3770" s="18">
        <v>490000</v>
      </c>
      <c r="L3770" s="12">
        <f t="shared" si="316"/>
        <v>816700</v>
      </c>
      <c r="M3770" s="8">
        <v>1</v>
      </c>
      <c r="N3770" s="8" t="s">
        <v>27</v>
      </c>
      <c r="O3770" s="13" t="s">
        <v>588</v>
      </c>
      <c r="P3770" s="14">
        <v>0</v>
      </c>
      <c r="Q3770" s="15">
        <v>0.4</v>
      </c>
      <c r="R3770" s="16" t="str">
        <f t="shared" si="315"/>
        <v>POWEST</v>
      </c>
      <c r="S3770" s="17"/>
      <c r="T3770" s="10" t="str">
        <f>G3770</f>
        <v>UPS DE 2000VA, 360 VATIOS. CON SOFTWARE DE MONITOREO POR USB</v>
      </c>
    </row>
    <row r="3771" spans="1:24" ht="27" customHeight="1" x14ac:dyDescent="0.25">
      <c r="A3771" s="8" t="s">
        <v>7761</v>
      </c>
      <c r="B3771" s="9"/>
      <c r="C3771" s="9"/>
      <c r="D3771" s="8"/>
      <c r="E3771" s="8"/>
      <c r="F3771" s="8"/>
      <c r="G3771" s="10"/>
      <c r="H3771" s="8" t="s">
        <v>7766</v>
      </c>
      <c r="I3771" s="10" t="s">
        <v>7767</v>
      </c>
      <c r="J3771" s="11" t="s">
        <v>33</v>
      </c>
      <c r="K3771" s="18">
        <v>1560000</v>
      </c>
      <c r="L3771" s="12">
        <f t="shared" si="316"/>
        <v>2228600</v>
      </c>
      <c r="M3771" s="8">
        <v>1</v>
      </c>
      <c r="N3771" s="8" t="s">
        <v>27</v>
      </c>
      <c r="O3771" s="13">
        <f>F3771</f>
        <v>0</v>
      </c>
      <c r="P3771" s="14">
        <v>0</v>
      </c>
      <c r="Q3771" s="15">
        <v>0.3</v>
      </c>
      <c r="R3771" s="16" t="str">
        <f t="shared" si="315"/>
        <v>POWEST</v>
      </c>
      <c r="S3771" s="17"/>
      <c r="T3771" s="10"/>
    </row>
    <row r="3772" spans="1:24" ht="27" customHeight="1" x14ac:dyDescent="0.25">
      <c r="A3772" s="8" t="s">
        <v>7761</v>
      </c>
      <c r="B3772" s="9"/>
      <c r="C3772" s="9"/>
      <c r="D3772" s="8"/>
      <c r="E3772" s="8"/>
      <c r="F3772" s="8"/>
      <c r="G3772" s="10"/>
      <c r="H3772" s="8" t="s">
        <v>7768</v>
      </c>
      <c r="I3772" s="10" t="s">
        <v>7769</v>
      </c>
      <c r="J3772" s="11" t="s">
        <v>33</v>
      </c>
      <c r="K3772" s="18">
        <v>1450000</v>
      </c>
      <c r="L3772" s="12">
        <f t="shared" si="316"/>
        <v>2071500</v>
      </c>
      <c r="M3772" s="8">
        <v>1</v>
      </c>
      <c r="N3772" s="8" t="s">
        <v>27</v>
      </c>
      <c r="O3772" s="13">
        <f>F3772</f>
        <v>0</v>
      </c>
      <c r="P3772" s="14">
        <v>0</v>
      </c>
      <c r="Q3772" s="15">
        <v>0.3</v>
      </c>
      <c r="R3772" s="16" t="str">
        <f t="shared" si="315"/>
        <v>POWEST</v>
      </c>
      <c r="S3772" s="17"/>
      <c r="T3772" s="10"/>
    </row>
    <row r="3773" spans="1:24" ht="27" customHeight="1" x14ac:dyDescent="0.25">
      <c r="A3773" s="8" t="s">
        <v>7770</v>
      </c>
      <c r="B3773" s="9"/>
      <c r="C3773" s="9"/>
      <c r="D3773" s="8"/>
      <c r="E3773" s="8"/>
      <c r="F3773" s="8"/>
      <c r="G3773" s="10"/>
      <c r="H3773" s="8" t="s">
        <v>7771</v>
      </c>
      <c r="I3773" s="10" t="s">
        <v>7772</v>
      </c>
      <c r="J3773" s="11" t="s">
        <v>33</v>
      </c>
      <c r="K3773" s="18">
        <v>185000</v>
      </c>
      <c r="L3773" s="12">
        <f t="shared" si="316"/>
        <v>264300</v>
      </c>
      <c r="M3773" s="8">
        <v>1</v>
      </c>
      <c r="N3773" s="8" t="s">
        <v>27</v>
      </c>
      <c r="O3773" s="13"/>
      <c r="P3773" s="14">
        <v>0</v>
      </c>
      <c r="Q3773" s="15">
        <v>0.3</v>
      </c>
      <c r="R3773" s="16" t="str">
        <f t="shared" si="315"/>
        <v>PROAUDIO</v>
      </c>
      <c r="S3773" s="17"/>
      <c r="T3773" s="10"/>
    </row>
    <row r="3774" spans="1:24" ht="27" customHeight="1" x14ac:dyDescent="0.25">
      <c r="A3774" s="8" t="s">
        <v>7773</v>
      </c>
      <c r="B3774" s="9" t="s">
        <v>208</v>
      </c>
      <c r="C3774" s="9"/>
      <c r="D3774" s="8" t="s">
        <v>7774</v>
      </c>
      <c r="E3774" s="8"/>
      <c r="F3774" s="8" t="s">
        <v>22</v>
      </c>
      <c r="G3774" s="10" t="s">
        <v>7775</v>
      </c>
      <c r="H3774" s="8" t="s">
        <v>1203</v>
      </c>
      <c r="I3774" s="10" t="s">
        <v>7775</v>
      </c>
      <c r="J3774" s="11" t="s">
        <v>33</v>
      </c>
      <c r="K3774" s="18">
        <v>5000</v>
      </c>
      <c r="L3774" s="12">
        <f t="shared" si="316"/>
        <v>8400</v>
      </c>
      <c r="M3774" s="8">
        <v>1</v>
      </c>
      <c r="N3774" s="8" t="s">
        <v>110</v>
      </c>
      <c r="O3774" s="13"/>
      <c r="P3774" s="14">
        <v>0.2</v>
      </c>
      <c r="Q3774" s="15">
        <v>0.4</v>
      </c>
      <c r="R3774" s="16" t="str">
        <f t="shared" si="315"/>
        <v>PROCABLE</v>
      </c>
      <c r="S3774" s="17"/>
      <c r="T3774" s="10" t="str">
        <f t="shared" ref="T3774:T3788" si="317">G3774</f>
        <v>METRO DE ALAMBRE CERTIFICADO CALIBRE AWG 6.</v>
      </c>
    </row>
    <row r="3775" spans="1:24" ht="27" customHeight="1" x14ac:dyDescent="0.25">
      <c r="A3775" s="8" t="s">
        <v>7773</v>
      </c>
      <c r="B3775" s="9" t="s">
        <v>683</v>
      </c>
      <c r="C3775" s="9"/>
      <c r="D3775" s="8" t="s">
        <v>3412</v>
      </c>
      <c r="E3775" s="8"/>
      <c r="F3775" s="8" t="s">
        <v>22</v>
      </c>
      <c r="G3775" s="10" t="s">
        <v>7776</v>
      </c>
      <c r="H3775" s="8" t="s">
        <v>7777</v>
      </c>
      <c r="I3775" s="10" t="s">
        <v>7776</v>
      </c>
      <c r="J3775" s="11" t="s">
        <v>33</v>
      </c>
      <c r="K3775" s="18">
        <v>103000</v>
      </c>
      <c r="L3775" s="12">
        <f t="shared" si="316"/>
        <v>128800</v>
      </c>
      <c r="M3775" s="8">
        <v>1</v>
      </c>
      <c r="N3775" s="8" t="s">
        <v>27</v>
      </c>
      <c r="O3775" s="13"/>
      <c r="P3775" s="14">
        <v>0.2</v>
      </c>
      <c r="Q3775" s="15">
        <v>0.2</v>
      </c>
      <c r="R3775" s="16" t="str">
        <f t="shared" si="315"/>
        <v>PROCABLE</v>
      </c>
      <c r="S3775" s="17"/>
      <c r="T3775" s="10" t="str">
        <f t="shared" si="317"/>
        <v>ALAMBRE CERTIFICADO AWG 12, ROLLO POR 100 METROS</v>
      </c>
    </row>
    <row r="3776" spans="1:24" ht="27" customHeight="1" x14ac:dyDescent="0.25">
      <c r="A3776" s="8" t="s">
        <v>7773</v>
      </c>
      <c r="B3776" s="9"/>
      <c r="C3776" s="9"/>
      <c r="D3776" s="8"/>
      <c r="E3776" s="8"/>
      <c r="F3776" s="8" t="s">
        <v>22</v>
      </c>
      <c r="G3776" s="10" t="s">
        <v>7778</v>
      </c>
      <c r="H3776" s="8" t="s">
        <v>7779</v>
      </c>
      <c r="I3776" s="10" t="s">
        <v>7778</v>
      </c>
      <c r="J3776" s="11" t="s">
        <v>33</v>
      </c>
      <c r="K3776" s="18">
        <v>956898</v>
      </c>
      <c r="L3776" s="12">
        <f t="shared" si="316"/>
        <v>1367000</v>
      </c>
      <c r="M3776" s="8">
        <v>1</v>
      </c>
      <c r="N3776" s="8" t="s">
        <v>27</v>
      </c>
      <c r="O3776" s="13"/>
      <c r="P3776" s="14">
        <v>0.2</v>
      </c>
      <c r="Q3776" s="15">
        <v>0.3</v>
      </c>
      <c r="R3776" s="16" t="str">
        <f t="shared" si="315"/>
        <v>PROCABLE</v>
      </c>
      <c r="S3776" s="17"/>
      <c r="T3776" s="10" t="str">
        <f t="shared" si="317"/>
        <v>ROLLO POR 300 METROS DE CABLE TRENZADO AWG12</v>
      </c>
    </row>
    <row r="3777" spans="1:28" ht="27" customHeight="1" x14ac:dyDescent="0.25">
      <c r="A3777" s="8" t="s">
        <v>7773</v>
      </c>
      <c r="B3777" s="9" t="s">
        <v>1070</v>
      </c>
      <c r="C3777" s="9"/>
      <c r="D3777" s="8" t="s">
        <v>28</v>
      </c>
      <c r="E3777" s="8">
        <v>8</v>
      </c>
      <c r="F3777" s="8" t="s">
        <v>22</v>
      </c>
      <c r="G3777" s="10" t="s">
        <v>7780</v>
      </c>
      <c r="H3777" s="8" t="s">
        <v>7781</v>
      </c>
      <c r="I3777" s="10" t="s">
        <v>7780</v>
      </c>
      <c r="J3777" s="11" t="s">
        <v>33</v>
      </c>
      <c r="K3777" s="18">
        <v>61000</v>
      </c>
      <c r="L3777" s="12">
        <f t="shared" si="316"/>
        <v>101700</v>
      </c>
      <c r="M3777" s="8">
        <v>1</v>
      </c>
      <c r="N3777" s="8" t="s">
        <v>27</v>
      </c>
      <c r="O3777" s="13"/>
      <c r="P3777" s="14">
        <v>0.2</v>
      </c>
      <c r="Q3777" s="15">
        <v>0.4</v>
      </c>
      <c r="R3777" s="16" t="str">
        <f t="shared" si="315"/>
        <v>PROCABLE</v>
      </c>
      <c r="S3777" s="17"/>
      <c r="T3777" s="10" t="str">
        <f t="shared" si="317"/>
        <v>ROLLO DE 100 METROS DE ALAMBRE AWG18</v>
      </c>
    </row>
    <row r="3778" spans="1:28" ht="27" customHeight="1" x14ac:dyDescent="0.25">
      <c r="A3778" s="8" t="s">
        <v>7773</v>
      </c>
      <c r="B3778" s="9" t="s">
        <v>208</v>
      </c>
      <c r="C3778" s="9"/>
      <c r="D3778" s="8" t="s">
        <v>208</v>
      </c>
      <c r="E3778" s="8"/>
      <c r="F3778" s="8" t="s">
        <v>22</v>
      </c>
      <c r="G3778" s="10" t="s">
        <v>7782</v>
      </c>
      <c r="H3778" s="8" t="s">
        <v>7783</v>
      </c>
      <c r="I3778" s="10" t="s">
        <v>7782</v>
      </c>
      <c r="J3778" s="11" t="s">
        <v>33</v>
      </c>
      <c r="K3778" s="18">
        <v>3900</v>
      </c>
      <c r="L3778" s="12">
        <f t="shared" si="316"/>
        <v>4900</v>
      </c>
      <c r="M3778" s="8">
        <v>1</v>
      </c>
      <c r="N3778" s="8" t="s">
        <v>110</v>
      </c>
      <c r="O3778" s="13"/>
      <c r="P3778" s="14">
        <v>0</v>
      </c>
      <c r="Q3778" s="15">
        <v>0.2</v>
      </c>
      <c r="R3778" s="16" t="str">
        <f t="shared" si="315"/>
        <v>PROCABLE</v>
      </c>
      <c r="S3778" s="17"/>
      <c r="T3778" s="10" t="str">
        <f t="shared" si="317"/>
        <v>METRO DE CABLE ENCAUCHETADO 3X16. MARCA PROCABLE.</v>
      </c>
    </row>
    <row r="3779" spans="1:28" ht="27" customHeight="1" x14ac:dyDescent="0.25">
      <c r="A3779" s="8" t="s">
        <v>7773</v>
      </c>
      <c r="B3779" s="9"/>
      <c r="C3779" s="9"/>
      <c r="D3779" s="8"/>
      <c r="E3779" s="8"/>
      <c r="F3779" s="8" t="s">
        <v>22</v>
      </c>
      <c r="G3779" s="10" t="s">
        <v>7784</v>
      </c>
      <c r="H3779" s="8" t="s">
        <v>7785</v>
      </c>
      <c r="I3779" s="10" t="s">
        <v>7784</v>
      </c>
      <c r="J3779" s="11" t="s">
        <v>33</v>
      </c>
      <c r="K3779" s="18">
        <v>1600</v>
      </c>
      <c r="L3779" s="12">
        <f t="shared" si="316"/>
        <v>2700</v>
      </c>
      <c r="M3779" s="8">
        <v>1</v>
      </c>
      <c r="N3779" s="8" t="s">
        <v>27</v>
      </c>
      <c r="O3779" s="13"/>
      <c r="P3779" s="14">
        <v>0.2</v>
      </c>
      <c r="Q3779" s="15">
        <v>0.4</v>
      </c>
      <c r="R3779" s="16" t="str">
        <f t="shared" si="315"/>
        <v>PROCABLE</v>
      </c>
      <c r="S3779" s="17"/>
      <c r="T3779" s="10" t="str">
        <f t="shared" si="317"/>
        <v>METRO DE CABLE ENCAUCHETADO DE 4 HILOS AWG 18.</v>
      </c>
    </row>
    <row r="3780" spans="1:28" ht="27" customHeight="1" x14ac:dyDescent="0.25">
      <c r="A3780" s="8" t="s">
        <v>7773</v>
      </c>
      <c r="B3780" s="9" t="s">
        <v>208</v>
      </c>
      <c r="C3780" s="9"/>
      <c r="D3780" s="8" t="s">
        <v>208</v>
      </c>
      <c r="E3780" s="8"/>
      <c r="F3780" s="8" t="s">
        <v>22</v>
      </c>
      <c r="G3780" s="10" t="s">
        <v>7786</v>
      </c>
      <c r="H3780" s="8" t="s">
        <v>7787</v>
      </c>
      <c r="I3780" s="10" t="s">
        <v>7786</v>
      </c>
      <c r="J3780" s="11" t="s">
        <v>33</v>
      </c>
      <c r="K3780" s="18">
        <v>1960</v>
      </c>
      <c r="L3780" s="12">
        <f t="shared" si="316"/>
        <v>3300</v>
      </c>
      <c r="M3780" s="8">
        <v>1</v>
      </c>
      <c r="N3780" s="8" t="s">
        <v>110</v>
      </c>
      <c r="O3780" s="13"/>
      <c r="P3780" s="14">
        <v>0.2</v>
      </c>
      <c r="Q3780" s="15">
        <v>0.4</v>
      </c>
      <c r="R3780" s="16" t="str">
        <f t="shared" si="315"/>
        <v>PROCABLE</v>
      </c>
      <c r="S3780" s="17"/>
      <c r="T3780" s="10" t="str">
        <f t="shared" si="317"/>
        <v>METRO DE CABLE ENCAUCHETADO 3X18. MARCA PROCABLE.</v>
      </c>
    </row>
    <row r="3781" spans="1:28" ht="27" customHeight="1" x14ac:dyDescent="0.25">
      <c r="A3781" s="8" t="s">
        <v>7773</v>
      </c>
      <c r="B3781" s="9" t="s">
        <v>208</v>
      </c>
      <c r="C3781" s="9"/>
      <c r="D3781" s="8" t="s">
        <v>208</v>
      </c>
      <c r="E3781" s="8"/>
      <c r="F3781" s="8" t="s">
        <v>22</v>
      </c>
      <c r="G3781" s="10" t="s">
        <v>7788</v>
      </c>
      <c r="H3781" s="8" t="s">
        <v>7789</v>
      </c>
      <c r="I3781" s="10" t="s">
        <v>7788</v>
      </c>
      <c r="J3781" s="11" t="s">
        <v>33</v>
      </c>
      <c r="K3781" s="18">
        <v>15000</v>
      </c>
      <c r="L3781" s="12">
        <f t="shared" si="316"/>
        <v>21500</v>
      </c>
      <c r="M3781" s="8">
        <v>1</v>
      </c>
      <c r="N3781" s="8" t="s">
        <v>110</v>
      </c>
      <c r="O3781" s="13"/>
      <c r="P3781" s="14">
        <v>0.2</v>
      </c>
      <c r="Q3781" s="15">
        <v>0.3</v>
      </c>
      <c r="R3781" s="16" t="str">
        <f t="shared" si="315"/>
        <v>PROCABLE</v>
      </c>
      <c r="S3781" s="17"/>
      <c r="T3781" s="10" t="str">
        <f t="shared" si="317"/>
        <v>METRO DE CABLE AWG 6x4 ENCAUCHETADO</v>
      </c>
    </row>
    <row r="3782" spans="1:28" ht="27" customHeight="1" x14ac:dyDescent="0.25">
      <c r="A3782" s="8" t="s">
        <v>7773</v>
      </c>
      <c r="B3782" s="9" t="s">
        <v>208</v>
      </c>
      <c r="C3782" s="9"/>
      <c r="D3782" s="8" t="s">
        <v>208</v>
      </c>
      <c r="E3782" s="8"/>
      <c r="F3782" s="8" t="s">
        <v>22</v>
      </c>
      <c r="G3782" s="10" t="s">
        <v>7790</v>
      </c>
      <c r="H3782" s="8" t="s">
        <v>7791</v>
      </c>
      <c r="I3782" s="10" t="s">
        <v>7790</v>
      </c>
      <c r="J3782" s="11" t="s">
        <v>33</v>
      </c>
      <c r="K3782" s="18">
        <v>5463</v>
      </c>
      <c r="L3782" s="12">
        <f t="shared" si="316"/>
        <v>9200</v>
      </c>
      <c r="M3782" s="8">
        <v>1</v>
      </c>
      <c r="N3782" s="8" t="s">
        <v>110</v>
      </c>
      <c r="O3782" s="13"/>
      <c r="P3782" s="14">
        <v>0.2</v>
      </c>
      <c r="Q3782" s="15">
        <v>0.4</v>
      </c>
      <c r="R3782" s="16" t="str">
        <f t="shared" si="315"/>
        <v>PROCABLE</v>
      </c>
      <c r="S3782" s="17"/>
      <c r="T3782" s="10" t="str">
        <f t="shared" si="317"/>
        <v>METRO DE CABLE ENCAUCHETADO 2X14. MARCA PROCABLE.</v>
      </c>
    </row>
    <row r="3783" spans="1:28" ht="27" customHeight="1" x14ac:dyDescent="0.25">
      <c r="A3783" s="8" t="s">
        <v>7773</v>
      </c>
      <c r="B3783" s="9" t="s">
        <v>208</v>
      </c>
      <c r="C3783" s="9"/>
      <c r="D3783" s="8" t="s">
        <v>28</v>
      </c>
      <c r="E3783" s="8">
        <v>3</v>
      </c>
      <c r="F3783" s="8" t="s">
        <v>22</v>
      </c>
      <c r="G3783" s="10" t="s">
        <v>1153</v>
      </c>
      <c r="H3783" s="8" t="s">
        <v>7792</v>
      </c>
      <c r="I3783" s="10" t="s">
        <v>1153</v>
      </c>
      <c r="J3783" s="11" t="s">
        <v>33</v>
      </c>
      <c r="K3783" s="18">
        <v>5000</v>
      </c>
      <c r="L3783" s="12">
        <f t="shared" si="316"/>
        <v>7200</v>
      </c>
      <c r="M3783" s="8">
        <v>1</v>
      </c>
      <c r="N3783" s="8" t="s">
        <v>110</v>
      </c>
      <c r="O3783" s="13"/>
      <c r="P3783" s="14">
        <v>0.2</v>
      </c>
      <c r="Q3783" s="15">
        <v>0.3</v>
      </c>
      <c r="R3783" s="16" t="str">
        <f t="shared" si="315"/>
        <v>PROCABLE</v>
      </c>
      <c r="S3783" s="17"/>
      <c r="T3783" s="10" t="str">
        <f t="shared" si="317"/>
        <v>METRO DE CABLE ELÉCTRICO AWG 4 CERTIFICADO</v>
      </c>
    </row>
    <row r="3784" spans="1:28" ht="27" customHeight="1" x14ac:dyDescent="0.25">
      <c r="A3784" s="8" t="s">
        <v>7773</v>
      </c>
      <c r="B3784" s="9" t="s">
        <v>208</v>
      </c>
      <c r="C3784" s="9"/>
      <c r="D3784" s="8"/>
      <c r="E3784" s="8"/>
      <c r="F3784" s="8" t="s">
        <v>22</v>
      </c>
      <c r="G3784" s="10" t="s">
        <v>7793</v>
      </c>
      <c r="H3784" s="8" t="s">
        <v>7794</v>
      </c>
      <c r="I3784" s="10" t="s">
        <v>7793</v>
      </c>
      <c r="J3784" s="11" t="s">
        <v>33</v>
      </c>
      <c r="K3784" s="18">
        <v>4400</v>
      </c>
      <c r="L3784" s="12">
        <f t="shared" si="316"/>
        <v>6300</v>
      </c>
      <c r="M3784" s="8">
        <v>1</v>
      </c>
      <c r="N3784" s="8" t="s">
        <v>110</v>
      </c>
      <c r="O3784" s="13"/>
      <c r="P3784" s="14">
        <v>0.2</v>
      </c>
      <c r="Q3784" s="15">
        <v>0.3</v>
      </c>
      <c r="R3784" s="16" t="str">
        <f t="shared" si="315"/>
        <v>PROCABLE</v>
      </c>
      <c r="S3784" s="17"/>
      <c r="T3784" s="10" t="str">
        <f t="shared" si="317"/>
        <v>METRO DE CABLE DESNUDO AWG4</v>
      </c>
    </row>
    <row r="3785" spans="1:28" ht="27" customHeight="1" x14ac:dyDescent="0.25">
      <c r="A3785" s="8" t="s">
        <v>7773</v>
      </c>
      <c r="B3785" s="9" t="s">
        <v>208</v>
      </c>
      <c r="C3785" s="9"/>
      <c r="D3785" s="8" t="s">
        <v>208</v>
      </c>
      <c r="E3785" s="8"/>
      <c r="F3785" s="8" t="s">
        <v>22</v>
      </c>
      <c r="G3785" s="10" t="s">
        <v>7795</v>
      </c>
      <c r="H3785" s="8" t="s">
        <v>7796</v>
      </c>
      <c r="I3785" s="10" t="s">
        <v>7795</v>
      </c>
      <c r="J3785" s="11" t="s">
        <v>33</v>
      </c>
      <c r="K3785" s="18">
        <v>5600</v>
      </c>
      <c r="L3785" s="12">
        <f t="shared" si="316"/>
        <v>8000</v>
      </c>
      <c r="M3785" s="8">
        <v>1</v>
      </c>
      <c r="N3785" s="8" t="s">
        <v>110</v>
      </c>
      <c r="O3785" s="13"/>
      <c r="P3785" s="14">
        <v>0</v>
      </c>
      <c r="Q3785" s="15">
        <v>0.3</v>
      </c>
      <c r="R3785" s="16" t="str">
        <f t="shared" si="315"/>
        <v>PROCABLE</v>
      </c>
      <c r="S3785" s="17"/>
      <c r="T3785" s="10" t="str">
        <f t="shared" si="317"/>
        <v>METRO DE CABLE ENCAUCHETADO 3X14. MARCA PROCABLE.</v>
      </c>
    </row>
    <row r="3786" spans="1:28" ht="27" customHeight="1" x14ac:dyDescent="0.25">
      <c r="A3786" s="8" t="s">
        <v>7773</v>
      </c>
      <c r="B3786" s="9" t="s">
        <v>208</v>
      </c>
      <c r="C3786" s="9"/>
      <c r="D3786" s="8" t="s">
        <v>208</v>
      </c>
      <c r="E3786" s="8"/>
      <c r="F3786" s="8" t="s">
        <v>22</v>
      </c>
      <c r="G3786" s="10" t="s">
        <v>7797</v>
      </c>
      <c r="H3786" s="8" t="s">
        <v>7798</v>
      </c>
      <c r="I3786" s="10" t="s">
        <v>7797</v>
      </c>
      <c r="J3786" s="11" t="s">
        <v>33</v>
      </c>
      <c r="K3786" s="18">
        <f>220000/40</f>
        <v>5500</v>
      </c>
      <c r="L3786" s="12">
        <f t="shared" si="316"/>
        <v>9200</v>
      </c>
      <c r="M3786" s="8">
        <v>1</v>
      </c>
      <c r="N3786" s="8" t="s">
        <v>110</v>
      </c>
      <c r="O3786" s="13"/>
      <c r="P3786" s="14">
        <v>0</v>
      </c>
      <c r="Q3786" s="15">
        <v>0.4</v>
      </c>
      <c r="R3786" s="16" t="str">
        <f t="shared" si="315"/>
        <v>PROCABLE</v>
      </c>
      <c r="S3786" s="17"/>
      <c r="T3786" s="10" t="str">
        <f t="shared" si="317"/>
        <v>METRO DE CABLE ENCAUCHETADO 2X10. MARCA PROCABLE.</v>
      </c>
    </row>
    <row r="3787" spans="1:28" ht="27" customHeight="1" x14ac:dyDescent="0.25">
      <c r="A3787" s="8" t="s">
        <v>7773</v>
      </c>
      <c r="B3787" s="9"/>
      <c r="C3787" s="9"/>
      <c r="D3787" s="8"/>
      <c r="E3787" s="8"/>
      <c r="F3787" s="8" t="s">
        <v>22</v>
      </c>
      <c r="G3787" s="10" t="s">
        <v>7799</v>
      </c>
      <c r="H3787" s="8" t="s">
        <v>7800</v>
      </c>
      <c r="I3787" s="10" t="s">
        <v>7799</v>
      </c>
      <c r="J3787" s="11" t="s">
        <v>33</v>
      </c>
      <c r="K3787" s="18">
        <f>90000/20</f>
        <v>4500</v>
      </c>
      <c r="L3787" s="12">
        <f t="shared" si="316"/>
        <v>6000</v>
      </c>
      <c r="M3787" s="8">
        <v>1</v>
      </c>
      <c r="N3787" s="8" t="s">
        <v>110</v>
      </c>
      <c r="O3787" s="13"/>
      <c r="P3787" s="14">
        <v>0.2</v>
      </c>
      <c r="Q3787" s="15">
        <v>0.25</v>
      </c>
      <c r="R3787" s="16" t="str">
        <f t="shared" si="315"/>
        <v>PROCABLE</v>
      </c>
      <c r="S3787" s="17"/>
      <c r="T3787" s="10" t="str">
        <f t="shared" si="317"/>
        <v>METRO DE ALAMBRE CERTIFICADO CALIBRE AWG 12.</v>
      </c>
    </row>
    <row r="3788" spans="1:28" ht="27" customHeight="1" x14ac:dyDescent="0.25">
      <c r="A3788" s="8" t="s">
        <v>7773</v>
      </c>
      <c r="B3788" s="9"/>
      <c r="C3788" s="9"/>
      <c r="D3788" s="8" t="s">
        <v>45</v>
      </c>
      <c r="E3788" s="8"/>
      <c r="F3788" s="8" t="s">
        <v>22</v>
      </c>
      <c r="G3788" s="10" t="s">
        <v>7801</v>
      </c>
      <c r="H3788" s="8" t="s">
        <v>7802</v>
      </c>
      <c r="I3788" s="10" t="s">
        <v>7801</v>
      </c>
      <c r="J3788" s="11" t="s">
        <v>33</v>
      </c>
      <c r="K3788" s="18">
        <f>338000/40</f>
        <v>8450</v>
      </c>
      <c r="L3788" s="12">
        <f t="shared" si="316"/>
        <v>10600</v>
      </c>
      <c r="M3788" s="8">
        <v>1</v>
      </c>
      <c r="N3788" s="8" t="s">
        <v>27</v>
      </c>
      <c r="O3788" s="13" t="s">
        <v>588</v>
      </c>
      <c r="P3788" s="14">
        <v>0</v>
      </c>
      <c r="Q3788" s="15">
        <v>0.2</v>
      </c>
      <c r="R3788" s="16" t="str">
        <f t="shared" si="315"/>
        <v>PROCABLE</v>
      </c>
      <c r="S3788" s="17"/>
      <c r="T3788" s="10" t="str">
        <f t="shared" si="317"/>
        <v>CABLE ASCR #2</v>
      </c>
    </row>
    <row r="3789" spans="1:28" ht="27" customHeight="1" x14ac:dyDescent="0.25">
      <c r="A3789" s="8" t="s">
        <v>7803</v>
      </c>
      <c r="B3789" s="9"/>
      <c r="C3789" s="9"/>
      <c r="D3789" s="8"/>
      <c r="E3789" s="8"/>
      <c r="F3789" s="8"/>
      <c r="G3789" s="10"/>
      <c r="H3789" s="8" t="s">
        <v>7804</v>
      </c>
      <c r="I3789" s="10" t="s">
        <v>7805</v>
      </c>
      <c r="J3789" s="11" t="s">
        <v>33</v>
      </c>
      <c r="K3789" s="18">
        <v>24500</v>
      </c>
      <c r="L3789" s="12">
        <f>K3789*(1+P3789)/(1-Q3789)</f>
        <v>40833.333333333336</v>
      </c>
      <c r="M3789" s="8">
        <v>1</v>
      </c>
      <c r="N3789" s="8" t="s">
        <v>27</v>
      </c>
      <c r="O3789" s="13"/>
      <c r="P3789" s="14">
        <v>0</v>
      </c>
      <c r="Q3789" s="15">
        <v>0.4</v>
      </c>
      <c r="R3789" s="16" t="str">
        <f t="shared" si="315"/>
        <v>PROEL</v>
      </c>
      <c r="S3789" s="17"/>
      <c r="T3789" s="10"/>
    </row>
    <row r="3790" spans="1:28" ht="27" customHeight="1" x14ac:dyDescent="0.25">
      <c r="A3790" s="8" t="s">
        <v>7806</v>
      </c>
      <c r="B3790" s="9"/>
      <c r="C3790" s="9"/>
      <c r="D3790" s="8" t="s">
        <v>45</v>
      </c>
      <c r="E3790" s="8"/>
      <c r="F3790" s="8" t="s">
        <v>22</v>
      </c>
      <c r="G3790" s="10" t="s">
        <v>7807</v>
      </c>
      <c r="H3790" s="8" t="s">
        <v>7808</v>
      </c>
      <c r="I3790" s="10" t="s">
        <v>7807</v>
      </c>
      <c r="J3790" s="11" t="s">
        <v>33</v>
      </c>
      <c r="K3790" s="18">
        <v>27841</v>
      </c>
      <c r="L3790" s="12">
        <f>ROUNDUP(K3790*(1+P3790)/(1-Q3790),0)</f>
        <v>46402</v>
      </c>
      <c r="M3790" s="8">
        <v>1</v>
      </c>
      <c r="N3790" s="8" t="s">
        <v>27</v>
      </c>
      <c r="O3790" s="13"/>
      <c r="P3790" s="14">
        <v>0</v>
      </c>
      <c r="Q3790" s="15">
        <v>0.4</v>
      </c>
      <c r="R3790" s="16" t="str">
        <f t="shared" si="315"/>
        <v>PROELECTRICOS</v>
      </c>
      <c r="S3790" s="17"/>
      <c r="T3790" s="10" t="str">
        <f>G3790</f>
        <v>CAJA ELÉCTRICA DE PASO</v>
      </c>
      <c r="AB3790" s="112">
        <v>1</v>
      </c>
    </row>
    <row r="3791" spans="1:28" ht="27" customHeight="1" x14ac:dyDescent="0.25">
      <c r="A3791" s="8" t="s">
        <v>7806</v>
      </c>
      <c r="B3791" s="9"/>
      <c r="C3791" s="9"/>
      <c r="D3791" s="8"/>
      <c r="E3791" s="8"/>
      <c r="F3791" s="8"/>
      <c r="G3791" s="10"/>
      <c r="H3791" s="8" t="s">
        <v>7809</v>
      </c>
      <c r="I3791" s="10" t="s">
        <v>7810</v>
      </c>
      <c r="J3791" s="11" t="s">
        <v>33</v>
      </c>
      <c r="K3791" s="18">
        <v>130000</v>
      </c>
      <c r="L3791" s="12">
        <f>K3791*(1+P3791)/(1-Q3791)</f>
        <v>260000</v>
      </c>
      <c r="M3791" s="8">
        <v>1</v>
      </c>
      <c r="N3791" s="8" t="s">
        <v>27</v>
      </c>
      <c r="O3791" s="13"/>
      <c r="P3791" s="14">
        <v>0.2</v>
      </c>
      <c r="Q3791" s="15">
        <v>0.4</v>
      </c>
      <c r="R3791" s="16" t="str">
        <f t="shared" si="315"/>
        <v>PROELECTRICOS</v>
      </c>
      <c r="S3791" s="17"/>
      <c r="T3791" s="10"/>
    </row>
    <row r="3792" spans="1:28" ht="27" customHeight="1" x14ac:dyDescent="0.25">
      <c r="A3792" s="8" t="s">
        <v>7806</v>
      </c>
      <c r="B3792" s="9"/>
      <c r="C3792" s="9"/>
      <c r="D3792" s="8"/>
      <c r="E3792" s="8"/>
      <c r="F3792" s="8"/>
      <c r="G3792" s="10"/>
      <c r="H3792" s="8" t="s">
        <v>7811</v>
      </c>
      <c r="I3792" s="10" t="s">
        <v>7812</v>
      </c>
      <c r="J3792" s="11" t="s">
        <v>33</v>
      </c>
      <c r="K3792" s="18">
        <v>1053.78</v>
      </c>
      <c r="L3792" s="12">
        <f t="shared" ref="L3792:L3829" si="318">IF(J3792="P",ROUNDUP(K3792/(1-Q3792),-2),K3792*(1+P3792)/(1-Q3792))</f>
        <v>1800</v>
      </c>
      <c r="M3792" s="8">
        <v>1</v>
      </c>
      <c r="N3792" s="8" t="s">
        <v>27</v>
      </c>
      <c r="O3792" s="13">
        <f>F3792</f>
        <v>0</v>
      </c>
      <c r="P3792" s="14">
        <v>0</v>
      </c>
      <c r="Q3792" s="15">
        <v>0.4</v>
      </c>
      <c r="R3792" s="16" t="str">
        <f t="shared" si="315"/>
        <v>PROELECTRICOS</v>
      </c>
      <c r="S3792" s="17"/>
      <c r="T3792" s="10"/>
    </row>
    <row r="3793" spans="1:20" ht="27" customHeight="1" x14ac:dyDescent="0.25">
      <c r="A3793" s="8" t="s">
        <v>7806</v>
      </c>
      <c r="B3793" s="9"/>
      <c r="C3793" s="9"/>
      <c r="D3793" s="8"/>
      <c r="E3793" s="8"/>
      <c r="F3793" s="8"/>
      <c r="G3793" s="10"/>
      <c r="H3793" s="8" t="s">
        <v>7813</v>
      </c>
      <c r="I3793" s="10" t="s">
        <v>7814</v>
      </c>
      <c r="J3793" s="11" t="s">
        <v>33</v>
      </c>
      <c r="K3793" s="18">
        <v>700</v>
      </c>
      <c r="L3793" s="12">
        <f t="shared" si="318"/>
        <v>1200</v>
      </c>
      <c r="M3793" s="8">
        <v>1</v>
      </c>
      <c r="N3793" s="8" t="s">
        <v>27</v>
      </c>
      <c r="O3793" s="13">
        <f>F3793</f>
        <v>0</v>
      </c>
      <c r="P3793" s="14">
        <v>0</v>
      </c>
      <c r="Q3793" s="15">
        <v>0.4</v>
      </c>
      <c r="R3793" s="16" t="str">
        <f t="shared" si="315"/>
        <v>PROELECTRICOS</v>
      </c>
      <c r="S3793" s="17"/>
      <c r="T3793" s="10"/>
    </row>
    <row r="3794" spans="1:20" ht="27" customHeight="1" x14ac:dyDescent="0.25">
      <c r="A3794" s="8" t="s">
        <v>7806</v>
      </c>
      <c r="B3794" s="9"/>
      <c r="C3794" s="9"/>
      <c r="D3794" s="8"/>
      <c r="E3794" s="8"/>
      <c r="F3794" s="8"/>
      <c r="G3794" s="10"/>
      <c r="H3794" s="8" t="s">
        <v>7815</v>
      </c>
      <c r="I3794" s="10" t="s">
        <v>7816</v>
      </c>
      <c r="J3794" s="11" t="s">
        <v>33</v>
      </c>
      <c r="K3794" s="18">
        <v>1310</v>
      </c>
      <c r="L3794" s="12">
        <f t="shared" si="318"/>
        <v>2200</v>
      </c>
      <c r="M3794" s="8">
        <v>1</v>
      </c>
      <c r="N3794" s="8" t="s">
        <v>27</v>
      </c>
      <c r="O3794" s="13">
        <f>F3794</f>
        <v>0</v>
      </c>
      <c r="P3794" s="14">
        <v>0</v>
      </c>
      <c r="Q3794" s="15">
        <v>0.4</v>
      </c>
      <c r="R3794" s="16" t="str">
        <f t="shared" si="315"/>
        <v>PROELECTRICOS</v>
      </c>
      <c r="S3794" s="17"/>
      <c r="T3794" s="10"/>
    </row>
    <row r="3795" spans="1:20" ht="27" customHeight="1" x14ac:dyDescent="0.25">
      <c r="A3795" s="8" t="s">
        <v>7806</v>
      </c>
      <c r="B3795" s="9"/>
      <c r="C3795" s="9"/>
      <c r="D3795" s="8"/>
      <c r="E3795" s="8"/>
      <c r="F3795" s="8"/>
      <c r="G3795" s="10"/>
      <c r="H3795" s="8" t="s">
        <v>7817</v>
      </c>
      <c r="I3795" s="10" t="s">
        <v>7818</v>
      </c>
      <c r="J3795" s="11" t="s">
        <v>33</v>
      </c>
      <c r="K3795" s="18">
        <v>750</v>
      </c>
      <c r="L3795" s="12">
        <f t="shared" si="318"/>
        <v>1300</v>
      </c>
      <c r="M3795" s="8">
        <v>1</v>
      </c>
      <c r="N3795" s="8" t="s">
        <v>27</v>
      </c>
      <c r="O3795" s="13">
        <f>F3795</f>
        <v>0</v>
      </c>
      <c r="P3795" s="14">
        <v>0</v>
      </c>
      <c r="Q3795" s="15">
        <v>0.4</v>
      </c>
      <c r="R3795" s="16" t="str">
        <f t="shared" si="315"/>
        <v>PROELECTRICOS</v>
      </c>
      <c r="S3795" s="17"/>
      <c r="T3795" s="10"/>
    </row>
    <row r="3796" spans="1:20" ht="27" customHeight="1" x14ac:dyDescent="0.25">
      <c r="A3796" s="8" t="s">
        <v>7819</v>
      </c>
      <c r="B3796" s="9"/>
      <c r="C3796" s="9"/>
      <c r="D3796" s="8"/>
      <c r="E3796" s="8"/>
      <c r="F3796" s="8"/>
      <c r="G3796" s="10"/>
      <c r="H3796" s="8" t="s">
        <v>7820</v>
      </c>
      <c r="I3796" s="10" t="s">
        <v>7821</v>
      </c>
      <c r="J3796" s="11" t="s">
        <v>26</v>
      </c>
      <c r="K3796" s="18">
        <v>3.9</v>
      </c>
      <c r="L3796" s="12">
        <f t="shared" si="318"/>
        <v>7.8</v>
      </c>
      <c r="M3796" s="8">
        <v>1</v>
      </c>
      <c r="N3796" s="8" t="s">
        <v>27</v>
      </c>
      <c r="O3796" s="13">
        <f>F3796</f>
        <v>0</v>
      </c>
      <c r="P3796" s="14">
        <v>0.2</v>
      </c>
      <c r="Q3796" s="15">
        <v>0.4</v>
      </c>
      <c r="R3796" s="16" t="str">
        <f t="shared" si="315"/>
        <v>PROKEY</v>
      </c>
      <c r="S3796" s="17"/>
      <c r="T3796" s="10"/>
    </row>
    <row r="3797" spans="1:20" ht="27" customHeight="1" x14ac:dyDescent="0.25">
      <c r="A3797" s="8" t="s">
        <v>7822</v>
      </c>
      <c r="B3797" s="9"/>
      <c r="C3797" s="9"/>
      <c r="D3797" s="8"/>
      <c r="E3797" s="8"/>
      <c r="F3797" s="8" t="s">
        <v>22</v>
      </c>
      <c r="G3797" s="10" t="s">
        <v>7823</v>
      </c>
      <c r="H3797" s="8" t="s">
        <v>7824</v>
      </c>
      <c r="I3797" s="10" t="s">
        <v>7823</v>
      </c>
      <c r="J3797" s="11" t="s">
        <v>33</v>
      </c>
      <c r="K3797" s="18">
        <v>189600</v>
      </c>
      <c r="L3797" s="12">
        <f t="shared" si="318"/>
        <v>270900</v>
      </c>
      <c r="M3797" s="8">
        <v>1</v>
      </c>
      <c r="N3797" s="8" t="s">
        <v>27</v>
      </c>
      <c r="O3797" s="13"/>
      <c r="P3797" s="14">
        <v>0.2</v>
      </c>
      <c r="Q3797" s="15">
        <v>0.3</v>
      </c>
      <c r="R3797" s="16" t="str">
        <f t="shared" si="315"/>
        <v>PRUEBA</v>
      </c>
      <c r="S3797" s="17"/>
      <c r="T3797" s="10" t="str">
        <f t="shared" ref="T3797:T3802" si="319">G3797</f>
        <v>RACK DE 19" Y ALTURA 1.5 METROS EN FORMATO ABIERTO</v>
      </c>
    </row>
    <row r="3798" spans="1:20" ht="27" customHeight="1" x14ac:dyDescent="0.25">
      <c r="A3798" s="8" t="s">
        <v>7825</v>
      </c>
      <c r="B3798" s="9"/>
      <c r="C3798" s="9"/>
      <c r="D3798" s="8"/>
      <c r="E3798" s="8"/>
      <c r="F3798" s="8" t="s">
        <v>22</v>
      </c>
      <c r="G3798" s="10" t="s">
        <v>7826</v>
      </c>
      <c r="H3798" s="8" t="s">
        <v>7827</v>
      </c>
      <c r="I3798" s="10" t="s">
        <v>7828</v>
      </c>
      <c r="J3798" s="11" t="s">
        <v>26</v>
      </c>
      <c r="K3798" s="18">
        <v>451</v>
      </c>
      <c r="L3798" s="12">
        <f t="shared" si="318"/>
        <v>741.36986301369859</v>
      </c>
      <c r="M3798" s="8">
        <v>1</v>
      </c>
      <c r="N3798" s="8" t="s">
        <v>27</v>
      </c>
      <c r="O3798" s="13"/>
      <c r="P3798" s="14">
        <v>0.2</v>
      </c>
      <c r="Q3798" s="15">
        <v>0.27</v>
      </c>
      <c r="R3798" s="16" t="str">
        <f t="shared" si="315"/>
        <v>PYLE</v>
      </c>
      <c r="S3798" s="17"/>
      <c r="T3798" s="10" t="str">
        <f t="shared" si="319"/>
        <v>SISTEMA DE MICROFONÍA INALÁMBRICA CON 4 MICRÓFONOS CUELLO DE GANSO INALÁMBRICOS.</v>
      </c>
    </row>
    <row r="3799" spans="1:20" ht="27" customHeight="1" x14ac:dyDescent="0.25">
      <c r="A3799" s="8" t="s">
        <v>7825</v>
      </c>
      <c r="B3799" s="9"/>
      <c r="C3799" s="9"/>
      <c r="D3799" s="8"/>
      <c r="E3799" s="8"/>
      <c r="F3799" s="8" t="s">
        <v>22</v>
      </c>
      <c r="G3799" s="10" t="s">
        <v>7829</v>
      </c>
      <c r="H3799" s="8" t="s">
        <v>7830</v>
      </c>
      <c r="I3799" s="10" t="s">
        <v>7831</v>
      </c>
      <c r="J3799" s="11" t="s">
        <v>26</v>
      </c>
      <c r="K3799" s="18">
        <v>54</v>
      </c>
      <c r="L3799" s="12">
        <f t="shared" si="318"/>
        <v>80.999999999999986</v>
      </c>
      <c r="M3799" s="8">
        <v>1</v>
      </c>
      <c r="N3799" s="8" t="s">
        <v>27</v>
      </c>
      <c r="O3799" s="13"/>
      <c r="P3799" s="14">
        <v>0.2</v>
      </c>
      <c r="Q3799" s="15">
        <v>0.2</v>
      </c>
      <c r="R3799" s="16" t="str">
        <f t="shared" si="315"/>
        <v>PYLE</v>
      </c>
      <c r="S3799" s="17"/>
      <c r="T3799" s="10" t="str">
        <f t="shared" si="319"/>
        <v>MEZCLADOR DE SEÑALES PREAMPLIFICADAS.</v>
      </c>
    </row>
    <row r="3800" spans="1:20" ht="27" customHeight="1" x14ac:dyDescent="0.25">
      <c r="A3800" s="8" t="s">
        <v>7825</v>
      </c>
      <c r="B3800" s="9"/>
      <c r="C3800" s="9"/>
      <c r="D3800" s="8"/>
      <c r="E3800" s="8"/>
      <c r="F3800" s="8" t="s">
        <v>22</v>
      </c>
      <c r="G3800" s="10" t="s">
        <v>7832</v>
      </c>
      <c r="H3800" s="8" t="s">
        <v>7833</v>
      </c>
      <c r="I3800" s="10" t="s">
        <v>7834</v>
      </c>
      <c r="J3800" s="11" t="s">
        <v>33</v>
      </c>
      <c r="K3800" s="18">
        <v>172000</v>
      </c>
      <c r="L3800" s="12">
        <f t="shared" si="318"/>
        <v>286700</v>
      </c>
      <c r="M3800" s="8">
        <v>1</v>
      </c>
      <c r="N3800" s="8" t="s">
        <v>27</v>
      </c>
      <c r="O3800" s="13"/>
      <c r="P3800" s="14">
        <v>0.2</v>
      </c>
      <c r="Q3800" s="15">
        <v>0.4</v>
      </c>
      <c r="R3800" s="16" t="str">
        <f t="shared" si="315"/>
        <v>PYLE</v>
      </c>
      <c r="S3800" s="17"/>
      <c r="T3800" s="10" t="str">
        <f t="shared" si="319"/>
        <v>AMPLIFICADOR DE 100 W PARA PARLANTES DE 2, 4, 6 y 8 OHM.</v>
      </c>
    </row>
    <row r="3801" spans="1:20" ht="27" customHeight="1" x14ac:dyDescent="0.25">
      <c r="A3801" s="8" t="s">
        <v>7825</v>
      </c>
      <c r="B3801" s="9"/>
      <c r="C3801" s="9"/>
      <c r="D3801" s="8" t="s">
        <v>45</v>
      </c>
      <c r="E3801" s="8"/>
      <c r="F3801" s="8" t="s">
        <v>22</v>
      </c>
      <c r="G3801" s="10" t="s">
        <v>7835</v>
      </c>
      <c r="H3801" s="8" t="s">
        <v>7836</v>
      </c>
      <c r="I3801" s="10" t="s">
        <v>7837</v>
      </c>
      <c r="J3801" s="11" t="s">
        <v>26</v>
      </c>
      <c r="K3801" s="18">
        <v>54</v>
      </c>
      <c r="L3801" s="12">
        <f t="shared" si="318"/>
        <v>92.571428571428569</v>
      </c>
      <c r="M3801" s="8">
        <v>1</v>
      </c>
      <c r="N3801" s="8" t="s">
        <v>27</v>
      </c>
      <c r="O3801" s="13"/>
      <c r="P3801" s="14">
        <v>0.2</v>
      </c>
      <c r="Q3801" s="15">
        <v>0.3</v>
      </c>
      <c r="R3801" s="16" t="str">
        <f t="shared" si="315"/>
        <v>PYLE</v>
      </c>
      <c r="S3801" s="17"/>
      <c r="T3801" s="10" t="str">
        <f t="shared" si="319"/>
        <v>AMPLIFICADOR DE DOS CANALES DE 300W CON ENTRADA DE MICRÓFONO.</v>
      </c>
    </row>
    <row r="3802" spans="1:20" ht="27" customHeight="1" x14ac:dyDescent="0.25">
      <c r="A3802" s="8" t="s">
        <v>7825</v>
      </c>
      <c r="B3802" s="9"/>
      <c r="C3802" s="9"/>
      <c r="D3802" s="8" t="s">
        <v>45</v>
      </c>
      <c r="E3802" s="8"/>
      <c r="F3802" s="8" t="s">
        <v>22</v>
      </c>
      <c r="G3802" s="10" t="s">
        <v>7838</v>
      </c>
      <c r="H3802" s="8" t="s">
        <v>7839</v>
      </c>
      <c r="I3802" s="10" t="s">
        <v>7838</v>
      </c>
      <c r="J3802" s="11" t="s">
        <v>26</v>
      </c>
      <c r="K3802" s="18">
        <v>31</v>
      </c>
      <c r="L3802" s="12">
        <f t="shared" si="318"/>
        <v>61.999999999999993</v>
      </c>
      <c r="M3802" s="8">
        <v>1</v>
      </c>
      <c r="N3802" s="8" t="s">
        <v>27</v>
      </c>
      <c r="O3802" s="13"/>
      <c r="P3802" s="14">
        <v>0.2</v>
      </c>
      <c r="Q3802" s="15">
        <v>0.4</v>
      </c>
      <c r="R3802" s="16" t="str">
        <f t="shared" si="315"/>
        <v>PYLE</v>
      </c>
      <c r="S3802" s="17"/>
      <c r="T3802" s="10" t="str">
        <f t="shared" si="319"/>
        <v>MICRÓFONO CUELLO DE GANZO CON CONDENSADOR</v>
      </c>
    </row>
    <row r="3803" spans="1:20" ht="27" customHeight="1" x14ac:dyDescent="0.25">
      <c r="A3803" s="8" t="s">
        <v>7825</v>
      </c>
      <c r="B3803" s="9"/>
      <c r="C3803" s="9"/>
      <c r="D3803" s="8"/>
      <c r="E3803" s="8"/>
      <c r="F3803" s="8"/>
      <c r="G3803" s="10"/>
      <c r="H3803" s="8" t="s">
        <v>7840</v>
      </c>
      <c r="I3803" s="10" t="s">
        <v>7841</v>
      </c>
      <c r="J3803" s="11" t="s">
        <v>26</v>
      </c>
      <c r="K3803" s="18">
        <v>115</v>
      </c>
      <c r="L3803" s="12">
        <f t="shared" si="318"/>
        <v>172.5</v>
      </c>
      <c r="M3803" s="8">
        <v>1</v>
      </c>
      <c r="N3803" s="8" t="s">
        <v>27</v>
      </c>
      <c r="O3803" s="13">
        <f>F3803</f>
        <v>0</v>
      </c>
      <c r="P3803" s="14">
        <v>0.2</v>
      </c>
      <c r="Q3803" s="15">
        <v>0.2</v>
      </c>
      <c r="R3803" s="16" t="str">
        <f t="shared" si="315"/>
        <v>PYLE</v>
      </c>
      <c r="S3803" s="17"/>
      <c r="T3803" s="10"/>
    </row>
    <row r="3804" spans="1:20" ht="27" customHeight="1" x14ac:dyDescent="0.25">
      <c r="A3804" s="8" t="s">
        <v>7825</v>
      </c>
      <c r="B3804" s="9"/>
      <c r="C3804" s="9"/>
      <c r="D3804" s="8"/>
      <c r="E3804" s="8"/>
      <c r="F3804" s="8"/>
      <c r="G3804" s="10"/>
      <c r="H3804" s="8" t="s">
        <v>7842</v>
      </c>
      <c r="I3804" s="10" t="s">
        <v>7843</v>
      </c>
      <c r="J3804" s="11" t="s">
        <v>33</v>
      </c>
      <c r="K3804" s="18">
        <v>570000</v>
      </c>
      <c r="L3804" s="12">
        <f t="shared" si="318"/>
        <v>814300</v>
      </c>
      <c r="M3804" s="8">
        <v>1</v>
      </c>
      <c r="N3804" s="8" t="s">
        <v>27</v>
      </c>
      <c r="O3804" s="13">
        <f>F3804</f>
        <v>0</v>
      </c>
      <c r="P3804" s="14">
        <v>0</v>
      </c>
      <c r="Q3804" s="15">
        <v>0.3</v>
      </c>
      <c r="R3804" s="16" t="str">
        <f t="shared" si="315"/>
        <v>PYLE</v>
      </c>
      <c r="S3804" s="17" t="s">
        <v>7844</v>
      </c>
      <c r="T3804" s="10"/>
    </row>
    <row r="3805" spans="1:20" ht="27" customHeight="1" x14ac:dyDescent="0.25">
      <c r="A3805" s="8" t="s">
        <v>7845</v>
      </c>
      <c r="B3805" s="9"/>
      <c r="C3805" s="9"/>
      <c r="D3805" s="8"/>
      <c r="E3805" s="8"/>
      <c r="F3805" s="8" t="s">
        <v>22</v>
      </c>
      <c r="G3805" s="10" t="s">
        <v>7846</v>
      </c>
      <c r="H3805" s="8" t="s">
        <v>7847</v>
      </c>
      <c r="I3805" s="10" t="s">
        <v>7846</v>
      </c>
      <c r="J3805" s="11" t="s">
        <v>33</v>
      </c>
      <c r="K3805" s="18">
        <v>6000</v>
      </c>
      <c r="L3805" s="12">
        <f t="shared" si="318"/>
        <v>10000</v>
      </c>
      <c r="M3805" s="8">
        <v>1</v>
      </c>
      <c r="N3805" s="8" t="s">
        <v>27</v>
      </c>
      <c r="O3805" s="13"/>
      <c r="P3805" s="14">
        <v>0.2</v>
      </c>
      <c r="Q3805" s="15">
        <v>0.4</v>
      </c>
      <c r="R3805" s="16" t="str">
        <f t="shared" si="315"/>
        <v>QPCOM</v>
      </c>
      <c r="S3805" s="17"/>
      <c r="T3805" s="10" t="str">
        <f t="shared" ref="T3805:T3812" si="320">G3805</f>
        <v>PATCH CORE CATEGORÍA 6 DE UN METRO COLOR BLANCO.</v>
      </c>
    </row>
    <row r="3806" spans="1:20" ht="27" customHeight="1" x14ac:dyDescent="0.25">
      <c r="A3806" s="8" t="s">
        <v>7845</v>
      </c>
      <c r="B3806" s="9"/>
      <c r="C3806" s="9"/>
      <c r="D3806" s="8"/>
      <c r="E3806" s="8"/>
      <c r="F3806" s="8" t="s">
        <v>22</v>
      </c>
      <c r="G3806" s="10" t="s">
        <v>7848</v>
      </c>
      <c r="H3806" s="8" t="s">
        <v>7849</v>
      </c>
      <c r="I3806" s="10" t="s">
        <v>7848</v>
      </c>
      <c r="J3806" s="11" t="s">
        <v>33</v>
      </c>
      <c r="K3806" s="18">
        <v>10000</v>
      </c>
      <c r="L3806" s="12">
        <f t="shared" si="318"/>
        <v>16700</v>
      </c>
      <c r="M3806" s="8">
        <v>1</v>
      </c>
      <c r="N3806" s="8" t="s">
        <v>27</v>
      </c>
      <c r="O3806" s="13"/>
      <c r="P3806" s="14">
        <v>0.2</v>
      </c>
      <c r="Q3806" s="15">
        <v>0.4</v>
      </c>
      <c r="R3806" s="16" t="str">
        <f t="shared" si="315"/>
        <v>QPCOM</v>
      </c>
      <c r="S3806" s="17"/>
      <c r="T3806" s="10" t="str">
        <f t="shared" si="320"/>
        <v>PATCH CORE CATEGORÍA 6 DE TRES METROS COLOR BLANCO.</v>
      </c>
    </row>
    <row r="3807" spans="1:20" ht="27" customHeight="1" x14ac:dyDescent="0.25">
      <c r="A3807" s="8" t="s">
        <v>7845</v>
      </c>
      <c r="B3807" s="9"/>
      <c r="C3807" s="9"/>
      <c r="D3807" s="8"/>
      <c r="E3807" s="8"/>
      <c r="F3807" s="8" t="s">
        <v>22</v>
      </c>
      <c r="G3807" s="10" t="s">
        <v>7850</v>
      </c>
      <c r="H3807" s="8" t="s">
        <v>7851</v>
      </c>
      <c r="I3807" s="10" t="s">
        <v>7850</v>
      </c>
      <c r="J3807" s="11" t="s">
        <v>33</v>
      </c>
      <c r="K3807" s="18">
        <v>20500</v>
      </c>
      <c r="L3807" s="12">
        <f t="shared" si="318"/>
        <v>29300</v>
      </c>
      <c r="M3807" s="8">
        <v>1</v>
      </c>
      <c r="N3807" s="8" t="s">
        <v>27</v>
      </c>
      <c r="O3807" s="13"/>
      <c r="P3807" s="14">
        <v>0.2</v>
      </c>
      <c r="Q3807" s="15">
        <v>0.3</v>
      </c>
      <c r="R3807" s="16" t="str">
        <f t="shared" si="315"/>
        <v>QPCOM</v>
      </c>
      <c r="S3807" s="17"/>
      <c r="T3807" s="10" t="str">
        <f t="shared" si="320"/>
        <v>PATCH CORE DE 1 METRO CATEGORÍA 6A.</v>
      </c>
    </row>
    <row r="3808" spans="1:20" ht="27" customHeight="1" x14ac:dyDescent="0.25">
      <c r="A3808" s="8" t="s">
        <v>7845</v>
      </c>
      <c r="B3808" s="9"/>
      <c r="C3808" s="9"/>
      <c r="D3808" s="8"/>
      <c r="E3808" s="8"/>
      <c r="F3808" s="8" t="s">
        <v>22</v>
      </c>
      <c r="G3808" s="10" t="s">
        <v>7852</v>
      </c>
      <c r="H3808" s="8" t="s">
        <v>7853</v>
      </c>
      <c r="I3808" s="10" t="s">
        <v>7852</v>
      </c>
      <c r="J3808" s="11" t="s">
        <v>33</v>
      </c>
      <c r="K3808" s="18">
        <v>21000</v>
      </c>
      <c r="L3808" s="12">
        <f t="shared" si="318"/>
        <v>30000</v>
      </c>
      <c r="M3808" s="8">
        <v>1</v>
      </c>
      <c r="N3808" s="8" t="s">
        <v>27</v>
      </c>
      <c r="O3808" s="13"/>
      <c r="P3808" s="14">
        <v>0.2</v>
      </c>
      <c r="Q3808" s="15">
        <v>0.3</v>
      </c>
      <c r="R3808" s="16" t="str">
        <f t="shared" si="315"/>
        <v>QPCOM</v>
      </c>
      <c r="S3808" s="17"/>
      <c r="T3808" s="10" t="str">
        <f t="shared" si="320"/>
        <v>PATCH CORE CATEGORÍA 6A DE 3 METROS</v>
      </c>
    </row>
    <row r="3809" spans="1:20" ht="27" customHeight="1" x14ac:dyDescent="0.25">
      <c r="A3809" s="8" t="s">
        <v>7845</v>
      </c>
      <c r="B3809" s="9"/>
      <c r="C3809" s="9"/>
      <c r="D3809" s="8"/>
      <c r="E3809" s="8"/>
      <c r="F3809" s="8" t="s">
        <v>22</v>
      </c>
      <c r="G3809" s="10" t="s">
        <v>7854</v>
      </c>
      <c r="H3809" s="8" t="s">
        <v>7855</v>
      </c>
      <c r="I3809" s="10" t="s">
        <v>7854</v>
      </c>
      <c r="J3809" s="11" t="s">
        <v>33</v>
      </c>
      <c r="K3809" s="18">
        <v>70000</v>
      </c>
      <c r="L3809" s="12">
        <f t="shared" si="318"/>
        <v>100000</v>
      </c>
      <c r="M3809" s="8">
        <v>1</v>
      </c>
      <c r="N3809" s="8" t="s">
        <v>27</v>
      </c>
      <c r="O3809" s="13"/>
      <c r="P3809" s="14">
        <v>0.2</v>
      </c>
      <c r="Q3809" s="15">
        <v>0.3</v>
      </c>
      <c r="R3809" s="16" t="str">
        <f t="shared" si="315"/>
        <v>QPCOM</v>
      </c>
      <c r="S3809" s="17"/>
      <c r="T3809" s="10" t="str">
        <f t="shared" si="320"/>
        <v>ORGANIZADOR DE 2U TIPO DUCTO</v>
      </c>
    </row>
    <row r="3810" spans="1:20" ht="27" customHeight="1" x14ac:dyDescent="0.25">
      <c r="A3810" s="8" t="s">
        <v>7845</v>
      </c>
      <c r="B3810" s="9"/>
      <c r="C3810" s="9"/>
      <c r="D3810" s="8"/>
      <c r="E3810" s="8"/>
      <c r="F3810" s="8" t="s">
        <v>22</v>
      </c>
      <c r="G3810" s="10" t="s">
        <v>7856</v>
      </c>
      <c r="H3810" s="8" t="s">
        <v>7857</v>
      </c>
      <c r="I3810" s="10" t="s">
        <v>7856</v>
      </c>
      <c r="J3810" s="11" t="s">
        <v>33</v>
      </c>
      <c r="K3810" s="18">
        <v>12000</v>
      </c>
      <c r="L3810" s="12">
        <f t="shared" si="318"/>
        <v>17200</v>
      </c>
      <c r="M3810" s="8">
        <v>1</v>
      </c>
      <c r="N3810" s="8" t="s">
        <v>27</v>
      </c>
      <c r="O3810" s="13"/>
      <c r="P3810" s="14">
        <v>0.2</v>
      </c>
      <c r="Q3810" s="15">
        <v>0.3</v>
      </c>
      <c r="R3810" s="16" t="str">
        <f t="shared" si="315"/>
        <v>QPCOM</v>
      </c>
      <c r="S3810" s="17"/>
      <c r="T3810" s="10" t="str">
        <f t="shared" si="320"/>
        <v>PATCH CORE CATEGORÍA 6A DE 0.5 METROS</v>
      </c>
    </row>
    <row r="3811" spans="1:20" ht="27" customHeight="1" x14ac:dyDescent="0.25">
      <c r="A3811" s="8" t="s">
        <v>7845</v>
      </c>
      <c r="B3811" s="9"/>
      <c r="C3811" s="9"/>
      <c r="D3811" s="8"/>
      <c r="E3811" s="8"/>
      <c r="F3811" s="8" t="s">
        <v>22</v>
      </c>
      <c r="G3811" s="10" t="s">
        <v>7858</v>
      </c>
      <c r="H3811" s="8" t="s">
        <v>7859</v>
      </c>
      <c r="I3811" s="10" t="s">
        <v>7858</v>
      </c>
      <c r="J3811" s="11" t="s">
        <v>33</v>
      </c>
      <c r="K3811" s="18">
        <v>7000</v>
      </c>
      <c r="L3811" s="12">
        <f t="shared" si="318"/>
        <v>14000</v>
      </c>
      <c r="M3811" s="8">
        <v>1</v>
      </c>
      <c r="N3811" s="8" t="s">
        <v>27</v>
      </c>
      <c r="O3811" s="13" t="s">
        <v>588</v>
      </c>
      <c r="P3811" s="14">
        <v>0</v>
      </c>
      <c r="Q3811" s="15">
        <v>0.5</v>
      </c>
      <c r="R3811" s="16" t="str">
        <f t="shared" si="315"/>
        <v>QPCOM</v>
      </c>
      <c r="S3811" s="17"/>
      <c r="T3811" s="10" t="str">
        <f t="shared" si="320"/>
        <v>PATCH CORE DE 1 METRO CATEGORÍA 6</v>
      </c>
    </row>
    <row r="3812" spans="1:20" ht="27" customHeight="1" x14ac:dyDescent="0.25">
      <c r="A3812" s="8" t="s">
        <v>7845</v>
      </c>
      <c r="B3812" s="9"/>
      <c r="C3812" s="9"/>
      <c r="D3812" s="8"/>
      <c r="E3812" s="8"/>
      <c r="F3812" s="8" t="s">
        <v>22</v>
      </c>
      <c r="G3812" s="10" t="s">
        <v>7860</v>
      </c>
      <c r="H3812" s="8" t="s">
        <v>7861</v>
      </c>
      <c r="I3812" s="10" t="s">
        <v>7860</v>
      </c>
      <c r="J3812" s="11" t="s">
        <v>33</v>
      </c>
      <c r="K3812" s="18">
        <v>30673</v>
      </c>
      <c r="L3812" s="12">
        <f t="shared" si="318"/>
        <v>43900</v>
      </c>
      <c r="M3812" s="8">
        <v>1</v>
      </c>
      <c r="N3812" s="8" t="s">
        <v>27</v>
      </c>
      <c r="O3812" s="13"/>
      <c r="P3812" s="14">
        <v>0</v>
      </c>
      <c r="Q3812" s="15">
        <v>0.3</v>
      </c>
      <c r="R3812" s="16" t="str">
        <f t="shared" si="315"/>
        <v>QPCOM</v>
      </c>
      <c r="S3812" s="17"/>
      <c r="T3812" s="10" t="str">
        <f t="shared" si="320"/>
        <v>PATCH CORE DE 5 METROS CATEGORÍA 6A.</v>
      </c>
    </row>
    <row r="3813" spans="1:20" ht="27" customHeight="1" x14ac:dyDescent="0.25">
      <c r="A3813" s="8" t="s">
        <v>7862</v>
      </c>
      <c r="B3813" s="9"/>
      <c r="C3813" s="9"/>
      <c r="D3813" s="8"/>
      <c r="E3813" s="8"/>
      <c r="F3813" s="8"/>
      <c r="G3813" s="10"/>
      <c r="H3813" s="8" t="s">
        <v>7863</v>
      </c>
      <c r="I3813" s="10" t="s">
        <v>7864</v>
      </c>
      <c r="J3813" s="11" t="s">
        <v>26</v>
      </c>
      <c r="K3813" s="18">
        <v>1918.36</v>
      </c>
      <c r="L3813" s="12">
        <f t="shared" si="318"/>
        <v>2256.8941176470589</v>
      </c>
      <c r="M3813" s="8">
        <v>1</v>
      </c>
      <c r="N3813" s="8" t="s">
        <v>27</v>
      </c>
      <c r="O3813" s="13">
        <f>F3813</f>
        <v>0</v>
      </c>
      <c r="P3813" s="14">
        <v>0</v>
      </c>
      <c r="Q3813" s="15">
        <v>0.15</v>
      </c>
      <c r="R3813" s="16" t="str">
        <f t="shared" si="315"/>
        <v>QSC</v>
      </c>
      <c r="S3813" s="17"/>
      <c r="T3813" s="10"/>
    </row>
    <row r="3814" spans="1:20" ht="27" customHeight="1" x14ac:dyDescent="0.25">
      <c r="A3814" s="8" t="s">
        <v>7862</v>
      </c>
      <c r="B3814" s="9"/>
      <c r="C3814" s="9"/>
      <c r="D3814" s="8"/>
      <c r="E3814" s="8"/>
      <c r="F3814" s="8"/>
      <c r="G3814" s="10"/>
      <c r="H3814" s="8" t="s">
        <v>7865</v>
      </c>
      <c r="I3814" s="10" t="s">
        <v>7866</v>
      </c>
      <c r="J3814" s="11" t="s">
        <v>26</v>
      </c>
      <c r="K3814" s="18">
        <v>527.46</v>
      </c>
      <c r="L3814" s="12">
        <f t="shared" si="318"/>
        <v>555.22105263157903</v>
      </c>
      <c r="M3814" s="8">
        <v>1</v>
      </c>
      <c r="N3814" s="8" t="s">
        <v>27</v>
      </c>
      <c r="O3814" s="13">
        <f>F3814</f>
        <v>0</v>
      </c>
      <c r="P3814" s="14">
        <v>0</v>
      </c>
      <c r="Q3814" s="15">
        <v>0.05</v>
      </c>
      <c r="R3814" s="16" t="str">
        <f t="shared" si="315"/>
        <v>QSC</v>
      </c>
      <c r="S3814" s="17"/>
      <c r="T3814" s="10"/>
    </row>
    <row r="3815" spans="1:20" ht="27" customHeight="1" x14ac:dyDescent="0.25">
      <c r="A3815" s="8" t="s">
        <v>7862</v>
      </c>
      <c r="B3815" s="9"/>
      <c r="C3815" s="9"/>
      <c r="D3815" s="8"/>
      <c r="E3815" s="8"/>
      <c r="F3815" s="8"/>
      <c r="G3815" s="10"/>
      <c r="H3815" s="8" t="s">
        <v>7867</v>
      </c>
      <c r="I3815" s="10" t="s">
        <v>7868</v>
      </c>
      <c r="J3815" s="11" t="s">
        <v>26</v>
      </c>
      <c r="K3815" s="18">
        <v>112.33</v>
      </c>
      <c r="L3815" s="12">
        <f t="shared" si="318"/>
        <v>118.2421052631579</v>
      </c>
      <c r="M3815" s="8">
        <v>1</v>
      </c>
      <c r="N3815" s="8" t="s">
        <v>27</v>
      </c>
      <c r="O3815" s="13">
        <f>F3815</f>
        <v>0</v>
      </c>
      <c r="P3815" s="14">
        <v>0</v>
      </c>
      <c r="Q3815" s="15">
        <v>0.05</v>
      </c>
      <c r="R3815" s="16" t="str">
        <f t="shared" si="315"/>
        <v>QSC</v>
      </c>
      <c r="S3815" s="17"/>
      <c r="T3815" s="10"/>
    </row>
    <row r="3816" spans="1:20" ht="27" customHeight="1" x14ac:dyDescent="0.25">
      <c r="A3816" s="8" t="s">
        <v>7862</v>
      </c>
      <c r="B3816" s="9"/>
      <c r="C3816" s="9"/>
      <c r="D3816" s="8"/>
      <c r="E3816" s="8"/>
      <c r="F3816" s="8"/>
      <c r="G3816" s="10"/>
      <c r="H3816" s="8" t="s">
        <v>7869</v>
      </c>
      <c r="I3816" s="10" t="s">
        <v>7868</v>
      </c>
      <c r="J3816" s="11" t="s">
        <v>26</v>
      </c>
      <c r="K3816" s="18">
        <v>224.66</v>
      </c>
      <c r="L3816" s="12">
        <f t="shared" si="318"/>
        <v>236.48421052631579</v>
      </c>
      <c r="M3816" s="8">
        <v>1</v>
      </c>
      <c r="N3816" s="8" t="s">
        <v>27</v>
      </c>
      <c r="O3816" s="13">
        <f>F3816</f>
        <v>0</v>
      </c>
      <c r="P3816" s="14">
        <v>0</v>
      </c>
      <c r="Q3816" s="15">
        <v>0.05</v>
      </c>
      <c r="R3816" s="16" t="str">
        <f t="shared" si="315"/>
        <v>QSC</v>
      </c>
      <c r="S3816" s="17"/>
      <c r="T3816" s="10"/>
    </row>
    <row r="3817" spans="1:20" ht="27" customHeight="1" x14ac:dyDescent="0.25">
      <c r="A3817" s="8" t="s">
        <v>7870</v>
      </c>
      <c r="B3817" s="9" t="s">
        <v>7871</v>
      </c>
      <c r="C3817" s="9"/>
      <c r="D3817" s="8" t="s">
        <v>21</v>
      </c>
      <c r="E3817" s="8"/>
      <c r="F3817" s="8" t="s">
        <v>22</v>
      </c>
      <c r="G3817" s="10" t="s">
        <v>7872</v>
      </c>
      <c r="H3817" s="8" t="s">
        <v>7873</v>
      </c>
      <c r="I3817" s="10" t="s">
        <v>7872</v>
      </c>
      <c r="J3817" s="11" t="s">
        <v>33</v>
      </c>
      <c r="K3817" s="18" t="e">
        <f>#REF!*0.8</f>
        <v>#REF!</v>
      </c>
      <c r="L3817" s="12" t="e">
        <f t="shared" si="318"/>
        <v>#REF!</v>
      </c>
      <c r="M3817" s="8">
        <v>1</v>
      </c>
      <c r="N3817" s="8" t="s">
        <v>27</v>
      </c>
      <c r="O3817" s="13"/>
      <c r="P3817" s="14">
        <v>0.2</v>
      </c>
      <c r="Q3817" s="15">
        <v>0.2</v>
      </c>
      <c r="R3817" s="16" t="str">
        <f t="shared" si="315"/>
        <v>QUEST</v>
      </c>
      <c r="S3817" s="17"/>
      <c r="T3817" s="10" t="str">
        <f t="shared" ref="T3817:T3829" si="321">G3817</f>
        <v>GABINETE DE PISO TIPO RACK, FORMATO DE 19", 20 UNIDADES DE RACK.</v>
      </c>
    </row>
    <row r="3818" spans="1:20" ht="27" customHeight="1" x14ac:dyDescent="0.25">
      <c r="A3818" s="8" t="s">
        <v>7870</v>
      </c>
      <c r="B3818" s="9" t="s">
        <v>7871</v>
      </c>
      <c r="C3818" s="9"/>
      <c r="D3818" s="8" t="s">
        <v>21</v>
      </c>
      <c r="E3818" s="8"/>
      <c r="F3818" s="8" t="s">
        <v>22</v>
      </c>
      <c r="G3818" s="10" t="s">
        <v>7874</v>
      </c>
      <c r="H3818" s="8" t="s">
        <v>7875</v>
      </c>
      <c r="I3818" s="10" t="s">
        <v>7876</v>
      </c>
      <c r="J3818" s="11" t="s">
        <v>33</v>
      </c>
      <c r="K3818" s="18">
        <f>1620000/1.16</f>
        <v>1396551.7241379311</v>
      </c>
      <c r="L3818" s="12">
        <f t="shared" si="318"/>
        <v>1995100</v>
      </c>
      <c r="M3818" s="8">
        <v>1</v>
      </c>
      <c r="N3818" s="8" t="s">
        <v>27</v>
      </c>
      <c r="O3818" s="13"/>
      <c r="P3818" s="14">
        <v>0.2</v>
      </c>
      <c r="Q3818" s="15">
        <v>0.3</v>
      </c>
      <c r="R3818" s="16" t="str">
        <f t="shared" si="315"/>
        <v>QUEST</v>
      </c>
      <c r="S3818" s="17"/>
      <c r="T3818" s="10" t="str">
        <f t="shared" si="321"/>
        <v>GABINETE METÁLICO DE 1.8 METROS DE ALTURA, 1 METRO DE PROFUNDIDAD .</v>
      </c>
    </row>
    <row r="3819" spans="1:20" ht="27" customHeight="1" x14ac:dyDescent="0.25">
      <c r="A3819" s="8" t="s">
        <v>7870</v>
      </c>
      <c r="B3819" s="9"/>
      <c r="C3819" s="9"/>
      <c r="D3819" s="8"/>
      <c r="E3819" s="8"/>
      <c r="F3819" s="8" t="s">
        <v>22</v>
      </c>
      <c r="G3819" s="10" t="s">
        <v>7877</v>
      </c>
      <c r="H3819" s="8" t="s">
        <v>7878</v>
      </c>
      <c r="I3819" s="10" t="s">
        <v>7877</v>
      </c>
      <c r="J3819" s="11" t="s">
        <v>33</v>
      </c>
      <c r="K3819" s="18">
        <v>24000</v>
      </c>
      <c r="L3819" s="12">
        <f t="shared" si="318"/>
        <v>34300</v>
      </c>
      <c r="M3819" s="8">
        <v>1</v>
      </c>
      <c r="N3819" s="8" t="s">
        <v>27</v>
      </c>
      <c r="O3819" s="13"/>
      <c r="P3819" s="14">
        <v>0.2</v>
      </c>
      <c r="Q3819" s="15">
        <v>0.3</v>
      </c>
      <c r="R3819" s="16" t="str">
        <f t="shared" si="315"/>
        <v>QUEST</v>
      </c>
      <c r="S3819" s="17"/>
      <c r="T3819" s="10" t="str">
        <f t="shared" si="321"/>
        <v>ORGANIZADOR DOBLE DE DOS UNIDADES DE RACK</v>
      </c>
    </row>
    <row r="3820" spans="1:20" ht="27" customHeight="1" x14ac:dyDescent="0.25">
      <c r="A3820" s="8" t="s">
        <v>7870</v>
      </c>
      <c r="B3820" s="9"/>
      <c r="C3820" s="9"/>
      <c r="D3820" s="8"/>
      <c r="E3820" s="8"/>
      <c r="F3820" s="8" t="s">
        <v>22</v>
      </c>
      <c r="G3820" s="10" t="s">
        <v>7879</v>
      </c>
      <c r="H3820" s="8" t="s">
        <v>7880</v>
      </c>
      <c r="I3820" s="10" t="s">
        <v>7879</v>
      </c>
      <c r="J3820" s="11" t="s">
        <v>33</v>
      </c>
      <c r="K3820" s="18">
        <v>269800</v>
      </c>
      <c r="L3820" s="12">
        <f t="shared" si="318"/>
        <v>385500</v>
      </c>
      <c r="M3820" s="8">
        <v>1</v>
      </c>
      <c r="N3820" s="8" t="s">
        <v>27</v>
      </c>
      <c r="O3820" s="13"/>
      <c r="P3820" s="14">
        <v>0.2</v>
      </c>
      <c r="Q3820" s="15">
        <v>0.3</v>
      </c>
      <c r="R3820" s="16" t="str">
        <f t="shared" si="315"/>
        <v>QUEST</v>
      </c>
      <c r="S3820" s="17"/>
      <c r="T3820" s="10" t="str">
        <f t="shared" si="321"/>
        <v>MULTITOMA VERTICAL PROTEGIDA 15 AMPERIOS</v>
      </c>
    </row>
    <row r="3821" spans="1:20" ht="27" customHeight="1" x14ac:dyDescent="0.25">
      <c r="A3821" s="8" t="s">
        <v>7870</v>
      </c>
      <c r="B3821" s="9"/>
      <c r="C3821" s="9"/>
      <c r="D3821" s="8"/>
      <c r="E3821" s="8"/>
      <c r="F3821" s="8" t="s">
        <v>22</v>
      </c>
      <c r="G3821" s="10" t="s">
        <v>7881</v>
      </c>
      <c r="H3821" s="8" t="s">
        <v>7882</v>
      </c>
      <c r="I3821" s="10" t="s">
        <v>7881</v>
      </c>
      <c r="J3821" s="11" t="s">
        <v>33</v>
      </c>
      <c r="K3821" s="18">
        <v>1401724</v>
      </c>
      <c r="L3821" s="12">
        <f t="shared" si="318"/>
        <v>2002500</v>
      </c>
      <c r="M3821" s="8">
        <v>1</v>
      </c>
      <c r="N3821" s="8" t="s">
        <v>27</v>
      </c>
      <c r="O3821" s="13"/>
      <c r="P3821" s="14">
        <v>0.2</v>
      </c>
      <c r="Q3821" s="15">
        <v>0.3</v>
      </c>
      <c r="R3821" s="16" t="str">
        <f t="shared" si="315"/>
        <v>QUEST</v>
      </c>
      <c r="S3821" s="17"/>
      <c r="T3821" s="10" t="str">
        <f t="shared" si="321"/>
        <v>GABINETE DE PISO, DINAMYC 6FT X27,5"X39" 40RMS CON PUERTA EN REJILLA.</v>
      </c>
    </row>
    <row r="3822" spans="1:20" ht="27" customHeight="1" x14ac:dyDescent="0.25">
      <c r="A3822" s="8" t="s">
        <v>7870</v>
      </c>
      <c r="B3822" s="9"/>
      <c r="C3822" s="9"/>
      <c r="D3822" s="8"/>
      <c r="E3822" s="8"/>
      <c r="F3822" s="8" t="s">
        <v>22</v>
      </c>
      <c r="G3822" s="10" t="s">
        <v>7883</v>
      </c>
      <c r="H3822" s="8" t="s">
        <v>7884</v>
      </c>
      <c r="I3822" s="10" t="s">
        <v>7883</v>
      </c>
      <c r="J3822" s="11" t="s">
        <v>33</v>
      </c>
      <c r="K3822" s="18">
        <v>135000</v>
      </c>
      <c r="L3822" s="12">
        <f t="shared" si="318"/>
        <v>192900</v>
      </c>
      <c r="M3822" s="8">
        <v>1</v>
      </c>
      <c r="N3822" s="8" t="s">
        <v>27</v>
      </c>
      <c r="O3822" s="13"/>
      <c r="P3822" s="14">
        <v>0.2</v>
      </c>
      <c r="Q3822" s="15">
        <v>0.3</v>
      </c>
      <c r="R3822" s="16" t="str">
        <f t="shared" si="315"/>
        <v>QUEST</v>
      </c>
      <c r="S3822" s="17"/>
      <c r="T3822" s="10" t="str">
        <f t="shared" si="321"/>
        <v>CANALETA DE ORGANIZACIÓN VERTICAL DE 1.8 METROS</v>
      </c>
    </row>
    <row r="3823" spans="1:20" ht="27" customHeight="1" x14ac:dyDescent="0.25">
      <c r="A3823" s="8" t="s">
        <v>7870</v>
      </c>
      <c r="B3823" s="9"/>
      <c r="C3823" s="9"/>
      <c r="D3823" s="8"/>
      <c r="E3823" s="8"/>
      <c r="F3823" s="8" t="s">
        <v>22</v>
      </c>
      <c r="G3823" s="10" t="s">
        <v>7885</v>
      </c>
      <c r="H3823" s="8" t="s">
        <v>7886</v>
      </c>
      <c r="I3823" s="10" t="s">
        <v>7885</v>
      </c>
      <c r="J3823" s="11" t="s">
        <v>33</v>
      </c>
      <c r="K3823" s="18">
        <v>24000</v>
      </c>
      <c r="L3823" s="12">
        <f t="shared" si="318"/>
        <v>34300</v>
      </c>
      <c r="M3823" s="8">
        <v>1</v>
      </c>
      <c r="N3823" s="8" t="s">
        <v>27</v>
      </c>
      <c r="O3823" s="13"/>
      <c r="P3823" s="14">
        <v>0.2</v>
      </c>
      <c r="Q3823" s="15">
        <v>0.3</v>
      </c>
      <c r="R3823" s="16" t="str">
        <f t="shared" ref="R3823:R3886" si="322">A3823</f>
        <v>QUEST</v>
      </c>
      <c r="S3823" s="17"/>
      <c r="T3823" s="10" t="str">
        <f t="shared" si="321"/>
        <v>ORGANIZADOR DOBLE HORIZONTAL DE 19".</v>
      </c>
    </row>
    <row r="3824" spans="1:20" ht="27" customHeight="1" x14ac:dyDescent="0.25">
      <c r="A3824" s="8" t="s">
        <v>7870</v>
      </c>
      <c r="B3824" s="9"/>
      <c r="C3824" s="9"/>
      <c r="D3824" s="8"/>
      <c r="E3824" s="8"/>
      <c r="F3824" s="8" t="s">
        <v>22</v>
      </c>
      <c r="G3824" s="10" t="s">
        <v>7887</v>
      </c>
      <c r="H3824" s="8" t="s">
        <v>7880</v>
      </c>
      <c r="I3824" s="10" t="s">
        <v>7887</v>
      </c>
      <c r="J3824" s="11" t="s">
        <v>33</v>
      </c>
      <c r="K3824" s="18">
        <v>269800</v>
      </c>
      <c r="L3824" s="12">
        <f t="shared" si="318"/>
        <v>385500</v>
      </c>
      <c r="M3824" s="8">
        <v>1</v>
      </c>
      <c r="N3824" s="8" t="s">
        <v>27</v>
      </c>
      <c r="O3824" s="13"/>
      <c r="P3824" s="14">
        <v>0.2</v>
      </c>
      <c r="Q3824" s="15">
        <v>0.3</v>
      </c>
      <c r="R3824" s="16" t="str">
        <f t="shared" si="322"/>
        <v>QUEST</v>
      </c>
      <c r="S3824" s="17"/>
      <c r="T3824" s="10" t="str">
        <f t="shared" si="321"/>
        <v>MULTITOMA VERTICAL PROTEGIDA 15 AMPERIOS, 20 PUNTOS.</v>
      </c>
    </row>
    <row r="3825" spans="1:29" ht="27" customHeight="1" x14ac:dyDescent="0.25">
      <c r="A3825" s="8" t="s">
        <v>7870</v>
      </c>
      <c r="B3825" s="9"/>
      <c r="C3825" s="9"/>
      <c r="D3825" s="8"/>
      <c r="E3825" s="8"/>
      <c r="F3825" s="8" t="s">
        <v>22</v>
      </c>
      <c r="G3825" s="10" t="s">
        <v>7888</v>
      </c>
      <c r="H3825" s="8" t="s">
        <v>7889</v>
      </c>
      <c r="I3825" s="10" t="s">
        <v>7888</v>
      </c>
      <c r="J3825" s="11" t="s">
        <v>33</v>
      </c>
      <c r="K3825" s="18">
        <v>145000</v>
      </c>
      <c r="L3825" s="12">
        <f t="shared" si="318"/>
        <v>241700</v>
      </c>
      <c r="M3825" s="8">
        <v>1</v>
      </c>
      <c r="N3825" s="8" t="s">
        <v>27</v>
      </c>
      <c r="O3825" s="13"/>
      <c r="P3825" s="14">
        <v>0.2</v>
      </c>
      <c r="Q3825" s="15">
        <v>0.4</v>
      </c>
      <c r="R3825" s="16" t="str">
        <f t="shared" si="322"/>
        <v>QUEST</v>
      </c>
      <c r="S3825" s="17"/>
      <c r="T3825" s="10" t="str">
        <f t="shared" si="321"/>
        <v>MULTITOMA GRADO HOSPITALARIO DE 12 TOMAS</v>
      </c>
    </row>
    <row r="3826" spans="1:29" ht="27" customHeight="1" x14ac:dyDescent="0.25">
      <c r="A3826" s="8" t="s">
        <v>7870</v>
      </c>
      <c r="B3826" s="9"/>
      <c r="C3826" s="9"/>
      <c r="D3826" s="8"/>
      <c r="E3826" s="8"/>
      <c r="F3826" s="8" t="s">
        <v>22</v>
      </c>
      <c r="G3826" s="10" t="s">
        <v>7890</v>
      </c>
      <c r="H3826" s="8" t="s">
        <v>7891</v>
      </c>
      <c r="I3826" s="10" t="s">
        <v>7890</v>
      </c>
      <c r="J3826" s="11" t="s">
        <v>33</v>
      </c>
      <c r="K3826" s="18">
        <v>592000</v>
      </c>
      <c r="L3826" s="12">
        <f t="shared" si="318"/>
        <v>845800</v>
      </c>
      <c r="M3826" s="8">
        <v>1</v>
      </c>
      <c r="N3826" s="8" t="s">
        <v>27</v>
      </c>
      <c r="O3826" s="13"/>
      <c r="P3826" s="14">
        <v>0.2</v>
      </c>
      <c r="Q3826" s="15">
        <v>0.3</v>
      </c>
      <c r="R3826" s="16" t="str">
        <f t="shared" si="322"/>
        <v>QUEST</v>
      </c>
      <c r="S3826" s="17"/>
      <c r="T3826" s="10" t="str">
        <f t="shared" si="321"/>
        <v>RACK DE EQUIPOS TIPO GABINETE DE 20 UNIDADES</v>
      </c>
    </row>
    <row r="3827" spans="1:29" ht="27" customHeight="1" x14ac:dyDescent="0.25">
      <c r="A3827" s="8" t="s">
        <v>7870</v>
      </c>
      <c r="B3827" s="9"/>
      <c r="C3827" s="9"/>
      <c r="D3827" s="8"/>
      <c r="E3827" s="8"/>
      <c r="F3827" s="8" t="s">
        <v>22</v>
      </c>
      <c r="G3827" s="10" t="s">
        <v>7892</v>
      </c>
      <c r="H3827" s="8" t="s">
        <v>7893</v>
      </c>
      <c r="I3827" s="10" t="s">
        <v>7892</v>
      </c>
      <c r="J3827" s="11" t="s">
        <v>33</v>
      </c>
      <c r="K3827" s="18">
        <v>949375</v>
      </c>
      <c r="L3827" s="12">
        <f t="shared" si="318"/>
        <v>1356300</v>
      </c>
      <c r="M3827" s="8">
        <v>1</v>
      </c>
      <c r="N3827" s="8" t="s">
        <v>27</v>
      </c>
      <c r="O3827" s="13"/>
      <c r="P3827" s="14">
        <v>0.2</v>
      </c>
      <c r="Q3827" s="15">
        <v>0.3</v>
      </c>
      <c r="R3827" s="16" t="str">
        <f t="shared" si="322"/>
        <v>QUEST</v>
      </c>
      <c r="S3827" s="17"/>
      <c r="T3827" s="10" t="str">
        <f t="shared" si="321"/>
        <v>GABINETE DE PISO DE 3.5Ft, PARA SERVIDOR</v>
      </c>
    </row>
    <row r="3828" spans="1:29" ht="27" customHeight="1" x14ac:dyDescent="0.25">
      <c r="A3828" s="8" t="s">
        <v>7870</v>
      </c>
      <c r="B3828" s="9"/>
      <c r="C3828" s="9"/>
      <c r="D3828" s="8"/>
      <c r="E3828" s="8"/>
      <c r="F3828" s="8" t="s">
        <v>22</v>
      </c>
      <c r="G3828" s="10" t="s">
        <v>7894</v>
      </c>
      <c r="H3828" s="8" t="s">
        <v>7895</v>
      </c>
      <c r="I3828" s="10" t="s">
        <v>7894</v>
      </c>
      <c r="J3828" s="11" t="s">
        <v>33</v>
      </c>
      <c r="K3828" s="18">
        <v>72500</v>
      </c>
      <c r="L3828" s="12">
        <f t="shared" si="318"/>
        <v>103600</v>
      </c>
      <c r="M3828" s="8">
        <v>1</v>
      </c>
      <c r="N3828" s="8" t="s">
        <v>27</v>
      </c>
      <c r="O3828" s="13"/>
      <c r="P3828" s="14">
        <v>0.2</v>
      </c>
      <c r="Q3828" s="15">
        <v>0.3</v>
      </c>
      <c r="R3828" s="16" t="str">
        <f t="shared" si="322"/>
        <v>QUEST</v>
      </c>
      <c r="S3828" s="17"/>
      <c r="T3828" s="10" t="str">
        <f t="shared" si="321"/>
        <v>KIT DE VENTILACIÓN DOBLE</v>
      </c>
    </row>
    <row r="3829" spans="1:29" ht="27" customHeight="1" x14ac:dyDescent="0.25">
      <c r="A3829" s="8" t="s">
        <v>7870</v>
      </c>
      <c r="B3829" s="9"/>
      <c r="C3829" s="9"/>
      <c r="D3829" s="8"/>
      <c r="E3829" s="8"/>
      <c r="F3829" s="8" t="s">
        <v>22</v>
      </c>
      <c r="G3829" s="10" t="s">
        <v>7896</v>
      </c>
      <c r="H3829" s="8" t="s">
        <v>7897</v>
      </c>
      <c r="I3829" s="10" t="s">
        <v>7898</v>
      </c>
      <c r="J3829" s="11" t="s">
        <v>33</v>
      </c>
      <c r="K3829" s="18">
        <v>1500000</v>
      </c>
      <c r="L3829" s="12">
        <f t="shared" si="318"/>
        <v>2000000</v>
      </c>
      <c r="M3829" s="8">
        <v>1</v>
      </c>
      <c r="N3829" s="8" t="s">
        <v>27</v>
      </c>
      <c r="O3829" s="13"/>
      <c r="P3829" s="14">
        <v>0.2</v>
      </c>
      <c r="Q3829" s="15">
        <v>0.25</v>
      </c>
      <c r="R3829" s="16" t="str">
        <f t="shared" si="322"/>
        <v>QUEST</v>
      </c>
      <c r="S3829" s="17"/>
      <c r="T3829" s="10" t="str">
        <f t="shared" si="321"/>
        <v>GABINETE PARA SERVIDOR CERRADO DE 2.1 METROS DE ALTO.</v>
      </c>
    </row>
    <row r="3830" spans="1:29" ht="27" customHeight="1" x14ac:dyDescent="0.25">
      <c r="A3830" s="8" t="s">
        <v>7870</v>
      </c>
      <c r="B3830" s="9"/>
      <c r="C3830" s="9"/>
      <c r="D3830" s="8"/>
      <c r="E3830" s="8"/>
      <c r="F3830" s="8"/>
      <c r="G3830" s="10"/>
      <c r="H3830" s="8" t="s">
        <v>7899</v>
      </c>
      <c r="I3830" s="10" t="s">
        <v>7900</v>
      </c>
      <c r="J3830" s="11" t="s">
        <v>33</v>
      </c>
      <c r="K3830" s="18">
        <v>187000</v>
      </c>
      <c r="L3830" s="12">
        <f>K3830*(1+P3830)/(1-Q3830)</f>
        <v>287692.30769230769</v>
      </c>
      <c r="M3830" s="8">
        <v>1</v>
      </c>
      <c r="N3830" s="8" t="s">
        <v>27</v>
      </c>
      <c r="O3830" s="13"/>
      <c r="P3830" s="14">
        <v>0</v>
      </c>
      <c r="Q3830" s="15">
        <v>0.35</v>
      </c>
      <c r="R3830" s="16" t="str">
        <f t="shared" si="322"/>
        <v>QUEST</v>
      </c>
      <c r="S3830" s="17"/>
      <c r="T3830" s="10"/>
    </row>
    <row r="3831" spans="1:29" ht="27" customHeight="1" x14ac:dyDescent="0.25">
      <c r="A3831" s="8" t="s">
        <v>7870</v>
      </c>
      <c r="B3831" s="9"/>
      <c r="C3831" s="9"/>
      <c r="D3831" s="8"/>
      <c r="E3831" s="8"/>
      <c r="F3831" s="8"/>
      <c r="G3831" s="10"/>
      <c r="H3831" s="8" t="s">
        <v>7901</v>
      </c>
      <c r="I3831" s="10" t="s">
        <v>7902</v>
      </c>
      <c r="J3831" s="11" t="s">
        <v>33</v>
      </c>
      <c r="K3831" s="18">
        <v>98000</v>
      </c>
      <c r="L3831" s="12">
        <f>K3831*(1+P3831)/(1-Q3831)</f>
        <v>168000</v>
      </c>
      <c r="M3831" s="8">
        <v>1</v>
      </c>
      <c r="N3831" s="8" t="s">
        <v>27</v>
      </c>
      <c r="O3831" s="13"/>
      <c r="P3831" s="14">
        <v>0.2</v>
      </c>
      <c r="Q3831" s="15">
        <v>0.3</v>
      </c>
      <c r="R3831" s="16" t="str">
        <f t="shared" si="322"/>
        <v>QUEST</v>
      </c>
      <c r="S3831" s="17"/>
      <c r="T3831" s="10"/>
      <c r="AB3831" s="112">
        <v>1</v>
      </c>
      <c r="AC3831" s="76" t="s">
        <v>7903</v>
      </c>
    </row>
    <row r="3832" spans="1:29" ht="27" customHeight="1" x14ac:dyDescent="0.25">
      <c r="A3832" s="8" t="s">
        <v>7904</v>
      </c>
      <c r="B3832" s="9"/>
      <c r="C3832" s="9"/>
      <c r="D3832" s="8"/>
      <c r="E3832" s="8"/>
      <c r="F3832" s="8"/>
      <c r="G3832" s="10"/>
      <c r="H3832" s="8" t="s">
        <v>7905</v>
      </c>
      <c r="I3832" s="10" t="s">
        <v>7906</v>
      </c>
      <c r="J3832" s="11" t="s">
        <v>26</v>
      </c>
      <c r="K3832" s="18">
        <v>41.27</v>
      </c>
      <c r="L3832" s="12">
        <f>ROUNDUP(K3832*(1+P3832)/(1-Q3832),0)</f>
        <v>71</v>
      </c>
      <c r="M3832" s="8">
        <v>1</v>
      </c>
      <c r="N3832" s="8" t="s">
        <v>27</v>
      </c>
      <c r="O3832" s="13"/>
      <c r="P3832" s="14">
        <v>0.2</v>
      </c>
      <c r="Q3832" s="15">
        <v>0.3</v>
      </c>
      <c r="R3832" s="16" t="str">
        <f t="shared" si="322"/>
        <v>QWERTOUY</v>
      </c>
      <c r="S3832" s="17" t="s">
        <v>7907</v>
      </c>
      <c r="T3832" s="10"/>
    </row>
    <row r="3833" spans="1:29" ht="27" customHeight="1" x14ac:dyDescent="0.25">
      <c r="A3833" s="8" t="s">
        <v>7908</v>
      </c>
      <c r="B3833" s="9"/>
      <c r="C3833" s="9"/>
      <c r="D3833" s="8"/>
      <c r="E3833" s="8"/>
      <c r="F3833" s="8" t="s">
        <v>22</v>
      </c>
      <c r="G3833" s="10" t="s">
        <v>7909</v>
      </c>
      <c r="H3833" s="8" t="s">
        <v>7910</v>
      </c>
      <c r="I3833" s="10" t="s">
        <v>7909</v>
      </c>
      <c r="J3833" s="11" t="s">
        <v>33</v>
      </c>
      <c r="K3833" s="18">
        <v>12000</v>
      </c>
      <c r="L3833" s="12">
        <f t="shared" ref="L3833:L3859" si="323">IF(J3833="P",ROUNDUP(K3833/(1-Q3833),-2),K3833*(1+P3833)/(1-Q3833))</f>
        <v>17200</v>
      </c>
      <c r="M3833" s="8">
        <v>1</v>
      </c>
      <c r="N3833" s="8" t="s">
        <v>27</v>
      </c>
      <c r="O3833" s="13"/>
      <c r="P3833" s="14">
        <v>0.2</v>
      </c>
      <c r="Q3833" s="15">
        <v>0.3</v>
      </c>
      <c r="R3833" s="16" t="str">
        <f t="shared" si="322"/>
        <v>RATWELL</v>
      </c>
      <c r="S3833" s="17"/>
      <c r="T3833" s="10" t="str">
        <f t="shared" ref="T3833:T3853" si="324">G3833</f>
        <v>CAJA RATWELL 2400</v>
      </c>
    </row>
    <row r="3834" spans="1:29" ht="27" customHeight="1" x14ac:dyDescent="0.25">
      <c r="A3834" s="8" t="s">
        <v>7908</v>
      </c>
      <c r="B3834" s="9"/>
      <c r="C3834" s="9"/>
      <c r="D3834" s="8"/>
      <c r="E3834" s="8"/>
      <c r="F3834" s="8" t="s">
        <v>22</v>
      </c>
      <c r="G3834" s="10" t="s">
        <v>7911</v>
      </c>
      <c r="H3834" s="8" t="s">
        <v>7912</v>
      </c>
      <c r="I3834" s="10" t="s">
        <v>7911</v>
      </c>
      <c r="J3834" s="11" t="s">
        <v>33</v>
      </c>
      <c r="K3834" s="18">
        <v>2500</v>
      </c>
      <c r="L3834" s="12">
        <f t="shared" si="323"/>
        <v>3600</v>
      </c>
      <c r="M3834" s="8">
        <v>1</v>
      </c>
      <c r="N3834" s="8" t="s">
        <v>27</v>
      </c>
      <c r="O3834" s="13"/>
      <c r="P3834" s="14">
        <v>0.2</v>
      </c>
      <c r="Q3834" s="15">
        <v>0.3</v>
      </c>
      <c r="R3834" s="16" t="str">
        <f t="shared" si="322"/>
        <v>RATWELL</v>
      </c>
      <c r="S3834" s="17"/>
      <c r="T3834" s="10" t="str">
        <f t="shared" si="324"/>
        <v>TAPA CIEGA PARA CAJA RATWELL</v>
      </c>
    </row>
    <row r="3835" spans="1:29" ht="27" customHeight="1" x14ac:dyDescent="0.25">
      <c r="A3835" s="8" t="s">
        <v>7913</v>
      </c>
      <c r="B3835" s="9" t="s">
        <v>7913</v>
      </c>
      <c r="C3835" s="9"/>
      <c r="D3835" s="8" t="s">
        <v>7914</v>
      </c>
      <c r="E3835" s="8">
        <v>1</v>
      </c>
      <c r="F3835" s="8" t="s">
        <v>22</v>
      </c>
      <c r="G3835" s="10" t="s">
        <v>7915</v>
      </c>
      <c r="H3835" s="8" t="s">
        <v>7916</v>
      </c>
      <c r="I3835" s="10" t="s">
        <v>7917</v>
      </c>
      <c r="J3835" s="11" t="s">
        <v>26</v>
      </c>
      <c r="K3835" s="18">
        <v>672</v>
      </c>
      <c r="L3835" s="12">
        <f t="shared" si="323"/>
        <v>1120</v>
      </c>
      <c r="M3835" s="8">
        <v>1</v>
      </c>
      <c r="N3835" s="8" t="s">
        <v>27</v>
      </c>
      <c r="O3835" s="13"/>
      <c r="P3835" s="14">
        <v>0.2</v>
      </c>
      <c r="Q3835" s="15">
        <v>0.28000000000000003</v>
      </c>
      <c r="R3835" s="16" t="str">
        <f t="shared" si="322"/>
        <v>RBH</v>
      </c>
      <c r="S3835" s="17"/>
      <c r="T3835" s="10" t="str">
        <f t="shared" si="324"/>
        <v>CONTROLADOR DE ACCESO PARA DOS PUERTAS, INCLUYE DOS LECTORAS RF.</v>
      </c>
    </row>
    <row r="3836" spans="1:29" ht="27" customHeight="1" x14ac:dyDescent="0.25">
      <c r="A3836" s="8" t="s">
        <v>7913</v>
      </c>
      <c r="B3836" s="9" t="s">
        <v>7913</v>
      </c>
      <c r="C3836" s="9"/>
      <c r="D3836" s="8" t="s">
        <v>7918</v>
      </c>
      <c r="E3836" s="8">
        <v>1</v>
      </c>
      <c r="F3836" s="8" t="s">
        <v>22</v>
      </c>
      <c r="G3836" s="10" t="s">
        <v>7919</v>
      </c>
      <c r="H3836" s="8" t="s">
        <v>7920</v>
      </c>
      <c r="I3836" s="10" t="s">
        <v>7919</v>
      </c>
      <c r="J3836" s="11" t="s">
        <v>26</v>
      </c>
      <c r="K3836" s="18">
        <v>3.81</v>
      </c>
      <c r="L3836" s="12">
        <f t="shared" si="323"/>
        <v>6.3500000000000005</v>
      </c>
      <c r="M3836" s="8">
        <v>1</v>
      </c>
      <c r="N3836" s="8" t="s">
        <v>27</v>
      </c>
      <c r="O3836" s="13"/>
      <c r="P3836" s="14">
        <v>0.2</v>
      </c>
      <c r="Q3836" s="15">
        <v>0.28000000000000003</v>
      </c>
      <c r="R3836" s="16" t="str">
        <f t="shared" si="322"/>
        <v>RBH</v>
      </c>
      <c r="S3836" s="17"/>
      <c r="T3836" s="10" t="str">
        <f t="shared" si="324"/>
        <v>TARJETA RF ID.</v>
      </c>
    </row>
    <row r="3837" spans="1:29" ht="27" customHeight="1" x14ac:dyDescent="0.25">
      <c r="A3837" s="8" t="s">
        <v>7913</v>
      </c>
      <c r="B3837" s="9" t="s">
        <v>7913</v>
      </c>
      <c r="C3837" s="9"/>
      <c r="D3837" s="8" t="s">
        <v>7918</v>
      </c>
      <c r="E3837" s="8">
        <v>2</v>
      </c>
      <c r="F3837" s="8" t="s">
        <v>22</v>
      </c>
      <c r="G3837" s="10" t="s">
        <v>7921</v>
      </c>
      <c r="H3837" s="8" t="s">
        <v>7922</v>
      </c>
      <c r="I3837" s="10" t="s">
        <v>7921</v>
      </c>
      <c r="J3837" s="11" t="s">
        <v>26</v>
      </c>
      <c r="K3837" s="18">
        <v>26.77</v>
      </c>
      <c r="L3837" s="12">
        <f t="shared" si="323"/>
        <v>44.61666666666666</v>
      </c>
      <c r="M3837" s="8">
        <v>1</v>
      </c>
      <c r="N3837" s="8" t="s">
        <v>27</v>
      </c>
      <c r="O3837" s="13"/>
      <c r="P3837" s="14">
        <v>0.2</v>
      </c>
      <c r="Q3837" s="15">
        <v>0.28000000000000003</v>
      </c>
      <c r="R3837" s="16" t="str">
        <f t="shared" si="322"/>
        <v>RBH</v>
      </c>
      <c r="S3837" s="17"/>
      <c r="T3837" s="10" t="str">
        <f t="shared" si="324"/>
        <v>MÓDULO PARA TRANSMISIÓN DE SEÑALES INALÁMBRICO</v>
      </c>
    </row>
    <row r="3838" spans="1:29" ht="27" customHeight="1" x14ac:dyDescent="0.25">
      <c r="A3838" s="8" t="s">
        <v>7923</v>
      </c>
      <c r="B3838" s="9"/>
      <c r="C3838" s="9"/>
      <c r="D3838" s="8"/>
      <c r="E3838" s="8"/>
      <c r="F3838" s="8" t="s">
        <v>22</v>
      </c>
      <c r="G3838" s="10" t="s">
        <v>7924</v>
      </c>
      <c r="H3838" s="8" t="s">
        <v>7925</v>
      </c>
      <c r="I3838" s="10" t="s">
        <v>7924</v>
      </c>
      <c r="J3838" s="11" t="s">
        <v>33</v>
      </c>
      <c r="K3838" s="18">
        <v>78700</v>
      </c>
      <c r="L3838" s="12">
        <f t="shared" si="323"/>
        <v>112500</v>
      </c>
      <c r="M3838" s="8">
        <v>1</v>
      </c>
      <c r="N3838" s="8" t="s">
        <v>27</v>
      </c>
      <c r="O3838" s="13" t="s">
        <v>588</v>
      </c>
      <c r="P3838" s="14">
        <v>0</v>
      </c>
      <c r="Q3838" s="15">
        <v>0.3</v>
      </c>
      <c r="R3838" s="16" t="str">
        <f t="shared" si="322"/>
        <v>REJIBAND</v>
      </c>
      <c r="S3838" s="17"/>
      <c r="T3838" s="10" t="str">
        <f t="shared" si="324"/>
        <v>REJILLA PORTA CABLE DE 50X300mm.</v>
      </c>
    </row>
    <row r="3839" spans="1:29" ht="27" customHeight="1" x14ac:dyDescent="0.25">
      <c r="A3839" s="8" t="s">
        <v>7923</v>
      </c>
      <c r="B3839" s="9"/>
      <c r="C3839" s="9"/>
      <c r="D3839" s="8"/>
      <c r="E3839" s="8"/>
      <c r="F3839" s="8" t="s">
        <v>22</v>
      </c>
      <c r="G3839" s="10" t="s">
        <v>7926</v>
      </c>
      <c r="H3839" s="8" t="s">
        <v>7927</v>
      </c>
      <c r="I3839" s="10" t="s">
        <v>7926</v>
      </c>
      <c r="J3839" s="11" t="s">
        <v>33</v>
      </c>
      <c r="K3839" s="18">
        <v>65600</v>
      </c>
      <c r="L3839" s="12">
        <f t="shared" si="323"/>
        <v>93800</v>
      </c>
      <c r="M3839" s="8">
        <v>1</v>
      </c>
      <c r="N3839" s="8" t="s">
        <v>27</v>
      </c>
      <c r="O3839" s="13" t="s">
        <v>588</v>
      </c>
      <c r="P3839" s="14">
        <v>0</v>
      </c>
      <c r="Q3839" s="15">
        <v>0.3</v>
      </c>
      <c r="R3839" s="16" t="str">
        <f t="shared" si="322"/>
        <v>REJIBAND</v>
      </c>
      <c r="S3839" s="17"/>
      <c r="T3839" s="10" t="str">
        <f t="shared" si="324"/>
        <v>REJILLA PORTA CABLE DE 40X300mm.</v>
      </c>
    </row>
    <row r="3840" spans="1:29" ht="27" customHeight="1" x14ac:dyDescent="0.25">
      <c r="A3840" s="8" t="s">
        <v>7923</v>
      </c>
      <c r="B3840" s="9"/>
      <c r="C3840" s="9"/>
      <c r="D3840" s="8"/>
      <c r="E3840" s="8"/>
      <c r="F3840" s="8" t="s">
        <v>22</v>
      </c>
      <c r="G3840" s="10" t="s">
        <v>7928</v>
      </c>
      <c r="H3840" s="8" t="s">
        <v>7929</v>
      </c>
      <c r="I3840" s="10" t="s">
        <v>7928</v>
      </c>
      <c r="J3840" s="11" t="s">
        <v>33</v>
      </c>
      <c r="K3840" s="18">
        <v>51300</v>
      </c>
      <c r="L3840" s="12">
        <f t="shared" si="323"/>
        <v>73300</v>
      </c>
      <c r="M3840" s="8">
        <v>1</v>
      </c>
      <c r="N3840" s="8" t="s">
        <v>27</v>
      </c>
      <c r="O3840" s="13" t="s">
        <v>588</v>
      </c>
      <c r="P3840" s="14">
        <v>0</v>
      </c>
      <c r="Q3840" s="15">
        <v>0.3</v>
      </c>
      <c r="R3840" s="16" t="str">
        <f t="shared" si="322"/>
        <v>REJIBAND</v>
      </c>
      <c r="S3840" s="17"/>
      <c r="T3840" s="10" t="str">
        <f t="shared" si="324"/>
        <v>REJILLA PORTA CABLE DE 30X300mm.</v>
      </c>
    </row>
    <row r="3841" spans="1:21" ht="27" customHeight="1" x14ac:dyDescent="0.25">
      <c r="A3841" s="8" t="s">
        <v>7930</v>
      </c>
      <c r="B3841" s="9" t="s">
        <v>7931</v>
      </c>
      <c r="C3841" s="9"/>
      <c r="D3841" s="8" t="s">
        <v>184</v>
      </c>
      <c r="E3841" s="8">
        <v>1</v>
      </c>
      <c r="F3841" s="8" t="s">
        <v>22</v>
      </c>
      <c r="G3841" s="10" t="s">
        <v>7932</v>
      </c>
      <c r="H3841" s="8" t="s">
        <v>7933</v>
      </c>
      <c r="I3841" s="10" t="s">
        <v>7932</v>
      </c>
      <c r="J3841" s="11" t="s">
        <v>33</v>
      </c>
      <c r="K3841" s="18">
        <v>16000</v>
      </c>
      <c r="L3841" s="12">
        <f t="shared" si="323"/>
        <v>26700</v>
      </c>
      <c r="M3841" s="8">
        <v>1</v>
      </c>
      <c r="N3841" s="8" t="s">
        <v>27</v>
      </c>
      <c r="O3841" s="13"/>
      <c r="P3841" s="14">
        <v>0.2</v>
      </c>
      <c r="Q3841" s="15">
        <v>0.4</v>
      </c>
      <c r="R3841" s="16" t="str">
        <f t="shared" si="322"/>
        <v>RGB</v>
      </c>
      <c r="S3841" s="17"/>
      <c r="T3841" s="10" t="str">
        <f t="shared" si="324"/>
        <v>BALASTO ELECTRÓNICO F48/T12 860/841, 120V. CERTIFICACIÓN RETILAP.</v>
      </c>
    </row>
    <row r="3842" spans="1:21" ht="27" customHeight="1" x14ac:dyDescent="0.25">
      <c r="A3842" s="8" t="s">
        <v>7930</v>
      </c>
      <c r="B3842" s="9" t="s">
        <v>7930</v>
      </c>
      <c r="C3842" s="9"/>
      <c r="D3842" s="8" t="s">
        <v>5905</v>
      </c>
      <c r="E3842" s="8">
        <v>1</v>
      </c>
      <c r="F3842" s="8" t="s">
        <v>22</v>
      </c>
      <c r="G3842" s="10" t="s">
        <v>7934</v>
      </c>
      <c r="H3842" s="8" t="s">
        <v>7935</v>
      </c>
      <c r="I3842" s="10" t="s">
        <v>7934</v>
      </c>
      <c r="J3842" s="11" t="s">
        <v>26</v>
      </c>
      <c r="K3842" s="18">
        <v>9.4117647058823533</v>
      </c>
      <c r="L3842" s="12">
        <f t="shared" si="323"/>
        <v>22.588235294117649</v>
      </c>
      <c r="M3842" s="8">
        <v>1</v>
      </c>
      <c r="N3842" s="8" t="s">
        <v>27</v>
      </c>
      <c r="O3842" s="13"/>
      <c r="P3842" s="14">
        <v>0.2</v>
      </c>
      <c r="Q3842" s="15">
        <v>0.5</v>
      </c>
      <c r="R3842" s="16" t="str">
        <f t="shared" si="322"/>
        <v>RGB</v>
      </c>
      <c r="S3842" s="17"/>
      <c r="T3842" s="10" t="str">
        <f t="shared" si="324"/>
        <v>DRIVER PARA LED DE 350m AMPERIOS, CAPACIDAD HASTA 8 VATIOS.</v>
      </c>
    </row>
    <row r="3843" spans="1:21" ht="27" customHeight="1" x14ac:dyDescent="0.25">
      <c r="A3843" s="8" t="s">
        <v>7930</v>
      </c>
      <c r="B3843" s="9" t="s">
        <v>7662</v>
      </c>
      <c r="C3843" s="9"/>
      <c r="D3843" s="8" t="s">
        <v>7936</v>
      </c>
      <c r="E3843" s="8">
        <v>1</v>
      </c>
      <c r="F3843" s="8" t="s">
        <v>22</v>
      </c>
      <c r="G3843" s="10" t="s">
        <v>7937</v>
      </c>
      <c r="H3843" s="8" t="s">
        <v>7938</v>
      </c>
      <c r="I3843" s="10" t="s">
        <v>7937</v>
      </c>
      <c r="J3843" s="11" t="s">
        <v>33</v>
      </c>
      <c r="K3843" s="18">
        <v>4850</v>
      </c>
      <c r="L3843" s="12">
        <f t="shared" si="323"/>
        <v>8100</v>
      </c>
      <c r="M3843" s="8">
        <v>1</v>
      </c>
      <c r="N3843" s="8" t="s">
        <v>27</v>
      </c>
      <c r="O3843" s="13"/>
      <c r="P3843" s="14">
        <v>0.2</v>
      </c>
      <c r="Q3843" s="15">
        <v>0.4</v>
      </c>
      <c r="R3843" s="16" t="str">
        <f t="shared" si="322"/>
        <v>RGB</v>
      </c>
      <c r="S3843" s="17"/>
      <c r="T3843" s="10" t="str">
        <f t="shared" si="324"/>
        <v xml:space="preserve">TUBO  40 W LUZ DÍA PHILIPS </v>
      </c>
    </row>
    <row r="3844" spans="1:21" ht="27" customHeight="1" x14ac:dyDescent="0.25">
      <c r="A3844" s="8" t="s">
        <v>7930</v>
      </c>
      <c r="B3844" s="9" t="s">
        <v>7931</v>
      </c>
      <c r="C3844" s="9"/>
      <c r="D3844" s="8" t="s">
        <v>7936</v>
      </c>
      <c r="E3844" s="8">
        <v>2</v>
      </c>
      <c r="F3844" s="8" t="s">
        <v>22</v>
      </c>
      <c r="G3844" s="10" t="s">
        <v>7939</v>
      </c>
      <c r="H3844" s="8" t="s">
        <v>7940</v>
      </c>
      <c r="I3844" s="10" t="s">
        <v>7939</v>
      </c>
      <c r="J3844" s="11" t="s">
        <v>33</v>
      </c>
      <c r="K3844" s="18">
        <v>5113</v>
      </c>
      <c r="L3844" s="12">
        <f t="shared" si="323"/>
        <v>8600</v>
      </c>
      <c r="M3844" s="8">
        <v>1</v>
      </c>
      <c r="N3844" s="8" t="s">
        <v>27</v>
      </c>
      <c r="O3844" s="13"/>
      <c r="P3844" s="14">
        <v>0.2</v>
      </c>
      <c r="Q3844" s="15">
        <v>0.4</v>
      </c>
      <c r="R3844" s="16" t="str">
        <f t="shared" si="322"/>
        <v>RGB</v>
      </c>
      <c r="S3844" s="17"/>
      <c r="T3844" s="10" t="str">
        <f t="shared" si="324"/>
        <v>TUBO SLIM 39W T12-48", 6500K SYLVANIA.</v>
      </c>
    </row>
    <row r="3845" spans="1:21" ht="27" customHeight="1" x14ac:dyDescent="0.25">
      <c r="A3845" s="8" t="s">
        <v>7930</v>
      </c>
      <c r="B3845" s="9" t="s">
        <v>7930</v>
      </c>
      <c r="C3845" s="9"/>
      <c r="D3845" s="8" t="s">
        <v>2087</v>
      </c>
      <c r="E3845" s="8">
        <v>1</v>
      </c>
      <c r="F3845" s="8" t="s">
        <v>22</v>
      </c>
      <c r="G3845" s="10" t="s">
        <v>7941</v>
      </c>
      <c r="H3845" s="8" t="s">
        <v>7942</v>
      </c>
      <c r="I3845" s="10" t="s">
        <v>7941</v>
      </c>
      <c r="J3845" s="11" t="s">
        <v>26</v>
      </c>
      <c r="K3845" s="18">
        <f>45000/2200</f>
        <v>20.454545454545453</v>
      </c>
      <c r="L3845" s="12">
        <f t="shared" si="323"/>
        <v>35.064935064935064</v>
      </c>
      <c r="M3845" s="8">
        <v>1</v>
      </c>
      <c r="N3845" s="8" t="s">
        <v>27</v>
      </c>
      <c r="O3845" s="13"/>
      <c r="P3845" s="14">
        <v>0.2</v>
      </c>
      <c r="Q3845" s="15">
        <v>0.3</v>
      </c>
      <c r="R3845" s="16" t="str">
        <f t="shared" si="322"/>
        <v>RGB</v>
      </c>
      <c r="S3845" s="17"/>
      <c r="T3845" s="10" t="str">
        <f t="shared" si="324"/>
        <v>LÁMPARA ATENUABLE EN CONFIGURACIÓN LED DE 3000K. 14 VATIOS. DIFUSOR A 60 GRADOS.</v>
      </c>
    </row>
    <row r="3846" spans="1:21" ht="27" customHeight="1" x14ac:dyDescent="0.25">
      <c r="A3846" s="8" t="s">
        <v>7930</v>
      </c>
      <c r="B3846" s="9" t="s">
        <v>7930</v>
      </c>
      <c r="C3846" s="9"/>
      <c r="D3846" s="8" t="s">
        <v>2087</v>
      </c>
      <c r="E3846" s="8">
        <v>2</v>
      </c>
      <c r="F3846" s="8" t="s">
        <v>22</v>
      </c>
      <c r="G3846" s="10" t="s">
        <v>7943</v>
      </c>
      <c r="H3846" s="8" t="s">
        <v>7944</v>
      </c>
      <c r="I3846" s="10" t="s">
        <v>7943</v>
      </c>
      <c r="J3846" s="11" t="s">
        <v>26</v>
      </c>
      <c r="K3846" s="18">
        <v>16</v>
      </c>
      <c r="L3846" s="12">
        <f t="shared" si="323"/>
        <v>27.428571428571431</v>
      </c>
      <c r="M3846" s="8">
        <v>1</v>
      </c>
      <c r="N3846" s="8" t="s">
        <v>27</v>
      </c>
      <c r="O3846" s="13"/>
      <c r="P3846" s="14">
        <v>0.2</v>
      </c>
      <c r="Q3846" s="15">
        <v>0.3</v>
      </c>
      <c r="R3846" s="16" t="str">
        <f t="shared" si="322"/>
        <v>RGB</v>
      </c>
      <c r="S3846" s="17"/>
      <c r="T3846" s="10" t="str">
        <f t="shared" si="324"/>
        <v>BALA ATENUABLE 12 VATIOS LED.</v>
      </c>
    </row>
    <row r="3847" spans="1:21" ht="27" customHeight="1" x14ac:dyDescent="0.25">
      <c r="A3847" s="8" t="s">
        <v>7930</v>
      </c>
      <c r="B3847" s="9" t="s">
        <v>7930</v>
      </c>
      <c r="C3847" s="9"/>
      <c r="D3847" s="8" t="s">
        <v>2087</v>
      </c>
      <c r="E3847" s="8">
        <v>3</v>
      </c>
      <c r="F3847" s="8" t="s">
        <v>22</v>
      </c>
      <c r="G3847" s="10" t="s">
        <v>7945</v>
      </c>
      <c r="H3847" s="8" t="s">
        <v>7946</v>
      </c>
      <c r="I3847" s="10" t="s">
        <v>7945</v>
      </c>
      <c r="J3847" s="11" t="s">
        <v>26</v>
      </c>
      <c r="K3847" s="18">
        <v>107</v>
      </c>
      <c r="L3847" s="12">
        <f t="shared" si="323"/>
        <v>183.42857142857144</v>
      </c>
      <c r="M3847" s="8">
        <v>1</v>
      </c>
      <c r="N3847" s="8" t="s">
        <v>27</v>
      </c>
      <c r="O3847" s="13"/>
      <c r="P3847" s="14">
        <v>0.2</v>
      </c>
      <c r="Q3847" s="15">
        <v>0.3</v>
      </c>
      <c r="R3847" s="16" t="str">
        <f t="shared" si="322"/>
        <v>RGB</v>
      </c>
      <c r="S3847" s="17"/>
      <c r="T3847" s="10" t="str">
        <f t="shared" si="324"/>
        <v>PANEL ATENUABLE 0-10V, ALIMENTACIÓN A 110V. 48 VATIOS, 4200 LUMENS.</v>
      </c>
      <c r="U3847">
        <f>4944341*0.9</f>
        <v>4449906.9000000004</v>
      </c>
    </row>
    <row r="3848" spans="1:21" ht="27" customHeight="1" x14ac:dyDescent="0.25">
      <c r="A3848" s="8" t="s">
        <v>7930</v>
      </c>
      <c r="B3848" s="9" t="s">
        <v>7930</v>
      </c>
      <c r="C3848" s="9"/>
      <c r="D3848" s="8" t="s">
        <v>2087</v>
      </c>
      <c r="E3848" s="8">
        <v>4</v>
      </c>
      <c r="F3848" s="8" t="s">
        <v>22</v>
      </c>
      <c r="G3848" s="10" t="s">
        <v>7947</v>
      </c>
      <c r="H3848" s="8" t="s">
        <v>7948</v>
      </c>
      <c r="I3848" s="10" t="s">
        <v>7947</v>
      </c>
      <c r="J3848" s="11" t="s">
        <v>26</v>
      </c>
      <c r="K3848" s="18">
        <v>15</v>
      </c>
      <c r="L3848" s="12">
        <f t="shared" si="323"/>
        <v>25.714285714285715</v>
      </c>
      <c r="M3848" s="8">
        <v>1</v>
      </c>
      <c r="N3848" s="8" t="s">
        <v>27</v>
      </c>
      <c r="O3848" s="13"/>
      <c r="P3848" s="14">
        <v>0.2</v>
      </c>
      <c r="Q3848" s="15">
        <v>0.3</v>
      </c>
      <c r="R3848" s="16" t="str">
        <f t="shared" si="322"/>
        <v>RGB</v>
      </c>
      <c r="S3848" s="17"/>
      <c r="T3848" s="10" t="str">
        <f t="shared" si="324"/>
        <v>LÁMPARA TIPO PANEL ATENUABLE 0-10, TEMPERATURA 3000-6000K, 7 VATIOS.</v>
      </c>
      <c r="U3848">
        <v>4449906.9000000004</v>
      </c>
    </row>
    <row r="3849" spans="1:21" ht="27" customHeight="1" x14ac:dyDescent="0.25">
      <c r="A3849" s="8" t="s">
        <v>7930</v>
      </c>
      <c r="B3849" s="9" t="s">
        <v>7930</v>
      </c>
      <c r="C3849" s="9"/>
      <c r="D3849" s="8" t="s">
        <v>2087</v>
      </c>
      <c r="E3849" s="8">
        <v>5</v>
      </c>
      <c r="F3849" s="8" t="s">
        <v>22</v>
      </c>
      <c r="G3849" s="10" t="s">
        <v>7949</v>
      </c>
      <c r="H3849" s="8" t="s">
        <v>7950</v>
      </c>
      <c r="I3849" s="10" t="s">
        <v>7949</v>
      </c>
      <c r="J3849" s="11" t="s">
        <v>26</v>
      </c>
      <c r="K3849" s="18">
        <v>19</v>
      </c>
      <c r="L3849" s="12">
        <f t="shared" si="323"/>
        <v>32.571428571428577</v>
      </c>
      <c r="M3849" s="8">
        <v>1</v>
      </c>
      <c r="N3849" s="8" t="s">
        <v>27</v>
      </c>
      <c r="O3849" s="13"/>
      <c r="P3849" s="14">
        <v>0.2</v>
      </c>
      <c r="Q3849" s="15">
        <v>0.3</v>
      </c>
      <c r="R3849" s="16" t="str">
        <f t="shared" si="322"/>
        <v>RGB</v>
      </c>
      <c r="S3849" s="17"/>
      <c r="T3849" s="10" t="str">
        <f t="shared" si="324"/>
        <v>LÁMPARA TIPO PANEL ATENUABLE 0-10, TEMPERATURA 3000-6000K, 10 VATIOS.</v>
      </c>
    </row>
    <row r="3850" spans="1:21" ht="27" customHeight="1" x14ac:dyDescent="0.25">
      <c r="A3850" s="8" t="s">
        <v>7930</v>
      </c>
      <c r="B3850" s="9" t="s">
        <v>7930</v>
      </c>
      <c r="C3850" s="9"/>
      <c r="D3850" s="8" t="s">
        <v>2087</v>
      </c>
      <c r="E3850" s="8">
        <v>6</v>
      </c>
      <c r="F3850" s="8" t="s">
        <v>22</v>
      </c>
      <c r="G3850" s="10" t="s">
        <v>7947</v>
      </c>
      <c r="H3850" s="8" t="s">
        <v>7951</v>
      </c>
      <c r="I3850" s="10" t="s">
        <v>7947</v>
      </c>
      <c r="J3850" s="11" t="s">
        <v>26</v>
      </c>
      <c r="K3850" s="18">
        <v>22</v>
      </c>
      <c r="L3850" s="12">
        <f t="shared" si="323"/>
        <v>37.714285714285715</v>
      </c>
      <c r="M3850" s="8">
        <v>1</v>
      </c>
      <c r="N3850" s="8" t="s">
        <v>27</v>
      </c>
      <c r="O3850" s="13"/>
      <c r="P3850" s="14">
        <v>0.2</v>
      </c>
      <c r="Q3850" s="15">
        <v>0.3</v>
      </c>
      <c r="R3850" s="16" t="str">
        <f t="shared" si="322"/>
        <v>RGB</v>
      </c>
      <c r="S3850" s="17"/>
      <c r="T3850" s="10" t="str">
        <f t="shared" si="324"/>
        <v>LÁMPARA TIPO PANEL ATENUABLE 0-10, TEMPERATURA 3000-6000K, 7 VATIOS.</v>
      </c>
    </row>
    <row r="3851" spans="1:21" ht="27" customHeight="1" x14ac:dyDescent="0.25">
      <c r="A3851" s="8" t="s">
        <v>7930</v>
      </c>
      <c r="B3851" s="9" t="s">
        <v>7930</v>
      </c>
      <c r="C3851" s="9"/>
      <c r="D3851" s="8" t="s">
        <v>2087</v>
      </c>
      <c r="E3851" s="8">
        <v>7</v>
      </c>
      <c r="F3851" s="8" t="s">
        <v>22</v>
      </c>
      <c r="G3851" s="10" t="s">
        <v>7947</v>
      </c>
      <c r="H3851" s="8" t="s">
        <v>7952</v>
      </c>
      <c r="I3851" s="10" t="s">
        <v>7947</v>
      </c>
      <c r="J3851" s="11" t="s">
        <v>26</v>
      </c>
      <c r="K3851" s="18">
        <v>27</v>
      </c>
      <c r="L3851" s="12">
        <f t="shared" si="323"/>
        <v>46.285714285714285</v>
      </c>
      <c r="M3851" s="8">
        <v>1</v>
      </c>
      <c r="N3851" s="8" t="s">
        <v>27</v>
      </c>
      <c r="O3851" s="13"/>
      <c r="P3851" s="14">
        <v>0.2</v>
      </c>
      <c r="Q3851" s="15">
        <v>0.3</v>
      </c>
      <c r="R3851" s="16" t="str">
        <f t="shared" si="322"/>
        <v>RGB</v>
      </c>
      <c r="S3851" s="17"/>
      <c r="T3851" s="10" t="str">
        <f t="shared" si="324"/>
        <v>LÁMPARA TIPO PANEL ATENUABLE 0-10, TEMPERATURA 3000-6000K, 7 VATIOS.</v>
      </c>
    </row>
    <row r="3852" spans="1:21" ht="27" customHeight="1" x14ac:dyDescent="0.25">
      <c r="A3852" s="8" t="s">
        <v>7930</v>
      </c>
      <c r="B3852" s="9" t="s">
        <v>7931</v>
      </c>
      <c r="C3852" s="9"/>
      <c r="D3852" s="8" t="s">
        <v>94</v>
      </c>
      <c r="E3852" s="8">
        <v>1</v>
      </c>
      <c r="F3852" s="8" t="s">
        <v>22</v>
      </c>
      <c r="G3852" s="10" t="s">
        <v>7953</v>
      </c>
      <c r="H3852" s="8" t="s">
        <v>7954</v>
      </c>
      <c r="I3852" s="10" t="s">
        <v>7953</v>
      </c>
      <c r="J3852" s="11" t="s">
        <v>33</v>
      </c>
      <c r="K3852" s="18">
        <v>23480</v>
      </c>
      <c r="L3852" s="12">
        <f t="shared" si="323"/>
        <v>39200</v>
      </c>
      <c r="M3852" s="8">
        <v>1</v>
      </c>
      <c r="N3852" s="8" t="s">
        <v>27</v>
      </c>
      <c r="O3852" s="13"/>
      <c r="P3852" s="14">
        <v>0.2</v>
      </c>
      <c r="Q3852" s="15">
        <v>0.4</v>
      </c>
      <c r="R3852" s="16" t="str">
        <f t="shared" si="322"/>
        <v>RGB</v>
      </c>
      <c r="S3852" s="17"/>
      <c r="T3852" s="10" t="str">
        <f t="shared" si="324"/>
        <v>TUBO LED VIDRIO T8 6500K SYLVANIA.</v>
      </c>
    </row>
    <row r="3853" spans="1:21" ht="27" customHeight="1" x14ac:dyDescent="0.25">
      <c r="A3853" s="8" t="s">
        <v>7955</v>
      </c>
      <c r="B3853" s="9" t="s">
        <v>7956</v>
      </c>
      <c r="C3853" s="9"/>
      <c r="D3853" s="8" t="s">
        <v>94</v>
      </c>
      <c r="E3853" s="8">
        <v>2</v>
      </c>
      <c r="F3853" s="8" t="s">
        <v>22</v>
      </c>
      <c r="G3853" s="10" t="s">
        <v>7957</v>
      </c>
      <c r="H3853" s="8" t="s">
        <v>7958</v>
      </c>
      <c r="I3853" s="10" t="s">
        <v>7957</v>
      </c>
      <c r="J3853" s="11" t="s">
        <v>33</v>
      </c>
      <c r="K3853" s="18">
        <v>212000</v>
      </c>
      <c r="L3853" s="12">
        <f t="shared" si="323"/>
        <v>302900</v>
      </c>
      <c r="M3853" s="8">
        <v>1</v>
      </c>
      <c r="N3853" s="8" t="s">
        <v>27</v>
      </c>
      <c r="O3853" s="13"/>
      <c r="P3853" s="14">
        <v>0.2</v>
      </c>
      <c r="Q3853" s="15">
        <v>0.3</v>
      </c>
      <c r="R3853" s="16" t="str">
        <f t="shared" si="322"/>
        <v>RHINOK</v>
      </c>
      <c r="S3853" s="17"/>
      <c r="T3853" s="10" t="str">
        <f t="shared" si="324"/>
        <v>LUMINARIA DE EXTERIORES PARA POSTE, LED DE 30 VATIOS, 2700 LUMENS.</v>
      </c>
    </row>
    <row r="3854" spans="1:21" ht="27" customHeight="1" x14ac:dyDescent="0.25">
      <c r="A3854" s="8" t="s">
        <v>7959</v>
      </c>
      <c r="B3854" s="9"/>
      <c r="C3854" s="9"/>
      <c r="D3854" s="8"/>
      <c r="E3854" s="8"/>
      <c r="F3854" s="8"/>
      <c r="G3854" s="10"/>
      <c r="H3854" s="8" t="s">
        <v>7960</v>
      </c>
      <c r="I3854" s="10" t="s">
        <v>7961</v>
      </c>
      <c r="J3854" s="11" t="s">
        <v>26</v>
      </c>
      <c r="K3854" s="18">
        <v>145</v>
      </c>
      <c r="L3854" s="12">
        <f t="shared" si="323"/>
        <v>248.57142857142858</v>
      </c>
      <c r="M3854" s="8">
        <v>1</v>
      </c>
      <c r="N3854" s="8" t="s">
        <v>27</v>
      </c>
      <c r="O3854" s="13"/>
      <c r="P3854" s="14">
        <v>0.2</v>
      </c>
      <c r="Q3854" s="15">
        <v>0.3</v>
      </c>
      <c r="R3854" s="16" t="str">
        <f t="shared" si="322"/>
        <v>RING</v>
      </c>
      <c r="S3854" s="17"/>
      <c r="T3854" s="10"/>
    </row>
    <row r="3855" spans="1:21" ht="27" customHeight="1" x14ac:dyDescent="0.25">
      <c r="A3855" s="8" t="s">
        <v>7959</v>
      </c>
      <c r="B3855" s="9"/>
      <c r="C3855" s="9"/>
      <c r="D3855" s="8"/>
      <c r="E3855" s="8"/>
      <c r="F3855" s="8"/>
      <c r="G3855" s="10"/>
      <c r="H3855" s="8" t="s">
        <v>7962</v>
      </c>
      <c r="I3855" s="10" t="s">
        <v>7963</v>
      </c>
      <c r="J3855" s="11" t="s">
        <v>26</v>
      </c>
      <c r="K3855" s="18">
        <v>34</v>
      </c>
      <c r="L3855" s="12">
        <f t="shared" si="323"/>
        <v>58.285714285714285</v>
      </c>
      <c r="M3855" s="8">
        <v>1</v>
      </c>
      <c r="N3855" s="8" t="s">
        <v>27</v>
      </c>
      <c r="O3855" s="13"/>
      <c r="P3855" s="14">
        <v>0.2</v>
      </c>
      <c r="Q3855" s="15">
        <v>0.3</v>
      </c>
      <c r="R3855" s="16" t="str">
        <f t="shared" si="322"/>
        <v>RING</v>
      </c>
      <c r="S3855" s="17"/>
      <c r="T3855" s="10"/>
    </row>
    <row r="3856" spans="1:21" ht="27" customHeight="1" x14ac:dyDescent="0.25">
      <c r="A3856" s="8" t="s">
        <v>7959</v>
      </c>
      <c r="B3856" s="9"/>
      <c r="C3856" s="9"/>
      <c r="D3856" s="8"/>
      <c r="E3856" s="8"/>
      <c r="F3856" s="8"/>
      <c r="G3856" s="10"/>
      <c r="H3856" s="8" t="s">
        <v>7964</v>
      </c>
      <c r="I3856" s="10" t="s">
        <v>7965</v>
      </c>
      <c r="J3856" s="11" t="s">
        <v>26</v>
      </c>
      <c r="K3856" s="18">
        <v>229</v>
      </c>
      <c r="L3856" s="12">
        <f t="shared" si="323"/>
        <v>392.57142857142861</v>
      </c>
      <c r="M3856" s="8">
        <v>1</v>
      </c>
      <c r="N3856" s="8" t="s">
        <v>27</v>
      </c>
      <c r="O3856" s="13"/>
      <c r="P3856" s="14">
        <v>0.2</v>
      </c>
      <c r="Q3856" s="15">
        <v>0.3</v>
      </c>
      <c r="R3856" s="16" t="str">
        <f t="shared" si="322"/>
        <v>RING</v>
      </c>
      <c r="S3856" s="17"/>
      <c r="T3856" s="10"/>
    </row>
    <row r="3857" spans="1:20" ht="27" customHeight="1" x14ac:dyDescent="0.25">
      <c r="A3857" s="8" t="s">
        <v>7966</v>
      </c>
      <c r="B3857" s="9"/>
      <c r="C3857" s="9"/>
      <c r="D3857" s="8"/>
      <c r="E3857" s="8"/>
      <c r="F3857" s="8" t="s">
        <v>22</v>
      </c>
      <c r="G3857" s="10" t="s">
        <v>7967</v>
      </c>
      <c r="H3857" s="8" t="s">
        <v>7968</v>
      </c>
      <c r="I3857" s="10" t="s">
        <v>7967</v>
      </c>
      <c r="J3857" s="11" t="s">
        <v>33</v>
      </c>
      <c r="K3857" s="18">
        <v>21000</v>
      </c>
      <c r="L3857" s="12">
        <f t="shared" si="323"/>
        <v>35000</v>
      </c>
      <c r="M3857" s="8">
        <v>1</v>
      </c>
      <c r="N3857" s="8" t="s">
        <v>27</v>
      </c>
      <c r="O3857" s="13"/>
      <c r="P3857" s="14">
        <v>0.2</v>
      </c>
      <c r="Q3857" s="15">
        <v>0.4</v>
      </c>
      <c r="R3857" s="16" t="str">
        <f t="shared" si="322"/>
        <v>RIO</v>
      </c>
      <c r="S3857" s="17"/>
      <c r="T3857" s="10" t="str">
        <f>G3857</f>
        <v>BALA INYECTADA PLÁSTICA TIPO GIRO</v>
      </c>
    </row>
    <row r="3858" spans="1:20" ht="27" customHeight="1" x14ac:dyDescent="0.25">
      <c r="A3858" s="8" t="s">
        <v>7966</v>
      </c>
      <c r="B3858" s="9"/>
      <c r="C3858" s="9"/>
      <c r="D3858" s="8"/>
      <c r="E3858" s="8"/>
      <c r="F3858" s="8" t="s">
        <v>22</v>
      </c>
      <c r="G3858" s="10" t="s">
        <v>7969</v>
      </c>
      <c r="H3858" s="8" t="s">
        <v>7970</v>
      </c>
      <c r="I3858" s="10" t="s">
        <v>7969</v>
      </c>
      <c r="J3858" s="11" t="s">
        <v>33</v>
      </c>
      <c r="K3858" s="18">
        <v>22500</v>
      </c>
      <c r="L3858" s="12">
        <f t="shared" si="323"/>
        <v>37500</v>
      </c>
      <c r="M3858" s="8">
        <v>1</v>
      </c>
      <c r="N3858" s="8" t="s">
        <v>27</v>
      </c>
      <c r="O3858" s="13"/>
      <c r="P3858" s="14">
        <v>0.2</v>
      </c>
      <c r="Q3858" s="15">
        <v>0.4</v>
      </c>
      <c r="R3858" s="16" t="str">
        <f t="shared" si="322"/>
        <v>RIO</v>
      </c>
      <c r="S3858" s="17"/>
      <c r="T3858" s="10" t="str">
        <f>G3858</f>
        <v>SPOT BLANCO PARA RIEL, LUMINARIA GU10.</v>
      </c>
    </row>
    <row r="3859" spans="1:20" ht="27" customHeight="1" x14ac:dyDescent="0.25">
      <c r="A3859" s="8" t="s">
        <v>7966</v>
      </c>
      <c r="B3859" s="9"/>
      <c r="C3859" s="9"/>
      <c r="D3859" s="8"/>
      <c r="E3859" s="8"/>
      <c r="F3859" s="8" t="s">
        <v>22</v>
      </c>
      <c r="G3859" s="10" t="s">
        <v>7971</v>
      </c>
      <c r="H3859" s="8" t="s">
        <v>7972</v>
      </c>
      <c r="I3859" s="10" t="s">
        <v>7971</v>
      </c>
      <c r="J3859" s="11" t="s">
        <v>33</v>
      </c>
      <c r="K3859" s="18">
        <v>19500</v>
      </c>
      <c r="L3859" s="12">
        <f t="shared" si="323"/>
        <v>32500</v>
      </c>
      <c r="M3859" s="8">
        <v>1</v>
      </c>
      <c r="N3859" s="8" t="s">
        <v>27</v>
      </c>
      <c r="O3859" s="13"/>
      <c r="P3859" s="14">
        <v>0.2</v>
      </c>
      <c r="Q3859" s="15">
        <v>0.4</v>
      </c>
      <c r="R3859" s="16" t="str">
        <f t="shared" si="322"/>
        <v>RIO</v>
      </c>
      <c r="S3859" s="17"/>
      <c r="T3859" s="10" t="str">
        <f>G3859</f>
        <v>BALA HALÓGENA INYECTADA RECESADA BLANCA</v>
      </c>
    </row>
    <row r="3860" spans="1:20" ht="27" customHeight="1" x14ac:dyDescent="0.25">
      <c r="A3860" s="8" t="s">
        <v>7973</v>
      </c>
      <c r="B3860" s="9"/>
      <c r="C3860" s="9"/>
      <c r="D3860" s="8"/>
      <c r="E3860" s="8"/>
      <c r="F3860" s="8"/>
      <c r="G3860" s="10"/>
      <c r="H3860" s="8" t="s">
        <v>7974</v>
      </c>
      <c r="I3860" s="10" t="s">
        <v>7975</v>
      </c>
      <c r="J3860" s="11" t="s">
        <v>26</v>
      </c>
      <c r="K3860" s="18">
        <v>11</v>
      </c>
      <c r="L3860" s="12">
        <f>K3860*(1+P3860)/(1-Q3860)</f>
        <v>18.857142857142858</v>
      </c>
      <c r="M3860" s="8">
        <v>1</v>
      </c>
      <c r="N3860" s="8" t="s">
        <v>27</v>
      </c>
      <c r="O3860" s="13"/>
      <c r="P3860" s="14">
        <v>0.2</v>
      </c>
      <c r="Q3860" s="15">
        <v>0.3</v>
      </c>
      <c r="R3860" s="16" t="str">
        <f t="shared" si="322"/>
        <v>RITEAV</v>
      </c>
      <c r="S3860" s="17" t="s">
        <v>7976</v>
      </c>
      <c r="T3860" s="10"/>
    </row>
    <row r="3861" spans="1:20" ht="27" customHeight="1" x14ac:dyDescent="0.25">
      <c r="A3861" s="32" t="s">
        <v>7977</v>
      </c>
      <c r="B3861" s="9" t="s">
        <v>7978</v>
      </c>
      <c r="C3861" s="9"/>
      <c r="D3861" s="8"/>
      <c r="E3861" s="8">
        <v>1</v>
      </c>
      <c r="F3861" s="8" t="s">
        <v>22</v>
      </c>
      <c r="G3861" s="10" t="s">
        <v>7979</v>
      </c>
      <c r="H3861" s="8" t="s">
        <v>7980</v>
      </c>
      <c r="I3861" s="10" t="s">
        <v>7979</v>
      </c>
      <c r="J3861" s="11" t="s">
        <v>33</v>
      </c>
      <c r="K3861" s="18">
        <v>760000</v>
      </c>
      <c r="L3861" s="12">
        <f t="shared" ref="L3861:L3885" si="325">IF(J3861="P",ROUNDUP(K3861/(1-Q3861),-2),K3861*(1+P3861)/(1-Q3861))</f>
        <v>1266700</v>
      </c>
      <c r="M3861" s="8">
        <v>1</v>
      </c>
      <c r="N3861" s="8" t="s">
        <v>27</v>
      </c>
      <c r="O3861" s="13"/>
      <c r="P3861" s="14">
        <v>0.2</v>
      </c>
      <c r="Q3861" s="15">
        <v>0.4</v>
      </c>
      <c r="R3861" s="16" t="str">
        <f t="shared" si="322"/>
        <v>ROSSLARE</v>
      </c>
      <c r="S3861" s="17"/>
      <c r="T3861" s="10" t="str">
        <f t="shared" ref="T3861:T3883" si="326">G3861</f>
        <v>CONTROLADORA PARA DOS PUNTOS DE ACCESO</v>
      </c>
    </row>
    <row r="3862" spans="1:20" ht="27" customHeight="1" x14ac:dyDescent="0.25">
      <c r="A3862" s="32" t="s">
        <v>7977</v>
      </c>
      <c r="B3862" s="9" t="s">
        <v>7978</v>
      </c>
      <c r="C3862" s="9"/>
      <c r="D3862" s="8"/>
      <c r="E3862" s="8">
        <v>2</v>
      </c>
      <c r="F3862" s="8" t="s">
        <v>22</v>
      </c>
      <c r="G3862" s="10" t="s">
        <v>7981</v>
      </c>
      <c r="H3862" s="8" t="s">
        <v>7982</v>
      </c>
      <c r="I3862" s="10" t="s">
        <v>7981</v>
      </c>
      <c r="J3862" s="11" t="s">
        <v>33</v>
      </c>
      <c r="K3862" s="18">
        <v>78000</v>
      </c>
      <c r="L3862" s="12">
        <f t="shared" si="325"/>
        <v>130000</v>
      </c>
      <c r="M3862" s="8">
        <v>1</v>
      </c>
      <c r="N3862" s="8" t="s">
        <v>27</v>
      </c>
      <c r="O3862" s="13"/>
      <c r="P3862" s="14">
        <v>0.2</v>
      </c>
      <c r="Q3862" s="15">
        <v>0.4</v>
      </c>
      <c r="R3862" s="16" t="str">
        <f t="shared" si="322"/>
        <v>ROSSLARE</v>
      </c>
      <c r="S3862" s="17"/>
      <c r="T3862" s="10" t="str">
        <f t="shared" si="326"/>
        <v>LECTORA DE PROXIMIDAD</v>
      </c>
    </row>
    <row r="3863" spans="1:20" ht="27" customHeight="1" x14ac:dyDescent="0.25">
      <c r="A3863" s="32" t="s">
        <v>7977</v>
      </c>
      <c r="B3863" s="9" t="s">
        <v>7978</v>
      </c>
      <c r="C3863" s="9"/>
      <c r="D3863" s="8"/>
      <c r="E3863" s="8">
        <v>3</v>
      </c>
      <c r="F3863" s="8" t="s">
        <v>22</v>
      </c>
      <c r="G3863" s="10" t="s">
        <v>7983</v>
      </c>
      <c r="H3863" s="8" t="s">
        <v>7984</v>
      </c>
      <c r="I3863" s="10" t="s">
        <v>7983</v>
      </c>
      <c r="J3863" s="11" t="s">
        <v>33</v>
      </c>
      <c r="K3863" s="18">
        <v>56000</v>
      </c>
      <c r="L3863" s="12">
        <f t="shared" si="325"/>
        <v>93400</v>
      </c>
      <c r="M3863" s="8">
        <v>1</v>
      </c>
      <c r="N3863" s="8" t="s">
        <v>27</v>
      </c>
      <c r="O3863" s="13"/>
      <c r="P3863" s="14">
        <v>0.2</v>
      </c>
      <c r="Q3863" s="15">
        <v>0.4</v>
      </c>
      <c r="R3863" s="16" t="str">
        <f t="shared" si="322"/>
        <v>ROSSLARE</v>
      </c>
      <c r="S3863" s="17"/>
      <c r="T3863" s="10" t="str">
        <f t="shared" si="326"/>
        <v>BOTÓN DE SALIDA TOUCH CON TRANSMISOR INALÁMBRICO</v>
      </c>
    </row>
    <row r="3864" spans="1:20" ht="27" customHeight="1" x14ac:dyDescent="0.25">
      <c r="A3864" s="32" t="s">
        <v>7977</v>
      </c>
      <c r="B3864" s="9" t="s">
        <v>7978</v>
      </c>
      <c r="C3864" s="9"/>
      <c r="D3864" s="8"/>
      <c r="E3864" s="8">
        <v>4</v>
      </c>
      <c r="F3864" s="8" t="s">
        <v>22</v>
      </c>
      <c r="G3864" s="10" t="s">
        <v>7985</v>
      </c>
      <c r="H3864" s="8" t="s">
        <v>7986</v>
      </c>
      <c r="I3864" s="10" t="s">
        <v>7985</v>
      </c>
      <c r="J3864" s="11" t="s">
        <v>33</v>
      </c>
      <c r="K3864" s="18">
        <v>51000</v>
      </c>
      <c r="L3864" s="12">
        <f t="shared" si="325"/>
        <v>85000</v>
      </c>
      <c r="M3864" s="8">
        <v>1</v>
      </c>
      <c r="N3864" s="8" t="s">
        <v>27</v>
      </c>
      <c r="O3864" s="13"/>
      <c r="P3864" s="14">
        <v>0.2</v>
      </c>
      <c r="Q3864" s="15">
        <v>0.4</v>
      </c>
      <c r="R3864" s="16" t="str">
        <f t="shared" si="322"/>
        <v>ROSSLARE</v>
      </c>
      <c r="S3864" s="17"/>
      <c r="T3864" s="10" t="str">
        <f t="shared" si="326"/>
        <v>BATERÍA 12V</v>
      </c>
    </row>
    <row r="3865" spans="1:20" ht="27" customHeight="1" x14ac:dyDescent="0.25">
      <c r="A3865" s="32" t="s">
        <v>7977</v>
      </c>
      <c r="B3865" s="9" t="s">
        <v>7978</v>
      </c>
      <c r="C3865" s="9"/>
      <c r="D3865" s="8"/>
      <c r="E3865" s="8">
        <v>5</v>
      </c>
      <c r="F3865" s="8" t="s">
        <v>22</v>
      </c>
      <c r="G3865" s="10" t="s">
        <v>7987</v>
      </c>
      <c r="H3865" s="8" t="s">
        <v>7988</v>
      </c>
      <c r="I3865" s="10" t="s">
        <v>7987</v>
      </c>
      <c r="J3865" s="11" t="s">
        <v>33</v>
      </c>
      <c r="K3865" s="18">
        <v>55000</v>
      </c>
      <c r="L3865" s="12">
        <f t="shared" si="325"/>
        <v>91700</v>
      </c>
      <c r="M3865" s="8">
        <v>1</v>
      </c>
      <c r="N3865" s="8" t="s">
        <v>27</v>
      </c>
      <c r="O3865" s="13"/>
      <c r="P3865" s="14">
        <v>0.2</v>
      </c>
      <c r="Q3865" s="15">
        <v>0.4</v>
      </c>
      <c r="R3865" s="16" t="str">
        <f t="shared" si="322"/>
        <v>ROSSLARE</v>
      </c>
      <c r="S3865" s="17"/>
      <c r="T3865" s="10" t="str">
        <f t="shared" si="326"/>
        <v>KIR DE 25 TARJETAS PROGRAMABLES</v>
      </c>
    </row>
    <row r="3866" spans="1:20" ht="27" customHeight="1" x14ac:dyDescent="0.25">
      <c r="A3866" s="8" t="s">
        <v>7989</v>
      </c>
      <c r="B3866" s="9" t="s">
        <v>7990</v>
      </c>
      <c r="C3866" s="9"/>
      <c r="D3866" s="8" t="s">
        <v>148</v>
      </c>
      <c r="E3866" s="8">
        <v>1</v>
      </c>
      <c r="F3866" s="8" t="s">
        <v>22</v>
      </c>
      <c r="G3866" s="10" t="s">
        <v>7991</v>
      </c>
      <c r="H3866" s="8" t="s">
        <v>7992</v>
      </c>
      <c r="I3866" s="10" t="s">
        <v>7993</v>
      </c>
      <c r="J3866" s="11" t="s">
        <v>26</v>
      </c>
      <c r="K3866" s="18">
        <v>1175</v>
      </c>
      <c r="L3866" s="12">
        <f t="shared" si="325"/>
        <v>2089.2556184631112</v>
      </c>
      <c r="M3866" s="8">
        <v>1</v>
      </c>
      <c r="N3866" s="8" t="s">
        <v>27</v>
      </c>
      <c r="O3866" s="13"/>
      <c r="P3866" s="14">
        <v>0.2</v>
      </c>
      <c r="Q3866" s="15">
        <v>0.32511848356917772</v>
      </c>
      <c r="R3866" s="16" t="str">
        <f t="shared" si="322"/>
        <v>RUSSOUND</v>
      </c>
      <c r="S3866" s="17"/>
      <c r="T3866" s="10" t="str">
        <f t="shared" si="326"/>
        <v>AMPLIFICADOR DE 16 CANALES, SALIDA ENTRE 50 Y 80 VATIOS POR CANAL.</v>
      </c>
    </row>
    <row r="3867" spans="1:20" ht="27" customHeight="1" x14ac:dyDescent="0.25">
      <c r="A3867" s="8" t="s">
        <v>7989</v>
      </c>
      <c r="B3867" s="9" t="s">
        <v>7990</v>
      </c>
      <c r="C3867" s="9"/>
      <c r="D3867" s="8" t="s">
        <v>148</v>
      </c>
      <c r="E3867" s="8">
        <v>2</v>
      </c>
      <c r="F3867" s="8" t="s">
        <v>22</v>
      </c>
      <c r="G3867" s="10" t="s">
        <v>7994</v>
      </c>
      <c r="H3867" s="8" t="s">
        <v>7995</v>
      </c>
      <c r="I3867" s="10" t="s">
        <v>7996</v>
      </c>
      <c r="J3867" s="11" t="s">
        <v>26</v>
      </c>
      <c r="K3867" s="18">
        <v>679</v>
      </c>
      <c r="L3867" s="12">
        <f t="shared" si="325"/>
        <v>1358</v>
      </c>
      <c r="M3867" s="8">
        <v>1</v>
      </c>
      <c r="N3867" s="8" t="s">
        <v>27</v>
      </c>
      <c r="O3867" s="13"/>
      <c r="P3867" s="14">
        <v>0.2</v>
      </c>
      <c r="Q3867" s="15">
        <v>0.4</v>
      </c>
      <c r="R3867" s="16" t="str">
        <f t="shared" si="322"/>
        <v>RUSSOUND</v>
      </c>
      <c r="S3867" s="17"/>
      <c r="T3867" s="10" t="str">
        <f t="shared" si="326"/>
        <v>AMPLIFICADOR DE 8 CANALES, SALIDA ENTRE 50 Y 80 VATIOS POR CANAL.</v>
      </c>
    </row>
    <row r="3868" spans="1:20" ht="27" customHeight="1" x14ac:dyDescent="0.25">
      <c r="A3868" s="8" t="s">
        <v>7989</v>
      </c>
      <c r="B3868" s="9" t="s">
        <v>7990</v>
      </c>
      <c r="C3868" s="9"/>
      <c r="D3868" s="8" t="s">
        <v>148</v>
      </c>
      <c r="E3868" s="8">
        <v>3</v>
      </c>
      <c r="F3868" s="8" t="s">
        <v>22</v>
      </c>
      <c r="G3868" s="10" t="s">
        <v>7997</v>
      </c>
      <c r="H3868" s="8" t="s">
        <v>7998</v>
      </c>
      <c r="I3868" s="10" t="s">
        <v>7997</v>
      </c>
      <c r="J3868" s="11" t="s">
        <v>26</v>
      </c>
      <c r="K3868" s="18">
        <v>120</v>
      </c>
      <c r="L3868" s="12">
        <f t="shared" si="325"/>
        <v>255.38442095378969</v>
      </c>
      <c r="M3868" s="8">
        <v>1</v>
      </c>
      <c r="N3868" s="8" t="s">
        <v>27</v>
      </c>
      <c r="O3868" s="13"/>
      <c r="P3868" s="14">
        <v>0.2</v>
      </c>
      <c r="Q3868" s="15">
        <v>0.43614414903540272</v>
      </c>
      <c r="R3868" s="16" t="str">
        <f t="shared" si="322"/>
        <v>RUSSOUND</v>
      </c>
      <c r="S3868" s="17"/>
      <c r="T3868" s="10" t="str">
        <f t="shared" si="326"/>
        <v>AMPLIFICADOR DE 2 CANALES, SALIDA DE 75 POR CANAL, PARA ALTAVOCES DE 4 U 8 OHM.</v>
      </c>
    </row>
    <row r="3869" spans="1:20" ht="27" customHeight="1" x14ac:dyDescent="0.25">
      <c r="A3869" s="8" t="s">
        <v>7989</v>
      </c>
      <c r="B3869" s="9" t="s">
        <v>7990</v>
      </c>
      <c r="C3869" s="9"/>
      <c r="D3869" s="8" t="s">
        <v>148</v>
      </c>
      <c r="E3869" s="8">
        <v>4</v>
      </c>
      <c r="F3869" s="8" t="s">
        <v>22</v>
      </c>
      <c r="G3869" s="10" t="s">
        <v>7999</v>
      </c>
      <c r="H3869" s="8" t="s">
        <v>8000</v>
      </c>
      <c r="I3869" s="10" t="s">
        <v>7999</v>
      </c>
      <c r="J3869" s="11" t="s">
        <v>26</v>
      </c>
      <c r="K3869" s="18">
        <v>24</v>
      </c>
      <c r="L3869" s="12">
        <f t="shared" si="325"/>
        <v>48</v>
      </c>
      <c r="M3869" s="8">
        <v>1</v>
      </c>
      <c r="N3869" s="8" t="s">
        <v>27</v>
      </c>
      <c r="O3869" s="13"/>
      <c r="P3869" s="14">
        <v>0.2</v>
      </c>
      <c r="Q3869" s="15">
        <v>0.4</v>
      </c>
      <c r="R3869" s="16" t="str">
        <f t="shared" si="322"/>
        <v>RUSSOUND</v>
      </c>
      <c r="S3869" s="17"/>
      <c r="T3869" s="10" t="str">
        <f t="shared" si="326"/>
        <v>AJUSTADOR DE VOLUMEN DE PERILLA</v>
      </c>
    </row>
    <row r="3870" spans="1:20" ht="27" customHeight="1" x14ac:dyDescent="0.25">
      <c r="A3870" s="8" t="s">
        <v>7989</v>
      </c>
      <c r="B3870" s="9" t="s">
        <v>7990</v>
      </c>
      <c r="C3870" s="9"/>
      <c r="D3870" s="8" t="s">
        <v>148</v>
      </c>
      <c r="E3870" s="8">
        <v>5</v>
      </c>
      <c r="F3870" s="8" t="s">
        <v>22</v>
      </c>
      <c r="G3870" s="10" t="s">
        <v>8001</v>
      </c>
      <c r="H3870" s="8" t="s">
        <v>8002</v>
      </c>
      <c r="I3870" s="10" t="s">
        <v>8001</v>
      </c>
      <c r="J3870" s="11" t="s">
        <v>26</v>
      </c>
      <c r="K3870" s="18">
        <v>328</v>
      </c>
      <c r="L3870" s="12">
        <f t="shared" si="325"/>
        <v>648.99995081051441</v>
      </c>
      <c r="M3870" s="8">
        <v>1</v>
      </c>
      <c r="N3870" s="8" t="s">
        <v>27</v>
      </c>
      <c r="O3870" s="13"/>
      <c r="P3870" s="14">
        <v>0.2</v>
      </c>
      <c r="Q3870" s="15">
        <v>0.39352845942677489</v>
      </c>
      <c r="R3870" s="16" t="str">
        <f t="shared" si="322"/>
        <v>RUSSOUND</v>
      </c>
      <c r="S3870" s="17"/>
      <c r="T3870" s="10" t="str">
        <f t="shared" si="326"/>
        <v>AMPLIFICADOR DE 2 CANALES A 125 VATIOS.</v>
      </c>
    </row>
    <row r="3871" spans="1:20" ht="27" customHeight="1" x14ac:dyDescent="0.25">
      <c r="A3871" s="8" t="s">
        <v>7989</v>
      </c>
      <c r="B3871" s="9" t="s">
        <v>7990</v>
      </c>
      <c r="C3871" s="9"/>
      <c r="D3871" s="8" t="s">
        <v>148</v>
      </c>
      <c r="E3871" s="8">
        <v>6</v>
      </c>
      <c r="F3871" s="8" t="s">
        <v>22</v>
      </c>
      <c r="G3871" s="10" t="s">
        <v>8003</v>
      </c>
      <c r="H3871" s="8" t="s">
        <v>8004</v>
      </c>
      <c r="I3871" s="10" t="s">
        <v>8003</v>
      </c>
      <c r="J3871" s="11" t="s">
        <v>26</v>
      </c>
      <c r="K3871" s="18">
        <v>27</v>
      </c>
      <c r="L3871" s="12">
        <f t="shared" si="325"/>
        <v>46.285714285714285</v>
      </c>
      <c r="M3871" s="8">
        <v>1</v>
      </c>
      <c r="N3871" s="8" t="s">
        <v>27</v>
      </c>
      <c r="O3871" s="13"/>
      <c r="P3871" s="14">
        <v>0.2</v>
      </c>
      <c r="Q3871" s="15">
        <v>0.3</v>
      </c>
      <c r="R3871" s="16" t="str">
        <f t="shared" si="322"/>
        <v>RUSSOUND</v>
      </c>
      <c r="S3871" s="17"/>
      <c r="T3871" s="10" t="str">
        <f t="shared" si="326"/>
        <v>BLOQUE DE CONEXIÓN PARA ALTAVOCES</v>
      </c>
    </row>
    <row r="3872" spans="1:20" ht="27" customHeight="1" x14ac:dyDescent="0.25">
      <c r="A3872" s="8" t="s">
        <v>7989</v>
      </c>
      <c r="B3872" s="9" t="s">
        <v>7990</v>
      </c>
      <c r="C3872" s="9"/>
      <c r="D3872" s="8" t="s">
        <v>148</v>
      </c>
      <c r="E3872" s="8">
        <v>7</v>
      </c>
      <c r="F3872" s="8" t="s">
        <v>22</v>
      </c>
      <c r="G3872" s="10" t="s">
        <v>8005</v>
      </c>
      <c r="H3872" s="8" t="s">
        <v>8006</v>
      </c>
      <c r="I3872" s="10" t="s">
        <v>8005</v>
      </c>
      <c r="J3872" s="11" t="s">
        <v>26</v>
      </c>
      <c r="K3872" s="18">
        <v>22</v>
      </c>
      <c r="L3872" s="12">
        <f t="shared" si="325"/>
        <v>37.714285714285715</v>
      </c>
      <c r="M3872" s="8">
        <v>1</v>
      </c>
      <c r="N3872" s="8" t="s">
        <v>27</v>
      </c>
      <c r="O3872" s="13"/>
      <c r="P3872" s="14">
        <v>0.2</v>
      </c>
      <c r="Q3872" s="15">
        <v>0.3</v>
      </c>
      <c r="R3872" s="16" t="str">
        <f t="shared" si="322"/>
        <v>RUSSOUND</v>
      </c>
      <c r="S3872" s="17"/>
      <c r="T3872" s="10" t="str">
        <f t="shared" si="326"/>
        <v>SELECTOR DE FUENTE DE MONTAJE EN PARED.</v>
      </c>
    </row>
    <row r="3873" spans="1:20" ht="27" customHeight="1" x14ac:dyDescent="0.25">
      <c r="A3873" s="8" t="s">
        <v>7989</v>
      </c>
      <c r="B3873" s="9" t="s">
        <v>7990</v>
      </c>
      <c r="C3873" s="9"/>
      <c r="D3873" s="8" t="s">
        <v>869</v>
      </c>
      <c r="E3873" s="8">
        <v>7</v>
      </c>
      <c r="F3873" s="8" t="s">
        <v>22</v>
      </c>
      <c r="G3873" s="10" t="s">
        <v>8007</v>
      </c>
      <c r="H3873" s="8" t="s">
        <v>8008</v>
      </c>
      <c r="I3873" s="10" t="s">
        <v>8007</v>
      </c>
      <c r="J3873" s="11" t="s">
        <v>26</v>
      </c>
      <c r="K3873" s="18">
        <v>45.5</v>
      </c>
      <c r="L3873" s="12">
        <f t="shared" si="325"/>
        <v>78</v>
      </c>
      <c r="M3873" s="8">
        <v>1</v>
      </c>
      <c r="N3873" s="8" t="s">
        <v>27</v>
      </c>
      <c r="O3873" s="13"/>
      <c r="P3873" s="14">
        <v>0.2</v>
      </c>
      <c r="Q3873" s="15">
        <v>0.3</v>
      </c>
      <c r="R3873" s="16" t="str">
        <f t="shared" si="322"/>
        <v>RUSSOUND</v>
      </c>
      <c r="S3873" s="17"/>
      <c r="T3873" s="10" t="str">
        <f t="shared" si="326"/>
        <v xml:space="preserve">ALTAVOZ EN POLIPROPILENO DE 8 OHM. 50-20KHz. </v>
      </c>
    </row>
    <row r="3874" spans="1:20" ht="27" customHeight="1" x14ac:dyDescent="0.25">
      <c r="A3874" s="8" t="s">
        <v>7989</v>
      </c>
      <c r="B3874" s="9" t="s">
        <v>7990</v>
      </c>
      <c r="C3874" s="9"/>
      <c r="D3874" s="8" t="s">
        <v>869</v>
      </c>
      <c r="E3874" s="8">
        <v>7</v>
      </c>
      <c r="F3874" s="8" t="s">
        <v>22</v>
      </c>
      <c r="G3874" s="10" t="s">
        <v>8007</v>
      </c>
      <c r="H3874" s="8" t="s">
        <v>8009</v>
      </c>
      <c r="I3874" s="10" t="s">
        <v>8007</v>
      </c>
      <c r="J3874" s="11" t="s">
        <v>26</v>
      </c>
      <c r="K3874" s="18">
        <v>93</v>
      </c>
      <c r="L3874" s="12">
        <f t="shared" si="325"/>
        <v>159.42857142857142</v>
      </c>
      <c r="M3874" s="8">
        <v>1</v>
      </c>
      <c r="N3874" s="8" t="s">
        <v>27</v>
      </c>
      <c r="O3874" s="13"/>
      <c r="P3874" s="14">
        <v>0.2</v>
      </c>
      <c r="Q3874" s="15">
        <v>0.3</v>
      </c>
      <c r="R3874" s="16" t="str">
        <f t="shared" si="322"/>
        <v>RUSSOUND</v>
      </c>
      <c r="S3874" s="17"/>
      <c r="T3874" s="10" t="str">
        <f t="shared" si="326"/>
        <v xml:space="preserve">ALTAVOZ EN POLIPROPILENO DE 8 OHM. 50-20KHz. </v>
      </c>
    </row>
    <row r="3875" spans="1:20" ht="27" customHeight="1" x14ac:dyDescent="0.25">
      <c r="A3875" s="8" t="s">
        <v>7989</v>
      </c>
      <c r="B3875" s="9" t="s">
        <v>7990</v>
      </c>
      <c r="C3875" s="9"/>
      <c r="D3875" s="8" t="s">
        <v>869</v>
      </c>
      <c r="E3875" s="8">
        <v>7</v>
      </c>
      <c r="F3875" s="8" t="s">
        <v>22</v>
      </c>
      <c r="G3875" s="10" t="s">
        <v>8010</v>
      </c>
      <c r="H3875" s="8" t="s">
        <v>8011</v>
      </c>
      <c r="I3875" s="10" t="s">
        <v>8012</v>
      </c>
      <c r="J3875" s="11" t="s">
        <v>26</v>
      </c>
      <c r="K3875" s="18">
        <v>182</v>
      </c>
      <c r="L3875" s="12">
        <f t="shared" si="325"/>
        <v>374.99982326740871</v>
      </c>
      <c r="M3875" s="8">
        <v>1</v>
      </c>
      <c r="N3875" s="8" t="s">
        <v>27</v>
      </c>
      <c r="O3875" s="13"/>
      <c r="P3875" s="14">
        <v>0.2</v>
      </c>
      <c r="Q3875" s="15">
        <v>0.41759972552237418</v>
      </c>
      <c r="R3875" s="16" t="str">
        <f t="shared" si="322"/>
        <v>RUSSOUND</v>
      </c>
      <c r="S3875" s="17"/>
      <c r="T3875" s="10" t="str">
        <f t="shared" si="326"/>
        <v>AMPLIFICADOR EN ESTÉREO DE 30W, SALIDA PARA 4 PARLANTES Y SUB WOOFER.</v>
      </c>
    </row>
    <row r="3876" spans="1:20" ht="27" customHeight="1" x14ac:dyDescent="0.25">
      <c r="A3876" s="8" t="s">
        <v>7989</v>
      </c>
      <c r="B3876" s="9"/>
      <c r="C3876" s="9"/>
      <c r="D3876" s="8"/>
      <c r="E3876" s="8"/>
      <c r="F3876" s="8" t="s">
        <v>22</v>
      </c>
      <c r="G3876" s="10" t="s">
        <v>8013</v>
      </c>
      <c r="H3876" s="8" t="s">
        <v>8014</v>
      </c>
      <c r="I3876" s="10" t="s">
        <v>8015</v>
      </c>
      <c r="J3876" s="11" t="s">
        <v>26</v>
      </c>
      <c r="K3876" s="18">
        <v>979</v>
      </c>
      <c r="L3876" s="12">
        <f t="shared" si="325"/>
        <v>1678.2857142857142</v>
      </c>
      <c r="M3876" s="8">
        <v>1</v>
      </c>
      <c r="N3876" s="8" t="s">
        <v>27</v>
      </c>
      <c r="O3876" s="13"/>
      <c r="P3876" s="14">
        <v>0.2</v>
      </c>
      <c r="Q3876" s="15">
        <v>0.3</v>
      </c>
      <c r="R3876" s="16" t="str">
        <f t="shared" si="322"/>
        <v>RUSSOUND</v>
      </c>
      <c r="S3876" s="17"/>
      <c r="T3876" s="10" t="str">
        <f t="shared" si="326"/>
        <v>AMPLIFICADOR DE 300W A LÍNEA DE 70V, CON ENTRADA USB Y STREAMING.</v>
      </c>
    </row>
    <row r="3877" spans="1:20" ht="27" customHeight="1" x14ac:dyDescent="0.25">
      <c r="A3877" s="8" t="s">
        <v>7989</v>
      </c>
      <c r="B3877" s="9"/>
      <c r="C3877" s="9"/>
      <c r="D3877" s="8"/>
      <c r="E3877" s="8"/>
      <c r="F3877" s="8" t="s">
        <v>22</v>
      </c>
      <c r="G3877" s="10" t="s">
        <v>8016</v>
      </c>
      <c r="H3877" s="8" t="s">
        <v>8017</v>
      </c>
      <c r="I3877" s="10" t="s">
        <v>8016</v>
      </c>
      <c r="J3877" s="11" t="s">
        <v>26</v>
      </c>
      <c r="K3877" s="18">
        <f>159/2</f>
        <v>79.5</v>
      </c>
      <c r="L3877" s="12">
        <f t="shared" si="325"/>
        <v>136.28571428571428</v>
      </c>
      <c r="M3877" s="8">
        <v>1</v>
      </c>
      <c r="N3877" s="8" t="s">
        <v>27</v>
      </c>
      <c r="O3877" s="13"/>
      <c r="P3877" s="14">
        <v>0.2</v>
      </c>
      <c r="Q3877" s="15">
        <v>0.3</v>
      </c>
      <c r="R3877" s="16" t="str">
        <f t="shared" si="322"/>
        <v>RUSSOUND</v>
      </c>
      <c r="S3877" s="17"/>
      <c r="T3877" s="10" t="str">
        <f t="shared" si="326"/>
        <v>PARLANTE DE SOBRE PONER DE LA SERIE 3165-532894, 6.5", 150W, 8 OHM.</v>
      </c>
    </row>
    <row r="3878" spans="1:20" ht="27" customHeight="1" x14ac:dyDescent="0.25">
      <c r="A3878" s="8" t="s">
        <v>7989</v>
      </c>
      <c r="B3878" s="9"/>
      <c r="C3878" s="9"/>
      <c r="D3878" s="8"/>
      <c r="E3878" s="8"/>
      <c r="F3878" s="8" t="s">
        <v>22</v>
      </c>
      <c r="G3878" s="10" t="s">
        <v>8018</v>
      </c>
      <c r="H3878" s="8" t="s">
        <v>8019</v>
      </c>
      <c r="I3878" s="10" t="s">
        <v>8018</v>
      </c>
      <c r="J3878" s="11" t="s">
        <v>26</v>
      </c>
      <c r="K3878" s="18">
        <v>108</v>
      </c>
      <c r="L3878" s="12">
        <f t="shared" si="325"/>
        <v>185.14285714285714</v>
      </c>
      <c r="M3878" s="8">
        <v>1</v>
      </c>
      <c r="N3878" s="8" t="s">
        <v>27</v>
      </c>
      <c r="O3878" s="13"/>
      <c r="P3878" s="14">
        <v>0.2</v>
      </c>
      <c r="Q3878" s="15">
        <v>0.3</v>
      </c>
      <c r="R3878" s="16" t="str">
        <f t="shared" si="322"/>
        <v>RUSSOUND</v>
      </c>
      <c r="S3878" s="17"/>
      <c r="T3878" s="10" t="str">
        <f t="shared" si="326"/>
        <v>PARLANTE DE EXTERIOR TIPO ROCA DE 8"</v>
      </c>
    </row>
    <row r="3879" spans="1:20" ht="27" customHeight="1" x14ac:dyDescent="0.25">
      <c r="A3879" s="8" t="s">
        <v>7989</v>
      </c>
      <c r="B3879" s="9"/>
      <c r="C3879" s="9"/>
      <c r="D3879" s="8"/>
      <c r="E3879" s="8"/>
      <c r="F3879" s="8" t="s">
        <v>22</v>
      </c>
      <c r="G3879" s="10" t="s">
        <v>8020</v>
      </c>
      <c r="H3879" s="8" t="s">
        <v>8021</v>
      </c>
      <c r="I3879" s="10" t="s">
        <v>8020</v>
      </c>
      <c r="J3879" s="11" t="s">
        <v>26</v>
      </c>
      <c r="K3879" s="18">
        <v>77</v>
      </c>
      <c r="L3879" s="12">
        <f t="shared" si="325"/>
        <v>164.99977634907151</v>
      </c>
      <c r="M3879" s="8">
        <v>1</v>
      </c>
      <c r="N3879" s="8" t="s">
        <v>27</v>
      </c>
      <c r="O3879" s="13"/>
      <c r="P3879" s="14">
        <v>0.2</v>
      </c>
      <c r="Q3879" s="15">
        <v>0.43999924094127452</v>
      </c>
      <c r="R3879" s="16" t="str">
        <f t="shared" si="322"/>
        <v>RUSSOUND</v>
      </c>
      <c r="S3879" s="17"/>
      <c r="T3879" s="10" t="str">
        <f t="shared" si="326"/>
        <v>ACOPLADOR DE IMPEDANCIAS PARA PARLANTES</v>
      </c>
    </row>
    <row r="3880" spans="1:20" ht="27" customHeight="1" x14ac:dyDescent="0.25">
      <c r="A3880" s="8" t="s">
        <v>7989</v>
      </c>
      <c r="B3880" s="9"/>
      <c r="C3880" s="9"/>
      <c r="D3880" s="8"/>
      <c r="E3880" s="8"/>
      <c r="F3880" s="8" t="s">
        <v>22</v>
      </c>
      <c r="G3880" s="10" t="s">
        <v>8022</v>
      </c>
      <c r="H3880" s="8" t="s">
        <v>8023</v>
      </c>
      <c r="I3880" s="10" t="s">
        <v>8024</v>
      </c>
      <c r="J3880" s="11" t="s">
        <v>26</v>
      </c>
      <c r="K3880" s="18">
        <v>84</v>
      </c>
      <c r="L3880" s="12">
        <f t="shared" si="325"/>
        <v>168</v>
      </c>
      <c r="M3880" s="8">
        <v>1</v>
      </c>
      <c r="N3880" s="8" t="s">
        <v>27</v>
      </c>
      <c r="O3880" s="13"/>
      <c r="P3880" s="14">
        <v>0.2</v>
      </c>
      <c r="Q3880" s="15">
        <v>0.4</v>
      </c>
      <c r="R3880" s="16" t="str">
        <f t="shared" si="322"/>
        <v>RUSSOUND</v>
      </c>
      <c r="S3880" s="17"/>
      <c r="T3880" s="10" t="str">
        <f t="shared" si="326"/>
        <v>ALTAVOZ RECTANGULAR DE INCRUSTAR.</v>
      </c>
    </row>
    <row r="3881" spans="1:20" ht="27" customHeight="1" x14ac:dyDescent="0.25">
      <c r="A3881" s="8" t="s">
        <v>7989</v>
      </c>
      <c r="B3881" s="9"/>
      <c r="C3881" s="9"/>
      <c r="D3881" s="8"/>
      <c r="E3881" s="8"/>
      <c r="F3881" s="8" t="s">
        <v>22</v>
      </c>
      <c r="G3881" s="10" t="s">
        <v>8022</v>
      </c>
      <c r="H3881" s="8" t="s">
        <v>8023</v>
      </c>
      <c r="I3881" s="10" t="s">
        <v>8024</v>
      </c>
      <c r="J3881" s="11" t="s">
        <v>26</v>
      </c>
      <c r="K3881" s="18">
        <v>84</v>
      </c>
      <c r="L3881" s="12">
        <f t="shared" si="325"/>
        <v>144</v>
      </c>
      <c r="M3881" s="8">
        <v>1</v>
      </c>
      <c r="N3881" s="8" t="s">
        <v>27</v>
      </c>
      <c r="O3881" s="13"/>
      <c r="P3881" s="14">
        <v>0.2</v>
      </c>
      <c r="Q3881" s="15">
        <v>0.3</v>
      </c>
      <c r="R3881" s="16" t="str">
        <f t="shared" si="322"/>
        <v>RUSSOUND</v>
      </c>
      <c r="S3881" s="17"/>
      <c r="T3881" s="10" t="str">
        <f t="shared" si="326"/>
        <v>ALTAVOZ RECTANGULAR DE INCRUSTAR.</v>
      </c>
    </row>
    <row r="3882" spans="1:20" ht="27" customHeight="1" x14ac:dyDescent="0.25">
      <c r="A3882" s="8" t="s">
        <v>7989</v>
      </c>
      <c r="B3882" s="9"/>
      <c r="C3882" s="9"/>
      <c r="D3882" s="8" t="s">
        <v>45</v>
      </c>
      <c r="E3882" s="8"/>
      <c r="F3882" s="8" t="s">
        <v>22</v>
      </c>
      <c r="G3882" s="10" t="s">
        <v>8007</v>
      </c>
      <c r="H3882" s="8" t="s">
        <v>8008</v>
      </c>
      <c r="I3882" s="10" t="s">
        <v>8007</v>
      </c>
      <c r="J3882" s="11" t="s">
        <v>26</v>
      </c>
      <c r="K3882" s="18">
        <v>32.5</v>
      </c>
      <c r="L3882" s="12">
        <f t="shared" si="325"/>
        <v>78</v>
      </c>
      <c r="M3882" s="8">
        <v>1</v>
      </c>
      <c r="N3882" s="8" t="s">
        <v>27</v>
      </c>
      <c r="O3882" s="13"/>
      <c r="P3882" s="14">
        <v>0.2</v>
      </c>
      <c r="Q3882" s="15">
        <v>0.5</v>
      </c>
      <c r="R3882" s="16" t="str">
        <f t="shared" si="322"/>
        <v>RUSSOUND</v>
      </c>
      <c r="S3882" s="17"/>
      <c r="T3882" s="10" t="str">
        <f t="shared" si="326"/>
        <v xml:space="preserve">ALTAVOZ EN POLIPROPILENO DE 8 OHM. 50-20KHz. </v>
      </c>
    </row>
    <row r="3883" spans="1:20" ht="27" customHeight="1" x14ac:dyDescent="0.25">
      <c r="A3883" s="8" t="s">
        <v>7989</v>
      </c>
      <c r="B3883" s="9"/>
      <c r="C3883" s="9"/>
      <c r="D3883" s="8" t="s">
        <v>45</v>
      </c>
      <c r="E3883" s="8"/>
      <c r="F3883" s="8" t="s">
        <v>22</v>
      </c>
      <c r="G3883" s="10" t="s">
        <v>8025</v>
      </c>
      <c r="H3883" s="8" t="s">
        <v>8026</v>
      </c>
      <c r="I3883" s="10" t="s">
        <v>8025</v>
      </c>
      <c r="J3883" s="11" t="s">
        <v>26</v>
      </c>
      <c r="K3883" s="18">
        <v>85</v>
      </c>
      <c r="L3883" s="12">
        <f t="shared" si="325"/>
        <v>170</v>
      </c>
      <c r="M3883" s="8">
        <v>1</v>
      </c>
      <c r="N3883" s="8" t="s">
        <v>27</v>
      </c>
      <c r="O3883" s="13"/>
      <c r="P3883" s="14">
        <v>0.2</v>
      </c>
      <c r="Q3883" s="15">
        <v>0.4</v>
      </c>
      <c r="R3883" s="16" t="str">
        <f t="shared" si="322"/>
        <v>RUSSOUND</v>
      </c>
      <c r="S3883" s="17"/>
      <c r="T3883" s="10" t="str">
        <f t="shared" si="326"/>
        <v>ALTAVOZ DE SOBREPONER A 8OHM, MANEJO DE POTENCIA HASTA 100W.</v>
      </c>
    </row>
    <row r="3884" spans="1:20" ht="27" customHeight="1" x14ac:dyDescent="0.25">
      <c r="A3884" s="8" t="s">
        <v>7989</v>
      </c>
      <c r="B3884" s="9"/>
      <c r="C3884" s="9"/>
      <c r="D3884" s="8"/>
      <c r="E3884" s="8"/>
      <c r="F3884" s="8"/>
      <c r="G3884" s="10"/>
      <c r="H3884" s="8" t="s">
        <v>8027</v>
      </c>
      <c r="I3884" s="10" t="s">
        <v>8028</v>
      </c>
      <c r="J3884" s="11" t="s">
        <v>26</v>
      </c>
      <c r="K3884" s="18">
        <v>1099</v>
      </c>
      <c r="L3884" s="12">
        <f t="shared" si="325"/>
        <v>2424.999750273802</v>
      </c>
      <c r="M3884" s="8">
        <v>1</v>
      </c>
      <c r="N3884" s="8" t="s">
        <v>27</v>
      </c>
      <c r="O3884" s="13"/>
      <c r="P3884" s="14">
        <v>0.2</v>
      </c>
      <c r="Q3884" s="15">
        <v>0.45616489244953662</v>
      </c>
      <c r="R3884" s="16" t="str">
        <f t="shared" si="322"/>
        <v>RUSSOUND</v>
      </c>
      <c r="S3884" s="17"/>
      <c r="T3884" s="10"/>
    </row>
    <row r="3885" spans="1:20" ht="27" customHeight="1" x14ac:dyDescent="0.25">
      <c r="A3885" s="8" t="s">
        <v>7989</v>
      </c>
      <c r="B3885" s="9"/>
      <c r="C3885" s="9"/>
      <c r="D3885" s="8"/>
      <c r="E3885" s="8"/>
      <c r="F3885" s="8"/>
      <c r="G3885" s="10"/>
      <c r="H3885" s="8" t="s">
        <v>8029</v>
      </c>
      <c r="I3885" s="10" t="s">
        <v>8030</v>
      </c>
      <c r="J3885" s="11" t="s">
        <v>26</v>
      </c>
      <c r="K3885" s="18">
        <v>1912</v>
      </c>
      <c r="L3885" s="12">
        <f t="shared" si="325"/>
        <v>4219.9999288892886</v>
      </c>
      <c r="M3885" s="8">
        <v>1</v>
      </c>
      <c r="N3885" s="8" t="s">
        <v>27</v>
      </c>
      <c r="O3885" s="13"/>
      <c r="P3885" s="14">
        <v>0.2</v>
      </c>
      <c r="Q3885" s="15">
        <v>0.45630330837377753</v>
      </c>
      <c r="R3885" s="16" t="str">
        <f t="shared" si="322"/>
        <v>RUSSOUND</v>
      </c>
      <c r="S3885" s="17"/>
      <c r="T3885" s="10"/>
    </row>
    <row r="3886" spans="1:20" ht="27" customHeight="1" x14ac:dyDescent="0.25">
      <c r="A3886" s="8" t="s">
        <v>7989</v>
      </c>
      <c r="B3886" s="9"/>
      <c r="C3886" s="9"/>
      <c r="D3886" s="8"/>
      <c r="E3886" s="8"/>
      <c r="F3886" s="8"/>
      <c r="G3886" s="10"/>
      <c r="H3886" s="8" t="s">
        <v>8031</v>
      </c>
      <c r="I3886" s="10" t="s">
        <v>8032</v>
      </c>
      <c r="J3886" s="11" t="s">
        <v>26</v>
      </c>
      <c r="K3886" s="18">
        <v>506</v>
      </c>
      <c r="L3886" s="12">
        <f>ROUNDUP(K3886*(1+P3886)/(1-Q3886),0)</f>
        <v>779</v>
      </c>
      <c r="M3886" s="8">
        <v>1</v>
      </c>
      <c r="N3886" s="8" t="s">
        <v>27</v>
      </c>
      <c r="O3886" s="13"/>
      <c r="P3886" s="14">
        <v>0</v>
      </c>
      <c r="Q3886" s="15">
        <v>0.35</v>
      </c>
      <c r="R3886" s="16" t="str">
        <f t="shared" si="322"/>
        <v>RUSSOUND</v>
      </c>
      <c r="S3886" s="17"/>
      <c r="T3886" s="10"/>
    </row>
    <row r="3887" spans="1:20" ht="27" customHeight="1" x14ac:dyDescent="0.25">
      <c r="A3887" s="8" t="s">
        <v>7989</v>
      </c>
      <c r="B3887" s="9"/>
      <c r="C3887" s="9"/>
      <c r="D3887" s="8"/>
      <c r="E3887" s="8"/>
      <c r="F3887" s="8"/>
      <c r="G3887" s="10"/>
      <c r="H3887" s="8" t="s">
        <v>8033</v>
      </c>
      <c r="I3887" s="10" t="s">
        <v>7841</v>
      </c>
      <c r="J3887" s="11" t="s">
        <v>26</v>
      </c>
      <c r="K3887" s="18">
        <v>189</v>
      </c>
      <c r="L3887" s="12">
        <f>IF(J3887="P",ROUNDUP(K3887/(1-Q3887),-2),K3887*(1+P3887)/(1-Q3887))</f>
        <v>283.49999999999994</v>
      </c>
      <c r="M3887" s="8">
        <v>1</v>
      </c>
      <c r="N3887" s="8" t="s">
        <v>27</v>
      </c>
      <c r="O3887" s="13">
        <f>F3887</f>
        <v>0</v>
      </c>
      <c r="P3887" s="14">
        <v>0.2</v>
      </c>
      <c r="Q3887" s="15">
        <v>0.2</v>
      </c>
      <c r="R3887" s="16" t="str">
        <f t="shared" ref="R3887:R3950" si="327">A3887</f>
        <v>RUSSOUND</v>
      </c>
      <c r="S3887" s="17"/>
      <c r="T3887" s="10"/>
    </row>
    <row r="3888" spans="1:20" ht="27" customHeight="1" x14ac:dyDescent="0.25">
      <c r="A3888" s="8" t="s">
        <v>7989</v>
      </c>
      <c r="B3888" s="9"/>
      <c r="C3888" s="9"/>
      <c r="D3888" s="8"/>
      <c r="E3888" s="8"/>
      <c r="F3888" s="8"/>
      <c r="G3888" s="10"/>
      <c r="H3888" s="8" t="s">
        <v>8008</v>
      </c>
      <c r="I3888" s="10" t="s">
        <v>3971</v>
      </c>
      <c r="J3888" s="11" t="s">
        <v>26</v>
      </c>
      <c r="K3888" s="18">
        <v>50</v>
      </c>
      <c r="L3888" s="12">
        <f>ROUNDUP(K3888*(1+P3888)/(1-Q3888),0)</f>
        <v>110</v>
      </c>
      <c r="M3888" s="8">
        <v>1</v>
      </c>
      <c r="N3888" s="8" t="s">
        <v>27</v>
      </c>
      <c r="O3888" s="13"/>
      <c r="P3888" s="14">
        <v>0.2</v>
      </c>
      <c r="Q3888" s="15">
        <v>0.45</v>
      </c>
      <c r="R3888" s="16" t="str">
        <f t="shared" si="327"/>
        <v>RUSSOUND</v>
      </c>
      <c r="S3888" s="17"/>
      <c r="T3888" s="10"/>
    </row>
    <row r="3889" spans="1:20" ht="27" customHeight="1" x14ac:dyDescent="0.25">
      <c r="A3889" s="8" t="s">
        <v>7989</v>
      </c>
      <c r="B3889" s="9"/>
      <c r="C3889" s="9"/>
      <c r="D3889" s="8"/>
      <c r="E3889" s="8"/>
      <c r="F3889" s="8"/>
      <c r="G3889" s="10"/>
      <c r="H3889" s="8" t="s">
        <v>8034</v>
      </c>
      <c r="I3889" s="10" t="s">
        <v>8035</v>
      </c>
      <c r="J3889" s="11" t="s">
        <v>26</v>
      </c>
      <c r="K3889" s="18">
        <f>96/2</f>
        <v>48</v>
      </c>
      <c r="L3889" s="12">
        <f t="shared" ref="L3889:L3912" si="328">IF(J3889="P",ROUNDUP(K3889/(1-Q3889),-2),K3889*(1+P3889)/(1-Q3889))</f>
        <v>80</v>
      </c>
      <c r="M3889" s="8">
        <v>1</v>
      </c>
      <c r="N3889" s="8" t="s">
        <v>27</v>
      </c>
      <c r="O3889" s="13" t="s">
        <v>588</v>
      </c>
      <c r="P3889" s="14">
        <v>0</v>
      </c>
      <c r="Q3889" s="15">
        <v>0.4</v>
      </c>
      <c r="R3889" s="16" t="str">
        <f t="shared" si="327"/>
        <v>RUSSOUND</v>
      </c>
      <c r="S3889" s="17"/>
      <c r="T3889" s="10"/>
    </row>
    <row r="3890" spans="1:20" ht="27" customHeight="1" x14ac:dyDescent="0.25">
      <c r="A3890" s="8" t="s">
        <v>8036</v>
      </c>
      <c r="B3890" s="9"/>
      <c r="C3890" s="9"/>
      <c r="D3890" s="8"/>
      <c r="E3890" s="8"/>
      <c r="F3890" s="8" t="s">
        <v>22</v>
      </c>
      <c r="G3890" s="10" t="s">
        <v>8037</v>
      </c>
      <c r="H3890" s="8" t="s">
        <v>8038</v>
      </c>
      <c r="I3890" s="10" t="s">
        <v>8037</v>
      </c>
      <c r="J3890" s="11" t="s">
        <v>33</v>
      </c>
      <c r="K3890" s="18">
        <v>429900</v>
      </c>
      <c r="L3890" s="12">
        <f t="shared" si="328"/>
        <v>573200</v>
      </c>
      <c r="M3890" s="8">
        <v>1</v>
      </c>
      <c r="N3890" s="8" t="s">
        <v>27</v>
      </c>
      <c r="O3890" s="13"/>
      <c r="P3890" s="14">
        <v>0.2</v>
      </c>
      <c r="Q3890" s="15">
        <v>0.25</v>
      </c>
      <c r="R3890" s="16" t="str">
        <f t="shared" si="327"/>
        <v>SAMSUNG</v>
      </c>
      <c r="S3890" s="17"/>
      <c r="T3890" s="10" t="str">
        <f t="shared" ref="T3890:T3914" si="329">G3890</f>
        <v>BLU-RAY 4K CON LECTOR DE VIDEO USB</v>
      </c>
    </row>
    <row r="3891" spans="1:20" ht="27" customHeight="1" x14ac:dyDescent="0.25">
      <c r="A3891" s="8" t="s">
        <v>8036</v>
      </c>
      <c r="B3891" s="9"/>
      <c r="C3891" s="9"/>
      <c r="D3891" s="8"/>
      <c r="E3891" s="8"/>
      <c r="F3891" s="8" t="s">
        <v>22</v>
      </c>
      <c r="G3891" s="10" t="s">
        <v>8039</v>
      </c>
      <c r="H3891" s="8" t="s">
        <v>8040</v>
      </c>
      <c r="I3891" s="10" t="s">
        <v>8039</v>
      </c>
      <c r="J3891" s="11" t="s">
        <v>33</v>
      </c>
      <c r="K3891" s="18">
        <v>2100000</v>
      </c>
      <c r="L3891" s="12">
        <f t="shared" si="328"/>
        <v>2625000</v>
      </c>
      <c r="M3891" s="8">
        <v>1</v>
      </c>
      <c r="N3891" s="8" t="s">
        <v>27</v>
      </c>
      <c r="O3891" s="13"/>
      <c r="P3891" s="14">
        <v>0.2</v>
      </c>
      <c r="Q3891" s="15">
        <v>0.2</v>
      </c>
      <c r="R3891" s="16" t="str">
        <f t="shared" si="327"/>
        <v>SAMSUNG</v>
      </c>
      <c r="S3891" s="17"/>
      <c r="T3891" s="10" t="str">
        <f t="shared" si="329"/>
        <v>TELEVISOR 4K DE 58", CON ENTRA DA USB Y HDMI. INCLUYE TDT.</v>
      </c>
    </row>
    <row r="3892" spans="1:20" ht="27" customHeight="1" x14ac:dyDescent="0.25">
      <c r="A3892" s="8" t="s">
        <v>8036</v>
      </c>
      <c r="B3892" s="9" t="s">
        <v>8041</v>
      </c>
      <c r="C3892" s="9"/>
      <c r="D3892" s="8" t="s">
        <v>8042</v>
      </c>
      <c r="E3892" s="8">
        <v>1</v>
      </c>
      <c r="F3892" s="8" t="s">
        <v>22</v>
      </c>
      <c r="G3892" s="10" t="s">
        <v>8043</v>
      </c>
      <c r="H3892" s="8" t="s">
        <v>8044</v>
      </c>
      <c r="I3892" s="10" t="s">
        <v>8045</v>
      </c>
      <c r="J3892" s="11" t="s">
        <v>26</v>
      </c>
      <c r="K3892" s="18">
        <v>320</v>
      </c>
      <c r="L3892" s="12">
        <f t="shared" si="328"/>
        <v>609.52380952380952</v>
      </c>
      <c r="M3892" s="8">
        <v>1</v>
      </c>
      <c r="N3892" s="8" t="s">
        <v>27</v>
      </c>
      <c r="O3892" s="13"/>
      <c r="P3892" s="14">
        <v>0.2</v>
      </c>
      <c r="Q3892" s="15">
        <v>0.37</v>
      </c>
      <c r="R3892" s="16" t="str">
        <f t="shared" si="327"/>
        <v>SAMSUNG</v>
      </c>
      <c r="S3892" s="17"/>
      <c r="T3892" s="10" t="str">
        <f t="shared" si="329"/>
        <v>CHAPA BIOMÉTRICA CON RECONOCIMIENTO DE HUELLA DIGITAL.</v>
      </c>
    </row>
    <row r="3893" spans="1:20" ht="27" customHeight="1" x14ac:dyDescent="0.25">
      <c r="A3893" s="8" t="s">
        <v>8036</v>
      </c>
      <c r="B3893" s="9" t="s">
        <v>8041</v>
      </c>
      <c r="C3893" s="9"/>
      <c r="D3893" s="8" t="s">
        <v>94</v>
      </c>
      <c r="E3893" s="8">
        <v>1</v>
      </c>
      <c r="F3893" s="8" t="s">
        <v>22</v>
      </c>
      <c r="G3893" s="10" t="s">
        <v>8046</v>
      </c>
      <c r="H3893" s="8" t="s">
        <v>8047</v>
      </c>
      <c r="I3893" s="10" t="s">
        <v>8046</v>
      </c>
      <c r="J3893" s="11" t="s">
        <v>33</v>
      </c>
      <c r="K3893" s="18">
        <v>3870000</v>
      </c>
      <c r="L3893" s="12">
        <f t="shared" si="328"/>
        <v>4553000</v>
      </c>
      <c r="M3893" s="8">
        <v>1</v>
      </c>
      <c r="N3893" s="8" t="s">
        <v>27</v>
      </c>
      <c r="O3893" s="13"/>
      <c r="P3893" s="14">
        <v>0.2</v>
      </c>
      <c r="Q3893" s="15">
        <v>0.15</v>
      </c>
      <c r="R3893" s="16" t="str">
        <f t="shared" si="327"/>
        <v>SAMSUNG</v>
      </c>
      <c r="S3893" s="17"/>
      <c r="T3893" s="10" t="str">
        <f t="shared" si="329"/>
        <v>MONITOR INDUSTRIAL DE 46", FHD 1920x1080. CONTROL RS-232. ENTRADA HDMI Y RGB.</v>
      </c>
    </row>
    <row r="3894" spans="1:20" ht="27" customHeight="1" x14ac:dyDescent="0.25">
      <c r="A3894" s="8" t="s">
        <v>8036</v>
      </c>
      <c r="B3894" s="9" t="s">
        <v>8041</v>
      </c>
      <c r="C3894" s="9"/>
      <c r="D3894" s="8"/>
      <c r="E3894" s="8"/>
      <c r="F3894" s="8" t="s">
        <v>22</v>
      </c>
      <c r="G3894" s="10" t="s">
        <v>8048</v>
      </c>
      <c r="H3894" s="8" t="s">
        <v>8049</v>
      </c>
      <c r="I3894" s="10" t="s">
        <v>8050</v>
      </c>
      <c r="J3894" s="11" t="s">
        <v>26</v>
      </c>
      <c r="K3894" s="18">
        <v>227.83</v>
      </c>
      <c r="L3894" s="12">
        <f t="shared" si="328"/>
        <v>433.9619047619048</v>
      </c>
      <c r="M3894" s="8">
        <v>1</v>
      </c>
      <c r="N3894" s="8" t="s">
        <v>27</v>
      </c>
      <c r="O3894" s="13"/>
      <c r="P3894" s="14">
        <v>0.2</v>
      </c>
      <c r="Q3894" s="15">
        <v>0.37</v>
      </c>
      <c r="R3894" s="16" t="str">
        <f t="shared" si="327"/>
        <v>SAMSUNG</v>
      </c>
      <c r="S3894" s="17"/>
      <c r="T3894" s="10" t="str">
        <f t="shared" si="329"/>
        <v>CERRADURA TOUCH SCREEN, ACEPTA 20 TARJETAS RFID Y UNA CLAVE.</v>
      </c>
    </row>
    <row r="3895" spans="1:20" ht="27" customHeight="1" x14ac:dyDescent="0.25">
      <c r="A3895" s="8" t="s">
        <v>8036</v>
      </c>
      <c r="B3895" s="9" t="s">
        <v>8041</v>
      </c>
      <c r="C3895" s="9"/>
      <c r="D3895" s="8"/>
      <c r="E3895" s="8">
        <v>5643</v>
      </c>
      <c r="F3895" s="8" t="s">
        <v>22</v>
      </c>
      <c r="G3895" s="10" t="s">
        <v>8048</v>
      </c>
      <c r="H3895" s="8" t="s">
        <v>8051</v>
      </c>
      <c r="I3895" s="10" t="s">
        <v>8052</v>
      </c>
      <c r="J3895" s="11" t="s">
        <v>26</v>
      </c>
      <c r="K3895" s="18">
        <v>225.78</v>
      </c>
      <c r="L3895" s="12">
        <f t="shared" si="328"/>
        <v>451.56</v>
      </c>
      <c r="M3895" s="8">
        <v>1</v>
      </c>
      <c r="N3895" s="8" t="s">
        <v>27</v>
      </c>
      <c r="O3895" s="13"/>
      <c r="P3895" s="14">
        <v>0.2</v>
      </c>
      <c r="Q3895" s="15">
        <v>0.4</v>
      </c>
      <c r="R3895" s="16" t="str">
        <f t="shared" si="327"/>
        <v>SAMSUNG</v>
      </c>
      <c r="S3895" s="17"/>
      <c r="T3895" s="10" t="str">
        <f t="shared" si="329"/>
        <v>CERRADURA TOUCH SCREEN, ACEPTA 20 TARJETAS RFID Y UNA CLAVE.</v>
      </c>
    </row>
    <row r="3896" spans="1:20" ht="27" customHeight="1" x14ac:dyDescent="0.25">
      <c r="A3896" s="8" t="s">
        <v>8036</v>
      </c>
      <c r="B3896" s="9" t="s">
        <v>8041</v>
      </c>
      <c r="C3896" s="9"/>
      <c r="D3896" s="8"/>
      <c r="E3896" s="8"/>
      <c r="F3896" s="8" t="s">
        <v>22</v>
      </c>
      <c r="G3896" s="10" t="s">
        <v>8053</v>
      </c>
      <c r="H3896" s="8" t="s">
        <v>8054</v>
      </c>
      <c r="I3896" s="10" t="s">
        <v>8055</v>
      </c>
      <c r="J3896" s="11" t="s">
        <v>33</v>
      </c>
      <c r="K3896" s="18">
        <v>1050000</v>
      </c>
      <c r="L3896" s="12">
        <f t="shared" si="328"/>
        <v>1500000</v>
      </c>
      <c r="M3896" s="8">
        <v>1</v>
      </c>
      <c r="N3896" s="8" t="s">
        <v>27</v>
      </c>
      <c r="O3896" s="13"/>
      <c r="P3896" s="14">
        <v>0.2</v>
      </c>
      <c r="Q3896" s="15">
        <v>0.3</v>
      </c>
      <c r="R3896" s="16" t="str">
        <f t="shared" si="327"/>
        <v>SAMSUNG</v>
      </c>
      <c r="S3896" s="17"/>
      <c r="T3896" s="10" t="str">
        <f t="shared" si="329"/>
        <v>CERRADURA TOUCH SCREEN CON LECTOR DE HUELLA.</v>
      </c>
    </row>
    <row r="3897" spans="1:20" ht="27" customHeight="1" x14ac:dyDescent="0.25">
      <c r="A3897" s="8" t="s">
        <v>8036</v>
      </c>
      <c r="B3897" s="9" t="s">
        <v>8041</v>
      </c>
      <c r="C3897" s="9"/>
      <c r="D3897" s="8"/>
      <c r="E3897" s="8"/>
      <c r="F3897" s="8" t="s">
        <v>22</v>
      </c>
      <c r="G3897" s="10" t="s">
        <v>8056</v>
      </c>
      <c r="H3897" s="8" t="s">
        <v>8057</v>
      </c>
      <c r="I3897" s="10" t="s">
        <v>8056</v>
      </c>
      <c r="J3897" s="11" t="s">
        <v>26</v>
      </c>
      <c r="K3897" s="18">
        <v>478</v>
      </c>
      <c r="L3897" s="12">
        <f t="shared" si="328"/>
        <v>717</v>
      </c>
      <c r="M3897" s="8">
        <v>1</v>
      </c>
      <c r="N3897" s="8" t="s">
        <v>27</v>
      </c>
      <c r="O3897" s="13"/>
      <c r="P3897" s="14">
        <v>0.2</v>
      </c>
      <c r="Q3897" s="15">
        <v>0.2</v>
      </c>
      <c r="R3897" s="16" t="str">
        <f t="shared" si="327"/>
        <v>SAMSUNG</v>
      </c>
      <c r="S3897" s="17"/>
      <c r="T3897" s="10" t="str">
        <f t="shared" si="329"/>
        <v xml:space="preserve">RESOLUCIÓN DE 1920X1080, CONTRASTE 5000:1, ENTRADA HDMI. </v>
      </c>
    </row>
    <row r="3898" spans="1:20" ht="27" customHeight="1" x14ac:dyDescent="0.25">
      <c r="A3898" s="8" t="s">
        <v>8036</v>
      </c>
      <c r="B3898" s="9" t="s">
        <v>8041</v>
      </c>
      <c r="C3898" s="9"/>
      <c r="D3898" s="8"/>
      <c r="E3898" s="8"/>
      <c r="F3898" s="8" t="s">
        <v>22</v>
      </c>
      <c r="G3898" s="10" t="s">
        <v>8058</v>
      </c>
      <c r="H3898" s="8" t="s">
        <v>8059</v>
      </c>
      <c r="I3898" s="10" t="s">
        <v>8060</v>
      </c>
      <c r="J3898" s="11" t="s">
        <v>33</v>
      </c>
      <c r="K3898" s="18">
        <v>4950000</v>
      </c>
      <c r="L3898" s="12">
        <f t="shared" si="328"/>
        <v>6187500</v>
      </c>
      <c r="M3898" s="8">
        <v>1</v>
      </c>
      <c r="N3898" s="8" t="s">
        <v>27</v>
      </c>
      <c r="O3898" s="13"/>
      <c r="P3898" s="14">
        <v>0.2</v>
      </c>
      <c r="Q3898" s="15">
        <v>0.2</v>
      </c>
      <c r="R3898" s="16" t="str">
        <f t="shared" si="327"/>
        <v>SAMSUNG</v>
      </c>
      <c r="S3898" s="17"/>
      <c r="T3898" s="10" t="str">
        <f t="shared" si="329"/>
        <v xml:space="preserve">PANEL LED DE 46", RESOLUCIÓN 1920X1080 (16:9), BRILLO 450NIT, CONTRASTE 3500:1.
</v>
      </c>
    </row>
    <row r="3899" spans="1:20" ht="27" customHeight="1" x14ac:dyDescent="0.25">
      <c r="A3899" s="8" t="s">
        <v>8036</v>
      </c>
      <c r="B3899" s="9" t="s">
        <v>8041</v>
      </c>
      <c r="C3899" s="9"/>
      <c r="D3899" s="8"/>
      <c r="E3899" s="8"/>
      <c r="F3899" s="8" t="s">
        <v>22</v>
      </c>
      <c r="G3899" s="10" t="s">
        <v>8058</v>
      </c>
      <c r="H3899" s="8" t="s">
        <v>8061</v>
      </c>
      <c r="I3899" s="10" t="s">
        <v>8062</v>
      </c>
      <c r="J3899" s="11" t="s">
        <v>33</v>
      </c>
      <c r="K3899" s="18">
        <v>8138355</v>
      </c>
      <c r="L3899" s="12">
        <f t="shared" si="328"/>
        <v>10173000</v>
      </c>
      <c r="M3899" s="8">
        <v>1</v>
      </c>
      <c r="N3899" s="8" t="s">
        <v>27</v>
      </c>
      <c r="O3899" s="13"/>
      <c r="P3899" s="14">
        <v>0.2</v>
      </c>
      <c r="Q3899" s="15">
        <v>0.2</v>
      </c>
      <c r="R3899" s="16" t="str">
        <f t="shared" si="327"/>
        <v>SAMSUNG</v>
      </c>
      <c r="S3899" s="17"/>
      <c r="T3899" s="10" t="str">
        <f t="shared" si="329"/>
        <v xml:space="preserve">PANEL LED DE 46", RESOLUCIÓN 1920X1080 (16:9), BRILLO 450NIT, CONTRASTE 3500:1.
</v>
      </c>
    </row>
    <row r="3900" spans="1:20" ht="27" customHeight="1" x14ac:dyDescent="0.25">
      <c r="A3900" s="8" t="s">
        <v>8036</v>
      </c>
      <c r="B3900" s="9" t="s">
        <v>8041</v>
      </c>
      <c r="C3900" s="9"/>
      <c r="D3900" s="8"/>
      <c r="E3900" s="8"/>
      <c r="F3900" s="8" t="s">
        <v>22</v>
      </c>
      <c r="G3900" s="10" t="s">
        <v>8058</v>
      </c>
      <c r="H3900" s="8" t="s">
        <v>8047</v>
      </c>
      <c r="I3900" s="10" t="s">
        <v>8063</v>
      </c>
      <c r="J3900" s="11" t="s">
        <v>33</v>
      </c>
      <c r="K3900" s="18">
        <v>4810660</v>
      </c>
      <c r="L3900" s="12">
        <f t="shared" si="328"/>
        <v>6013400</v>
      </c>
      <c r="M3900" s="8">
        <v>1</v>
      </c>
      <c r="N3900" s="8" t="s">
        <v>27</v>
      </c>
      <c r="O3900" s="13"/>
      <c r="P3900" s="14">
        <v>0.2</v>
      </c>
      <c r="Q3900" s="15">
        <v>0.2</v>
      </c>
      <c r="R3900" s="16" t="str">
        <f t="shared" si="327"/>
        <v>SAMSUNG</v>
      </c>
      <c r="S3900" s="17"/>
      <c r="T3900" s="10" t="str">
        <f t="shared" si="329"/>
        <v xml:space="preserve">PANEL LED DE 46", RESOLUCIÓN 1920X1080 (16:9), BRILLO 450NIT, CONTRASTE 3500:1.
</v>
      </c>
    </row>
    <row r="3901" spans="1:20" ht="27" customHeight="1" x14ac:dyDescent="0.25">
      <c r="A3901" s="8" t="s">
        <v>8036</v>
      </c>
      <c r="B3901" s="9" t="s">
        <v>8041</v>
      </c>
      <c r="C3901" s="9"/>
      <c r="D3901" s="8"/>
      <c r="E3901" s="8"/>
      <c r="F3901" s="8" t="s">
        <v>22</v>
      </c>
      <c r="G3901" s="10" t="s">
        <v>8064</v>
      </c>
      <c r="H3901" s="8" t="s">
        <v>8065</v>
      </c>
      <c r="I3901" s="10" t="s">
        <v>8064</v>
      </c>
      <c r="J3901" s="11" t="s">
        <v>26</v>
      </c>
      <c r="K3901" s="18">
        <v>334</v>
      </c>
      <c r="L3901" s="12">
        <f t="shared" si="328"/>
        <v>501</v>
      </c>
      <c r="M3901" s="8">
        <v>1</v>
      </c>
      <c r="N3901" s="8" t="s">
        <v>27</v>
      </c>
      <c r="O3901" s="13"/>
      <c r="P3901" s="14">
        <v>0.2</v>
      </c>
      <c r="Q3901" s="15">
        <v>0.2</v>
      </c>
      <c r="R3901" s="16" t="str">
        <f t="shared" si="327"/>
        <v>SAMSUNG</v>
      </c>
      <c r="S3901" s="17"/>
      <c r="T3901" s="10" t="str">
        <f t="shared" si="329"/>
        <v>SOPORTE DE VIDEO WALL CON AJUSTADOR. ESPECIAL PARA MONITORES SAMSUNG.</v>
      </c>
    </row>
    <row r="3902" spans="1:20" ht="27" customHeight="1" x14ac:dyDescent="0.25">
      <c r="A3902" s="8" t="s">
        <v>8036</v>
      </c>
      <c r="B3902" s="9" t="s">
        <v>8041</v>
      </c>
      <c r="C3902" s="9"/>
      <c r="D3902" s="8"/>
      <c r="E3902" s="8"/>
      <c r="F3902" s="8" t="s">
        <v>22</v>
      </c>
      <c r="G3902" s="10" t="s">
        <v>8064</v>
      </c>
      <c r="H3902" s="8" t="s">
        <v>8066</v>
      </c>
      <c r="I3902" s="10" t="s">
        <v>8064</v>
      </c>
      <c r="J3902" s="11" t="s">
        <v>26</v>
      </c>
      <c r="K3902" s="18">
        <v>252</v>
      </c>
      <c r="L3902" s="12">
        <f t="shared" si="328"/>
        <v>377.99999999999994</v>
      </c>
      <c r="M3902" s="8">
        <v>1</v>
      </c>
      <c r="N3902" s="8" t="s">
        <v>27</v>
      </c>
      <c r="O3902" s="13"/>
      <c r="P3902" s="14">
        <v>0.2</v>
      </c>
      <c r="Q3902" s="15">
        <v>0.2</v>
      </c>
      <c r="R3902" s="16" t="str">
        <f t="shared" si="327"/>
        <v>SAMSUNG</v>
      </c>
      <c r="S3902" s="17"/>
      <c r="T3902" s="10" t="str">
        <f t="shared" si="329"/>
        <v>SOPORTE DE VIDEO WALL CON AJUSTADOR. ESPECIAL PARA MONITORES SAMSUNG.</v>
      </c>
    </row>
    <row r="3903" spans="1:20" ht="27" customHeight="1" x14ac:dyDescent="0.25">
      <c r="A3903" s="8" t="s">
        <v>8036</v>
      </c>
      <c r="B3903" s="9" t="s">
        <v>8041</v>
      </c>
      <c r="C3903" s="9"/>
      <c r="D3903" s="8"/>
      <c r="E3903" s="8"/>
      <c r="F3903" s="8" t="s">
        <v>22</v>
      </c>
      <c r="G3903" s="10" t="s">
        <v>8067</v>
      </c>
      <c r="H3903" s="8" t="s">
        <v>8068</v>
      </c>
      <c r="I3903" s="10" t="s">
        <v>8069</v>
      </c>
      <c r="J3903" s="11" t="s">
        <v>33</v>
      </c>
      <c r="K3903" s="18">
        <v>12130000</v>
      </c>
      <c r="L3903" s="12">
        <f t="shared" si="328"/>
        <v>15162500</v>
      </c>
      <c r="M3903" s="8">
        <v>1</v>
      </c>
      <c r="N3903" s="8" t="s">
        <v>27</v>
      </c>
      <c r="O3903" s="13"/>
      <c r="P3903" s="14">
        <v>0.2</v>
      </c>
      <c r="Q3903" s="15">
        <v>0.2</v>
      </c>
      <c r="R3903" s="16" t="str">
        <f t="shared" si="327"/>
        <v>SAMSUNG</v>
      </c>
      <c r="S3903" s="17"/>
      <c r="T3903" s="10" t="str">
        <f t="shared" si="329"/>
        <v>MONITOR INDUSTRIAL PAR USO DE 16 HORAS, ENTRADAS DVI, HDMI Y USB.</v>
      </c>
    </row>
    <row r="3904" spans="1:20" ht="27" customHeight="1" x14ac:dyDescent="0.25">
      <c r="A3904" s="8" t="s">
        <v>8036</v>
      </c>
      <c r="B3904" s="9" t="s">
        <v>8041</v>
      </c>
      <c r="C3904" s="9"/>
      <c r="D3904" s="8"/>
      <c r="E3904" s="8"/>
      <c r="F3904" s="8" t="s">
        <v>22</v>
      </c>
      <c r="G3904" s="10" t="s">
        <v>8070</v>
      </c>
      <c r="H3904" s="8" t="s">
        <v>8071</v>
      </c>
      <c r="I3904" s="10" t="s">
        <v>8070</v>
      </c>
      <c r="J3904" s="11" t="s">
        <v>33</v>
      </c>
      <c r="K3904" s="18">
        <v>349900</v>
      </c>
      <c r="L3904" s="12">
        <f t="shared" si="328"/>
        <v>437400</v>
      </c>
      <c r="M3904" s="8">
        <v>1</v>
      </c>
      <c r="N3904" s="8" t="s">
        <v>27</v>
      </c>
      <c r="O3904" s="13"/>
      <c r="P3904" s="14">
        <v>0.2</v>
      </c>
      <c r="Q3904" s="15">
        <v>0.2</v>
      </c>
      <c r="R3904" s="16" t="str">
        <f t="shared" si="327"/>
        <v>SAMSUNG</v>
      </c>
      <c r="S3904" s="17"/>
      <c r="T3904" s="10" t="str">
        <f t="shared" si="329"/>
        <v>MINICOMPONENTE DE 20 VATIOS, ENTRADA USB Y REPRODUCTOR DE DISCO COMPACTO.</v>
      </c>
    </row>
    <row r="3905" spans="1:20" ht="27" customHeight="1" x14ac:dyDescent="0.25">
      <c r="A3905" s="8" t="s">
        <v>8036</v>
      </c>
      <c r="B3905" s="9" t="s">
        <v>8041</v>
      </c>
      <c r="C3905" s="9"/>
      <c r="D3905" s="8"/>
      <c r="E3905" s="8"/>
      <c r="F3905" s="8" t="s">
        <v>22</v>
      </c>
      <c r="G3905" s="10" t="s">
        <v>8072</v>
      </c>
      <c r="H3905" s="8" t="s">
        <v>8073</v>
      </c>
      <c r="I3905" s="10" t="s">
        <v>8072</v>
      </c>
      <c r="J3905" s="11" t="s">
        <v>33</v>
      </c>
      <c r="K3905" s="18">
        <v>161000</v>
      </c>
      <c r="L3905" s="12">
        <f t="shared" si="328"/>
        <v>247700</v>
      </c>
      <c r="M3905" s="8">
        <v>1</v>
      </c>
      <c r="N3905" s="8" t="s">
        <v>27</v>
      </c>
      <c r="O3905" s="13"/>
      <c r="P3905" s="14">
        <v>0.2</v>
      </c>
      <c r="Q3905" s="15">
        <v>0.35</v>
      </c>
      <c r="R3905" s="16" t="str">
        <f t="shared" si="327"/>
        <v>SAMSUNG</v>
      </c>
      <c r="S3905" s="17"/>
      <c r="T3905" s="10" t="str">
        <f t="shared" si="329"/>
        <v>CONTROL REMOTO SOLO PARA CERRADURAS DE INCRUSTAR</v>
      </c>
    </row>
    <row r="3906" spans="1:20" ht="27" customHeight="1" x14ac:dyDescent="0.25">
      <c r="A3906" s="8" t="s">
        <v>8036</v>
      </c>
      <c r="B3906" s="9" t="s">
        <v>8041</v>
      </c>
      <c r="C3906" s="9"/>
      <c r="D3906" s="8"/>
      <c r="E3906" s="8"/>
      <c r="F3906" s="8" t="s">
        <v>22</v>
      </c>
      <c r="G3906" s="10" t="s">
        <v>8074</v>
      </c>
      <c r="H3906" s="8" t="s">
        <v>8075</v>
      </c>
      <c r="I3906" s="10" t="s">
        <v>8074</v>
      </c>
      <c r="J3906" s="11" t="s">
        <v>33</v>
      </c>
      <c r="K3906" s="18">
        <v>95000</v>
      </c>
      <c r="L3906" s="12">
        <f t="shared" si="328"/>
        <v>141800</v>
      </c>
      <c r="M3906" s="8">
        <v>1</v>
      </c>
      <c r="N3906" s="8" t="s">
        <v>27</v>
      </c>
      <c r="O3906" s="13"/>
      <c r="P3906" s="14">
        <v>0.2</v>
      </c>
      <c r="Q3906" s="15">
        <v>0.33</v>
      </c>
      <c r="R3906" s="16" t="str">
        <f t="shared" si="327"/>
        <v>SAMSUNG</v>
      </c>
      <c r="S3906" s="17"/>
      <c r="T3906" s="10" t="str">
        <f t="shared" si="329"/>
        <v>MODULO INALÁMBRICO RECEPTOR SE INSTALA EN LA CERRADURA DE INCRUSTAR</v>
      </c>
    </row>
    <row r="3907" spans="1:20" ht="27" customHeight="1" x14ac:dyDescent="0.25">
      <c r="A3907" s="8" t="s">
        <v>8036</v>
      </c>
      <c r="B3907" s="9" t="s">
        <v>8041</v>
      </c>
      <c r="C3907" s="9"/>
      <c r="D3907" s="8"/>
      <c r="E3907" s="8"/>
      <c r="F3907" s="8" t="s">
        <v>22</v>
      </c>
      <c r="G3907" s="10" t="s">
        <v>8076</v>
      </c>
      <c r="H3907" s="8" t="s">
        <v>8077</v>
      </c>
      <c r="I3907" s="10" t="s">
        <v>8076</v>
      </c>
      <c r="J3907" s="11" t="s">
        <v>33</v>
      </c>
      <c r="K3907" s="18">
        <v>549000</v>
      </c>
      <c r="L3907" s="12">
        <f t="shared" si="328"/>
        <v>686300</v>
      </c>
      <c r="M3907" s="8">
        <v>1</v>
      </c>
      <c r="N3907" s="8" t="s">
        <v>27</v>
      </c>
      <c r="O3907" s="13"/>
      <c r="P3907" s="14">
        <v>0.2</v>
      </c>
      <c r="Q3907" s="15">
        <v>0.2</v>
      </c>
      <c r="R3907" s="16" t="str">
        <f t="shared" si="327"/>
        <v>SAMSUNG</v>
      </c>
      <c r="S3907" s="17"/>
      <c r="T3907" s="10" t="str">
        <f t="shared" si="329"/>
        <v>TEATRO EN CASA SAMSUNG.</v>
      </c>
    </row>
    <row r="3908" spans="1:20" ht="27" customHeight="1" x14ac:dyDescent="0.25">
      <c r="A3908" s="8" t="s">
        <v>8036</v>
      </c>
      <c r="B3908" s="9"/>
      <c r="C3908" s="9"/>
      <c r="D3908" s="8"/>
      <c r="E3908" s="8"/>
      <c r="F3908" s="8" t="s">
        <v>22</v>
      </c>
      <c r="G3908" s="10" t="s">
        <v>8078</v>
      </c>
      <c r="H3908" s="8" t="s">
        <v>8079</v>
      </c>
      <c r="I3908" s="10" t="s">
        <v>8080</v>
      </c>
      <c r="J3908" s="11" t="s">
        <v>33</v>
      </c>
      <c r="K3908" s="18">
        <v>590848</v>
      </c>
      <c r="L3908" s="12">
        <f t="shared" si="328"/>
        <v>881900</v>
      </c>
      <c r="M3908" s="8">
        <v>1</v>
      </c>
      <c r="N3908" s="8" t="s">
        <v>27</v>
      </c>
      <c r="O3908" s="13"/>
      <c r="P3908" s="14">
        <v>0.2</v>
      </c>
      <c r="Q3908" s="15">
        <v>0.33</v>
      </c>
      <c r="R3908" s="16" t="str">
        <f t="shared" si="327"/>
        <v>SAMSUNG</v>
      </c>
      <c r="S3908" s="17"/>
      <c r="T3908" s="10" t="str">
        <f t="shared" si="329"/>
        <v>CERRADURA TOUCH SCREEN, ACEPTA HASTA 70 USUARIOS.</v>
      </c>
    </row>
    <row r="3909" spans="1:20" ht="27" customHeight="1" x14ac:dyDescent="0.25">
      <c r="A3909" s="8" t="s">
        <v>8036</v>
      </c>
      <c r="B3909" s="9"/>
      <c r="C3909" s="9"/>
      <c r="D3909" s="8" t="s">
        <v>45</v>
      </c>
      <c r="E3909" s="8"/>
      <c r="F3909" s="8" t="s">
        <v>22</v>
      </c>
      <c r="G3909" s="10" t="s">
        <v>8081</v>
      </c>
      <c r="H3909" s="8" t="s">
        <v>8082</v>
      </c>
      <c r="I3909" s="10" t="s">
        <v>8083</v>
      </c>
      <c r="J3909" s="11" t="s">
        <v>33</v>
      </c>
      <c r="K3909" s="18">
        <v>2500000</v>
      </c>
      <c r="L3909" s="12">
        <f t="shared" si="328"/>
        <v>3571500</v>
      </c>
      <c r="M3909" s="8">
        <v>1</v>
      </c>
      <c r="N3909" s="8" t="s">
        <v>27</v>
      </c>
      <c r="O3909" s="13"/>
      <c r="P3909" s="14">
        <v>0</v>
      </c>
      <c r="Q3909" s="15">
        <v>0.3</v>
      </c>
      <c r="R3909" s="16" t="str">
        <f t="shared" si="327"/>
        <v>SAMSUNG</v>
      </c>
      <c r="S3909" s="17"/>
      <c r="T3909" s="10" t="str">
        <f t="shared" si="329"/>
        <v>TELEVISOR DE 65", RESOLUCIÓN 4K, AV, Puerto HDMI.</v>
      </c>
    </row>
    <row r="3910" spans="1:20" ht="27" customHeight="1" x14ac:dyDescent="0.25">
      <c r="A3910" s="8" t="s">
        <v>8036</v>
      </c>
      <c r="B3910" s="9"/>
      <c r="C3910" s="9"/>
      <c r="D3910" s="8" t="s">
        <v>45</v>
      </c>
      <c r="E3910" s="8"/>
      <c r="F3910" s="8" t="s">
        <v>22</v>
      </c>
      <c r="G3910" s="10" t="s">
        <v>8084</v>
      </c>
      <c r="H3910" s="8" t="s">
        <v>8085</v>
      </c>
      <c r="I3910" s="10" t="s">
        <v>8086</v>
      </c>
      <c r="J3910" s="11" t="s">
        <v>33</v>
      </c>
      <c r="K3910" s="18">
        <v>4000000</v>
      </c>
      <c r="L3910" s="12">
        <f t="shared" si="328"/>
        <v>5714300</v>
      </c>
      <c r="M3910" s="8">
        <v>1</v>
      </c>
      <c r="N3910" s="8" t="s">
        <v>27</v>
      </c>
      <c r="O3910" s="13"/>
      <c r="P3910" s="14">
        <v>0</v>
      </c>
      <c r="Q3910" s="15">
        <v>0.3</v>
      </c>
      <c r="R3910" s="16" t="str">
        <f t="shared" si="327"/>
        <v>SAMSUNG</v>
      </c>
      <c r="S3910" s="17"/>
      <c r="T3910" s="10" t="str">
        <f t="shared" si="329"/>
        <v>TELEVISOR DE 75", RESOLUCIÓN 4K, AV, Puerto HDMI.</v>
      </c>
    </row>
    <row r="3911" spans="1:20" ht="27" customHeight="1" x14ac:dyDescent="0.25">
      <c r="A3911" s="8" t="s">
        <v>8036</v>
      </c>
      <c r="B3911" s="9"/>
      <c r="C3911" s="9"/>
      <c r="D3911" s="8" t="s">
        <v>45</v>
      </c>
      <c r="E3911" s="8"/>
      <c r="F3911" s="8" t="s">
        <v>22</v>
      </c>
      <c r="G3911" s="10" t="s">
        <v>8087</v>
      </c>
      <c r="H3911" s="8" t="s">
        <v>8088</v>
      </c>
      <c r="I3911" s="10" t="s">
        <v>8089</v>
      </c>
      <c r="J3911" s="11" t="s">
        <v>33</v>
      </c>
      <c r="K3911" s="18">
        <v>1900000</v>
      </c>
      <c r="L3911" s="12">
        <f t="shared" si="328"/>
        <v>2714300</v>
      </c>
      <c r="M3911" s="8">
        <v>1</v>
      </c>
      <c r="N3911" s="8" t="s">
        <v>27</v>
      </c>
      <c r="O3911" s="13"/>
      <c r="P3911" s="14">
        <v>0</v>
      </c>
      <c r="Q3911" s="15">
        <v>0.3</v>
      </c>
      <c r="R3911" s="16" t="str">
        <f t="shared" si="327"/>
        <v>SAMSUNG</v>
      </c>
      <c r="S3911" s="17"/>
      <c r="T3911" s="10" t="str">
        <f t="shared" si="329"/>
        <v>TELEVISOR DE 55", RESOLUCIÓN 4K, AV, Puerto HDMI.</v>
      </c>
    </row>
    <row r="3912" spans="1:20" ht="27" customHeight="1" x14ac:dyDescent="0.25">
      <c r="A3912" s="8" t="s">
        <v>8036</v>
      </c>
      <c r="B3912" s="9"/>
      <c r="C3912" s="9"/>
      <c r="D3912" s="8" t="s">
        <v>45</v>
      </c>
      <c r="E3912" s="8"/>
      <c r="F3912" s="8" t="s">
        <v>22</v>
      </c>
      <c r="G3912" s="10" t="s">
        <v>8090</v>
      </c>
      <c r="H3912" s="8" t="s">
        <v>8091</v>
      </c>
      <c r="I3912" s="10" t="s">
        <v>8092</v>
      </c>
      <c r="J3912" s="11" t="s">
        <v>33</v>
      </c>
      <c r="K3912" s="18">
        <v>1799900</v>
      </c>
      <c r="L3912" s="12">
        <f t="shared" si="328"/>
        <v>2249900</v>
      </c>
      <c r="M3912" s="8">
        <v>1</v>
      </c>
      <c r="N3912" s="8" t="s">
        <v>27</v>
      </c>
      <c r="O3912" s="13"/>
      <c r="P3912" s="14">
        <v>0</v>
      </c>
      <c r="Q3912" s="15">
        <v>0.2</v>
      </c>
      <c r="R3912" s="16" t="str">
        <f t="shared" si="327"/>
        <v>SAMSUNG</v>
      </c>
      <c r="S3912" s="17"/>
      <c r="T3912" s="10" t="str">
        <f t="shared" si="329"/>
        <v>TELEVISOR DE 58", RESOLUCIÓN 4K, AV, Puerto HDMI.</v>
      </c>
    </row>
    <row r="3913" spans="1:20" ht="27" customHeight="1" x14ac:dyDescent="0.25">
      <c r="A3913" s="8" t="s">
        <v>8036</v>
      </c>
      <c r="B3913" s="9"/>
      <c r="C3913" s="9"/>
      <c r="D3913" s="8" t="s">
        <v>45</v>
      </c>
      <c r="E3913" s="8"/>
      <c r="F3913" s="8" t="s">
        <v>22</v>
      </c>
      <c r="G3913" s="10" t="s">
        <v>8093</v>
      </c>
      <c r="H3913" s="8" t="s">
        <v>8094</v>
      </c>
      <c r="I3913" s="10" t="s">
        <v>8093</v>
      </c>
      <c r="J3913" s="11" t="s">
        <v>26</v>
      </c>
      <c r="K3913" s="18">
        <v>15</v>
      </c>
      <c r="L3913" s="12">
        <f>K3913*(1+P3913)/(1-Q3913)</f>
        <v>25</v>
      </c>
      <c r="M3913" s="8">
        <v>1</v>
      </c>
      <c r="N3913" s="8" t="s">
        <v>27</v>
      </c>
      <c r="O3913" s="13"/>
      <c r="P3913" s="14">
        <v>0</v>
      </c>
      <c r="Q3913" s="15">
        <v>0.4</v>
      </c>
      <c r="R3913" s="16" t="str">
        <f t="shared" si="327"/>
        <v>SAMSUNG</v>
      </c>
      <c r="S3913" s="17"/>
      <c r="T3913" s="10" t="str">
        <f t="shared" si="329"/>
        <v>LICENCIA DE MAGIC INFO</v>
      </c>
    </row>
    <row r="3914" spans="1:20" ht="27" customHeight="1" x14ac:dyDescent="0.25">
      <c r="A3914" s="8" t="s">
        <v>8036</v>
      </c>
      <c r="B3914" s="9"/>
      <c r="C3914" s="9"/>
      <c r="D3914" s="8" t="s">
        <v>45</v>
      </c>
      <c r="E3914" s="8"/>
      <c r="F3914" s="8" t="s">
        <v>22</v>
      </c>
      <c r="G3914" s="10" t="str">
        <f>B3914&amp;"-"&amp;D3914&amp;"-"&amp;E3914&amp;F3914</f>
        <v>-PROG_-BLANCO</v>
      </c>
      <c r="H3914" s="8" t="s">
        <v>8095</v>
      </c>
      <c r="I3914" s="10" t="s">
        <v>8096</v>
      </c>
      <c r="J3914" s="11" t="s">
        <v>33</v>
      </c>
      <c r="K3914" s="18">
        <v>12500000</v>
      </c>
      <c r="L3914" s="12">
        <f>K3914*(1+P3914)/(1-Q3914)</f>
        <v>17857142.857142858</v>
      </c>
      <c r="M3914" s="8">
        <v>1</v>
      </c>
      <c r="N3914" s="8" t="s">
        <v>27</v>
      </c>
      <c r="O3914" s="13"/>
      <c r="P3914" s="14">
        <v>0</v>
      </c>
      <c r="Q3914" s="15">
        <v>0.3</v>
      </c>
      <c r="R3914" s="16" t="str">
        <f t="shared" si="327"/>
        <v>SAMSUNG</v>
      </c>
      <c r="S3914" s="17"/>
      <c r="T3914" s="10" t="str">
        <f t="shared" si="329"/>
        <v>-PROG_-BLANCO</v>
      </c>
    </row>
    <row r="3915" spans="1:20" ht="27" customHeight="1" x14ac:dyDescent="0.25">
      <c r="A3915" s="8" t="s">
        <v>8036</v>
      </c>
      <c r="B3915" s="9"/>
      <c r="C3915" s="9"/>
      <c r="D3915" s="8"/>
      <c r="E3915" s="8"/>
      <c r="F3915" s="8"/>
      <c r="G3915" s="10"/>
      <c r="H3915" s="8" t="s">
        <v>8097</v>
      </c>
      <c r="I3915" s="10" t="s">
        <v>8098</v>
      </c>
      <c r="J3915" s="11" t="s">
        <v>33</v>
      </c>
      <c r="K3915" s="18">
        <v>4900000</v>
      </c>
      <c r="L3915" s="12">
        <f>K3915*(1+P3915)/(1-Q3915)</f>
        <v>6125000</v>
      </c>
      <c r="M3915" s="8">
        <v>1</v>
      </c>
      <c r="N3915" s="8" t="s">
        <v>27</v>
      </c>
      <c r="O3915" s="13"/>
      <c r="P3915" s="14">
        <v>0</v>
      </c>
      <c r="Q3915" s="15">
        <v>0.2</v>
      </c>
      <c r="R3915" s="16" t="str">
        <f t="shared" si="327"/>
        <v>SAMSUNG</v>
      </c>
      <c r="S3915" s="17"/>
      <c r="T3915" s="10"/>
    </row>
    <row r="3916" spans="1:20" ht="27" customHeight="1" x14ac:dyDescent="0.25">
      <c r="A3916" s="8" t="s">
        <v>8036</v>
      </c>
      <c r="B3916" s="9"/>
      <c r="C3916" s="9"/>
      <c r="D3916" s="8"/>
      <c r="E3916" s="8"/>
      <c r="F3916" s="8"/>
      <c r="G3916" s="10"/>
      <c r="H3916" s="8" t="s">
        <v>8099</v>
      </c>
      <c r="I3916" s="10" t="s">
        <v>8100</v>
      </c>
      <c r="J3916" s="11" t="s">
        <v>33</v>
      </c>
      <c r="K3916" s="18">
        <v>3600000</v>
      </c>
      <c r="L3916" s="12">
        <f>IF(J3916="P",ROUNDUP(K3916/(1-Q3916),-2),K3916*(1+P3916)/(1-Q3916))</f>
        <v>4045000</v>
      </c>
      <c r="M3916" s="8">
        <v>1</v>
      </c>
      <c r="N3916" s="8" t="s">
        <v>110</v>
      </c>
      <c r="O3916" s="13"/>
      <c r="P3916" s="14">
        <v>0</v>
      </c>
      <c r="Q3916" s="15">
        <v>0.11</v>
      </c>
      <c r="R3916" s="16" t="str">
        <f t="shared" si="327"/>
        <v>SAMSUNG</v>
      </c>
      <c r="S3916" s="17"/>
      <c r="T3916" s="10"/>
    </row>
    <row r="3917" spans="1:20" ht="27" customHeight="1" x14ac:dyDescent="0.25">
      <c r="A3917" s="8" t="s">
        <v>8036</v>
      </c>
      <c r="B3917" s="9"/>
      <c r="C3917" s="9"/>
      <c r="D3917" s="8"/>
      <c r="E3917" s="8"/>
      <c r="F3917" s="8"/>
      <c r="G3917" s="10"/>
      <c r="H3917" s="8" t="s">
        <v>8101</v>
      </c>
      <c r="I3917" s="10" t="s">
        <v>8102</v>
      </c>
      <c r="J3917" s="11" t="s">
        <v>33</v>
      </c>
      <c r="K3917" s="18">
        <v>800000</v>
      </c>
      <c r="L3917" s="12">
        <f>IF(J3917="P",ROUNDUP(K3917/(1-Q3917),-2),K3917*(1+P3917)/(1-Q3917))</f>
        <v>888900</v>
      </c>
      <c r="M3917" s="8">
        <v>1</v>
      </c>
      <c r="N3917" s="8" t="s">
        <v>27</v>
      </c>
      <c r="O3917" s="13"/>
      <c r="P3917" s="14">
        <v>0</v>
      </c>
      <c r="Q3917" s="15">
        <v>0.1</v>
      </c>
      <c r="R3917" s="16" t="str">
        <f t="shared" si="327"/>
        <v>SAMSUNG</v>
      </c>
      <c r="S3917" s="17"/>
      <c r="T3917" s="10"/>
    </row>
    <row r="3918" spans="1:20" ht="27" customHeight="1" x14ac:dyDescent="0.25">
      <c r="A3918" s="8" t="s">
        <v>8103</v>
      </c>
      <c r="B3918" s="9"/>
      <c r="C3918" s="9"/>
      <c r="D3918" s="8"/>
      <c r="E3918" s="8"/>
      <c r="F3918" s="8" t="s">
        <v>22</v>
      </c>
      <c r="G3918" s="10" t="s">
        <v>8104</v>
      </c>
      <c r="H3918" s="8" t="s">
        <v>8105</v>
      </c>
      <c r="I3918" s="10" t="s">
        <v>8104</v>
      </c>
      <c r="J3918" s="11" t="s">
        <v>33</v>
      </c>
      <c r="K3918" s="18">
        <v>3058000</v>
      </c>
      <c r="L3918" s="12">
        <f>IF(J3918="P",ROUNDUP(K3918/(1-Q3918),-2),K3918*(1+P3918)/(1-Q3918))</f>
        <v>5096700</v>
      </c>
      <c r="M3918" s="8">
        <v>1</v>
      </c>
      <c r="N3918" s="8" t="s">
        <v>27</v>
      </c>
      <c r="O3918" s="13"/>
      <c r="P3918" s="14">
        <v>0</v>
      </c>
      <c r="Q3918" s="15">
        <v>0.4</v>
      </c>
      <c r="R3918" s="16" t="str">
        <f t="shared" si="327"/>
        <v>SAMSUNG-LG</v>
      </c>
      <c r="S3918" s="17"/>
      <c r="T3918" s="10" t="str">
        <f>G3918</f>
        <v>MONITOR 4K DE 500 NIT, ENTRADAS DVI, HDMI Y USB.</v>
      </c>
    </row>
    <row r="3919" spans="1:20" ht="27" customHeight="1" x14ac:dyDescent="0.25">
      <c r="A3919" s="8" t="s">
        <v>8106</v>
      </c>
      <c r="B3919" s="9"/>
      <c r="C3919" s="9"/>
      <c r="D3919" s="8"/>
      <c r="E3919" s="8"/>
      <c r="F3919" s="8" t="s">
        <v>22</v>
      </c>
      <c r="G3919" s="10" t="s">
        <v>8107</v>
      </c>
      <c r="H3919" s="8" t="s">
        <v>8108</v>
      </c>
      <c r="I3919" s="10" t="s">
        <v>8107</v>
      </c>
      <c r="J3919" s="11" t="s">
        <v>33</v>
      </c>
      <c r="K3919" s="18">
        <v>40000</v>
      </c>
      <c r="L3919" s="12">
        <f>IF(J3919="P",ROUNDUP(K3919/(1-Q3919),-2),K3919*(1+P3919)/(1-Q3919))</f>
        <v>57200</v>
      </c>
      <c r="M3919" s="8">
        <v>1</v>
      </c>
      <c r="N3919" s="8" t="s">
        <v>27</v>
      </c>
      <c r="O3919" s="13"/>
      <c r="P3919" s="14">
        <v>0.2</v>
      </c>
      <c r="Q3919" s="15">
        <v>0.3</v>
      </c>
      <c r="R3919" s="16" t="str">
        <f t="shared" si="327"/>
        <v>SASSIM</v>
      </c>
      <c r="S3919" s="17"/>
      <c r="T3919" s="10" t="str">
        <f>G3919</f>
        <v>CONTACTOR DE 25 AMPERIOS CON BOBINA A 220VAC.</v>
      </c>
    </row>
    <row r="3920" spans="1:20" ht="27" customHeight="1" x14ac:dyDescent="0.25">
      <c r="A3920" s="8" t="s">
        <v>8109</v>
      </c>
      <c r="B3920" s="9"/>
      <c r="C3920" s="9"/>
      <c r="D3920" s="8" t="s">
        <v>45</v>
      </c>
      <c r="E3920" s="8"/>
      <c r="F3920" s="8" t="s">
        <v>22</v>
      </c>
      <c r="G3920" s="10" t="s">
        <v>8110</v>
      </c>
      <c r="H3920" s="8" t="s">
        <v>8111</v>
      </c>
      <c r="I3920" s="10" t="s">
        <v>8110</v>
      </c>
      <c r="J3920" s="11" t="s">
        <v>33</v>
      </c>
      <c r="K3920" s="18">
        <v>1090000</v>
      </c>
      <c r="L3920" s="12">
        <f>ROUNDUP(K3920*(1+P3920)/(1-Q3920),0)</f>
        <v>1816667</v>
      </c>
      <c r="M3920" s="8">
        <v>1</v>
      </c>
      <c r="N3920" s="8" t="s">
        <v>27</v>
      </c>
      <c r="O3920" s="13"/>
      <c r="P3920" s="14">
        <v>0</v>
      </c>
      <c r="Q3920" s="15">
        <v>0.4</v>
      </c>
      <c r="R3920" s="16" t="str">
        <f t="shared" si="327"/>
        <v>SAT</v>
      </c>
      <c r="S3920" s="17"/>
      <c r="T3920" s="10" t="str">
        <f>G3920</f>
        <v>IMPRESORA DE TRANSFERENCIA TÉRMICA</v>
      </c>
    </row>
    <row r="3921" spans="1:28" ht="27" customHeight="1" x14ac:dyDescent="0.25">
      <c r="A3921" s="8" t="s">
        <v>8109</v>
      </c>
      <c r="B3921" s="9"/>
      <c r="C3921" s="9"/>
      <c r="D3921" s="8"/>
      <c r="E3921" s="8"/>
      <c r="F3921" s="8"/>
      <c r="G3921" s="10"/>
      <c r="H3921" s="8" t="s">
        <v>8112</v>
      </c>
      <c r="I3921" s="10" t="s">
        <v>8113</v>
      </c>
      <c r="J3921" s="11" t="s">
        <v>33</v>
      </c>
      <c r="K3921" s="18">
        <v>1620000</v>
      </c>
      <c r="L3921" s="12">
        <f t="shared" ref="L3921:L3940" si="330">IF(J3921="P",ROUNDUP(K3921/(1-Q3921),-2),K3921*(1+P3921)/(1-Q3921))</f>
        <v>2700000</v>
      </c>
      <c r="M3921" s="8">
        <v>1</v>
      </c>
      <c r="N3921" s="8" t="s">
        <v>27</v>
      </c>
      <c r="O3921" s="13"/>
      <c r="P3921" s="14">
        <v>0</v>
      </c>
      <c r="Q3921" s="15">
        <v>0.4</v>
      </c>
      <c r="R3921" s="16" t="str">
        <f t="shared" si="327"/>
        <v>SAT</v>
      </c>
      <c r="S3921" s="17"/>
      <c r="T3921" s="10"/>
    </row>
    <row r="3922" spans="1:28" ht="27" customHeight="1" x14ac:dyDescent="0.25">
      <c r="A3922" s="8" t="s">
        <v>8109</v>
      </c>
      <c r="B3922" s="9"/>
      <c r="C3922" s="9"/>
      <c r="D3922" s="8"/>
      <c r="E3922" s="8"/>
      <c r="F3922" s="8"/>
      <c r="G3922" s="10"/>
      <c r="H3922" s="8" t="s">
        <v>8114</v>
      </c>
      <c r="I3922" s="10" t="s">
        <v>8115</v>
      </c>
      <c r="J3922" s="11" t="s">
        <v>33</v>
      </c>
      <c r="K3922" s="18">
        <v>350000</v>
      </c>
      <c r="L3922" s="12">
        <f t="shared" si="330"/>
        <v>583400</v>
      </c>
      <c r="M3922" s="8">
        <v>1</v>
      </c>
      <c r="N3922" s="8" t="s">
        <v>27</v>
      </c>
      <c r="O3922" s="13"/>
      <c r="P3922" s="14">
        <v>0</v>
      </c>
      <c r="Q3922" s="15">
        <v>0.4</v>
      </c>
      <c r="R3922" s="16" t="str">
        <f t="shared" si="327"/>
        <v>SAT</v>
      </c>
      <c r="S3922" s="17"/>
      <c r="T3922" s="10"/>
    </row>
    <row r="3923" spans="1:28" ht="27" customHeight="1" x14ac:dyDescent="0.25">
      <c r="A3923" s="8" t="s">
        <v>8116</v>
      </c>
      <c r="B3923" s="9"/>
      <c r="C3923" s="9"/>
      <c r="D3923" s="8"/>
      <c r="E3923" s="8"/>
      <c r="F3923" s="8" t="s">
        <v>22</v>
      </c>
      <c r="G3923" s="10" t="s">
        <v>8117</v>
      </c>
      <c r="H3923" s="8" t="s">
        <v>8118</v>
      </c>
      <c r="I3923" s="10" t="s">
        <v>8117</v>
      </c>
      <c r="J3923" s="11" t="s">
        <v>33</v>
      </c>
      <c r="K3923" s="18">
        <v>15970</v>
      </c>
      <c r="L3923" s="12">
        <f t="shared" si="330"/>
        <v>22900</v>
      </c>
      <c r="M3923" s="8">
        <v>1</v>
      </c>
      <c r="N3923" s="8" t="s">
        <v>27</v>
      </c>
      <c r="O3923" s="13"/>
      <c r="P3923" s="14">
        <v>0.2</v>
      </c>
      <c r="Q3923" s="15">
        <v>0.3</v>
      </c>
      <c r="R3923" s="16" t="str">
        <f t="shared" si="327"/>
        <v>SCHNEIDER</v>
      </c>
      <c r="S3923" s="17"/>
      <c r="T3923" s="10" t="str">
        <f t="shared" ref="T3923:T3945" si="331">G3923</f>
        <v>CAJA ELÉCTRICA DE PASO 15X15X10CM.</v>
      </c>
      <c r="AB3923" s="112">
        <v>1</v>
      </c>
    </row>
    <row r="3924" spans="1:28" ht="27" customHeight="1" x14ac:dyDescent="0.25">
      <c r="A3924" s="8" t="s">
        <v>8116</v>
      </c>
      <c r="B3924" s="9"/>
      <c r="C3924" s="9"/>
      <c r="D3924" s="8"/>
      <c r="E3924" s="8"/>
      <c r="F3924" s="8" t="s">
        <v>22</v>
      </c>
      <c r="G3924" s="10" t="s">
        <v>8119</v>
      </c>
      <c r="H3924" s="8" t="s">
        <v>8120</v>
      </c>
      <c r="I3924" s="10" t="s">
        <v>8119</v>
      </c>
      <c r="J3924" s="11" t="s">
        <v>33</v>
      </c>
      <c r="K3924" s="18">
        <v>32400</v>
      </c>
      <c r="L3924" s="12">
        <f t="shared" si="330"/>
        <v>46300</v>
      </c>
      <c r="M3924" s="8">
        <v>1</v>
      </c>
      <c r="N3924" s="8" t="s">
        <v>27</v>
      </c>
      <c r="O3924" s="13"/>
      <c r="P3924" s="14">
        <v>0.2</v>
      </c>
      <c r="Q3924" s="15">
        <v>0.3</v>
      </c>
      <c r="R3924" s="16" t="str">
        <f t="shared" si="327"/>
        <v>SCHNEIDER</v>
      </c>
      <c r="S3924" s="17"/>
      <c r="T3924" s="10" t="str">
        <f t="shared" si="331"/>
        <v>BREAKER TRIFÁSICO DE 63 AMPERIOS, CURVA DE DISPARO CLASE C.</v>
      </c>
    </row>
    <row r="3925" spans="1:28" ht="27" customHeight="1" x14ac:dyDescent="0.25">
      <c r="A3925" s="8" t="s">
        <v>8116</v>
      </c>
      <c r="B3925" s="9"/>
      <c r="C3925" s="9"/>
      <c r="D3925" s="8"/>
      <c r="E3925" s="8"/>
      <c r="F3925" s="8" t="s">
        <v>22</v>
      </c>
      <c r="G3925" s="10" t="s">
        <v>8121</v>
      </c>
      <c r="H3925" s="8" t="s">
        <v>8122</v>
      </c>
      <c r="I3925" s="10" t="s">
        <v>8121</v>
      </c>
      <c r="J3925" s="11" t="s">
        <v>33</v>
      </c>
      <c r="K3925" s="18">
        <v>22000</v>
      </c>
      <c r="L3925" s="12">
        <f t="shared" si="330"/>
        <v>31500</v>
      </c>
      <c r="M3925" s="8">
        <v>1</v>
      </c>
      <c r="N3925" s="8" t="s">
        <v>27</v>
      </c>
      <c r="O3925" s="13"/>
      <c r="P3925" s="14">
        <v>0.2</v>
      </c>
      <c r="Q3925" s="15">
        <v>0.3</v>
      </c>
      <c r="R3925" s="16" t="str">
        <f t="shared" si="327"/>
        <v>SCHNEIDER</v>
      </c>
      <c r="S3925" s="17"/>
      <c r="T3925" s="10" t="str">
        <f t="shared" si="331"/>
        <v>BREAKER BIPOLAR DE 63 AMPERIOS</v>
      </c>
    </row>
    <row r="3926" spans="1:28" ht="27" customHeight="1" x14ac:dyDescent="0.25">
      <c r="A3926" s="8" t="s">
        <v>8116</v>
      </c>
      <c r="B3926" s="9"/>
      <c r="C3926" s="9"/>
      <c r="D3926" s="8"/>
      <c r="E3926" s="8"/>
      <c r="F3926" s="8" t="s">
        <v>22</v>
      </c>
      <c r="G3926" s="10" t="s">
        <v>8123</v>
      </c>
      <c r="H3926" s="8" t="s">
        <v>8124</v>
      </c>
      <c r="I3926" s="10" t="s">
        <v>8123</v>
      </c>
      <c r="J3926" s="11" t="s">
        <v>33</v>
      </c>
      <c r="K3926" s="18">
        <v>18000</v>
      </c>
      <c r="L3926" s="12">
        <f t="shared" si="330"/>
        <v>25800</v>
      </c>
      <c r="M3926" s="8">
        <v>1</v>
      </c>
      <c r="N3926" s="8" t="s">
        <v>27</v>
      </c>
      <c r="O3926" s="13"/>
      <c r="P3926" s="14">
        <v>0.2</v>
      </c>
      <c r="Q3926" s="15">
        <v>0.3</v>
      </c>
      <c r="R3926" s="16" t="str">
        <f t="shared" si="327"/>
        <v>SCHNEIDER</v>
      </c>
      <c r="S3926" s="17"/>
      <c r="T3926" s="10" t="str">
        <f t="shared" si="331"/>
        <v>TABLERO ELÉCTRICO PARA 6 CIRCUITOS</v>
      </c>
    </row>
    <row r="3927" spans="1:28" ht="27" customHeight="1" x14ac:dyDescent="0.25">
      <c r="A3927" s="8" t="s">
        <v>8116</v>
      </c>
      <c r="B3927" s="9"/>
      <c r="C3927" s="9"/>
      <c r="D3927" s="8"/>
      <c r="E3927" s="8"/>
      <c r="F3927" s="8" t="s">
        <v>22</v>
      </c>
      <c r="G3927" s="10" t="s">
        <v>8125</v>
      </c>
      <c r="H3927" s="8" t="s">
        <v>8126</v>
      </c>
      <c r="I3927" s="10" t="s">
        <v>8125</v>
      </c>
      <c r="J3927" s="11" t="s">
        <v>33</v>
      </c>
      <c r="K3927" s="18">
        <v>53000</v>
      </c>
      <c r="L3927" s="12">
        <f t="shared" si="330"/>
        <v>75800</v>
      </c>
      <c r="M3927" s="8">
        <v>1</v>
      </c>
      <c r="N3927" s="8" t="s">
        <v>27</v>
      </c>
      <c r="O3927" s="13"/>
      <c r="P3927" s="14">
        <v>0.2</v>
      </c>
      <c r="Q3927" s="15">
        <v>0.3</v>
      </c>
      <c r="R3927" s="16" t="str">
        <f t="shared" si="327"/>
        <v>SCHNEIDER</v>
      </c>
      <c r="S3927" s="17"/>
      <c r="T3927" s="10" t="str">
        <f t="shared" si="331"/>
        <v>PACHA DE CORTE TRIPOLAR DE 32 AMPERIOS</v>
      </c>
    </row>
    <row r="3928" spans="1:28" ht="27" customHeight="1" x14ac:dyDescent="0.25">
      <c r="A3928" s="8" t="s">
        <v>8116</v>
      </c>
      <c r="B3928" s="9"/>
      <c r="C3928" s="9"/>
      <c r="D3928" s="8"/>
      <c r="E3928" s="8"/>
      <c r="F3928" s="8" t="s">
        <v>22</v>
      </c>
      <c r="G3928" s="10" t="s">
        <v>8127</v>
      </c>
      <c r="H3928" s="8" t="s">
        <v>8128</v>
      </c>
      <c r="I3928" s="10" t="s">
        <v>8127</v>
      </c>
      <c r="J3928" s="11" t="s">
        <v>33</v>
      </c>
      <c r="K3928" s="18">
        <v>15000</v>
      </c>
      <c r="L3928" s="12">
        <f t="shared" si="330"/>
        <v>21500</v>
      </c>
      <c r="M3928" s="8">
        <v>1</v>
      </c>
      <c r="N3928" s="8" t="s">
        <v>27</v>
      </c>
      <c r="O3928" s="13"/>
      <c r="P3928" s="14">
        <v>0.2</v>
      </c>
      <c r="Q3928" s="15">
        <v>0.3</v>
      </c>
      <c r="R3928" s="16" t="str">
        <f t="shared" si="327"/>
        <v>SCHNEIDER</v>
      </c>
      <c r="S3928" s="17"/>
      <c r="T3928" s="10" t="str">
        <f t="shared" si="331"/>
        <v>BREAKER DE CORTE DE 32A</v>
      </c>
    </row>
    <row r="3929" spans="1:28" ht="27" customHeight="1" x14ac:dyDescent="0.25">
      <c r="A3929" s="8" t="s">
        <v>8116</v>
      </c>
      <c r="B3929" s="9"/>
      <c r="C3929" s="9"/>
      <c r="D3929" s="8"/>
      <c r="E3929" s="8"/>
      <c r="F3929" s="8" t="s">
        <v>22</v>
      </c>
      <c r="G3929" s="10" t="s">
        <v>8129</v>
      </c>
      <c r="H3929" s="8" t="s">
        <v>8130</v>
      </c>
      <c r="I3929" s="10" t="s">
        <v>8129</v>
      </c>
      <c r="J3929" s="11" t="s">
        <v>33</v>
      </c>
      <c r="K3929" s="18">
        <v>30000</v>
      </c>
      <c r="L3929" s="12">
        <f t="shared" si="330"/>
        <v>42900</v>
      </c>
      <c r="M3929" s="8">
        <v>1</v>
      </c>
      <c r="N3929" s="8" t="s">
        <v>27</v>
      </c>
      <c r="O3929" s="13"/>
      <c r="P3929" s="14">
        <v>0.2</v>
      </c>
      <c r="Q3929" s="15">
        <v>0.3</v>
      </c>
      <c r="R3929" s="16" t="str">
        <f t="shared" si="327"/>
        <v>SCHNEIDER</v>
      </c>
      <c r="S3929" s="17"/>
      <c r="T3929" s="10" t="str">
        <f t="shared" si="331"/>
        <v>BREAKER DE CORTE DE 63 AMPERIOS</v>
      </c>
    </row>
    <row r="3930" spans="1:28" ht="27" customHeight="1" x14ac:dyDescent="0.25">
      <c r="A3930" s="8" t="s">
        <v>8116</v>
      </c>
      <c r="B3930" s="9"/>
      <c r="C3930" s="9"/>
      <c r="D3930" s="8"/>
      <c r="E3930" s="8"/>
      <c r="F3930" s="8" t="s">
        <v>22</v>
      </c>
      <c r="G3930" s="10" t="s">
        <v>8131</v>
      </c>
      <c r="H3930" s="8" t="s">
        <v>8132</v>
      </c>
      <c r="I3930" s="10" t="s">
        <v>8131</v>
      </c>
      <c r="J3930" s="11" t="s">
        <v>33</v>
      </c>
      <c r="K3930" s="18">
        <v>260635.06438982461</v>
      </c>
      <c r="L3930" s="12">
        <f t="shared" si="330"/>
        <v>372400</v>
      </c>
      <c r="M3930" s="8">
        <v>1</v>
      </c>
      <c r="N3930" s="8" t="s">
        <v>27</v>
      </c>
      <c r="O3930" s="13"/>
      <c r="P3930" s="14">
        <v>0.2</v>
      </c>
      <c r="Q3930" s="15">
        <v>0.3</v>
      </c>
      <c r="R3930" s="16" t="str">
        <f t="shared" si="327"/>
        <v>SCHNEIDER</v>
      </c>
      <c r="S3930" s="17"/>
      <c r="T3930" s="10" t="str">
        <f t="shared" si="331"/>
        <v>TOTALIZADOR DE 150 AMPERIOS</v>
      </c>
    </row>
    <row r="3931" spans="1:28" ht="27" customHeight="1" x14ac:dyDescent="0.25">
      <c r="A3931" s="8" t="s">
        <v>8116</v>
      </c>
      <c r="B3931" s="9"/>
      <c r="C3931" s="9"/>
      <c r="D3931" s="8"/>
      <c r="E3931" s="8"/>
      <c r="F3931" s="8" t="s">
        <v>22</v>
      </c>
      <c r="G3931" s="10" t="s">
        <v>8133</v>
      </c>
      <c r="H3931" s="8" t="s">
        <v>8134</v>
      </c>
      <c r="I3931" s="10" t="s">
        <v>8133</v>
      </c>
      <c r="J3931" s="11" t="s">
        <v>33</v>
      </c>
      <c r="K3931" s="18">
        <v>48997.072702393052</v>
      </c>
      <c r="L3931" s="12">
        <f t="shared" si="330"/>
        <v>70000</v>
      </c>
      <c r="M3931" s="8">
        <v>1</v>
      </c>
      <c r="N3931" s="8" t="s">
        <v>27</v>
      </c>
      <c r="O3931" s="13"/>
      <c r="P3931" s="14">
        <v>0.2</v>
      </c>
      <c r="Q3931" s="15">
        <v>0.3</v>
      </c>
      <c r="R3931" s="16" t="str">
        <f t="shared" si="327"/>
        <v>SCHNEIDER</v>
      </c>
      <c r="S3931" s="17"/>
      <c r="T3931" s="10" t="str">
        <f t="shared" si="331"/>
        <v>BREAKER DE 3X40 AMPERIOS</v>
      </c>
    </row>
    <row r="3932" spans="1:28" ht="27" customHeight="1" x14ac:dyDescent="0.25">
      <c r="A3932" s="8" t="s">
        <v>8116</v>
      </c>
      <c r="B3932" s="9"/>
      <c r="C3932" s="9"/>
      <c r="D3932" s="8"/>
      <c r="E3932" s="8"/>
      <c r="F3932" s="8" t="s">
        <v>22</v>
      </c>
      <c r="G3932" s="10" t="s">
        <v>8135</v>
      </c>
      <c r="H3932" s="8" t="s">
        <v>8136</v>
      </c>
      <c r="I3932" s="10" t="s">
        <v>8135</v>
      </c>
      <c r="J3932" s="11" t="s">
        <v>33</v>
      </c>
      <c r="K3932" s="18">
        <v>19807.073848897329</v>
      </c>
      <c r="L3932" s="12">
        <f t="shared" si="330"/>
        <v>28300</v>
      </c>
      <c r="M3932" s="8">
        <v>1</v>
      </c>
      <c r="N3932" s="8" t="s">
        <v>27</v>
      </c>
      <c r="O3932" s="13"/>
      <c r="P3932" s="14">
        <v>0.2</v>
      </c>
      <c r="Q3932" s="15">
        <v>0.3</v>
      </c>
      <c r="R3932" s="16" t="str">
        <f t="shared" si="327"/>
        <v>SCHNEIDER</v>
      </c>
      <c r="S3932" s="17"/>
      <c r="T3932" s="10" t="str">
        <f t="shared" si="331"/>
        <v>BREAKER RIEL DE 40 AMPERIOS</v>
      </c>
    </row>
    <row r="3933" spans="1:28" ht="27" customHeight="1" x14ac:dyDescent="0.25">
      <c r="A3933" s="8" t="s">
        <v>8116</v>
      </c>
      <c r="B3933" s="9"/>
      <c r="C3933" s="9"/>
      <c r="D3933" s="8"/>
      <c r="E3933" s="8"/>
      <c r="F3933" s="8" t="s">
        <v>22</v>
      </c>
      <c r="G3933" s="10" t="s">
        <v>8137</v>
      </c>
      <c r="H3933" s="8" t="s">
        <v>8138</v>
      </c>
      <c r="I3933" s="10" t="s">
        <v>8137</v>
      </c>
      <c r="J3933" s="11" t="s">
        <v>33</v>
      </c>
      <c r="K3933" s="18">
        <v>156373.51624613049</v>
      </c>
      <c r="L3933" s="12">
        <f t="shared" si="330"/>
        <v>223400</v>
      </c>
      <c r="M3933" s="8">
        <v>1</v>
      </c>
      <c r="N3933" s="8" t="s">
        <v>27</v>
      </c>
      <c r="O3933" s="13"/>
      <c r="P3933" s="14">
        <v>0.2</v>
      </c>
      <c r="Q3933" s="15">
        <v>0.3</v>
      </c>
      <c r="R3933" s="16" t="str">
        <f t="shared" si="327"/>
        <v>SCHNEIDER</v>
      </c>
      <c r="S3933" s="17"/>
      <c r="T3933" s="10" t="str">
        <f t="shared" si="331"/>
        <v>COFRE TIPO GABINETE CERTIFICADO DE 1.2x0.8x.3M</v>
      </c>
    </row>
    <row r="3934" spans="1:28" ht="27" customHeight="1" x14ac:dyDescent="0.25">
      <c r="A3934" s="8" t="s">
        <v>8116</v>
      </c>
      <c r="B3934" s="9" t="s">
        <v>8139</v>
      </c>
      <c r="C3934" s="9"/>
      <c r="D3934" s="8"/>
      <c r="E3934" s="8">
        <v>1</v>
      </c>
      <c r="F3934" s="8" t="s">
        <v>22</v>
      </c>
      <c r="G3934" s="10" t="s">
        <v>8140</v>
      </c>
      <c r="H3934" s="8" t="s">
        <v>8141</v>
      </c>
      <c r="I3934" s="10" t="s">
        <v>8140</v>
      </c>
      <c r="J3934" s="11" t="s">
        <v>33</v>
      </c>
      <c r="K3934" s="18">
        <v>15179</v>
      </c>
      <c r="L3934" s="12">
        <f t="shared" si="330"/>
        <v>25300</v>
      </c>
      <c r="M3934" s="8">
        <v>1</v>
      </c>
      <c r="N3934" s="8" t="s">
        <v>27</v>
      </c>
      <c r="O3934" s="13"/>
      <c r="P3934" s="14">
        <v>0.2</v>
      </c>
      <c r="Q3934" s="15">
        <v>0.4</v>
      </c>
      <c r="R3934" s="16" t="str">
        <f t="shared" si="327"/>
        <v>SCHNEIDER</v>
      </c>
      <c r="S3934" s="17"/>
      <c r="T3934" s="10" t="str">
        <f t="shared" si="331"/>
        <v>BREAKER  TERMOMAG IC60N 1P 10A ACTI9</v>
      </c>
    </row>
    <row r="3935" spans="1:28" ht="27" customHeight="1" x14ac:dyDescent="0.25">
      <c r="A3935" s="8" t="s">
        <v>8116</v>
      </c>
      <c r="B3935" s="9" t="s">
        <v>8139</v>
      </c>
      <c r="C3935" s="9"/>
      <c r="D3935" s="8"/>
      <c r="E3935" s="8">
        <v>2</v>
      </c>
      <c r="F3935" s="8" t="s">
        <v>22</v>
      </c>
      <c r="G3935" s="10" t="s">
        <v>8142</v>
      </c>
      <c r="H3935" s="8" t="s">
        <v>8143</v>
      </c>
      <c r="I3935" s="10" t="s">
        <v>8142</v>
      </c>
      <c r="J3935" s="11" t="s">
        <v>33</v>
      </c>
      <c r="K3935" s="18">
        <v>15179</v>
      </c>
      <c r="L3935" s="12">
        <f t="shared" si="330"/>
        <v>25300</v>
      </c>
      <c r="M3935" s="8">
        <v>1</v>
      </c>
      <c r="N3935" s="8" t="s">
        <v>27</v>
      </c>
      <c r="O3935" s="13"/>
      <c r="P3935" s="14">
        <v>0.2</v>
      </c>
      <c r="Q3935" s="15">
        <v>0.4</v>
      </c>
      <c r="R3935" s="16" t="str">
        <f t="shared" si="327"/>
        <v>SCHNEIDER</v>
      </c>
      <c r="S3935" s="17"/>
      <c r="T3935" s="10" t="str">
        <f t="shared" si="331"/>
        <v>BREAKER  1X6AMP.IC60N SCHNEIDER</v>
      </c>
    </row>
    <row r="3936" spans="1:28" ht="27" customHeight="1" x14ac:dyDescent="0.25">
      <c r="A3936" s="8" t="s">
        <v>8116</v>
      </c>
      <c r="B3936" s="9" t="s">
        <v>8139</v>
      </c>
      <c r="C3936" s="9"/>
      <c r="D3936" s="8"/>
      <c r="E3936" s="8">
        <v>3</v>
      </c>
      <c r="F3936" s="8" t="s">
        <v>22</v>
      </c>
      <c r="G3936" s="10" t="s">
        <v>8144</v>
      </c>
      <c r="H3936" s="8" t="s">
        <v>8145</v>
      </c>
      <c r="I3936" s="10" t="s">
        <v>8144</v>
      </c>
      <c r="J3936" s="11" t="s">
        <v>33</v>
      </c>
      <c r="K3936" s="18">
        <v>26578</v>
      </c>
      <c r="L3936" s="12">
        <f t="shared" si="330"/>
        <v>44300</v>
      </c>
      <c r="M3936" s="8">
        <v>1</v>
      </c>
      <c r="N3936" s="8" t="s">
        <v>27</v>
      </c>
      <c r="O3936" s="13"/>
      <c r="P3936" s="14">
        <v>0.2</v>
      </c>
      <c r="Q3936" s="15">
        <v>0.4</v>
      </c>
      <c r="R3936" s="16" t="str">
        <f t="shared" si="327"/>
        <v>SCHNEIDER</v>
      </c>
      <c r="S3936" s="17"/>
      <c r="T3936" s="10" t="str">
        <f t="shared" si="331"/>
        <v>BREAKER  RIEL 2P-6A IC60 SCHNEIDER</v>
      </c>
    </row>
    <row r="3937" spans="1:20" ht="27" customHeight="1" x14ac:dyDescent="0.25">
      <c r="A3937" s="8" t="s">
        <v>8116</v>
      </c>
      <c r="B3937" s="9" t="s">
        <v>8139</v>
      </c>
      <c r="C3937" s="9"/>
      <c r="D3937" s="8"/>
      <c r="E3937" s="8">
        <v>4</v>
      </c>
      <c r="F3937" s="8" t="s">
        <v>22</v>
      </c>
      <c r="G3937" s="10" t="s">
        <v>8146</v>
      </c>
      <c r="H3937" s="8" t="s">
        <v>8147</v>
      </c>
      <c r="I3937" s="10" t="s">
        <v>8146</v>
      </c>
      <c r="J3937" s="11" t="s">
        <v>33</v>
      </c>
      <c r="K3937" s="18">
        <v>24252</v>
      </c>
      <c r="L3937" s="12">
        <f t="shared" si="330"/>
        <v>40500</v>
      </c>
      <c r="M3937" s="8">
        <v>1</v>
      </c>
      <c r="N3937" s="8" t="s">
        <v>27</v>
      </c>
      <c r="O3937" s="13"/>
      <c r="P3937" s="14">
        <v>0.2</v>
      </c>
      <c r="Q3937" s="15">
        <v>0.4</v>
      </c>
      <c r="R3937" s="16" t="str">
        <f t="shared" si="327"/>
        <v>SCHNEIDER</v>
      </c>
      <c r="S3937" s="17"/>
      <c r="T3937" s="10" t="str">
        <f t="shared" si="331"/>
        <v>BREAKER  RIEL MONOP.1X2 AMP AC</v>
      </c>
    </row>
    <row r="3938" spans="1:20" ht="27" customHeight="1" x14ac:dyDescent="0.25">
      <c r="A3938" s="8" t="s">
        <v>8116</v>
      </c>
      <c r="B3938" s="9" t="s">
        <v>8139</v>
      </c>
      <c r="C3938" s="9"/>
      <c r="D3938" s="8"/>
      <c r="E3938" s="8">
        <v>5</v>
      </c>
      <c r="F3938" s="8" t="s">
        <v>22</v>
      </c>
      <c r="G3938" s="10" t="s">
        <v>8148</v>
      </c>
      <c r="H3938" s="8" t="s">
        <v>8149</v>
      </c>
      <c r="I3938" s="10" t="s">
        <v>8148</v>
      </c>
      <c r="J3938" s="11" t="s">
        <v>33</v>
      </c>
      <c r="K3938" s="18">
        <v>24252</v>
      </c>
      <c r="L3938" s="12">
        <f t="shared" si="330"/>
        <v>40500</v>
      </c>
      <c r="M3938" s="8">
        <v>1</v>
      </c>
      <c r="N3938" s="8" t="s">
        <v>27</v>
      </c>
      <c r="O3938" s="13"/>
      <c r="P3938" s="14">
        <v>0.2</v>
      </c>
      <c r="Q3938" s="15">
        <v>0.4</v>
      </c>
      <c r="R3938" s="16" t="str">
        <f t="shared" si="327"/>
        <v>SCHNEIDER</v>
      </c>
      <c r="S3938" s="17"/>
      <c r="T3938" s="10" t="str">
        <f t="shared" si="331"/>
        <v>BREAKER  RIEL 1X3A IC60N</v>
      </c>
    </row>
    <row r="3939" spans="1:20" ht="27" customHeight="1" x14ac:dyDescent="0.25">
      <c r="A3939" s="8" t="s">
        <v>8116</v>
      </c>
      <c r="B3939" s="9" t="s">
        <v>8139</v>
      </c>
      <c r="C3939" s="9"/>
      <c r="D3939" s="8"/>
      <c r="E3939" s="8">
        <v>6</v>
      </c>
      <c r="F3939" s="8" t="s">
        <v>22</v>
      </c>
      <c r="G3939" s="10" t="s">
        <v>8150</v>
      </c>
      <c r="H3939" s="8" t="s">
        <v>8151</v>
      </c>
      <c r="I3939" s="10" t="s">
        <v>8150</v>
      </c>
      <c r="J3939" s="11" t="s">
        <v>33</v>
      </c>
      <c r="K3939" s="18">
        <v>11181</v>
      </c>
      <c r="L3939" s="12">
        <f t="shared" si="330"/>
        <v>18700</v>
      </c>
      <c r="M3939" s="8">
        <v>1</v>
      </c>
      <c r="N3939" s="8" t="s">
        <v>27</v>
      </c>
      <c r="O3939" s="13"/>
      <c r="P3939" s="14">
        <v>0.2</v>
      </c>
      <c r="Q3939" s="15">
        <v>0.4</v>
      </c>
      <c r="R3939" s="16" t="str">
        <f t="shared" si="327"/>
        <v>SCHNEIDER</v>
      </c>
      <c r="S3939" s="17"/>
      <c r="T3939" s="10" t="str">
        <f t="shared" si="331"/>
        <v>BREAKER   RIEL 1X16AM IC60N SCHNEIDER</v>
      </c>
    </row>
    <row r="3940" spans="1:20" ht="27" customHeight="1" x14ac:dyDescent="0.25">
      <c r="A3940" s="8" t="s">
        <v>8116</v>
      </c>
      <c r="B3940" s="9" t="s">
        <v>8139</v>
      </c>
      <c r="C3940" s="9"/>
      <c r="D3940" s="8"/>
      <c r="E3940" s="8">
        <v>7</v>
      </c>
      <c r="F3940" s="8" t="s">
        <v>22</v>
      </c>
      <c r="G3940" s="10" t="s">
        <v>8152</v>
      </c>
      <c r="H3940" s="8" t="s">
        <v>8153</v>
      </c>
      <c r="I3940" s="10" t="s">
        <v>8152</v>
      </c>
      <c r="J3940" s="11" t="s">
        <v>33</v>
      </c>
      <c r="K3940" s="18">
        <v>142588</v>
      </c>
      <c r="L3940" s="12">
        <f t="shared" si="330"/>
        <v>237700</v>
      </c>
      <c r="M3940" s="8">
        <v>1</v>
      </c>
      <c r="N3940" s="8" t="s">
        <v>27</v>
      </c>
      <c r="O3940" s="13"/>
      <c r="P3940" s="14">
        <v>0.2</v>
      </c>
      <c r="Q3940" s="15">
        <v>0.4</v>
      </c>
      <c r="R3940" s="16" t="str">
        <f t="shared" si="327"/>
        <v>SCHNEIDER</v>
      </c>
      <c r="S3940" s="17"/>
      <c r="T3940" s="10" t="str">
        <f t="shared" si="331"/>
        <v>INTER. AUTOMAT.  C60H-DC 2P 6A C 500Vdc</v>
      </c>
    </row>
    <row r="3941" spans="1:20" ht="27" customHeight="1" x14ac:dyDescent="0.25">
      <c r="A3941" s="8" t="s">
        <v>8116</v>
      </c>
      <c r="B3941" s="9"/>
      <c r="C3941" s="9"/>
      <c r="D3941" s="8" t="s">
        <v>45</v>
      </c>
      <c r="E3941" s="8"/>
      <c r="F3941" s="8" t="s">
        <v>22</v>
      </c>
      <c r="G3941" s="10" t="s">
        <v>8154</v>
      </c>
      <c r="H3941" s="8" t="s">
        <v>8155</v>
      </c>
      <c r="I3941" s="10" t="s">
        <v>8154</v>
      </c>
      <c r="J3941" s="11" t="s">
        <v>33</v>
      </c>
      <c r="K3941" s="18">
        <v>51900</v>
      </c>
      <c r="L3941" s="12">
        <f>ROUNDUP(K3941*(1+P3941)/(1-Q3941),0)</f>
        <v>86500</v>
      </c>
      <c r="M3941" s="8">
        <v>1</v>
      </c>
      <c r="N3941" s="8" t="s">
        <v>27</v>
      </c>
      <c r="O3941" s="13"/>
      <c r="P3941" s="14">
        <v>0</v>
      </c>
      <c r="Q3941" s="15">
        <v>0.4</v>
      </c>
      <c r="R3941" s="16" t="str">
        <f t="shared" si="327"/>
        <v>SCHNEIDER</v>
      </c>
      <c r="S3941" s="17"/>
      <c r="T3941" s="10" t="str">
        <f t="shared" si="331"/>
        <v>BREAKER ENCHUFABLE DE 2 X 20 AMPERIOS.</v>
      </c>
    </row>
    <row r="3942" spans="1:20" ht="27" customHeight="1" x14ac:dyDescent="0.25">
      <c r="A3942" s="8" t="s">
        <v>8116</v>
      </c>
      <c r="B3942" s="9"/>
      <c r="C3942" s="9"/>
      <c r="D3942" s="8"/>
      <c r="E3942" s="8"/>
      <c r="F3942" s="8" t="s">
        <v>22</v>
      </c>
      <c r="G3942" s="10" t="s">
        <v>8156</v>
      </c>
      <c r="H3942" s="8" t="s">
        <v>8157</v>
      </c>
      <c r="I3942" s="10" t="s">
        <v>8156</v>
      </c>
      <c r="J3942" s="11" t="s">
        <v>33</v>
      </c>
      <c r="K3942" s="18">
        <v>25000</v>
      </c>
      <c r="L3942" s="12">
        <f t="shared" ref="L3942:L3947" si="332">IF(J3942="P",ROUNDUP(K3942/(1-Q3942),-2),K3942*(1+P3942)/(1-Q3942))</f>
        <v>35800</v>
      </c>
      <c r="M3942" s="8">
        <v>1</v>
      </c>
      <c r="N3942" s="8" t="s">
        <v>27</v>
      </c>
      <c r="O3942" s="13"/>
      <c r="P3942" s="14">
        <v>0.2</v>
      </c>
      <c r="Q3942" s="15">
        <v>0.3</v>
      </c>
      <c r="R3942" s="16" t="str">
        <f t="shared" si="327"/>
        <v>SCHNEIDER</v>
      </c>
      <c r="S3942" s="17"/>
      <c r="T3942" s="10" t="str">
        <f t="shared" si="331"/>
        <v>BREAKER ENCHUFABLE DE 2 X 60 AMPERIOS.</v>
      </c>
    </row>
    <row r="3943" spans="1:20" ht="27" customHeight="1" x14ac:dyDescent="0.25">
      <c r="A3943" s="8" t="s">
        <v>8116</v>
      </c>
      <c r="B3943" s="9"/>
      <c r="C3943" s="9"/>
      <c r="D3943" s="8"/>
      <c r="E3943" s="8"/>
      <c r="F3943" s="8" t="s">
        <v>22</v>
      </c>
      <c r="G3943" s="10" t="s">
        <v>8158</v>
      </c>
      <c r="H3943" s="8" t="s">
        <v>8159</v>
      </c>
      <c r="I3943" s="10" t="s">
        <v>8158</v>
      </c>
      <c r="J3943" s="11" t="s">
        <v>33</v>
      </c>
      <c r="K3943" s="18">
        <v>63025</v>
      </c>
      <c r="L3943" s="12">
        <f t="shared" si="332"/>
        <v>126100</v>
      </c>
      <c r="M3943" s="8">
        <v>1</v>
      </c>
      <c r="N3943" s="8" t="s">
        <v>27</v>
      </c>
      <c r="O3943" s="13"/>
      <c r="P3943" s="14">
        <v>0</v>
      </c>
      <c r="Q3943" s="15">
        <v>0.5</v>
      </c>
      <c r="R3943" s="16" t="str">
        <f t="shared" si="327"/>
        <v>SCHNEIDER</v>
      </c>
      <c r="S3943" s="17"/>
      <c r="T3943" s="10" t="str">
        <f t="shared" si="331"/>
        <v>TOTALIZADOR DE 100 AMPERIOS</v>
      </c>
    </row>
    <row r="3944" spans="1:20" ht="27" customHeight="1" x14ac:dyDescent="0.25">
      <c r="A3944" s="8" t="s">
        <v>8116</v>
      </c>
      <c r="B3944" s="9"/>
      <c r="C3944" s="9"/>
      <c r="D3944" s="8"/>
      <c r="E3944" s="8"/>
      <c r="F3944" s="8" t="s">
        <v>22</v>
      </c>
      <c r="G3944" s="10" t="s">
        <v>8154</v>
      </c>
      <c r="H3944" s="8" t="s">
        <v>8155</v>
      </c>
      <c r="I3944" s="10" t="s">
        <v>8154</v>
      </c>
      <c r="J3944" s="11" t="s">
        <v>33</v>
      </c>
      <c r="K3944" s="18">
        <v>41000</v>
      </c>
      <c r="L3944" s="12">
        <f t="shared" si="332"/>
        <v>58600</v>
      </c>
      <c r="M3944" s="8">
        <v>1</v>
      </c>
      <c r="N3944" s="8" t="s">
        <v>27</v>
      </c>
      <c r="O3944" s="13"/>
      <c r="P3944" s="14">
        <v>0.2</v>
      </c>
      <c r="Q3944" s="15">
        <v>0.3</v>
      </c>
      <c r="R3944" s="16" t="str">
        <f t="shared" si="327"/>
        <v>SCHNEIDER</v>
      </c>
      <c r="S3944" s="17"/>
      <c r="T3944" s="10" t="str">
        <f t="shared" si="331"/>
        <v>BREAKER ENCHUFABLE DE 2 X 20 AMPERIOS.</v>
      </c>
    </row>
    <row r="3945" spans="1:20" ht="27" customHeight="1" x14ac:dyDescent="0.25">
      <c r="A3945" s="8" t="s">
        <v>8116</v>
      </c>
      <c r="B3945" s="9"/>
      <c r="C3945" s="9"/>
      <c r="D3945" s="8" t="s">
        <v>45</v>
      </c>
      <c r="E3945" s="8"/>
      <c r="F3945" s="8" t="s">
        <v>22</v>
      </c>
      <c r="G3945" s="10" t="s">
        <v>8160</v>
      </c>
      <c r="H3945" s="8" t="s">
        <v>8161</v>
      </c>
      <c r="I3945" s="10" t="s">
        <v>8160</v>
      </c>
      <c r="J3945" s="11" t="s">
        <v>33</v>
      </c>
      <c r="K3945" s="18">
        <v>3100</v>
      </c>
      <c r="L3945" s="12">
        <f t="shared" si="332"/>
        <v>7800</v>
      </c>
      <c r="M3945" s="8">
        <v>1</v>
      </c>
      <c r="N3945" s="8" t="s">
        <v>27</v>
      </c>
      <c r="O3945" s="13"/>
      <c r="P3945" s="14">
        <v>0</v>
      </c>
      <c r="Q3945" s="15">
        <v>0.6</v>
      </c>
      <c r="R3945" s="16" t="str">
        <f t="shared" si="327"/>
        <v>SCHNEIDER</v>
      </c>
      <c r="S3945" s="17"/>
      <c r="T3945" s="10" t="str">
        <f t="shared" si="331"/>
        <v>TOMA CORRIENTE DOBLE EN COLOR BLANCO</v>
      </c>
    </row>
    <row r="3946" spans="1:20" ht="27" customHeight="1" x14ac:dyDescent="0.25">
      <c r="A3946" s="8" t="s">
        <v>8116</v>
      </c>
      <c r="B3946" s="9"/>
      <c r="C3946" s="9"/>
      <c r="D3946" s="8"/>
      <c r="E3946" s="8"/>
      <c r="F3946" s="8"/>
      <c r="G3946" s="10"/>
      <c r="H3946" s="8" t="s">
        <v>8162</v>
      </c>
      <c r="I3946" s="10" t="s">
        <v>8163</v>
      </c>
      <c r="J3946" s="11" t="s">
        <v>33</v>
      </c>
      <c r="K3946" s="18">
        <v>184900</v>
      </c>
      <c r="L3946" s="12">
        <f t="shared" si="332"/>
        <v>264200</v>
      </c>
      <c r="M3946" s="8">
        <v>1</v>
      </c>
      <c r="N3946" s="8" t="s">
        <v>27</v>
      </c>
      <c r="O3946" s="13"/>
      <c r="P3946" s="14">
        <v>0</v>
      </c>
      <c r="Q3946" s="15">
        <v>0.3</v>
      </c>
      <c r="R3946" s="16" t="str">
        <f t="shared" si="327"/>
        <v>SCHNEIDER</v>
      </c>
      <c r="S3946" s="17"/>
      <c r="T3946" s="10"/>
    </row>
    <row r="3947" spans="1:20" ht="27" customHeight="1" x14ac:dyDescent="0.25">
      <c r="A3947" s="8" t="s">
        <v>8164</v>
      </c>
      <c r="B3947" s="9"/>
      <c r="C3947" s="9"/>
      <c r="D3947" s="8"/>
      <c r="E3947" s="8"/>
      <c r="F3947" s="8" t="s">
        <v>22</v>
      </c>
      <c r="G3947" s="10" t="s">
        <v>8165</v>
      </c>
      <c r="H3947" s="8" t="s">
        <v>8166</v>
      </c>
      <c r="I3947" s="10" t="s">
        <v>8167</v>
      </c>
      <c r="J3947" s="11" t="s">
        <v>26</v>
      </c>
      <c r="K3947" s="18">
        <v>75</v>
      </c>
      <c r="L3947" s="12">
        <f t="shared" si="332"/>
        <v>107.14285714285715</v>
      </c>
      <c r="M3947" s="8">
        <v>1</v>
      </c>
      <c r="N3947" s="8" t="s">
        <v>27</v>
      </c>
      <c r="O3947" s="13"/>
      <c r="P3947" s="14">
        <v>0</v>
      </c>
      <c r="Q3947" s="15">
        <v>0.3</v>
      </c>
      <c r="R3947" s="16" t="str">
        <f t="shared" si="327"/>
        <v>SCREEN_PAINT</v>
      </c>
      <c r="S3947" s="17"/>
      <c r="T3947" s="10" t="str">
        <f>G3947</f>
        <v>PINTURA ESTÁNDAR EN COLOR BLANCO PARA PROYECCIÓN DE IMAGEN.</v>
      </c>
    </row>
    <row r="3948" spans="1:20" ht="27" customHeight="1" x14ac:dyDescent="0.25">
      <c r="A3948" s="8" t="s">
        <v>8168</v>
      </c>
      <c r="B3948" s="9"/>
      <c r="C3948" s="9"/>
      <c r="D3948" s="8"/>
      <c r="E3948" s="8"/>
      <c r="F3948" s="8"/>
      <c r="G3948" s="10"/>
      <c r="H3948" s="8" t="s">
        <v>8169</v>
      </c>
      <c r="I3948" s="10" t="s">
        <v>8170</v>
      </c>
      <c r="J3948" s="11" t="s">
        <v>26</v>
      </c>
      <c r="K3948" s="18">
        <v>1107</v>
      </c>
      <c r="L3948" s="12">
        <f>K3948*(1+P3948)/(1-Q3948)</f>
        <v>1660.4999999999998</v>
      </c>
      <c r="M3948" s="8">
        <v>1</v>
      </c>
      <c r="N3948" s="8" t="s">
        <v>27</v>
      </c>
      <c r="O3948" s="13"/>
      <c r="P3948" s="14">
        <v>0.2</v>
      </c>
      <c r="Q3948" s="15">
        <v>0.2</v>
      </c>
      <c r="R3948" s="16" t="str">
        <f t="shared" si="327"/>
        <v>SCREENBEAM</v>
      </c>
      <c r="S3948" s="17" t="s">
        <v>8171</v>
      </c>
      <c r="T3948" s="10" t="s">
        <v>8172</v>
      </c>
    </row>
    <row r="3949" spans="1:20" ht="27" customHeight="1" x14ac:dyDescent="0.25">
      <c r="A3949" s="8" t="s">
        <v>8173</v>
      </c>
      <c r="B3949" s="9"/>
      <c r="C3949" s="9"/>
      <c r="D3949" s="8" t="s">
        <v>45</v>
      </c>
      <c r="E3949" s="8"/>
      <c r="F3949" s="8" t="s">
        <v>22</v>
      </c>
      <c r="G3949" s="10" t="s">
        <v>8174</v>
      </c>
      <c r="H3949" s="8" t="s">
        <v>8175</v>
      </c>
      <c r="I3949" s="10" t="s">
        <v>8174</v>
      </c>
      <c r="J3949" s="11" t="s">
        <v>33</v>
      </c>
      <c r="K3949" s="18">
        <v>345000</v>
      </c>
      <c r="L3949" s="12">
        <f>ROUNDUP(K3949*(1+P3949)/(1-Q3949),0)</f>
        <v>492858</v>
      </c>
      <c r="M3949" s="8">
        <v>1</v>
      </c>
      <c r="N3949" s="8" t="s">
        <v>27</v>
      </c>
      <c r="O3949" s="13"/>
      <c r="P3949" s="14">
        <v>0</v>
      </c>
      <c r="Q3949" s="15">
        <v>0.3</v>
      </c>
      <c r="R3949" s="16" t="str">
        <f t="shared" si="327"/>
        <v>SEAGATE</v>
      </c>
      <c r="S3949" s="17"/>
      <c r="T3949" s="10" t="str">
        <f>G3949</f>
        <v>DISCO DURO DE 4 TB SATA III CON 5400 RPM</v>
      </c>
    </row>
    <row r="3950" spans="1:20" ht="27" customHeight="1" x14ac:dyDescent="0.25">
      <c r="A3950" s="8" t="s">
        <v>8176</v>
      </c>
      <c r="B3950" s="9"/>
      <c r="C3950" s="9"/>
      <c r="D3950" s="8"/>
      <c r="E3950" s="8"/>
      <c r="F3950" s="8"/>
      <c r="G3950" s="10"/>
      <c r="H3950" s="8" t="s">
        <v>8177</v>
      </c>
      <c r="I3950" s="10" t="s">
        <v>8178</v>
      </c>
      <c r="J3950" s="11" t="s">
        <v>33</v>
      </c>
      <c r="K3950" s="18">
        <v>168000</v>
      </c>
      <c r="L3950" s="12">
        <f>IF(J3950="P",ROUNDUP(K3950/(1-Q3950),-2),K3950*(1+P3950)/(1-Q3950))</f>
        <v>240000</v>
      </c>
      <c r="M3950" s="8">
        <v>1</v>
      </c>
      <c r="N3950" s="8" t="s">
        <v>27</v>
      </c>
      <c r="O3950" s="13">
        <f>F3950</f>
        <v>0</v>
      </c>
      <c r="P3950" s="14">
        <v>0</v>
      </c>
      <c r="Q3950" s="15">
        <v>0.3</v>
      </c>
      <c r="R3950" s="16" t="str">
        <f t="shared" si="327"/>
        <v>SECO_LARM</v>
      </c>
      <c r="S3950" s="17"/>
      <c r="T3950" s="10"/>
    </row>
    <row r="3951" spans="1:20" ht="27" customHeight="1" x14ac:dyDescent="0.25">
      <c r="A3951" s="8" t="s">
        <v>8179</v>
      </c>
      <c r="B3951" s="9"/>
      <c r="C3951" s="9"/>
      <c r="D3951" s="8"/>
      <c r="E3951" s="8"/>
      <c r="F3951" s="8" t="s">
        <v>22</v>
      </c>
      <c r="G3951" s="10" t="s">
        <v>8180</v>
      </c>
      <c r="H3951" s="8" t="s">
        <v>8181</v>
      </c>
      <c r="I3951" s="10" t="s">
        <v>8180</v>
      </c>
      <c r="J3951" s="11" t="s">
        <v>33</v>
      </c>
      <c r="K3951" s="18">
        <v>210000</v>
      </c>
      <c r="L3951" s="12">
        <f>IF(J3951="P",ROUNDUP(K3951/(1-Q3951),-2),K3951*(1+P3951)/(1-Q3951))</f>
        <v>300000</v>
      </c>
      <c r="M3951" s="8">
        <v>1</v>
      </c>
      <c r="N3951" s="8" t="s">
        <v>27</v>
      </c>
      <c r="O3951" s="13"/>
      <c r="P3951" s="14">
        <v>0.2</v>
      </c>
      <c r="Q3951" s="15">
        <v>0.3</v>
      </c>
      <c r="R3951" s="16" t="str">
        <f t="shared" ref="R3951:R4014" si="333">A3951</f>
        <v>SEGUR</v>
      </c>
      <c r="S3951" s="17"/>
      <c r="T3951" s="10" t="str">
        <f>G3951</f>
        <v>ELECTRO IMÁN REDONDO DE 350 LIBRAS</v>
      </c>
    </row>
    <row r="3952" spans="1:20" ht="27" customHeight="1" x14ac:dyDescent="0.25">
      <c r="A3952" s="8" t="s">
        <v>8182</v>
      </c>
      <c r="B3952" s="9" t="s">
        <v>8183</v>
      </c>
      <c r="C3952" s="9"/>
      <c r="D3952" s="8" t="s">
        <v>602</v>
      </c>
      <c r="E3952" s="8"/>
      <c r="F3952" s="8" t="s">
        <v>22</v>
      </c>
      <c r="G3952" s="10" t="s">
        <v>8184</v>
      </c>
      <c r="H3952" s="8" t="s">
        <v>8185</v>
      </c>
      <c r="I3952" s="10" t="s">
        <v>8184</v>
      </c>
      <c r="J3952" s="11" t="s">
        <v>26</v>
      </c>
      <c r="K3952" s="18">
        <v>8.08</v>
      </c>
      <c r="L3952" s="12">
        <f>IF(J3952="P",ROUNDUP(K3952/(1-Q3952),-2),K3952*(1+P3952)/(1-Q3952))</f>
        <v>13.851428571428572</v>
      </c>
      <c r="M3952" s="8">
        <v>1</v>
      </c>
      <c r="N3952" s="8" t="s">
        <v>27</v>
      </c>
      <c r="O3952" s="13"/>
      <c r="P3952" s="14">
        <v>0.2</v>
      </c>
      <c r="Q3952" s="15">
        <v>0.3</v>
      </c>
      <c r="R3952" s="16" t="str">
        <f t="shared" si="333"/>
        <v>SEISMIC</v>
      </c>
      <c r="S3952" s="17"/>
      <c r="T3952" s="10" t="str">
        <f>G3952</f>
        <v>CONECTOR DE PARED XLR</v>
      </c>
    </row>
    <row r="3953" spans="1:23" ht="27" customHeight="1" x14ac:dyDescent="0.25">
      <c r="A3953" s="8" t="s">
        <v>8186</v>
      </c>
      <c r="B3953" s="9"/>
      <c r="C3953" s="9"/>
      <c r="D3953" s="8"/>
      <c r="E3953" s="8"/>
      <c r="F3953" s="8"/>
      <c r="G3953" s="10"/>
      <c r="H3953" s="8" t="s">
        <v>8187</v>
      </c>
      <c r="I3953" s="10" t="s">
        <v>8188</v>
      </c>
      <c r="J3953" s="11" t="s">
        <v>26</v>
      </c>
      <c r="K3953" s="18">
        <v>253</v>
      </c>
      <c r="L3953" s="12">
        <f>ROUNDUP(K3953*(1+P3953)/(1-Q3953),0)</f>
        <v>526</v>
      </c>
      <c r="M3953" s="8">
        <v>1</v>
      </c>
      <c r="N3953" s="8" t="s">
        <v>27</v>
      </c>
      <c r="O3953" s="13"/>
      <c r="P3953" s="14">
        <v>0.35</v>
      </c>
      <c r="Q3953" s="15">
        <v>0.35</v>
      </c>
      <c r="R3953" s="16" t="str">
        <f t="shared" si="333"/>
        <v>SERRALUNGA</v>
      </c>
      <c r="S3953" s="17"/>
      <c r="T3953" s="10"/>
    </row>
    <row r="3954" spans="1:23" ht="27" customHeight="1" x14ac:dyDescent="0.25">
      <c r="A3954" s="8" t="s">
        <v>8186</v>
      </c>
      <c r="B3954" s="9"/>
      <c r="C3954" s="9"/>
      <c r="D3954" s="8"/>
      <c r="E3954" s="8"/>
      <c r="F3954" s="8"/>
      <c r="G3954" s="10"/>
      <c r="H3954" s="8" t="s">
        <v>8189</v>
      </c>
      <c r="I3954" s="10" t="s">
        <v>8190</v>
      </c>
      <c r="J3954" s="11" t="s">
        <v>26</v>
      </c>
      <c r="K3954" s="18">
        <v>11.5</v>
      </c>
      <c r="L3954" s="12">
        <f>ROUNDUP(K3954*(1+P3954)/(1-Q3954),0)</f>
        <v>24</v>
      </c>
      <c r="M3954" s="8">
        <v>1</v>
      </c>
      <c r="N3954" s="8" t="s">
        <v>27</v>
      </c>
      <c r="O3954" s="13"/>
      <c r="P3954" s="14">
        <v>0.35</v>
      </c>
      <c r="Q3954" s="15">
        <v>0.35</v>
      </c>
      <c r="R3954" s="16" t="str">
        <f t="shared" si="333"/>
        <v>SERRALUNGA</v>
      </c>
      <c r="S3954" s="17"/>
      <c r="T3954" s="10"/>
    </row>
    <row r="3955" spans="1:23" ht="27" customHeight="1" x14ac:dyDescent="0.25">
      <c r="A3955" s="8" t="s">
        <v>8191</v>
      </c>
      <c r="B3955" s="9"/>
      <c r="C3955" s="9"/>
      <c r="D3955" s="8"/>
      <c r="E3955" s="8"/>
      <c r="F3955" s="8"/>
      <c r="G3955" s="10"/>
      <c r="H3955" s="8" t="s">
        <v>8192</v>
      </c>
      <c r="I3955" s="10" t="s">
        <v>8193</v>
      </c>
      <c r="J3955" s="11" t="s">
        <v>26</v>
      </c>
      <c r="K3955" s="18">
        <v>1626.28</v>
      </c>
      <c r="L3955" s="12">
        <f>IF(J3955="P",ROUNDUP(K3955/(1-Q3955),-2),K3955*(1+P3955)/(1-Q3955))</f>
        <v>3252.56</v>
      </c>
      <c r="M3955" s="8">
        <v>1</v>
      </c>
      <c r="N3955" s="8" t="s">
        <v>27</v>
      </c>
      <c r="O3955" s="13"/>
      <c r="P3955" s="14">
        <v>0.2</v>
      </c>
      <c r="Q3955" s="15">
        <v>0.4</v>
      </c>
      <c r="R3955" s="16" t="str">
        <f t="shared" si="333"/>
        <v>SEVERTSON</v>
      </c>
      <c r="S3955" s="17"/>
      <c r="T3955" s="10"/>
    </row>
    <row r="3956" spans="1:23" ht="27" customHeight="1" x14ac:dyDescent="0.25">
      <c r="A3956" s="8" t="s">
        <v>8191</v>
      </c>
      <c r="B3956" s="9"/>
      <c r="C3956" s="9"/>
      <c r="D3956" s="8"/>
      <c r="E3956" s="8"/>
      <c r="F3956" s="8"/>
      <c r="G3956" s="10"/>
      <c r="H3956" s="8" t="s">
        <v>8194</v>
      </c>
      <c r="I3956" s="10" t="s">
        <v>8195</v>
      </c>
      <c r="J3956" s="11" t="s">
        <v>26</v>
      </c>
      <c r="K3956" s="18">
        <v>1019</v>
      </c>
      <c r="L3956" s="12">
        <f>IF(J3956="P",ROUNDUP(K3956/(1-Q3956),-2),K3956*(1+P3956)/(1-Q3956))</f>
        <v>2369.9999922216875</v>
      </c>
      <c r="M3956" s="8">
        <v>1</v>
      </c>
      <c r="N3956" s="8" t="s">
        <v>27</v>
      </c>
      <c r="O3956" s="13"/>
      <c r="P3956" s="14">
        <v>0.3</v>
      </c>
      <c r="Q3956" s="15">
        <v>0.44105485048622362</v>
      </c>
      <c r="R3956" s="16" t="str">
        <f t="shared" si="333"/>
        <v>SEVERTSON</v>
      </c>
      <c r="S3956" s="17"/>
      <c r="T3956" s="10"/>
    </row>
    <row r="3957" spans="1:23" ht="27" customHeight="1" x14ac:dyDescent="0.25">
      <c r="A3957" s="8" t="s">
        <v>8196</v>
      </c>
      <c r="B3957" s="9" t="s">
        <v>8197</v>
      </c>
      <c r="C3957" s="9"/>
      <c r="D3957" s="8" t="s">
        <v>8198</v>
      </c>
      <c r="E3957" s="8"/>
      <c r="F3957" s="8" t="s">
        <v>22</v>
      </c>
      <c r="G3957" s="10" t="s">
        <v>8199</v>
      </c>
      <c r="H3957" s="8" t="s">
        <v>8200</v>
      </c>
      <c r="I3957" s="10" t="s">
        <v>8199</v>
      </c>
      <c r="J3957" s="11" t="s">
        <v>26</v>
      </c>
      <c r="K3957" s="18">
        <v>44.95</v>
      </c>
      <c r="L3957" s="12">
        <f>IF(J3957="P",ROUNDUP(K3957/(1-Q3957),-2),K3957*(1+P3957)/(1-Q3957))</f>
        <v>77.057142857142864</v>
      </c>
      <c r="M3957" s="8">
        <v>1</v>
      </c>
      <c r="N3957" s="8" t="s">
        <v>27</v>
      </c>
      <c r="O3957" s="13"/>
      <c r="P3957" s="14">
        <v>0.2</v>
      </c>
      <c r="Q3957" s="15">
        <v>0.3</v>
      </c>
      <c r="R3957" s="16" t="str">
        <f t="shared" si="333"/>
        <v>SEWELL</v>
      </c>
      <c r="S3957" s="17"/>
      <c r="T3957" s="10" t="str">
        <f>G3957</f>
        <v>PASS TRUE 4 EMISORES PARA SEÑALES IR.</v>
      </c>
    </row>
    <row r="3958" spans="1:23" ht="27" customHeight="1" x14ac:dyDescent="0.25">
      <c r="A3958" s="8" t="s">
        <v>8196</v>
      </c>
      <c r="B3958" s="9"/>
      <c r="C3958" s="9"/>
      <c r="D3958" s="8"/>
      <c r="E3958" s="8"/>
      <c r="F3958" s="8" t="s">
        <v>22</v>
      </c>
      <c r="G3958" s="10" t="s">
        <v>8201</v>
      </c>
      <c r="H3958" s="8" t="s">
        <v>8202</v>
      </c>
      <c r="I3958" s="10" t="s">
        <v>8201</v>
      </c>
      <c r="J3958" s="11" t="s">
        <v>26</v>
      </c>
      <c r="K3958" s="18">
        <v>60</v>
      </c>
      <c r="L3958" s="12">
        <f>IF(J3958="P",ROUNDUP(K3958/(1-Q3958),-2),K3958*(1+P3958)/(1-Q3958))</f>
        <v>90</v>
      </c>
      <c r="M3958" s="8">
        <v>1</v>
      </c>
      <c r="N3958" s="8" t="s">
        <v>27</v>
      </c>
      <c r="O3958" s="13"/>
      <c r="P3958" s="14">
        <v>0.2</v>
      </c>
      <c r="Q3958" s="15">
        <v>0.2</v>
      </c>
      <c r="R3958" s="16" t="str">
        <f t="shared" si="333"/>
        <v>SEWELL</v>
      </c>
      <c r="S3958" s="17"/>
      <c r="T3958" s="10" t="str">
        <f>G3958</f>
        <v>TRANSMISOR DE SEÑALES DE AUDIO ESTÉREO POR CAT5.</v>
      </c>
    </row>
    <row r="3959" spans="1:23" ht="27" customHeight="1" x14ac:dyDescent="0.25">
      <c r="A3959" s="8" t="s">
        <v>8203</v>
      </c>
      <c r="B3959" s="9"/>
      <c r="C3959" s="9"/>
      <c r="D3959" s="8" t="s">
        <v>45</v>
      </c>
      <c r="E3959" s="8"/>
      <c r="F3959" s="8" t="s">
        <v>22</v>
      </c>
      <c r="G3959" s="10" t="s">
        <v>8204</v>
      </c>
      <c r="H3959" s="8" t="s">
        <v>8205</v>
      </c>
      <c r="I3959" s="10" t="s">
        <v>8204</v>
      </c>
      <c r="J3959" s="11" t="s">
        <v>26</v>
      </c>
      <c r="K3959" s="18">
        <v>1815</v>
      </c>
      <c r="L3959" s="12">
        <f>ROUNDUP(K3959*(1+P3959)/(1-Q3959),0)</f>
        <v>3112</v>
      </c>
      <c r="M3959" s="8">
        <v>1</v>
      </c>
      <c r="N3959" s="8" t="s">
        <v>27</v>
      </c>
      <c r="O3959" s="13"/>
      <c r="P3959" s="14">
        <v>0.2</v>
      </c>
      <c r="Q3959" s="15">
        <v>0.3</v>
      </c>
      <c r="R3959" s="16" t="str">
        <f t="shared" si="333"/>
        <v>SEYMOUR</v>
      </c>
      <c r="S3959" s="17"/>
      <c r="T3959" s="10" t="str">
        <f>G3959</f>
        <v>PANTALLA FIJA ACÚSTICAMENTE INVISIBLE, FORMATO 16:9 DE 152".</v>
      </c>
    </row>
    <row r="3960" spans="1:23" ht="27" customHeight="1" x14ac:dyDescent="0.25">
      <c r="A3960" s="8" t="s">
        <v>8206</v>
      </c>
      <c r="B3960" s="9"/>
      <c r="C3960" s="9"/>
      <c r="D3960" s="8"/>
      <c r="E3960" s="8"/>
      <c r="F3960" s="8"/>
      <c r="G3960" s="10"/>
      <c r="H3960" s="8" t="s">
        <v>8207</v>
      </c>
      <c r="I3960" s="10" t="s">
        <v>8208</v>
      </c>
      <c r="J3960" s="11" t="s">
        <v>26</v>
      </c>
      <c r="K3960" s="18">
        <v>29</v>
      </c>
      <c r="L3960" s="12">
        <f t="shared" ref="L3960:L3968" si="334">IF(J3960="P",ROUNDUP(K3960/(1-Q3960),-2),K3960*(1+P3960)/(1-Q3960))</f>
        <v>49.714285714285715</v>
      </c>
      <c r="M3960" s="8">
        <v>1</v>
      </c>
      <c r="N3960" s="8" t="s">
        <v>27</v>
      </c>
      <c r="O3960" s="13">
        <f>F3960</f>
        <v>0</v>
      </c>
      <c r="P3960" s="14">
        <v>0.2</v>
      </c>
      <c r="Q3960" s="15">
        <v>0.3</v>
      </c>
      <c r="R3960" s="16" t="str">
        <f t="shared" si="333"/>
        <v>SFIRE</v>
      </c>
      <c r="S3960" s="17"/>
      <c r="T3960" s="10"/>
    </row>
    <row r="3961" spans="1:23" ht="27" customHeight="1" x14ac:dyDescent="0.25">
      <c r="A3961" s="8" t="s">
        <v>8209</v>
      </c>
      <c r="B3961" s="9" t="s">
        <v>8210</v>
      </c>
      <c r="C3961" s="9"/>
      <c r="D3961" s="8" t="s">
        <v>8211</v>
      </c>
      <c r="E3961" s="8">
        <v>1</v>
      </c>
      <c r="F3961" s="8" t="s">
        <v>22</v>
      </c>
      <c r="G3961" s="10" t="s">
        <v>8212</v>
      </c>
      <c r="H3961" s="8" t="s">
        <v>8213</v>
      </c>
      <c r="I3961" s="10" t="s">
        <v>8212</v>
      </c>
      <c r="J3961" s="11" t="s">
        <v>26</v>
      </c>
      <c r="K3961" s="18">
        <v>5100</v>
      </c>
      <c r="L3961" s="12">
        <f t="shared" si="334"/>
        <v>7200</v>
      </c>
      <c r="M3961" s="8">
        <v>1</v>
      </c>
      <c r="N3961" s="8" t="s">
        <v>27</v>
      </c>
      <c r="O3961" s="13"/>
      <c r="P3961" s="14">
        <v>0.2</v>
      </c>
      <c r="Q3961" s="15">
        <v>0.15</v>
      </c>
      <c r="R3961" s="16" t="str">
        <f t="shared" si="333"/>
        <v>SHARP</v>
      </c>
      <c r="S3961" s="17"/>
      <c r="T3961" s="10" t="str">
        <f>G3961</f>
        <v>TELEVISOR CON TECNOLOGÍA LED, RESOLUCIÓN 1080P. 90 PULGADAS.</v>
      </c>
      <c r="U3961" s="21" t="e">
        <f>T3961*Q3961</f>
        <v>#VALUE!</v>
      </c>
    </row>
    <row r="3962" spans="1:23" ht="27" customHeight="1" x14ac:dyDescent="0.25">
      <c r="A3962" s="8" t="s">
        <v>8214</v>
      </c>
      <c r="B3962" s="9"/>
      <c r="C3962" s="9"/>
      <c r="D3962" s="8"/>
      <c r="E3962" s="8"/>
      <c r="F3962" s="8" t="s">
        <v>22</v>
      </c>
      <c r="G3962" s="10" t="s">
        <v>8215</v>
      </c>
      <c r="H3962" s="8" t="s">
        <v>8216</v>
      </c>
      <c r="I3962" s="10" t="s">
        <v>8215</v>
      </c>
      <c r="J3962" s="11" t="s">
        <v>33</v>
      </c>
      <c r="K3962" s="18">
        <v>13900</v>
      </c>
      <c r="L3962" s="12">
        <f t="shared" si="334"/>
        <v>19900</v>
      </c>
      <c r="M3962" s="8">
        <v>1</v>
      </c>
      <c r="N3962" s="8" t="s">
        <v>27</v>
      </c>
      <c r="O3962" s="13"/>
      <c r="P3962" s="14">
        <v>0.2</v>
      </c>
      <c r="Q3962" s="15">
        <v>0.3</v>
      </c>
      <c r="R3962" s="16" t="str">
        <f t="shared" si="333"/>
        <v>SHNEIDER</v>
      </c>
      <c r="S3962" s="17"/>
      <c r="T3962" s="10" t="str">
        <f>G3962</f>
        <v>CAJA PLÁSTICA PARA DERIVACIÓN.</v>
      </c>
      <c r="U3962" s="21" t="e">
        <f>U3961/3</f>
        <v>#VALUE!</v>
      </c>
      <c r="W3962" s="21" t="e">
        <f>U3962*160</f>
        <v>#VALUE!</v>
      </c>
    </row>
    <row r="3963" spans="1:23" ht="27" customHeight="1" x14ac:dyDescent="0.25">
      <c r="A3963" s="8" t="s">
        <v>8217</v>
      </c>
      <c r="B3963" s="9"/>
      <c r="C3963" s="9"/>
      <c r="D3963" s="8" t="s">
        <v>45</v>
      </c>
      <c r="E3963" s="8"/>
      <c r="F3963" s="8" t="s">
        <v>22</v>
      </c>
      <c r="G3963" s="10" t="s">
        <v>8218</v>
      </c>
      <c r="H3963" s="8" t="s">
        <v>8219</v>
      </c>
      <c r="I3963" s="10" t="s">
        <v>8218</v>
      </c>
      <c r="J3963" s="11" t="s">
        <v>26</v>
      </c>
      <c r="K3963" s="18">
        <v>549</v>
      </c>
      <c r="L3963" s="12">
        <f t="shared" si="334"/>
        <v>941.14285714285711</v>
      </c>
      <c r="M3963" s="8">
        <v>1</v>
      </c>
      <c r="N3963" s="8" t="s">
        <v>27</v>
      </c>
      <c r="O3963" s="13"/>
      <c r="P3963" s="14">
        <v>0.2</v>
      </c>
      <c r="Q3963" s="15">
        <v>0.3</v>
      </c>
      <c r="R3963" s="16" t="str">
        <f t="shared" si="333"/>
        <v>SHURE</v>
      </c>
      <c r="S3963" s="17"/>
      <c r="T3963" s="10" t="str">
        <f>G3963</f>
        <v>MICRÓFONO INALÁMBRICO DE DIADEMA</v>
      </c>
      <c r="U3963" s="21" t="e">
        <f>U3961-U3962</f>
        <v>#VALUE!</v>
      </c>
      <c r="V3963" s="21" t="e">
        <f>U3963*0.3</f>
        <v>#VALUE!</v>
      </c>
      <c r="W3963" s="21" t="e">
        <f>V3963*160</f>
        <v>#VALUE!</v>
      </c>
    </row>
    <row r="3964" spans="1:23" ht="27" customHeight="1" x14ac:dyDescent="0.25">
      <c r="A3964" s="8" t="s">
        <v>8217</v>
      </c>
      <c r="B3964" s="9"/>
      <c r="C3964" s="9"/>
      <c r="D3964" s="8" t="s">
        <v>45</v>
      </c>
      <c r="E3964" s="8"/>
      <c r="F3964" s="8" t="s">
        <v>22</v>
      </c>
      <c r="G3964" s="10" t="s">
        <v>8220</v>
      </c>
      <c r="H3964" s="8" t="s">
        <v>8221</v>
      </c>
      <c r="I3964" s="10" t="s">
        <v>8220</v>
      </c>
      <c r="J3964" s="11" t="s">
        <v>26</v>
      </c>
      <c r="K3964" s="18">
        <v>171</v>
      </c>
      <c r="L3964" s="12">
        <f t="shared" si="334"/>
        <v>256.49999999999994</v>
      </c>
      <c r="M3964" s="8">
        <v>1</v>
      </c>
      <c r="N3964" s="8" t="s">
        <v>27</v>
      </c>
      <c r="O3964" s="13"/>
      <c r="P3964" s="14">
        <v>0.2</v>
      </c>
      <c r="Q3964" s="15">
        <v>0.2</v>
      </c>
      <c r="R3964" s="16" t="str">
        <f t="shared" si="333"/>
        <v>SHURE</v>
      </c>
      <c r="S3964" s="17"/>
      <c r="T3964" s="10" t="str">
        <f>G3964</f>
        <v>MICRÓFONO CUELLO DE GANSO CON CONEXIÓN PROTOCOLO DANTE</v>
      </c>
      <c r="V3964" s="21" t="e">
        <f>U3963*0.7</f>
        <v>#VALUE!</v>
      </c>
      <c r="W3964" s="21" t="e">
        <f>V3964*160</f>
        <v>#VALUE!</v>
      </c>
    </row>
    <row r="3965" spans="1:23" ht="27" customHeight="1" x14ac:dyDescent="0.25">
      <c r="A3965" s="8" t="s">
        <v>8217</v>
      </c>
      <c r="B3965" s="9"/>
      <c r="C3965" s="9"/>
      <c r="D3965" s="8"/>
      <c r="E3965" s="8"/>
      <c r="F3965" s="8"/>
      <c r="G3965" s="10"/>
      <c r="H3965" s="8" t="s">
        <v>8222</v>
      </c>
      <c r="I3965" s="10" t="s">
        <v>8223</v>
      </c>
      <c r="J3965" s="11" t="s">
        <v>26</v>
      </c>
      <c r="K3965" s="18">
        <f>491*0.85</f>
        <v>417.34999999999997</v>
      </c>
      <c r="L3965" s="12">
        <f t="shared" si="334"/>
        <v>491</v>
      </c>
      <c r="M3965" s="8">
        <v>1</v>
      </c>
      <c r="N3965" s="8" t="s">
        <v>27</v>
      </c>
      <c r="O3965" s="13">
        <f>F3965</f>
        <v>0</v>
      </c>
      <c r="P3965" s="14">
        <v>0</v>
      </c>
      <c r="Q3965" s="15">
        <v>0.15</v>
      </c>
      <c r="R3965" s="16" t="str">
        <f t="shared" si="333"/>
        <v>SHURE</v>
      </c>
      <c r="S3965" s="17"/>
      <c r="T3965" s="10"/>
    </row>
    <row r="3966" spans="1:23" ht="27" customHeight="1" x14ac:dyDescent="0.25">
      <c r="A3966" s="8" t="s">
        <v>8217</v>
      </c>
      <c r="B3966" s="9"/>
      <c r="C3966" s="9"/>
      <c r="D3966" s="8"/>
      <c r="E3966" s="8"/>
      <c r="F3966" s="8"/>
      <c r="G3966" s="10"/>
      <c r="H3966" s="8" t="s">
        <v>8224</v>
      </c>
      <c r="I3966" s="10" t="s">
        <v>8225</v>
      </c>
      <c r="J3966" s="11" t="s">
        <v>26</v>
      </c>
      <c r="K3966" s="18">
        <f>24.12*0.85</f>
        <v>20.501999999999999</v>
      </c>
      <c r="L3966" s="12">
        <f t="shared" si="334"/>
        <v>24.12</v>
      </c>
      <c r="M3966" s="8">
        <v>1</v>
      </c>
      <c r="N3966" s="8" t="s">
        <v>27</v>
      </c>
      <c r="O3966" s="13">
        <f>F3966</f>
        <v>0</v>
      </c>
      <c r="P3966" s="14">
        <v>0</v>
      </c>
      <c r="Q3966" s="15">
        <v>0.15</v>
      </c>
      <c r="R3966" s="16" t="str">
        <f t="shared" si="333"/>
        <v>SHURE</v>
      </c>
      <c r="S3966" s="17"/>
      <c r="T3966" s="10"/>
    </row>
    <row r="3967" spans="1:23" ht="27" customHeight="1" x14ac:dyDescent="0.25">
      <c r="A3967" s="8" t="s">
        <v>8217</v>
      </c>
      <c r="B3967" s="9"/>
      <c r="C3967" s="9"/>
      <c r="D3967" s="8"/>
      <c r="E3967" s="8"/>
      <c r="F3967" s="8"/>
      <c r="G3967" s="10"/>
      <c r="H3967" s="8" t="s">
        <v>8226</v>
      </c>
      <c r="I3967" s="10" t="s">
        <v>8227</v>
      </c>
      <c r="J3967" s="11" t="s">
        <v>26</v>
      </c>
      <c r="K3967" s="18">
        <f>1025*0.85</f>
        <v>871.25</v>
      </c>
      <c r="L3967" s="12">
        <f t="shared" si="334"/>
        <v>1025</v>
      </c>
      <c r="M3967" s="8">
        <v>1</v>
      </c>
      <c r="N3967" s="8" t="s">
        <v>27</v>
      </c>
      <c r="O3967" s="13">
        <f>F3967</f>
        <v>0</v>
      </c>
      <c r="P3967" s="14">
        <v>0</v>
      </c>
      <c r="Q3967" s="15">
        <v>0.15</v>
      </c>
      <c r="R3967" s="16" t="str">
        <f t="shared" si="333"/>
        <v>SHURE</v>
      </c>
      <c r="S3967" s="17"/>
      <c r="T3967" s="10"/>
    </row>
    <row r="3968" spans="1:23" ht="27" customHeight="1" x14ac:dyDescent="0.25">
      <c r="A3968" s="8" t="s">
        <v>8217</v>
      </c>
      <c r="B3968" s="9"/>
      <c r="C3968" s="9"/>
      <c r="D3968" s="8"/>
      <c r="E3968" s="8"/>
      <c r="F3968" s="8"/>
      <c r="G3968" s="10"/>
      <c r="H3968" s="8" t="s">
        <v>8228</v>
      </c>
      <c r="I3968" s="10" t="s">
        <v>8229</v>
      </c>
      <c r="J3968" s="11" t="s">
        <v>26</v>
      </c>
      <c r="K3968" s="18">
        <f>668.28*0.85</f>
        <v>568.03800000000001</v>
      </c>
      <c r="L3968" s="12">
        <f t="shared" si="334"/>
        <v>668.28000000000009</v>
      </c>
      <c r="M3968" s="8">
        <v>1</v>
      </c>
      <c r="N3968" s="8" t="s">
        <v>27</v>
      </c>
      <c r="O3968" s="13">
        <f>F3968</f>
        <v>0</v>
      </c>
      <c r="P3968" s="14">
        <v>0</v>
      </c>
      <c r="Q3968" s="15">
        <v>0.15</v>
      </c>
      <c r="R3968" s="16" t="str">
        <f t="shared" si="333"/>
        <v>SHURE</v>
      </c>
      <c r="S3968" s="17"/>
      <c r="T3968" s="10"/>
    </row>
    <row r="3969" spans="1:20" ht="27" customHeight="1" x14ac:dyDescent="0.25">
      <c r="A3969" s="8" t="s">
        <v>8230</v>
      </c>
      <c r="B3969" s="9"/>
      <c r="C3969" s="9"/>
      <c r="D3969" s="8"/>
      <c r="E3969" s="8"/>
      <c r="F3969" s="8"/>
      <c r="G3969" s="10"/>
      <c r="H3969" s="8" t="s">
        <v>8231</v>
      </c>
      <c r="I3969" s="10" t="s">
        <v>8232</v>
      </c>
      <c r="J3969" s="11" t="s">
        <v>33</v>
      </c>
      <c r="K3969" s="18">
        <v>70000</v>
      </c>
      <c r="L3969" s="12">
        <f>K3969*(1+P3969)/(1-Q3969)</f>
        <v>87500</v>
      </c>
      <c r="M3969" s="8">
        <v>1</v>
      </c>
      <c r="N3969" s="8" t="s">
        <v>27</v>
      </c>
      <c r="O3969" s="13"/>
      <c r="P3969" s="14">
        <v>0</v>
      </c>
      <c r="Q3969" s="15">
        <v>0.2</v>
      </c>
      <c r="R3969" s="16" t="str">
        <f t="shared" si="333"/>
        <v>SICOLED</v>
      </c>
      <c r="S3969" s="17"/>
      <c r="T3969" s="10"/>
    </row>
    <row r="3970" spans="1:20" ht="27" customHeight="1" x14ac:dyDescent="0.25">
      <c r="A3970" s="8" t="s">
        <v>3388</v>
      </c>
      <c r="B3970" s="9" t="s">
        <v>411</v>
      </c>
      <c r="C3970" s="9"/>
      <c r="D3970" s="8" t="s">
        <v>94</v>
      </c>
      <c r="E3970" s="8">
        <v>3</v>
      </c>
      <c r="F3970" s="8" t="s">
        <v>22</v>
      </c>
      <c r="G3970" s="10" t="s">
        <v>8233</v>
      </c>
      <c r="H3970" s="8" t="s">
        <v>8234</v>
      </c>
      <c r="I3970" s="10" t="s">
        <v>8235</v>
      </c>
      <c r="J3970" s="11" t="s">
        <v>33</v>
      </c>
      <c r="K3970" s="18">
        <v>45000</v>
      </c>
      <c r="L3970" s="12">
        <f t="shared" ref="L3970:L3980" si="335">IF(J3970="P",ROUNDUP(K3970/(1-Q3970),-2),K3970*(1+P3970)/(1-Q3970))</f>
        <v>81900</v>
      </c>
      <c r="M3970" s="8">
        <v>1</v>
      </c>
      <c r="N3970" s="8" t="s">
        <v>27</v>
      </c>
      <c r="O3970" s="13"/>
      <c r="P3970" s="14">
        <v>0.2</v>
      </c>
      <c r="Q3970" s="15">
        <v>0.45</v>
      </c>
      <c r="R3970" s="16" t="str">
        <f t="shared" si="333"/>
        <v>SIGNCOMPLEX</v>
      </c>
      <c r="S3970" s="17"/>
      <c r="T3970" s="10" t="str">
        <f t="shared" ref="T3970:T3975" si="336">G3970</f>
        <v>PANEL LED OPALIZADO CON TERMINACIÓN EN POLÍMERO.</v>
      </c>
    </row>
    <row r="3971" spans="1:20" ht="27" customHeight="1" x14ac:dyDescent="0.25">
      <c r="A3971" s="8" t="s">
        <v>3388</v>
      </c>
      <c r="B3971" s="9" t="s">
        <v>8236</v>
      </c>
      <c r="C3971" s="9"/>
      <c r="D3971" s="8" t="s">
        <v>94</v>
      </c>
      <c r="E3971" s="8">
        <v>4</v>
      </c>
      <c r="F3971" s="8" t="s">
        <v>22</v>
      </c>
      <c r="G3971" s="10" t="s">
        <v>8237</v>
      </c>
      <c r="H3971" s="8" t="s">
        <v>8238</v>
      </c>
      <c r="I3971" s="10" t="s">
        <v>8237</v>
      </c>
      <c r="J3971" s="11" t="s">
        <v>33</v>
      </c>
      <c r="K3971" s="18">
        <v>27000</v>
      </c>
      <c r="L3971" s="12">
        <f t="shared" si="335"/>
        <v>38600</v>
      </c>
      <c r="M3971" s="8">
        <v>1</v>
      </c>
      <c r="N3971" s="8" t="s">
        <v>27</v>
      </c>
      <c r="O3971" s="13"/>
      <c r="P3971" s="14">
        <v>0.2</v>
      </c>
      <c r="Q3971" s="15">
        <v>0.3</v>
      </c>
      <c r="R3971" s="16" t="str">
        <f t="shared" si="333"/>
        <v>SIGNCOMPLEX</v>
      </c>
      <c r="S3971" s="17"/>
      <c r="T3971" s="10" t="str">
        <f t="shared" si="336"/>
        <v xml:space="preserve">CINTA LED DE 9.6 VATIOS POR METRO, A 12 VOLTIOS. IP64, </v>
      </c>
    </row>
    <row r="3972" spans="1:20" ht="27" customHeight="1" x14ac:dyDescent="0.25">
      <c r="A3972" s="8" t="s">
        <v>3388</v>
      </c>
      <c r="B3972" s="9" t="s">
        <v>411</v>
      </c>
      <c r="C3972" s="9"/>
      <c r="D3972" s="8" t="s">
        <v>94</v>
      </c>
      <c r="E3972" s="8"/>
      <c r="F3972" s="8" t="s">
        <v>22</v>
      </c>
      <c r="G3972" s="10" t="s">
        <v>8239</v>
      </c>
      <c r="H3972" s="8" t="s">
        <v>8240</v>
      </c>
      <c r="I3972" s="10" t="s">
        <v>8241</v>
      </c>
      <c r="J3972" s="11" t="s">
        <v>26</v>
      </c>
      <c r="K3972" s="18">
        <v>183</v>
      </c>
      <c r="L3972" s="12">
        <f t="shared" si="335"/>
        <v>258.35294117647061</v>
      </c>
      <c r="M3972" s="8">
        <v>1</v>
      </c>
      <c r="N3972" s="8" t="s">
        <v>27</v>
      </c>
      <c r="O3972" s="13"/>
      <c r="P3972" s="14">
        <v>0.2</v>
      </c>
      <c r="Q3972" s="15">
        <v>0.15</v>
      </c>
      <c r="R3972" s="16" t="str">
        <f t="shared" si="333"/>
        <v>SIGNCOMPLEX</v>
      </c>
      <c r="S3972" s="17"/>
      <c r="T3972" s="10" t="str">
        <f t="shared" si="336"/>
        <v>LUMINARIA DE EMPOTRAR LED, NO ATENUABLE, EN COLOR CÁLIDO.</v>
      </c>
    </row>
    <row r="3973" spans="1:20" ht="27" customHeight="1" x14ac:dyDescent="0.25">
      <c r="A3973" s="8" t="s">
        <v>3388</v>
      </c>
      <c r="B3973" s="9" t="s">
        <v>2277</v>
      </c>
      <c r="C3973" s="9"/>
      <c r="D3973" s="8" t="s">
        <v>2087</v>
      </c>
      <c r="E3973" s="8"/>
      <c r="F3973" s="8" t="s">
        <v>22</v>
      </c>
      <c r="G3973" s="10" t="s">
        <v>8242</v>
      </c>
      <c r="H3973" s="8" t="s">
        <v>8243</v>
      </c>
      <c r="I3973" s="10" t="s">
        <v>8242</v>
      </c>
      <c r="J3973" s="11" t="s">
        <v>33</v>
      </c>
      <c r="K3973" s="18">
        <v>70000</v>
      </c>
      <c r="L3973" s="12">
        <f t="shared" si="335"/>
        <v>116700</v>
      </c>
      <c r="M3973" s="8">
        <v>1</v>
      </c>
      <c r="N3973" s="8" t="s">
        <v>27</v>
      </c>
      <c r="O3973" s="13"/>
      <c r="P3973" s="14">
        <v>0.2</v>
      </c>
      <c r="Q3973" s="15">
        <v>0.4</v>
      </c>
      <c r="R3973" s="16" t="str">
        <f t="shared" si="333"/>
        <v>SIGNCOMPLEX</v>
      </c>
      <c r="S3973" s="17"/>
      <c r="T3973" s="10" t="str">
        <f t="shared" si="336"/>
        <v>PANEL LED ATENUABLE DE 18W, COLOR 6500K.</v>
      </c>
    </row>
    <row r="3974" spans="1:20" ht="27" customHeight="1" x14ac:dyDescent="0.25">
      <c r="A3974" s="8" t="s">
        <v>3388</v>
      </c>
      <c r="B3974" s="9" t="s">
        <v>2277</v>
      </c>
      <c r="C3974" s="9"/>
      <c r="D3974" s="8" t="s">
        <v>2087</v>
      </c>
      <c r="E3974" s="8"/>
      <c r="F3974" s="8" t="s">
        <v>22</v>
      </c>
      <c r="G3974" s="10" t="s">
        <v>8244</v>
      </c>
      <c r="H3974" s="8" t="s">
        <v>8245</v>
      </c>
      <c r="I3974" s="10" t="s">
        <v>8244</v>
      </c>
      <c r="J3974" s="11" t="s">
        <v>33</v>
      </c>
      <c r="K3974" s="18">
        <v>70000</v>
      </c>
      <c r="L3974" s="12">
        <f t="shared" si="335"/>
        <v>116700</v>
      </c>
      <c r="M3974" s="8">
        <v>1</v>
      </c>
      <c r="N3974" s="8" t="s">
        <v>27</v>
      </c>
      <c r="O3974" s="13"/>
      <c r="P3974" s="14">
        <v>0.2</v>
      </c>
      <c r="Q3974" s="15">
        <v>0.4</v>
      </c>
      <c r="R3974" s="16" t="str">
        <f t="shared" si="333"/>
        <v>SIGNCOMPLEX</v>
      </c>
      <c r="S3974" s="17"/>
      <c r="T3974" s="10" t="str">
        <f t="shared" si="336"/>
        <v>PANEL LED ATENUABLE DE 18W, COLOR 3000K.</v>
      </c>
    </row>
    <row r="3975" spans="1:20" ht="27" customHeight="1" x14ac:dyDescent="0.25">
      <c r="A3975" s="8" t="s">
        <v>3388</v>
      </c>
      <c r="B3975" s="9" t="s">
        <v>2277</v>
      </c>
      <c r="C3975" s="9"/>
      <c r="D3975" s="8" t="s">
        <v>2087</v>
      </c>
      <c r="E3975" s="8"/>
      <c r="F3975" s="8" t="s">
        <v>22</v>
      </c>
      <c r="G3975" s="10" t="s">
        <v>8246</v>
      </c>
      <c r="H3975" s="8" t="s">
        <v>8247</v>
      </c>
      <c r="I3975" s="10" t="s">
        <v>8246</v>
      </c>
      <c r="J3975" s="11" t="s">
        <v>26</v>
      </c>
      <c r="K3975" s="18">
        <v>35</v>
      </c>
      <c r="L3975" s="12">
        <f t="shared" si="335"/>
        <v>70</v>
      </c>
      <c r="M3975" s="8">
        <v>1</v>
      </c>
      <c r="N3975" s="8" t="s">
        <v>27</v>
      </c>
      <c r="O3975" s="13"/>
      <c r="P3975" s="14">
        <v>0.2</v>
      </c>
      <c r="Q3975" s="15">
        <v>0.4</v>
      </c>
      <c r="R3975" s="16" t="str">
        <f t="shared" si="333"/>
        <v>SIGNCOMPLEX</v>
      </c>
      <c r="S3975" s="17"/>
      <c r="T3975" s="10" t="str">
        <f t="shared" si="336"/>
        <v>LUMINARIA TIPO PANEL LED ATENUABLE. TEMPERATURA 5000K, POTENCIA 35W.</v>
      </c>
    </row>
    <row r="3976" spans="1:20" ht="27" customHeight="1" x14ac:dyDescent="0.25">
      <c r="A3976" s="8" t="s">
        <v>3388</v>
      </c>
      <c r="B3976" s="9"/>
      <c r="C3976" s="9"/>
      <c r="D3976" s="8"/>
      <c r="E3976" s="8"/>
      <c r="F3976" s="8"/>
      <c r="G3976" s="10"/>
      <c r="H3976" s="8" t="s">
        <v>8248</v>
      </c>
      <c r="I3976" s="10" t="s">
        <v>8249</v>
      </c>
      <c r="J3976" s="11" t="s">
        <v>33</v>
      </c>
      <c r="K3976" s="18">
        <v>30000</v>
      </c>
      <c r="L3976" s="12">
        <f t="shared" si="335"/>
        <v>42900</v>
      </c>
      <c r="M3976" s="8">
        <v>1</v>
      </c>
      <c r="N3976" s="8" t="s">
        <v>27</v>
      </c>
      <c r="O3976" s="13" t="s">
        <v>588</v>
      </c>
      <c r="P3976" s="14">
        <v>0</v>
      </c>
      <c r="Q3976" s="15">
        <v>0.3</v>
      </c>
      <c r="R3976" s="16" t="str">
        <f t="shared" si="333"/>
        <v>SIGNCOMPLEX</v>
      </c>
      <c r="S3976" s="17"/>
      <c r="T3976" s="10"/>
    </row>
    <row r="3977" spans="1:20" ht="27" customHeight="1" x14ac:dyDescent="0.25">
      <c r="A3977" s="8" t="s">
        <v>8250</v>
      </c>
      <c r="B3977" s="9"/>
      <c r="C3977" s="9"/>
      <c r="D3977" s="8"/>
      <c r="E3977" s="8"/>
      <c r="F3977" s="8" t="s">
        <v>22</v>
      </c>
      <c r="G3977" s="10" t="s">
        <v>8251</v>
      </c>
      <c r="H3977" s="8" t="s">
        <v>8252</v>
      </c>
      <c r="I3977" s="10" t="s">
        <v>8251</v>
      </c>
      <c r="J3977" s="11" t="s">
        <v>33</v>
      </c>
      <c r="K3977" s="18">
        <v>34000</v>
      </c>
      <c r="L3977" s="12">
        <f t="shared" si="335"/>
        <v>48600</v>
      </c>
      <c r="M3977" s="8">
        <v>1</v>
      </c>
      <c r="N3977" s="8" t="s">
        <v>27</v>
      </c>
      <c r="O3977" s="13"/>
      <c r="P3977" s="14">
        <v>0.2</v>
      </c>
      <c r="Q3977" s="15">
        <v>0.3</v>
      </c>
      <c r="R3977" s="16" t="str">
        <f t="shared" si="333"/>
        <v>SIKA</v>
      </c>
      <c r="S3977" s="17"/>
      <c r="T3977" s="10" t="str">
        <f>G3977</f>
        <v>TUBO DE SELLADOR SIKA NEGRO</v>
      </c>
    </row>
    <row r="3978" spans="1:20" ht="27" customHeight="1" x14ac:dyDescent="0.25">
      <c r="A3978" s="8" t="s">
        <v>8250</v>
      </c>
      <c r="B3978" s="9"/>
      <c r="C3978" s="9"/>
      <c r="D3978" s="8"/>
      <c r="E3978" s="8"/>
      <c r="F3978" s="8" t="s">
        <v>22</v>
      </c>
      <c r="G3978" s="10" t="s">
        <v>8253</v>
      </c>
      <c r="H3978" s="8" t="s">
        <v>8254</v>
      </c>
      <c r="I3978" s="10" t="s">
        <v>8253</v>
      </c>
      <c r="J3978" s="11" t="s">
        <v>33</v>
      </c>
      <c r="K3978" s="18">
        <v>10000</v>
      </c>
      <c r="L3978" s="12">
        <f t="shared" si="335"/>
        <v>14300</v>
      </c>
      <c r="M3978" s="8">
        <v>1</v>
      </c>
      <c r="N3978" s="8" t="s">
        <v>27</v>
      </c>
      <c r="O3978" s="13"/>
      <c r="P3978" s="14">
        <v>0.2</v>
      </c>
      <c r="Q3978" s="15">
        <v>0.3</v>
      </c>
      <c r="R3978" s="16" t="str">
        <f t="shared" si="333"/>
        <v>SIKA</v>
      </c>
      <c r="S3978" s="17"/>
      <c r="T3978" s="10" t="str">
        <f>G3978</f>
        <v>TUBO DE SILICONA FRÍA ANTI HONGO</v>
      </c>
    </row>
    <row r="3979" spans="1:20" ht="27" customHeight="1" x14ac:dyDescent="0.25">
      <c r="A3979" s="8" t="s">
        <v>7931</v>
      </c>
      <c r="B3979" s="9"/>
      <c r="C3979" s="9"/>
      <c r="D3979" s="8"/>
      <c r="E3979" s="8"/>
      <c r="F3979" s="8"/>
      <c r="G3979" s="10"/>
      <c r="H3979" s="8" t="s">
        <v>8255</v>
      </c>
      <c r="I3979" s="10" t="s">
        <v>8256</v>
      </c>
      <c r="J3979" s="11" t="s">
        <v>33</v>
      </c>
      <c r="K3979" s="18">
        <v>30490</v>
      </c>
      <c r="L3979" s="12">
        <f t="shared" si="335"/>
        <v>43600</v>
      </c>
      <c r="M3979" s="8">
        <v>1</v>
      </c>
      <c r="N3979" s="8" t="s">
        <v>27</v>
      </c>
      <c r="O3979" s="13" t="s">
        <v>588</v>
      </c>
      <c r="P3979" s="14">
        <v>0</v>
      </c>
      <c r="Q3979" s="15">
        <v>0.3</v>
      </c>
      <c r="R3979" s="16" t="str">
        <f t="shared" si="333"/>
        <v>SYLVANIA</v>
      </c>
      <c r="S3979" s="17"/>
      <c r="T3979" s="10"/>
    </row>
    <row r="3980" spans="1:20" ht="27" customHeight="1" x14ac:dyDescent="0.25">
      <c r="A3980" s="8" t="s">
        <v>7931</v>
      </c>
      <c r="B3980" s="9"/>
      <c r="C3980" s="9"/>
      <c r="D3980" s="8"/>
      <c r="E3980" s="8"/>
      <c r="F3980" s="8"/>
      <c r="G3980" s="10"/>
      <c r="H3980" s="8" t="s">
        <v>8257</v>
      </c>
      <c r="I3980" s="10" t="s">
        <v>8258</v>
      </c>
      <c r="J3980" s="11" t="s">
        <v>33</v>
      </c>
      <c r="K3980" s="18">
        <v>224700</v>
      </c>
      <c r="L3980" s="12">
        <f t="shared" si="335"/>
        <v>321000</v>
      </c>
      <c r="M3980" s="8">
        <v>1</v>
      </c>
      <c r="N3980" s="8" t="s">
        <v>27</v>
      </c>
      <c r="O3980" s="13">
        <f>F3980</f>
        <v>0</v>
      </c>
      <c r="P3980" s="14">
        <v>0</v>
      </c>
      <c r="Q3980" s="15">
        <v>0.3</v>
      </c>
      <c r="R3980" s="16" t="str">
        <f t="shared" si="333"/>
        <v>SYLVANIA</v>
      </c>
      <c r="S3980" s="17"/>
      <c r="T3980" s="10"/>
    </row>
    <row r="3981" spans="1:20" ht="27" customHeight="1" x14ac:dyDescent="0.25">
      <c r="A3981" s="8" t="s">
        <v>8259</v>
      </c>
      <c r="B3981" s="9"/>
      <c r="C3981" s="9"/>
      <c r="D3981" s="8" t="s">
        <v>45</v>
      </c>
      <c r="E3981" s="8"/>
      <c r="F3981" s="8" t="s">
        <v>22</v>
      </c>
      <c r="G3981" s="10" t="s">
        <v>8260</v>
      </c>
      <c r="H3981" s="8" t="s">
        <v>8261</v>
      </c>
      <c r="I3981" s="10" t="s">
        <v>8262</v>
      </c>
      <c r="J3981" s="11" t="s">
        <v>26</v>
      </c>
      <c r="K3981" s="18">
        <v>5850</v>
      </c>
      <c r="L3981" s="12">
        <f>ROUNDUP(K3981*(1+P3981)/(1-Q3981),0)</f>
        <v>9000</v>
      </c>
      <c r="M3981" s="8">
        <v>1</v>
      </c>
      <c r="N3981" s="8" t="s">
        <v>27</v>
      </c>
      <c r="O3981" s="13"/>
      <c r="P3981" s="14">
        <v>0</v>
      </c>
      <c r="Q3981" s="15">
        <v>0.34996351167755713</v>
      </c>
      <c r="R3981" s="16" t="str">
        <f t="shared" si="333"/>
        <v>SIM2</v>
      </c>
      <c r="S3981" s="17"/>
      <c r="T3981" s="10" t="str">
        <f>G3981</f>
        <v>TV TIPO PROYECTOR LASER 4K.</v>
      </c>
    </row>
    <row r="3982" spans="1:20" ht="27" customHeight="1" x14ac:dyDescent="0.25">
      <c r="A3982" s="8" t="s">
        <v>8259</v>
      </c>
      <c r="B3982" s="9"/>
      <c r="C3982" s="9"/>
      <c r="D3982" s="8" t="s">
        <v>45</v>
      </c>
      <c r="E3982" s="8"/>
      <c r="F3982" s="8" t="s">
        <v>22</v>
      </c>
      <c r="G3982" s="10" t="str">
        <f>B3982&amp;"-"&amp;D3982&amp;"-"&amp;E3982&amp;F3982</f>
        <v>-PROG_-BLANCO</v>
      </c>
      <c r="H3982" s="8" t="s">
        <v>8263</v>
      </c>
      <c r="I3982" s="10" t="s">
        <v>8264</v>
      </c>
      <c r="J3982" s="11" t="s">
        <v>26</v>
      </c>
      <c r="K3982" s="18">
        <v>18000</v>
      </c>
      <c r="L3982" s="12">
        <f>K3982*(1+P3982)/(1-Q3982)</f>
        <v>22500</v>
      </c>
      <c r="M3982" s="8">
        <v>1</v>
      </c>
      <c r="N3982" s="8" t="s">
        <v>27</v>
      </c>
      <c r="O3982" s="13"/>
      <c r="P3982" s="14">
        <v>0</v>
      </c>
      <c r="Q3982" s="15">
        <v>0.2</v>
      </c>
      <c r="R3982" s="16" t="str">
        <f t="shared" si="333"/>
        <v>SIM2</v>
      </c>
      <c r="S3982" s="17"/>
      <c r="T3982" s="10" t="str">
        <f>G3982</f>
        <v>-PROG_-BLANCO</v>
      </c>
    </row>
    <row r="3983" spans="1:20" ht="27" customHeight="1" x14ac:dyDescent="0.25">
      <c r="A3983" s="8" t="s">
        <v>8259</v>
      </c>
      <c r="B3983" s="9"/>
      <c r="C3983" s="9"/>
      <c r="D3983" s="8" t="s">
        <v>45</v>
      </c>
      <c r="E3983" s="8"/>
      <c r="F3983" s="8" t="s">
        <v>22</v>
      </c>
      <c r="G3983" s="10" t="str">
        <f>B3983&amp;"-"&amp;D3983&amp;"-"&amp;E3983&amp;F3983</f>
        <v>-PROG_-BLANCO</v>
      </c>
      <c r="H3983" s="8" t="s">
        <v>8265</v>
      </c>
      <c r="I3983" s="10" t="s">
        <v>8266</v>
      </c>
      <c r="J3983" s="11" t="s">
        <v>26</v>
      </c>
      <c r="K3983" s="18">
        <v>7800</v>
      </c>
      <c r="L3983" s="12">
        <f>K3983*(1+P3983)/(1-Q3983)</f>
        <v>9750</v>
      </c>
      <c r="M3983" s="8">
        <v>1</v>
      </c>
      <c r="N3983" s="8" t="s">
        <v>27</v>
      </c>
      <c r="O3983" s="13"/>
      <c r="P3983" s="14">
        <v>0</v>
      </c>
      <c r="Q3983" s="15">
        <v>0.2</v>
      </c>
      <c r="R3983" s="16" t="str">
        <f t="shared" si="333"/>
        <v>SIM2</v>
      </c>
      <c r="S3983" s="17"/>
      <c r="T3983" s="10" t="str">
        <f>G3983</f>
        <v>-PROG_-BLANCO</v>
      </c>
    </row>
    <row r="3984" spans="1:20" ht="27" customHeight="1" x14ac:dyDescent="0.25">
      <c r="A3984" s="8" t="s">
        <v>8259</v>
      </c>
      <c r="B3984" s="9"/>
      <c r="C3984" s="9"/>
      <c r="D3984" s="8"/>
      <c r="E3984" s="8"/>
      <c r="F3984" s="8"/>
      <c r="G3984" s="10"/>
      <c r="H3984" s="8" t="s">
        <v>8267</v>
      </c>
      <c r="I3984" s="10" t="s">
        <v>8268</v>
      </c>
      <c r="J3984" s="11" t="s">
        <v>26</v>
      </c>
      <c r="K3984" s="18">
        <v>18000</v>
      </c>
      <c r="L3984" s="12">
        <f>IF(J3984="P",ROUNDUP(K3984/(1-Q3984),-2),K3984*(1+P3984)/(1-Q3984))</f>
        <v>28800</v>
      </c>
      <c r="M3984" s="8">
        <v>1</v>
      </c>
      <c r="N3984" s="8" t="s">
        <v>27</v>
      </c>
      <c r="O3984" s="13"/>
      <c r="P3984" s="14">
        <v>0.2</v>
      </c>
      <c r="Q3984" s="15">
        <v>0.25</v>
      </c>
      <c r="R3984" s="16" t="str">
        <f t="shared" si="333"/>
        <v>SIM2</v>
      </c>
      <c r="S3984" s="17"/>
      <c r="T3984" s="10"/>
    </row>
    <row r="3985" spans="1:20" ht="27" customHeight="1" x14ac:dyDescent="0.25">
      <c r="A3985" s="8" t="s">
        <v>8259</v>
      </c>
      <c r="B3985" s="9"/>
      <c r="C3985" s="9"/>
      <c r="D3985" s="8"/>
      <c r="E3985" s="8"/>
      <c r="F3985" s="8"/>
      <c r="G3985" s="10"/>
      <c r="H3985" s="8" t="s">
        <v>8269</v>
      </c>
      <c r="I3985" s="10" t="s">
        <v>8270</v>
      </c>
      <c r="J3985" s="11" t="s">
        <v>26</v>
      </c>
      <c r="K3985" s="18">
        <v>10300</v>
      </c>
      <c r="L3985" s="12">
        <f>IF(J3985="P",ROUNDUP(K3985/(1-Q3985),-2),K3985*(1+P3985)/(1-Q3985))</f>
        <v>16737.5</v>
      </c>
      <c r="M3985" s="8">
        <v>1</v>
      </c>
      <c r="N3985" s="8" t="s">
        <v>27</v>
      </c>
      <c r="O3985" s="13"/>
      <c r="P3985" s="14">
        <v>0.3</v>
      </c>
      <c r="Q3985" s="15">
        <v>0.2</v>
      </c>
      <c r="R3985" s="16" t="str">
        <f t="shared" si="333"/>
        <v>SIM2</v>
      </c>
      <c r="S3985" s="17"/>
      <c r="T3985" s="10"/>
    </row>
    <row r="3986" spans="1:20" ht="27" customHeight="1" x14ac:dyDescent="0.25">
      <c r="A3986" s="8" t="s">
        <v>8271</v>
      </c>
      <c r="B3986" s="9"/>
      <c r="C3986" s="9"/>
      <c r="D3986" s="8" t="s">
        <v>45</v>
      </c>
      <c r="E3986" s="8"/>
      <c r="F3986" s="8" t="s">
        <v>22</v>
      </c>
      <c r="G3986" s="10" t="s">
        <v>8272</v>
      </c>
      <c r="H3986" s="8" t="s">
        <v>8273</v>
      </c>
      <c r="I3986" s="10" t="s">
        <v>8272</v>
      </c>
      <c r="J3986" s="11" t="s">
        <v>26</v>
      </c>
      <c r="K3986" s="18">
        <v>8</v>
      </c>
      <c r="L3986" s="12">
        <f>IF(J3986="P",ROUNDUP(K3986/(1-Q3986),-2),K3986*(1+P3986)/(1-Q3986))</f>
        <v>11.428571428571429</v>
      </c>
      <c r="M3986" s="8">
        <v>1</v>
      </c>
      <c r="N3986" s="8" t="s">
        <v>27</v>
      </c>
      <c r="O3986" s="13"/>
      <c r="P3986" s="14">
        <v>0</v>
      </c>
      <c r="Q3986" s="15">
        <v>0.3</v>
      </c>
      <c r="R3986" s="16" t="str">
        <f t="shared" si="333"/>
        <v>SISMICA</v>
      </c>
      <c r="S3986" s="17"/>
      <c r="T3986" s="10" t="str">
        <f>G3986</f>
        <v>CONECTOR HEMBRA 1/4 PARA MICRÓFONO</v>
      </c>
    </row>
    <row r="3987" spans="1:20" ht="27" customHeight="1" x14ac:dyDescent="0.25">
      <c r="A3987" s="8" t="s">
        <v>8274</v>
      </c>
      <c r="B3987" s="9"/>
      <c r="C3987" s="9"/>
      <c r="D3987" s="8" t="s">
        <v>45</v>
      </c>
      <c r="E3987" s="8"/>
      <c r="F3987" s="8" t="s">
        <v>22</v>
      </c>
      <c r="G3987" s="10" t="s">
        <v>3705</v>
      </c>
      <c r="H3987" s="8" t="s">
        <v>8275</v>
      </c>
      <c r="I3987" s="10" t="s">
        <v>3705</v>
      </c>
      <c r="J3987" s="11" t="s">
        <v>26</v>
      </c>
      <c r="K3987" s="18">
        <v>45</v>
      </c>
      <c r="L3987" s="12">
        <f>IF(J3987="P",ROUNDUP(K3987/(1-Q3987),-2),K3987*(1+P3987)/(1-Q3987))</f>
        <v>77.142857142857153</v>
      </c>
      <c r="M3987" s="8">
        <v>1</v>
      </c>
      <c r="N3987" s="8" t="s">
        <v>27</v>
      </c>
      <c r="O3987" s="13"/>
      <c r="P3987" s="14">
        <v>0.2</v>
      </c>
      <c r="Q3987" s="15">
        <v>0.3</v>
      </c>
      <c r="R3987" s="16" t="str">
        <f t="shared" si="333"/>
        <v>SISMIK</v>
      </c>
      <c r="S3987" s="17" t="s">
        <v>8276</v>
      </c>
      <c r="T3987" s="10" t="str">
        <f>G3987</f>
        <v>PARLANTES PARA AMBIENTE SALINO Y RESISTENTES AL AGUA DE 6.5", POTENCIA DE 200W</v>
      </c>
    </row>
    <row r="3988" spans="1:20" ht="27" customHeight="1" x14ac:dyDescent="0.25">
      <c r="A3988" s="8" t="s">
        <v>8277</v>
      </c>
      <c r="B3988" s="9"/>
      <c r="C3988" s="9"/>
      <c r="D3988" s="8"/>
      <c r="E3988" s="8"/>
      <c r="F3988" s="8"/>
      <c r="G3988" s="10"/>
      <c r="H3988" s="8" t="s">
        <v>8278</v>
      </c>
      <c r="I3988" s="10" t="s">
        <v>8279</v>
      </c>
      <c r="J3988" s="11" t="s">
        <v>33</v>
      </c>
      <c r="K3988" s="18">
        <v>71000</v>
      </c>
      <c r="L3988" s="12">
        <f>K3988*(1+P3988)/(1-Q3988)</f>
        <v>101428.57142857143</v>
      </c>
      <c r="M3988" s="8">
        <v>1</v>
      </c>
      <c r="N3988" s="8" t="s">
        <v>27</v>
      </c>
      <c r="O3988" s="13"/>
      <c r="P3988" s="14">
        <v>0</v>
      </c>
      <c r="Q3988" s="15">
        <v>0.3</v>
      </c>
      <c r="R3988" s="16" t="str">
        <f t="shared" si="333"/>
        <v>SKANDISC</v>
      </c>
      <c r="S3988" s="17"/>
      <c r="T3988" s="10"/>
    </row>
    <row r="3989" spans="1:20" ht="27" customHeight="1" x14ac:dyDescent="0.25">
      <c r="A3989" s="8" t="s">
        <v>8280</v>
      </c>
      <c r="B3989" s="9"/>
      <c r="C3989" s="9"/>
      <c r="D3989" s="8" t="s">
        <v>45</v>
      </c>
      <c r="E3989" s="8"/>
      <c r="F3989" s="8" t="s">
        <v>22</v>
      </c>
      <c r="G3989" s="10" t="s">
        <v>8281</v>
      </c>
      <c r="H3989" s="8" t="s">
        <v>8282</v>
      </c>
      <c r="I3989" s="10" t="s">
        <v>8283</v>
      </c>
      <c r="J3989" s="11" t="s">
        <v>33</v>
      </c>
      <c r="K3989" s="18">
        <v>590000</v>
      </c>
      <c r="L3989" s="12">
        <f>ROUNDUP(K3989*(1+P3989)/(1-Q3989),0)</f>
        <v>842858</v>
      </c>
      <c r="M3989" s="8">
        <v>1</v>
      </c>
      <c r="N3989" s="8" t="s">
        <v>27</v>
      </c>
      <c r="O3989" s="13"/>
      <c r="P3989" s="14">
        <v>0</v>
      </c>
      <c r="Q3989" s="15">
        <v>0.3</v>
      </c>
      <c r="R3989" s="16" t="str">
        <f t="shared" si="333"/>
        <v>SMART</v>
      </c>
      <c r="S3989" s="17"/>
      <c r="T3989" s="10" t="str">
        <f>G3989</f>
        <v>REFLECTOR CON PANEL SOLAR, 150W, 11000 LM, DURACIÓN DE ENCENDIDO 8-12 HORAS.</v>
      </c>
    </row>
    <row r="3990" spans="1:20" ht="27" customHeight="1" x14ac:dyDescent="0.25">
      <c r="A3990" s="8" t="s">
        <v>8280</v>
      </c>
      <c r="B3990" s="9"/>
      <c r="C3990" s="9"/>
      <c r="D3990" s="8" t="s">
        <v>45</v>
      </c>
      <c r="E3990" s="8"/>
      <c r="F3990" s="8" t="s">
        <v>22</v>
      </c>
      <c r="G3990" s="10" t="s">
        <v>8284</v>
      </c>
      <c r="H3990" s="8" t="s">
        <v>8285</v>
      </c>
      <c r="I3990" s="10" t="s">
        <v>8286</v>
      </c>
      <c r="J3990" s="11" t="s">
        <v>33</v>
      </c>
      <c r="K3990" s="18">
        <v>480000</v>
      </c>
      <c r="L3990" s="12">
        <f>ROUNDUP(K3990*(1+P3990)/(1-Q3990),0)</f>
        <v>685715</v>
      </c>
      <c r="M3990" s="8">
        <v>1</v>
      </c>
      <c r="N3990" s="8" t="s">
        <v>27</v>
      </c>
      <c r="O3990" s="13"/>
      <c r="P3990" s="14">
        <v>0</v>
      </c>
      <c r="Q3990" s="15">
        <v>0.3</v>
      </c>
      <c r="R3990" s="16" t="str">
        <f t="shared" si="333"/>
        <v>SMART</v>
      </c>
      <c r="S3990" s="17"/>
      <c r="T3990" s="10" t="str">
        <f>G3990</f>
        <v>REFLECTOR CON PANEL SOLAR, 100W, 7500 LM.</v>
      </c>
    </row>
    <row r="3991" spans="1:20" ht="27" customHeight="1" x14ac:dyDescent="0.25">
      <c r="A3991" s="8" t="s">
        <v>8280</v>
      </c>
      <c r="B3991" s="9"/>
      <c r="C3991" s="9"/>
      <c r="D3991" s="8" t="s">
        <v>45</v>
      </c>
      <c r="E3991" s="8"/>
      <c r="F3991" s="8" t="s">
        <v>22</v>
      </c>
      <c r="G3991" s="10" t="s">
        <v>8287</v>
      </c>
      <c r="H3991" s="8" t="s">
        <v>8288</v>
      </c>
      <c r="I3991" s="10" t="s">
        <v>8289</v>
      </c>
      <c r="J3991" s="11" t="s">
        <v>33</v>
      </c>
      <c r="K3991" s="18">
        <v>780000</v>
      </c>
      <c r="L3991" s="12">
        <f>ROUNDUP(K3991*(1+P3991)/(1-Q3991),0)</f>
        <v>1114286</v>
      </c>
      <c r="M3991" s="8">
        <v>1</v>
      </c>
      <c r="N3991" s="8" t="s">
        <v>27</v>
      </c>
      <c r="O3991" s="13"/>
      <c r="P3991" s="14">
        <v>0</v>
      </c>
      <c r="Q3991" s="15">
        <v>0.3</v>
      </c>
      <c r="R3991" s="16" t="str">
        <f t="shared" si="333"/>
        <v>SMART</v>
      </c>
      <c r="S3991" s="17"/>
      <c r="T3991" s="10" t="str">
        <f>G3991</f>
        <v>REFLECTOR CON PANEL SOLAR, 200W, 15000 LM, DURACIÓN DE ENCENDIDO 8-12 HORAS.</v>
      </c>
    </row>
    <row r="3992" spans="1:20" ht="27" customHeight="1" x14ac:dyDescent="0.25">
      <c r="A3992" s="8" t="s">
        <v>8290</v>
      </c>
      <c r="B3992" s="9"/>
      <c r="C3992" s="9"/>
      <c r="D3992" s="8"/>
      <c r="E3992" s="8"/>
      <c r="F3992" s="8"/>
      <c r="G3992" s="10"/>
      <c r="H3992" s="8" t="s">
        <v>8291</v>
      </c>
      <c r="I3992" s="10" t="s">
        <v>8292</v>
      </c>
      <c r="J3992" s="11" t="s">
        <v>26</v>
      </c>
      <c r="K3992" s="18">
        <v>40</v>
      </c>
      <c r="L3992" s="12">
        <f>K3992*(1+P3992)/(1-Q3992)</f>
        <v>61.538461538461533</v>
      </c>
      <c r="M3992" s="8">
        <v>1</v>
      </c>
      <c r="N3992" s="8" t="s">
        <v>27</v>
      </c>
      <c r="O3992" s="13"/>
      <c r="P3992" s="14">
        <v>0</v>
      </c>
      <c r="Q3992" s="15">
        <v>0.35</v>
      </c>
      <c r="R3992" s="16" t="str">
        <f t="shared" si="333"/>
        <v>SMART DIGITAL</v>
      </c>
      <c r="S3992" s="17" t="s">
        <v>8293</v>
      </c>
      <c r="T3992" s="10" t="s">
        <v>8294</v>
      </c>
    </row>
    <row r="3993" spans="1:20" ht="27" customHeight="1" x14ac:dyDescent="0.25">
      <c r="A3993" s="8" t="s">
        <v>8295</v>
      </c>
      <c r="B3993" s="9" t="s">
        <v>8296</v>
      </c>
      <c r="C3993" s="9"/>
      <c r="D3993" s="8" t="s">
        <v>148</v>
      </c>
      <c r="E3993" s="8"/>
      <c r="F3993" s="8" t="s">
        <v>22</v>
      </c>
      <c r="G3993" s="10" t="s">
        <v>8297</v>
      </c>
      <c r="H3993" s="8" t="s">
        <v>8298</v>
      </c>
      <c r="I3993" s="10" t="s">
        <v>8297</v>
      </c>
      <c r="J3993" s="11" t="s">
        <v>26</v>
      </c>
      <c r="K3993" s="18">
        <v>55</v>
      </c>
      <c r="L3993" s="12">
        <f>IF(J3993="P",ROUNDUP(K3993/(1-Q3993),-2),K3993*(1+P3993)/(1-Q3993))</f>
        <v>90.410958904109592</v>
      </c>
      <c r="M3993" s="8">
        <v>1</v>
      </c>
      <c r="N3993" s="8" t="s">
        <v>27</v>
      </c>
      <c r="O3993" s="13"/>
      <c r="P3993" s="14">
        <v>0.2</v>
      </c>
      <c r="Q3993" s="15">
        <v>0.27</v>
      </c>
      <c r="R3993" s="16" t="str">
        <f t="shared" si="333"/>
        <v>SMSL</v>
      </c>
      <c r="S3993" s="17"/>
      <c r="T3993" s="10" t="str">
        <f>G3993</f>
        <v>AMPLIFICADOR MINI 2X20W.</v>
      </c>
    </row>
    <row r="3994" spans="1:20" ht="27" customHeight="1" x14ac:dyDescent="0.25">
      <c r="A3994" s="8" t="s">
        <v>8299</v>
      </c>
      <c r="B3994" s="9" t="s">
        <v>8300</v>
      </c>
      <c r="C3994" s="9"/>
      <c r="D3994" s="8" t="s">
        <v>8301</v>
      </c>
      <c r="E3994" s="8">
        <v>1</v>
      </c>
      <c r="F3994" s="8" t="s">
        <v>22</v>
      </c>
      <c r="G3994" s="10" t="s">
        <v>8302</v>
      </c>
      <c r="H3994" s="8" t="s">
        <v>8303</v>
      </c>
      <c r="I3994" s="10" t="s">
        <v>8302</v>
      </c>
      <c r="J3994" s="11" t="s">
        <v>26</v>
      </c>
      <c r="K3994" s="18">
        <v>5993</v>
      </c>
      <c r="L3994" s="12">
        <f>IF(J3994="P",ROUNDUP(K3994/(1-Q3994),-2),K3994*(1+P3994)/(1-Q3994))</f>
        <v>8989.4999999999982</v>
      </c>
      <c r="M3994" s="8">
        <v>1</v>
      </c>
      <c r="N3994" s="8" t="s">
        <v>27</v>
      </c>
      <c r="O3994" s="13"/>
      <c r="P3994" s="14">
        <v>0.2</v>
      </c>
      <c r="Q3994" s="15">
        <v>0.2</v>
      </c>
      <c r="R3994" s="16" t="str">
        <f t="shared" si="333"/>
        <v>SOLARBEAM</v>
      </c>
      <c r="S3994" s="17"/>
      <c r="T3994" s="10" t="str">
        <f>G3994</f>
        <v>TORRE CON UN ARREGLO INFRA ROJO, PANEL SOLAR Y RADIO DE COMUNICACIÓN.</v>
      </c>
    </row>
    <row r="3995" spans="1:20" ht="27" customHeight="1" x14ac:dyDescent="0.25">
      <c r="A3995" s="8" t="s">
        <v>8299</v>
      </c>
      <c r="B3995" s="9" t="s">
        <v>8300</v>
      </c>
      <c r="C3995" s="9"/>
      <c r="D3995" s="8" t="s">
        <v>8301</v>
      </c>
      <c r="E3995" s="8">
        <v>1</v>
      </c>
      <c r="F3995" s="8" t="s">
        <v>22</v>
      </c>
      <c r="G3995" s="10" t="s">
        <v>8304</v>
      </c>
      <c r="H3995" s="8" t="s">
        <v>8305</v>
      </c>
      <c r="I3995" s="10" t="s">
        <v>8304</v>
      </c>
      <c r="J3995" s="11" t="s">
        <v>26</v>
      </c>
      <c r="K3995" s="18">
        <f>796</f>
        <v>796</v>
      </c>
      <c r="L3995" s="12">
        <f>IF(J3995="P",ROUNDUP(K3995/(1-Q3995),-2),K3995*(1+P3995)/(1-Q3995))</f>
        <v>1193.9999999999998</v>
      </c>
      <c r="M3995" s="8">
        <v>1</v>
      </c>
      <c r="N3995" s="8" t="s">
        <v>27</v>
      </c>
      <c r="O3995" s="13"/>
      <c r="P3995" s="14">
        <v>0.2</v>
      </c>
      <c r="Q3995" s="15">
        <v>0.2</v>
      </c>
      <c r="R3995" s="16" t="str">
        <f t="shared" si="333"/>
        <v>SOLARBEAM</v>
      </c>
      <c r="S3995" s="17"/>
      <c r="T3995" s="10" t="str">
        <f>G3995</f>
        <v>BASES PARA ANCLAJES.</v>
      </c>
    </row>
    <row r="3996" spans="1:20" ht="27" customHeight="1" x14ac:dyDescent="0.25">
      <c r="A3996" s="8" t="s">
        <v>8299</v>
      </c>
      <c r="B3996" s="9" t="s">
        <v>8300</v>
      </c>
      <c r="C3996" s="9"/>
      <c r="D3996" s="8" t="s">
        <v>8301</v>
      </c>
      <c r="E3996" s="8">
        <v>2</v>
      </c>
      <c r="F3996" s="8" t="s">
        <v>22</v>
      </c>
      <c r="G3996" s="10" t="s">
        <v>8306</v>
      </c>
      <c r="H3996" s="8" t="s">
        <v>8307</v>
      </c>
      <c r="I3996" s="10" t="s">
        <v>8306</v>
      </c>
      <c r="J3996" s="11" t="s">
        <v>26</v>
      </c>
      <c r="K3996" s="18">
        <v>1080</v>
      </c>
      <c r="L3996" s="12">
        <f>IF(J3996="P",ROUNDUP(K3996/(1-Q3996),-2),K3996*(1+P3996)/(1-Q3996))</f>
        <v>1851.4285714285716</v>
      </c>
      <c r="M3996" s="8">
        <v>1</v>
      </c>
      <c r="N3996" s="8" t="s">
        <v>27</v>
      </c>
      <c r="O3996" s="13"/>
      <c r="P3996" s="14">
        <v>0.2</v>
      </c>
      <c r="Q3996" s="15">
        <v>0.3</v>
      </c>
      <c r="R3996" s="16" t="str">
        <f t="shared" si="333"/>
        <v>SOLARBEAM</v>
      </c>
      <c r="S3996" s="17"/>
      <c r="T3996" s="10" t="str">
        <f>G3996</f>
        <v>RECEPTOR DE ARREGLO DE RADIO LINEAL.</v>
      </c>
    </row>
    <row r="3997" spans="1:20" ht="27" customHeight="1" x14ac:dyDescent="0.25">
      <c r="A3997" s="8" t="s">
        <v>8308</v>
      </c>
      <c r="B3997" s="9"/>
      <c r="C3997" s="9"/>
      <c r="D3997" s="8"/>
      <c r="E3997" s="8"/>
      <c r="F3997" s="8"/>
      <c r="G3997" s="10"/>
      <c r="H3997" s="8" t="s">
        <v>8309</v>
      </c>
      <c r="I3997" s="10" t="s">
        <v>8310</v>
      </c>
      <c r="J3997" s="11" t="s">
        <v>33</v>
      </c>
      <c r="K3997" s="18">
        <v>28300</v>
      </c>
      <c r="L3997" s="12">
        <f>ROUNDUP(K3997*(1+P3997)/(1-Q3997),0)</f>
        <v>56600</v>
      </c>
      <c r="M3997" s="8">
        <v>1</v>
      </c>
      <c r="N3997" s="8" t="s">
        <v>27</v>
      </c>
      <c r="O3997" s="13"/>
      <c r="P3997" s="14">
        <v>0</v>
      </c>
      <c r="Q3997" s="15">
        <v>0.5</v>
      </c>
      <c r="R3997" s="16" t="str">
        <f t="shared" si="333"/>
        <v>SOLIDVIEW</v>
      </c>
      <c r="S3997" s="17"/>
      <c r="T3997" s="10"/>
    </row>
    <row r="3998" spans="1:20" ht="27" customHeight="1" x14ac:dyDescent="0.25">
      <c r="A3998" s="8" t="s">
        <v>8308</v>
      </c>
      <c r="B3998" s="9"/>
      <c r="C3998" s="9"/>
      <c r="D3998" s="8"/>
      <c r="E3998" s="8"/>
      <c r="F3998" s="8" t="s">
        <v>22</v>
      </c>
      <c r="G3998" s="10" t="s">
        <v>8311</v>
      </c>
      <c r="H3998" s="8" t="s">
        <v>8312</v>
      </c>
      <c r="I3998" s="10" t="s">
        <v>8311</v>
      </c>
      <c r="J3998" s="11" t="s">
        <v>33</v>
      </c>
      <c r="K3998" s="18">
        <v>194900</v>
      </c>
      <c r="L3998" s="12">
        <f>IF(J3998="P",ROUNDUP(K3998/(1-Q3998),-2),K3998*(1+P3998)/(1-Q3998))</f>
        <v>278500</v>
      </c>
      <c r="M3998" s="8">
        <v>1</v>
      </c>
      <c r="N3998" s="8" t="s">
        <v>27</v>
      </c>
      <c r="O3998" s="13"/>
      <c r="P3998" s="14">
        <v>0.2</v>
      </c>
      <c r="Q3998" s="15">
        <v>0.3</v>
      </c>
      <c r="R3998" s="16" t="str">
        <f t="shared" si="333"/>
        <v>SOLIDVIEW</v>
      </c>
      <c r="S3998" s="17"/>
      <c r="T3998" s="10" t="str">
        <f t="shared" ref="T3998:T4015" si="337">G3998</f>
        <v>CABLE HDMI DE 20 METROS</v>
      </c>
    </row>
    <row r="3999" spans="1:20" ht="27" customHeight="1" x14ac:dyDescent="0.25">
      <c r="A3999" s="8" t="s">
        <v>8308</v>
      </c>
      <c r="B3999" s="9"/>
      <c r="C3999" s="9"/>
      <c r="D3999" s="8"/>
      <c r="E3999" s="8"/>
      <c r="F3999" s="8" t="s">
        <v>22</v>
      </c>
      <c r="G3999" s="10" t="s">
        <v>8313</v>
      </c>
      <c r="H3999" s="8" t="s">
        <v>8314</v>
      </c>
      <c r="I3999" s="10" t="s">
        <v>8313</v>
      </c>
      <c r="J3999" s="11" t="s">
        <v>33</v>
      </c>
      <c r="K3999" s="18">
        <v>85000</v>
      </c>
      <c r="L3999" s="12">
        <f>IF(J3999="P",ROUNDUP(K3999/(1-Q3999),-2),K3999*(1+P3999)/(1-Q3999))</f>
        <v>121500</v>
      </c>
      <c r="M3999" s="8">
        <v>1</v>
      </c>
      <c r="N3999" s="8" t="s">
        <v>27</v>
      </c>
      <c r="O3999" s="13"/>
      <c r="P3999" s="14">
        <v>0</v>
      </c>
      <c r="Q3999" s="15">
        <v>0.3</v>
      </c>
      <c r="R3999" s="16" t="str">
        <f t="shared" si="333"/>
        <v>SOLIDVIEW</v>
      </c>
      <c r="S3999" s="17"/>
      <c r="T3999" s="10" t="str">
        <f t="shared" si="337"/>
        <v>CABLE HDMI DE 10 METROS</v>
      </c>
    </row>
    <row r="4000" spans="1:20" ht="27" customHeight="1" x14ac:dyDescent="0.25">
      <c r="A4000" s="8" t="s">
        <v>8308</v>
      </c>
      <c r="B4000" s="9"/>
      <c r="C4000" s="9"/>
      <c r="D4000" s="8"/>
      <c r="E4000" s="8"/>
      <c r="F4000" s="8" t="s">
        <v>22</v>
      </c>
      <c r="G4000" s="10" t="s">
        <v>8315</v>
      </c>
      <c r="H4000" s="8" t="s">
        <v>8316</v>
      </c>
      <c r="I4000" s="10" t="s">
        <v>8315</v>
      </c>
      <c r="J4000" s="11" t="s">
        <v>33</v>
      </c>
      <c r="K4000" s="18">
        <v>8000</v>
      </c>
      <c r="L4000" s="12">
        <f>IF(J4000="P",ROUNDUP(K4000/(1-Q4000),-2),K4000*(1+P4000)/(1-Q4000))</f>
        <v>13400</v>
      </c>
      <c r="M4000" s="8">
        <v>1</v>
      </c>
      <c r="N4000" s="8" t="s">
        <v>27</v>
      </c>
      <c r="O4000" s="13"/>
      <c r="P4000" s="14">
        <v>0</v>
      </c>
      <c r="Q4000" s="15">
        <v>0.4</v>
      </c>
      <c r="R4000" s="16" t="str">
        <f t="shared" si="333"/>
        <v>SOLIDVIEW</v>
      </c>
      <c r="S4000" s="17"/>
      <c r="T4000" s="10" t="str">
        <f t="shared" si="337"/>
        <v>CABLE HDMI DE 90 CM.</v>
      </c>
    </row>
    <row r="4001" spans="1:23" ht="27" customHeight="1" x14ac:dyDescent="0.25">
      <c r="A4001" s="8" t="s">
        <v>8308</v>
      </c>
      <c r="B4001" s="9"/>
      <c r="C4001" s="9"/>
      <c r="D4001" s="8"/>
      <c r="E4001" s="8"/>
      <c r="F4001" s="8" t="s">
        <v>22</v>
      </c>
      <c r="G4001" s="10" t="s">
        <v>2562</v>
      </c>
      <c r="H4001" s="8" t="s">
        <v>8317</v>
      </c>
      <c r="I4001" s="10" t="s">
        <v>2562</v>
      </c>
      <c r="J4001" s="11" t="s">
        <v>33</v>
      </c>
      <c r="K4001" s="18">
        <v>14000</v>
      </c>
      <c r="L4001" s="12">
        <f>IF(J4001="P",ROUNDUP(K4001/(1-Q4001),-2),K4001*(1+P4001)/(1-Q4001))</f>
        <v>23400</v>
      </c>
      <c r="M4001" s="8">
        <v>1</v>
      </c>
      <c r="N4001" s="8" t="s">
        <v>27</v>
      </c>
      <c r="O4001" s="13"/>
      <c r="P4001" s="14">
        <v>0</v>
      </c>
      <c r="Q4001" s="15">
        <v>0.4</v>
      </c>
      <c r="R4001" s="16" t="str">
        <f t="shared" si="333"/>
        <v>SOLIDVIEW</v>
      </c>
      <c r="S4001" s="17"/>
      <c r="T4001" s="10" t="str">
        <f t="shared" si="337"/>
        <v>CABLE HDMI DE 1.8 METROS</v>
      </c>
    </row>
    <row r="4002" spans="1:23" ht="27" customHeight="1" x14ac:dyDescent="0.25">
      <c r="A4002" s="8" t="s">
        <v>8308</v>
      </c>
      <c r="B4002" s="9"/>
      <c r="C4002" s="9"/>
      <c r="D4002" s="8" t="s">
        <v>45</v>
      </c>
      <c r="E4002" s="8"/>
      <c r="F4002" s="8" t="s">
        <v>22</v>
      </c>
      <c r="G4002" s="10" t="s">
        <v>8318</v>
      </c>
      <c r="H4002" s="8" t="s">
        <v>8319</v>
      </c>
      <c r="I4002" s="10" t="s">
        <v>8318</v>
      </c>
      <c r="J4002" s="11" t="s">
        <v>33</v>
      </c>
      <c r="K4002" s="18">
        <v>409800</v>
      </c>
      <c r="L4002" s="12">
        <f>ROUNDUP(K4002*(1+P4002)/(1-Q4002),0)</f>
        <v>585429</v>
      </c>
      <c r="M4002" s="8">
        <v>1</v>
      </c>
      <c r="N4002" s="8" t="s">
        <v>27</v>
      </c>
      <c r="O4002" s="13"/>
      <c r="P4002" s="14">
        <v>0</v>
      </c>
      <c r="Q4002" s="15">
        <v>0.3</v>
      </c>
      <c r="R4002" s="16" t="str">
        <f t="shared" si="333"/>
        <v>SOLIDVIEW</v>
      </c>
      <c r="S4002" s="17"/>
      <c r="T4002" s="10" t="str">
        <f t="shared" si="337"/>
        <v>CAJA DE CONEXIÓN A MESA CON SALIDA HDMI, VGA, DOS TOMAS, USB, UN RJ45.</v>
      </c>
    </row>
    <row r="4003" spans="1:23" ht="27" customHeight="1" x14ac:dyDescent="0.25">
      <c r="A4003" s="8" t="s">
        <v>8308</v>
      </c>
      <c r="B4003" s="9"/>
      <c r="C4003" s="9"/>
      <c r="D4003" s="8"/>
      <c r="E4003" s="8"/>
      <c r="F4003" s="8" t="s">
        <v>22</v>
      </c>
      <c r="G4003" s="10" t="s">
        <v>8320</v>
      </c>
      <c r="H4003" s="8" t="s">
        <v>8321</v>
      </c>
      <c r="I4003" s="10" t="s">
        <v>8320</v>
      </c>
      <c r="J4003" s="11" t="s">
        <v>33</v>
      </c>
      <c r="K4003" s="18">
        <v>1278000</v>
      </c>
      <c r="L4003" s="12">
        <f>IF(J4003="P",ROUNDUP(K4003/(1-Q4003),-2),K4003*(1+P4003)/(1-Q4003))</f>
        <v>2130000</v>
      </c>
      <c r="M4003" s="8">
        <v>1</v>
      </c>
      <c r="N4003" s="8" t="s">
        <v>27</v>
      </c>
      <c r="O4003" s="13" t="s">
        <v>588</v>
      </c>
      <c r="P4003" s="14">
        <v>0.2</v>
      </c>
      <c r="Q4003" s="15">
        <v>0.4</v>
      </c>
      <c r="R4003" s="16" t="str">
        <f t="shared" si="333"/>
        <v>SOLIDVIEW</v>
      </c>
      <c r="S4003" s="17"/>
      <c r="T4003" s="10" t="str">
        <f t="shared" si="337"/>
        <v>TELÓN FORMATO 16:9, CON MOTOR SILENCIOSO. 2.34X1.32M, 106 PULGADAS EN DIAGONAL.</v>
      </c>
    </row>
    <row r="4004" spans="1:23" ht="27" customHeight="1" x14ac:dyDescent="0.25">
      <c r="A4004" s="8" t="s">
        <v>8308</v>
      </c>
      <c r="B4004" s="9"/>
      <c r="C4004" s="9"/>
      <c r="D4004" s="8" t="s">
        <v>45</v>
      </c>
      <c r="E4004" s="8"/>
      <c r="F4004" s="8" t="s">
        <v>22</v>
      </c>
      <c r="G4004" s="10" t="s">
        <v>8322</v>
      </c>
      <c r="H4004" s="8" t="s">
        <v>8323</v>
      </c>
      <c r="I4004" s="10" t="s">
        <v>8322</v>
      </c>
      <c r="J4004" s="11" t="s">
        <v>33</v>
      </c>
      <c r="K4004" s="18">
        <v>238900</v>
      </c>
      <c r="L4004" s="12">
        <f>IF(J4004="P",ROUNDUP(K4004/(1-Q4004),-2),K4004*(1+P4004)/(1-Q4004))</f>
        <v>298700</v>
      </c>
      <c r="M4004" s="8">
        <v>1</v>
      </c>
      <c r="N4004" s="8" t="s">
        <v>27</v>
      </c>
      <c r="O4004" s="13"/>
      <c r="P4004" s="14">
        <v>0</v>
      </c>
      <c r="Q4004" s="15">
        <v>0.2</v>
      </c>
      <c r="R4004" s="16" t="str">
        <f t="shared" si="333"/>
        <v>SOLIDVIEW</v>
      </c>
      <c r="S4004" s="17"/>
      <c r="T4004" s="10" t="str">
        <f t="shared" si="337"/>
        <v>EXTENDER HDMI POR UTP CAT5 O SUPERIOR, ALCANZA HASTA 55 METROS 1080P.</v>
      </c>
    </row>
    <row r="4005" spans="1:23" ht="27" customHeight="1" x14ac:dyDescent="0.25">
      <c r="A4005" s="8" t="s">
        <v>8308</v>
      </c>
      <c r="B4005" s="9"/>
      <c r="C4005" s="9"/>
      <c r="D4005" s="8" t="s">
        <v>45</v>
      </c>
      <c r="E4005" s="8"/>
      <c r="F4005" s="8" t="s">
        <v>22</v>
      </c>
      <c r="G4005" s="10" t="s">
        <v>8324</v>
      </c>
      <c r="H4005" s="8" t="s">
        <v>8325</v>
      </c>
      <c r="I4005" s="10" t="s">
        <v>8324</v>
      </c>
      <c r="J4005" s="11" t="s">
        <v>33</v>
      </c>
      <c r="K4005" s="18">
        <v>79000</v>
      </c>
      <c r="L4005" s="12">
        <f>IF(J4005="P",ROUNDUP(K4005/(1-Q4005),-2),K4005*(1+P4005)/(1-Q4005))</f>
        <v>112900</v>
      </c>
      <c r="M4005" s="8">
        <v>1</v>
      </c>
      <c r="N4005" s="8" t="s">
        <v>27</v>
      </c>
      <c r="O4005" s="13"/>
      <c r="P4005" s="14">
        <v>0</v>
      </c>
      <c r="Q4005" s="15">
        <v>0.3</v>
      </c>
      <c r="R4005" s="16" t="str">
        <f t="shared" si="333"/>
        <v>SOLIDVIEW</v>
      </c>
      <c r="S4005" s="17"/>
      <c r="T4005" s="10" t="str">
        <f t="shared" si="337"/>
        <v>PLACA DE ALUMINIO DE UN GANG CON CONECTOR HDMI, VGA Y 3.5MM.</v>
      </c>
    </row>
    <row r="4006" spans="1:23" ht="27" customHeight="1" x14ac:dyDescent="0.25">
      <c r="A4006" s="8" t="s">
        <v>8308</v>
      </c>
      <c r="B4006" s="9"/>
      <c r="C4006" s="9"/>
      <c r="D4006" s="8" t="s">
        <v>45</v>
      </c>
      <c r="E4006" s="8"/>
      <c r="F4006" s="8" t="s">
        <v>22</v>
      </c>
      <c r="G4006" s="10" t="s">
        <v>8326</v>
      </c>
      <c r="H4006" s="8" t="s">
        <v>8327</v>
      </c>
      <c r="I4006" s="10" t="s">
        <v>8326</v>
      </c>
      <c r="J4006" s="11" t="s">
        <v>33</v>
      </c>
      <c r="K4006" s="18">
        <v>86000</v>
      </c>
      <c r="L4006" s="12">
        <f>IF(J4006="P",ROUNDUP(K4006/(1-Q4006),-2),K4006*(1+P4006)/(1-Q4006))</f>
        <v>122900</v>
      </c>
      <c r="M4006" s="8">
        <v>1</v>
      </c>
      <c r="N4006" s="8" t="s">
        <v>27</v>
      </c>
      <c r="O4006" s="13"/>
      <c r="P4006" s="14">
        <v>0</v>
      </c>
      <c r="Q4006" s="15">
        <v>0.3</v>
      </c>
      <c r="R4006" s="16" t="str">
        <f t="shared" si="333"/>
        <v>SOLIDVIEW</v>
      </c>
      <c r="S4006" s="17"/>
      <c r="T4006" s="10" t="str">
        <f t="shared" si="337"/>
        <v>SOPORTE UNIVERSAL CON EXTENSIÓN ENTRE 1M Y 1.8M EN COLOR BLANCO.</v>
      </c>
    </row>
    <row r="4007" spans="1:23" ht="27" customHeight="1" x14ac:dyDescent="0.25">
      <c r="A4007" s="8" t="s">
        <v>8308</v>
      </c>
      <c r="B4007" s="9"/>
      <c r="C4007" s="9"/>
      <c r="D4007" s="8" t="s">
        <v>45</v>
      </c>
      <c r="E4007" s="8"/>
      <c r="F4007" s="8" t="s">
        <v>22</v>
      </c>
      <c r="G4007" s="10" t="s">
        <v>8328</v>
      </c>
      <c r="H4007" s="8" t="s">
        <v>8329</v>
      </c>
      <c r="I4007" s="10" t="s">
        <v>8328</v>
      </c>
      <c r="J4007" s="11" t="s">
        <v>33</v>
      </c>
      <c r="K4007" s="18">
        <v>3199000</v>
      </c>
      <c r="L4007" s="12">
        <f>IF(J4007="P",ROUNDUP(K4007/(1-Q4007),-2),K4007*(1+P4007)/(1-Q4007))</f>
        <v>4570000</v>
      </c>
      <c r="M4007" s="8">
        <v>1</v>
      </c>
      <c r="N4007" s="8" t="s">
        <v>27</v>
      </c>
      <c r="O4007" s="13"/>
      <c r="P4007" s="14">
        <v>0</v>
      </c>
      <c r="Q4007" s="15">
        <v>0.3</v>
      </c>
      <c r="R4007" s="16" t="str">
        <f t="shared" si="333"/>
        <v>SOLIDVIEW</v>
      </c>
      <c r="S4007" s="17"/>
      <c r="T4007" s="10" t="str">
        <f t="shared" si="337"/>
        <v>4.06M DE ANCHO, ALTO 3.05M. CONTROL REMOTO POR RADIO FRECUENCIA.</v>
      </c>
    </row>
    <row r="4008" spans="1:23" ht="27" customHeight="1" x14ac:dyDescent="0.25">
      <c r="A4008" s="8" t="s">
        <v>8308</v>
      </c>
      <c r="B4008" s="9"/>
      <c r="C4008" s="9"/>
      <c r="D4008" s="8" t="s">
        <v>45</v>
      </c>
      <c r="E4008" s="8"/>
      <c r="F4008" s="8" t="s">
        <v>22</v>
      </c>
      <c r="G4008" s="10" t="s">
        <v>8330</v>
      </c>
      <c r="H4008" s="8" t="s">
        <v>8331</v>
      </c>
      <c r="I4008" s="10" t="s">
        <v>8332</v>
      </c>
      <c r="J4008" s="11" t="s">
        <v>33</v>
      </c>
      <c r="K4008" s="18">
        <v>298000</v>
      </c>
      <c r="L4008" s="12">
        <f>ROUNDUP(K4008*(1+P4008)/(1-Q4008),0)</f>
        <v>496667</v>
      </c>
      <c r="M4008" s="8">
        <v>1</v>
      </c>
      <c r="N4008" s="8" t="s">
        <v>27</v>
      </c>
      <c r="O4008" s="13"/>
      <c r="P4008" s="14">
        <v>0</v>
      </c>
      <c r="Q4008" s="15">
        <v>0.4</v>
      </c>
      <c r="R4008" s="16" t="str">
        <f t="shared" si="333"/>
        <v>SOLIDVIEW</v>
      </c>
      <c r="S4008" s="17"/>
      <c r="T4008" s="10" t="str">
        <f t="shared" si="337"/>
        <v>SPLITTER ACTIVO 1080P HASTA 60 METROS DE DISTANCIA. GARANTÍA DE 2 AÑOS.</v>
      </c>
    </row>
    <row r="4009" spans="1:23" ht="27" customHeight="1" x14ac:dyDescent="0.25">
      <c r="A4009" s="8" t="s">
        <v>8308</v>
      </c>
      <c r="B4009" s="9"/>
      <c r="C4009" s="9"/>
      <c r="D4009" s="8" t="s">
        <v>45</v>
      </c>
      <c r="E4009" s="8"/>
      <c r="F4009" s="8" t="s">
        <v>22</v>
      </c>
      <c r="G4009" s="10" t="s">
        <v>8333</v>
      </c>
      <c r="H4009" s="8" t="s">
        <v>8334</v>
      </c>
      <c r="I4009" s="10" t="s">
        <v>8333</v>
      </c>
      <c r="J4009" s="11" t="s">
        <v>33</v>
      </c>
      <c r="K4009" s="18">
        <v>834000</v>
      </c>
      <c r="L4009" s="12">
        <f>ROUNDUP(K4009*(1+P4009)/(1-Q4009),0)</f>
        <v>1390000</v>
      </c>
      <c r="M4009" s="8">
        <v>1</v>
      </c>
      <c r="N4009" s="8" t="s">
        <v>27</v>
      </c>
      <c r="O4009" s="13"/>
      <c r="P4009" s="14">
        <v>0</v>
      </c>
      <c r="Q4009" s="15">
        <v>0.4</v>
      </c>
      <c r="R4009" s="16" t="str">
        <f t="shared" si="333"/>
        <v>SOLIDVIEW</v>
      </c>
      <c r="S4009" s="17"/>
      <c r="T4009" s="10" t="str">
        <f t="shared" si="337"/>
        <v>SPLITTER HDMI DE 1X8, RESOLUCIÓN DE HASTA 4K. GARANTÍA DE 2 AÑOS</v>
      </c>
    </row>
    <row r="4010" spans="1:23" ht="27" customHeight="1" x14ac:dyDescent="0.25">
      <c r="A4010" s="8" t="s">
        <v>8308</v>
      </c>
      <c r="B4010" s="9"/>
      <c r="C4010" s="9"/>
      <c r="D4010" s="8" t="s">
        <v>45</v>
      </c>
      <c r="E4010" s="8"/>
      <c r="F4010" s="8" t="s">
        <v>22</v>
      </c>
      <c r="G4010" s="10" t="s">
        <v>8335</v>
      </c>
      <c r="H4010" s="8" t="s">
        <v>8336</v>
      </c>
      <c r="I4010" s="10" t="s">
        <v>8335</v>
      </c>
      <c r="J4010" s="11" t="s">
        <v>33</v>
      </c>
      <c r="K4010" s="18">
        <v>699000</v>
      </c>
      <c r="L4010" s="12">
        <f>IF(J4010="P",ROUNDUP(K4010/(1-Q4010),-2),K4010*(1+P4010)/(1-Q4010))</f>
        <v>1398000</v>
      </c>
      <c r="M4010" s="8">
        <v>1</v>
      </c>
      <c r="N4010" s="8" t="s">
        <v>27</v>
      </c>
      <c r="O4010" s="13" t="s">
        <v>588</v>
      </c>
      <c r="P4010" s="14">
        <v>0</v>
      </c>
      <c r="Q4010" s="15">
        <v>0.5</v>
      </c>
      <c r="R4010" s="16" t="str">
        <f t="shared" si="333"/>
        <v>SOLIDVIEW</v>
      </c>
      <c r="S4010" s="17"/>
      <c r="T4010" s="10" t="str">
        <f t="shared" si="337"/>
        <v>TELÓN MOTORIZADO DE 120" EN FORMATO 16:9</v>
      </c>
    </row>
    <row r="4011" spans="1:23" ht="27" customHeight="1" x14ac:dyDescent="0.25">
      <c r="A4011" s="8" t="s">
        <v>8308</v>
      </c>
      <c r="B4011" s="9"/>
      <c r="C4011" s="9"/>
      <c r="D4011" s="8" t="s">
        <v>45</v>
      </c>
      <c r="E4011" s="8"/>
      <c r="F4011" s="8" t="s">
        <v>22</v>
      </c>
      <c r="G4011" s="10" t="str">
        <f>B4011&amp;"-"&amp;D4011&amp;"-"&amp;E4011&amp;F4011</f>
        <v>-PROG_-BLANCO</v>
      </c>
      <c r="H4011" s="8" t="s">
        <v>8337</v>
      </c>
      <c r="I4011" s="10" t="s">
        <v>8338</v>
      </c>
      <c r="J4011" s="11" t="s">
        <v>33</v>
      </c>
      <c r="K4011" s="18">
        <v>1227000</v>
      </c>
      <c r="L4011" s="12">
        <f>K4011*(1+P4011)/(1-Q4011)</f>
        <v>1887692.3076923075</v>
      </c>
      <c r="M4011" s="8">
        <v>1</v>
      </c>
      <c r="N4011" s="8" t="s">
        <v>27</v>
      </c>
      <c r="O4011" s="13"/>
      <c r="P4011" s="14">
        <v>0</v>
      </c>
      <c r="Q4011" s="15">
        <v>0.35</v>
      </c>
      <c r="R4011" s="16" t="str">
        <f t="shared" si="333"/>
        <v>SOLIDVIEW</v>
      </c>
      <c r="S4011" s="17"/>
      <c r="T4011" s="10" t="str">
        <f t="shared" si="337"/>
        <v>-PROG_-BLANCO</v>
      </c>
    </row>
    <row r="4012" spans="1:23" ht="27" customHeight="1" x14ac:dyDescent="0.25">
      <c r="A4012" s="8" t="s">
        <v>8308</v>
      </c>
      <c r="B4012" s="9"/>
      <c r="C4012" s="9"/>
      <c r="D4012" s="8" t="s">
        <v>45</v>
      </c>
      <c r="E4012" s="8"/>
      <c r="F4012" s="8" t="s">
        <v>22</v>
      </c>
      <c r="G4012" s="10" t="str">
        <f>B4012&amp;"-"&amp;D4012&amp;"-"&amp;E4012&amp;F4012</f>
        <v>-PROG_-BLANCO</v>
      </c>
      <c r="H4012" s="8" t="s">
        <v>8339</v>
      </c>
      <c r="I4012" s="10" t="s">
        <v>8340</v>
      </c>
      <c r="J4012" s="11" t="s">
        <v>33</v>
      </c>
      <c r="K4012" s="18">
        <v>21100</v>
      </c>
      <c r="L4012" s="12">
        <f t="shared" ref="L4012:L4022" si="338">IF(J4012="P",ROUNDUP(K4012/(1-Q4012),-2),K4012*(1+P4012)/(1-Q4012))</f>
        <v>35200</v>
      </c>
      <c r="M4012" s="8">
        <v>1</v>
      </c>
      <c r="N4012" s="8" t="s">
        <v>27</v>
      </c>
      <c r="O4012" s="13"/>
      <c r="P4012" s="14">
        <v>0</v>
      </c>
      <c r="Q4012" s="15">
        <v>0.4</v>
      </c>
      <c r="R4012" s="16" t="str">
        <f t="shared" si="333"/>
        <v>SOLIDVIEW</v>
      </c>
      <c r="S4012" s="17"/>
      <c r="T4012" s="10" t="str">
        <f t="shared" si="337"/>
        <v>-PROG_-BLANCO</v>
      </c>
    </row>
    <row r="4013" spans="1:23" ht="27" customHeight="1" x14ac:dyDescent="0.25">
      <c r="A4013" s="8" t="s">
        <v>8308</v>
      </c>
      <c r="B4013" s="9"/>
      <c r="C4013" s="9"/>
      <c r="D4013" s="8" t="s">
        <v>45</v>
      </c>
      <c r="E4013" s="8"/>
      <c r="F4013" s="8" t="s">
        <v>22</v>
      </c>
      <c r="G4013" s="10" t="str">
        <f>B4013&amp;"-"&amp;D4013&amp;"-"&amp;E4013&amp;F4013</f>
        <v>-PROG_-BLANCO</v>
      </c>
      <c r="H4013" s="8" t="s">
        <v>8341</v>
      </c>
      <c r="I4013" s="10" t="s">
        <v>8342</v>
      </c>
      <c r="J4013" s="11" t="s">
        <v>33</v>
      </c>
      <c r="K4013" s="18">
        <v>89601</v>
      </c>
      <c r="L4013" s="12">
        <f t="shared" si="338"/>
        <v>149400</v>
      </c>
      <c r="M4013" s="8">
        <v>1</v>
      </c>
      <c r="N4013" s="8" t="s">
        <v>27</v>
      </c>
      <c r="O4013" s="13"/>
      <c r="P4013" s="14">
        <v>0</v>
      </c>
      <c r="Q4013" s="15">
        <v>0.4</v>
      </c>
      <c r="R4013" s="16" t="str">
        <f t="shared" si="333"/>
        <v>SOLIDVIEW</v>
      </c>
      <c r="S4013" s="17"/>
      <c r="T4013" s="10" t="str">
        <f t="shared" si="337"/>
        <v>-PROG_-BLANCO</v>
      </c>
    </row>
    <row r="4014" spans="1:23" ht="27" customHeight="1" x14ac:dyDescent="0.25">
      <c r="A4014" s="8" t="s">
        <v>8308</v>
      </c>
      <c r="B4014" s="9"/>
      <c r="C4014" s="9"/>
      <c r="D4014" s="8" t="s">
        <v>45</v>
      </c>
      <c r="E4014" s="8"/>
      <c r="F4014" s="8" t="s">
        <v>22</v>
      </c>
      <c r="G4014" s="10" t="str">
        <f>B4014&amp;"-"&amp;D4014&amp;"-"&amp;E4014&amp;F4014</f>
        <v>-PROG_-BLANCO</v>
      </c>
      <c r="H4014" s="8" t="s">
        <v>8343</v>
      </c>
      <c r="I4014" s="10" t="s">
        <v>8344</v>
      </c>
      <c r="J4014" s="11" t="s">
        <v>33</v>
      </c>
      <c r="K4014" s="18">
        <v>348018</v>
      </c>
      <c r="L4014" s="12">
        <f t="shared" si="338"/>
        <v>580100</v>
      </c>
      <c r="M4014" s="8">
        <v>1</v>
      </c>
      <c r="N4014" s="8" t="s">
        <v>27</v>
      </c>
      <c r="O4014" s="13"/>
      <c r="P4014" s="14">
        <v>0</v>
      </c>
      <c r="Q4014" s="15">
        <v>0.4</v>
      </c>
      <c r="R4014" s="16" t="str">
        <f t="shared" si="333"/>
        <v>SOLIDVIEW</v>
      </c>
      <c r="S4014" s="17"/>
      <c r="T4014" s="10" t="str">
        <f t="shared" si="337"/>
        <v>-PROG_-BLANCO</v>
      </c>
    </row>
    <row r="4015" spans="1:23" ht="27" customHeight="1" x14ac:dyDescent="0.25">
      <c r="A4015" s="8" t="s">
        <v>8308</v>
      </c>
      <c r="B4015" s="9"/>
      <c r="C4015" s="9"/>
      <c r="D4015" s="8" t="s">
        <v>45</v>
      </c>
      <c r="E4015" s="8"/>
      <c r="F4015" s="8" t="s">
        <v>22</v>
      </c>
      <c r="G4015" s="10" t="str">
        <f>B4015&amp;"-"&amp;D4015&amp;"-"&amp;E4015&amp;F4015</f>
        <v>-PROG_-BLANCO</v>
      </c>
      <c r="H4015" s="8" t="s">
        <v>8345</v>
      </c>
      <c r="I4015" s="10" t="s">
        <v>8346</v>
      </c>
      <c r="J4015" s="11" t="s">
        <v>33</v>
      </c>
      <c r="K4015" s="18">
        <v>32681</v>
      </c>
      <c r="L4015" s="12">
        <f t="shared" si="338"/>
        <v>54500</v>
      </c>
      <c r="M4015" s="8">
        <v>1</v>
      </c>
      <c r="N4015" s="8" t="s">
        <v>27</v>
      </c>
      <c r="O4015" s="13"/>
      <c r="P4015" s="14">
        <v>0</v>
      </c>
      <c r="Q4015" s="15">
        <v>0.4</v>
      </c>
      <c r="R4015" s="16" t="str">
        <f t="shared" ref="R4015:R4078" si="339">A4015</f>
        <v>SOLIDVIEW</v>
      </c>
      <c r="S4015" s="17"/>
      <c r="T4015" s="10" t="str">
        <f t="shared" si="337"/>
        <v>-PROG_-BLANCO</v>
      </c>
      <c r="U4015" t="s">
        <v>8347</v>
      </c>
      <c r="V4015">
        <v>0.92159206966152207</v>
      </c>
      <c r="W4015" s="22">
        <f>1-V4015</f>
        <v>7.8407930338477927E-2</v>
      </c>
    </row>
    <row r="4016" spans="1:23" ht="27" customHeight="1" x14ac:dyDescent="0.25">
      <c r="A4016" s="8" t="s">
        <v>8308</v>
      </c>
      <c r="B4016" s="9"/>
      <c r="C4016" s="9"/>
      <c r="D4016" s="8"/>
      <c r="E4016" s="8"/>
      <c r="F4016" s="8"/>
      <c r="G4016" s="10"/>
      <c r="H4016" s="8" t="s">
        <v>8348</v>
      </c>
      <c r="I4016" s="10" t="s">
        <v>8349</v>
      </c>
      <c r="J4016" s="11" t="s">
        <v>33</v>
      </c>
      <c r="K4016" s="18">
        <v>130900</v>
      </c>
      <c r="L4016" s="12">
        <f t="shared" si="338"/>
        <v>218200</v>
      </c>
      <c r="M4016" s="8">
        <v>1</v>
      </c>
      <c r="N4016" s="8" t="s">
        <v>27</v>
      </c>
      <c r="O4016" s="13"/>
      <c r="P4016" s="14">
        <v>0</v>
      </c>
      <c r="Q4016" s="15">
        <v>0.4</v>
      </c>
      <c r="R4016" s="16" t="str">
        <f t="shared" si="339"/>
        <v>SOLIDVIEW</v>
      </c>
      <c r="S4016" s="17"/>
      <c r="T4016" s="10"/>
    </row>
    <row r="4017" spans="1:20" ht="27" customHeight="1" x14ac:dyDescent="0.25">
      <c r="A4017" s="8" t="s">
        <v>8308</v>
      </c>
      <c r="B4017" s="9"/>
      <c r="C4017" s="9"/>
      <c r="D4017" s="8"/>
      <c r="E4017" s="8"/>
      <c r="F4017" s="8"/>
      <c r="G4017" s="10"/>
      <c r="H4017" s="8" t="s">
        <v>8350</v>
      </c>
      <c r="I4017" s="10" t="s">
        <v>8351</v>
      </c>
      <c r="J4017" s="11" t="s">
        <v>33</v>
      </c>
      <c r="K4017" s="18">
        <v>326253</v>
      </c>
      <c r="L4017" s="12">
        <f t="shared" si="338"/>
        <v>543800</v>
      </c>
      <c r="M4017" s="8">
        <v>1</v>
      </c>
      <c r="N4017" s="8" t="s">
        <v>27</v>
      </c>
      <c r="O4017" s="13"/>
      <c r="P4017" s="14">
        <v>0</v>
      </c>
      <c r="Q4017" s="15">
        <v>0.4</v>
      </c>
      <c r="R4017" s="16" t="str">
        <f t="shared" si="339"/>
        <v>SOLIDVIEW</v>
      </c>
      <c r="S4017" s="17"/>
      <c r="T4017" s="10" t="s">
        <v>8352</v>
      </c>
    </row>
    <row r="4018" spans="1:20" ht="27" customHeight="1" x14ac:dyDescent="0.25">
      <c r="A4018" s="8" t="s">
        <v>8308</v>
      </c>
      <c r="B4018" s="9"/>
      <c r="C4018" s="9"/>
      <c r="D4018" s="8"/>
      <c r="E4018" s="8"/>
      <c r="F4018" s="8"/>
      <c r="G4018" s="10"/>
      <c r="H4018" s="8" t="s">
        <v>8353</v>
      </c>
      <c r="I4018" s="10" t="s">
        <v>8354</v>
      </c>
      <c r="J4018" s="11" t="s">
        <v>33</v>
      </c>
      <c r="K4018" s="18">
        <v>2530000</v>
      </c>
      <c r="L4018" s="12">
        <f t="shared" si="338"/>
        <v>3373400</v>
      </c>
      <c r="M4018" s="8">
        <v>1</v>
      </c>
      <c r="N4018" s="8" t="s">
        <v>27</v>
      </c>
      <c r="O4018" s="13"/>
      <c r="P4018" s="14">
        <v>0</v>
      </c>
      <c r="Q4018" s="15">
        <v>0.25</v>
      </c>
      <c r="R4018" s="16" t="str">
        <f t="shared" si="339"/>
        <v>SOLIDVIEW</v>
      </c>
      <c r="S4018" s="17"/>
      <c r="T4018" s="10"/>
    </row>
    <row r="4019" spans="1:20" ht="27" customHeight="1" x14ac:dyDescent="0.25">
      <c r="A4019" s="8" t="s">
        <v>8308</v>
      </c>
      <c r="B4019" s="9"/>
      <c r="C4019" s="9"/>
      <c r="D4019" s="8"/>
      <c r="E4019" s="8"/>
      <c r="F4019" s="8"/>
      <c r="G4019" s="10"/>
      <c r="H4019" s="8" t="s">
        <v>8355</v>
      </c>
      <c r="I4019" s="10" t="s">
        <v>8356</v>
      </c>
      <c r="J4019" s="11" t="s">
        <v>33</v>
      </c>
      <c r="K4019" s="18">
        <v>5534000</v>
      </c>
      <c r="L4019" s="12">
        <f t="shared" si="338"/>
        <v>7905800</v>
      </c>
      <c r="M4019" s="8">
        <v>1</v>
      </c>
      <c r="N4019" s="8" t="s">
        <v>27</v>
      </c>
      <c r="O4019" s="13"/>
      <c r="P4019" s="14">
        <v>0</v>
      </c>
      <c r="Q4019" s="15">
        <v>0.3</v>
      </c>
      <c r="R4019" s="16" t="str">
        <f t="shared" si="339"/>
        <v>SOLIDVIEW</v>
      </c>
      <c r="S4019" s="17"/>
      <c r="T4019" s="10"/>
    </row>
    <row r="4020" spans="1:20" ht="27" customHeight="1" x14ac:dyDescent="0.25">
      <c r="A4020" s="8" t="s">
        <v>8308</v>
      </c>
      <c r="B4020" s="9"/>
      <c r="C4020" s="9"/>
      <c r="D4020" s="8"/>
      <c r="E4020" s="8"/>
      <c r="F4020" s="8"/>
      <c r="G4020" s="10"/>
      <c r="H4020" s="8" t="s">
        <v>8357</v>
      </c>
      <c r="I4020" s="10" t="s">
        <v>8358</v>
      </c>
      <c r="J4020" s="11" t="s">
        <v>33</v>
      </c>
      <c r="K4020" s="18">
        <v>2637000</v>
      </c>
      <c r="L4020" s="12">
        <f t="shared" si="338"/>
        <v>3767200</v>
      </c>
      <c r="M4020" s="8">
        <v>1</v>
      </c>
      <c r="N4020" s="8" t="s">
        <v>27</v>
      </c>
      <c r="O4020" s="13"/>
      <c r="P4020" s="14">
        <v>0</v>
      </c>
      <c r="Q4020" s="15">
        <v>0.3</v>
      </c>
      <c r="R4020" s="16" t="str">
        <f t="shared" si="339"/>
        <v>SOLIDVIEW</v>
      </c>
      <c r="S4020" s="17"/>
      <c r="T4020" s="10"/>
    </row>
    <row r="4021" spans="1:20" ht="27" customHeight="1" x14ac:dyDescent="0.25">
      <c r="A4021" s="8" t="s">
        <v>8308</v>
      </c>
      <c r="B4021" s="9"/>
      <c r="C4021" s="9"/>
      <c r="D4021" s="8"/>
      <c r="E4021" s="8"/>
      <c r="F4021" s="8"/>
      <c r="G4021" s="10"/>
      <c r="H4021" s="8" t="s">
        <v>8359</v>
      </c>
      <c r="I4021" s="10" t="s">
        <v>8360</v>
      </c>
      <c r="J4021" s="11" t="s">
        <v>33</v>
      </c>
      <c r="K4021" s="18">
        <v>30000</v>
      </c>
      <c r="L4021" s="12">
        <f t="shared" si="338"/>
        <v>50000</v>
      </c>
      <c r="M4021" s="8">
        <v>1</v>
      </c>
      <c r="N4021" s="8" t="s">
        <v>27</v>
      </c>
      <c r="O4021" s="13"/>
      <c r="P4021" s="14">
        <v>0</v>
      </c>
      <c r="Q4021" s="15">
        <v>0.4</v>
      </c>
      <c r="R4021" s="16" t="str">
        <f t="shared" si="339"/>
        <v>SOLIDVIEW</v>
      </c>
      <c r="S4021" s="17"/>
      <c r="T4021" s="10"/>
    </row>
    <row r="4022" spans="1:20" ht="27" customHeight="1" x14ac:dyDescent="0.25">
      <c r="A4022" s="8" t="s">
        <v>8308</v>
      </c>
      <c r="B4022" s="9"/>
      <c r="C4022" s="9"/>
      <c r="D4022" s="8"/>
      <c r="E4022" s="8"/>
      <c r="F4022" s="8"/>
      <c r="G4022" s="10"/>
      <c r="H4022" s="8" t="s">
        <v>8361</v>
      </c>
      <c r="I4022" s="10" t="s">
        <v>8362</v>
      </c>
      <c r="J4022" s="11" t="s">
        <v>33</v>
      </c>
      <c r="K4022" s="18">
        <v>26500</v>
      </c>
      <c r="L4022" s="12">
        <f t="shared" si="338"/>
        <v>53000</v>
      </c>
      <c r="M4022" s="8">
        <v>1</v>
      </c>
      <c r="N4022" s="8" t="s">
        <v>27</v>
      </c>
      <c r="O4022" s="13"/>
      <c r="P4022" s="14">
        <v>0</v>
      </c>
      <c r="Q4022" s="15">
        <v>0.5</v>
      </c>
      <c r="R4022" s="16" t="str">
        <f t="shared" si="339"/>
        <v>SOLIDVIEW</v>
      </c>
      <c r="S4022" s="17"/>
      <c r="T4022" s="10"/>
    </row>
    <row r="4023" spans="1:20" ht="27" customHeight="1" x14ac:dyDescent="0.25">
      <c r="A4023" s="8" t="s">
        <v>8308</v>
      </c>
      <c r="B4023" s="9"/>
      <c r="C4023" s="9"/>
      <c r="D4023" s="8"/>
      <c r="E4023" s="8"/>
      <c r="F4023" s="8"/>
      <c r="G4023" s="10"/>
      <c r="H4023" s="8" t="s">
        <v>8363</v>
      </c>
      <c r="I4023" s="10" t="s">
        <v>8364</v>
      </c>
      <c r="J4023" s="11" t="s">
        <v>33</v>
      </c>
      <c r="K4023" s="18">
        <v>5</v>
      </c>
      <c r="L4023" s="12">
        <f>ROUNDUP(K4023*(1+P4023)/(1-Q4023),0)</f>
        <v>10</v>
      </c>
      <c r="M4023" s="8">
        <v>1</v>
      </c>
      <c r="N4023" s="8" t="s">
        <v>27</v>
      </c>
      <c r="O4023" s="13"/>
      <c r="P4023" s="14">
        <v>0.2</v>
      </c>
      <c r="Q4023" s="15">
        <v>0.34</v>
      </c>
      <c r="R4023" s="16" t="str">
        <f t="shared" si="339"/>
        <v>SOLIDVIEW</v>
      </c>
      <c r="S4023" s="17"/>
      <c r="T4023" s="10"/>
    </row>
    <row r="4024" spans="1:20" ht="27" customHeight="1" x14ac:dyDescent="0.25">
      <c r="A4024" s="8" t="s">
        <v>8308</v>
      </c>
      <c r="B4024" s="9"/>
      <c r="C4024" s="9"/>
      <c r="D4024" s="8"/>
      <c r="E4024" s="8"/>
      <c r="F4024" s="8"/>
      <c r="G4024" s="10"/>
      <c r="H4024" s="8" t="s">
        <v>8365</v>
      </c>
      <c r="I4024" s="10" t="s">
        <v>8366</v>
      </c>
      <c r="J4024" s="11" t="s">
        <v>33</v>
      </c>
      <c r="K4024" s="18">
        <v>835982</v>
      </c>
      <c r="L4024" s="12">
        <f>ROUNDUP(K4024*(1+P4024)/(1-Q4024),0)</f>
        <v>1194260</v>
      </c>
      <c r="M4024" s="8">
        <v>1</v>
      </c>
      <c r="N4024" s="8" t="s">
        <v>27</v>
      </c>
      <c r="O4024" s="13"/>
      <c r="P4024" s="14">
        <v>0</v>
      </c>
      <c r="Q4024" s="15">
        <v>0.3</v>
      </c>
      <c r="R4024" s="16" t="str">
        <f t="shared" si="339"/>
        <v>SOLIDVIEW</v>
      </c>
      <c r="S4024" s="17"/>
      <c r="T4024" s="10"/>
    </row>
    <row r="4025" spans="1:20" ht="27" customHeight="1" x14ac:dyDescent="0.25">
      <c r="A4025" s="8" t="s">
        <v>8308</v>
      </c>
      <c r="B4025" s="9"/>
      <c r="C4025" s="9"/>
      <c r="D4025" s="8"/>
      <c r="E4025" s="8"/>
      <c r="F4025" s="8"/>
      <c r="G4025" s="10"/>
      <c r="H4025" s="8" t="s">
        <v>8367</v>
      </c>
      <c r="I4025" s="10" t="s">
        <v>8368</v>
      </c>
      <c r="J4025" s="11" t="s">
        <v>33</v>
      </c>
      <c r="K4025" s="18">
        <v>336900</v>
      </c>
      <c r="L4025" s="12">
        <f>K4025*(1+P4025)/(1-Q4025)</f>
        <v>481285.71428571432</v>
      </c>
      <c r="M4025" s="8">
        <v>1</v>
      </c>
      <c r="N4025" s="8" t="s">
        <v>27</v>
      </c>
      <c r="O4025" s="13"/>
      <c r="P4025" s="14">
        <v>0</v>
      </c>
      <c r="Q4025" s="15">
        <v>0.3</v>
      </c>
      <c r="R4025" s="16" t="str">
        <f t="shared" si="339"/>
        <v>SOLIDVIEW</v>
      </c>
      <c r="S4025" s="17"/>
      <c r="T4025" s="10"/>
    </row>
    <row r="4026" spans="1:20" ht="27" customHeight="1" x14ac:dyDescent="0.25">
      <c r="A4026" s="8" t="s">
        <v>8308</v>
      </c>
      <c r="B4026" s="9"/>
      <c r="C4026" s="9"/>
      <c r="D4026" s="8"/>
      <c r="E4026" s="8"/>
      <c r="F4026" s="8"/>
      <c r="G4026" s="10"/>
      <c r="H4026" s="8" t="s">
        <v>6957</v>
      </c>
      <c r="I4026" s="10" t="s">
        <v>8369</v>
      </c>
      <c r="J4026" s="11" t="s">
        <v>33</v>
      </c>
      <c r="K4026" s="18">
        <v>146000</v>
      </c>
      <c r="L4026" s="12">
        <f>K4026*(1+P4026)/(1-Q4026)</f>
        <v>292000</v>
      </c>
      <c r="M4026" s="8">
        <v>1</v>
      </c>
      <c r="N4026" s="8" t="s">
        <v>27</v>
      </c>
      <c r="O4026" s="13"/>
      <c r="P4026" s="14">
        <v>0</v>
      </c>
      <c r="Q4026" s="15">
        <v>0.5</v>
      </c>
      <c r="R4026" s="16" t="str">
        <f t="shared" si="339"/>
        <v>SOLIDVIEW</v>
      </c>
      <c r="S4026" s="17"/>
      <c r="T4026" s="10"/>
    </row>
    <row r="4027" spans="1:20" ht="27" customHeight="1" x14ac:dyDescent="0.25">
      <c r="A4027" s="8" t="s">
        <v>8308</v>
      </c>
      <c r="B4027" s="9"/>
      <c r="C4027" s="9"/>
      <c r="D4027" s="8"/>
      <c r="E4027" s="8"/>
      <c r="F4027" s="8"/>
      <c r="G4027" s="10"/>
      <c r="H4027" s="8" t="s">
        <v>8370</v>
      </c>
      <c r="I4027" s="10" t="str">
        <f>UPPER("Telón con motor tubular eléctrico y control remoto IR y switche de pared. Dimensiones: 3,32 mtrs de ancho x 1,87 mtrs de alto / 131'' x 74'' / Diagonal de 150''  Carcasa: 3,90 mtrs. / Peso: 32 kg.")</f>
        <v>TELÓN CON MOTOR TUBULAR ELÉCTRICO Y CONTROL REMOTO IR Y SWITCHE DE PARED. DIMENSIONES: 3,32 MTRS DE ANCHO X 1,87 MTRS DE ALTO / 131'' X 74'' / DIAGONAL DE 150''  CARCASA: 3,90 MTRS. / PESO: 32 KG.</v>
      </c>
      <c r="J4027" s="11" t="s">
        <v>33</v>
      </c>
      <c r="K4027" s="18">
        <v>2719500</v>
      </c>
      <c r="L4027" s="12">
        <f t="shared" ref="L4027:L4033" si="340">IF(J4027="P",ROUNDUP(K4027/(1-Q4027),-2),K4027*(1+P4027)/(1-Q4027))</f>
        <v>4532500</v>
      </c>
      <c r="M4027" s="8">
        <v>1</v>
      </c>
      <c r="N4027" s="8" t="s">
        <v>27</v>
      </c>
      <c r="O4027" s="13"/>
      <c r="P4027" s="14">
        <v>0</v>
      </c>
      <c r="Q4027" s="15">
        <v>0.4</v>
      </c>
      <c r="R4027" s="16" t="str">
        <f t="shared" si="339"/>
        <v>SOLIDVIEW</v>
      </c>
      <c r="S4027" s="17"/>
      <c r="T4027" s="10"/>
    </row>
    <row r="4028" spans="1:20" ht="27" customHeight="1" x14ac:dyDescent="0.25">
      <c r="A4028" s="8" t="s">
        <v>8308</v>
      </c>
      <c r="B4028" s="9"/>
      <c r="C4028" s="9"/>
      <c r="D4028" s="8"/>
      <c r="E4028" s="8"/>
      <c r="F4028" s="8"/>
      <c r="G4028" s="10"/>
      <c r="H4028" s="8" t="s">
        <v>8371</v>
      </c>
      <c r="I4028" s="10" t="str">
        <f>UPPER("Telón con motor tubular eléctrico y control remoto IR y switche de pared. Dimensiones: 2,67 mtrs de ancho x 1,50 mtrs de alto / 105'' x 59'' / Diagonal de 120''  Carcasa: 3,25 mtrs. / Peso: 25 kg.")</f>
        <v>TELÓN CON MOTOR TUBULAR ELÉCTRICO Y CONTROL REMOTO IR Y SWITCHE DE PARED. DIMENSIONES: 2,67 MTRS DE ANCHO X 1,50 MTRS DE ALTO / 105'' X 59'' / DIAGONAL DE 120''  CARCASA: 3,25 MTRS. / PESO: 25 KG.</v>
      </c>
      <c r="J4028" s="11" t="s">
        <v>33</v>
      </c>
      <c r="K4028" s="18">
        <v>2485600</v>
      </c>
      <c r="L4028" s="12">
        <f t="shared" si="340"/>
        <v>4142700</v>
      </c>
      <c r="M4028" s="8">
        <v>1</v>
      </c>
      <c r="N4028" s="8" t="s">
        <v>27</v>
      </c>
      <c r="O4028" s="13"/>
      <c r="P4028" s="14">
        <v>0</v>
      </c>
      <c r="Q4028" s="15">
        <v>0.4</v>
      </c>
      <c r="R4028" s="16" t="str">
        <f t="shared" si="339"/>
        <v>SOLIDVIEW</v>
      </c>
      <c r="S4028" s="17"/>
      <c r="T4028" s="10"/>
    </row>
    <row r="4029" spans="1:20" ht="27" customHeight="1" x14ac:dyDescent="0.25">
      <c r="A4029" s="8" t="s">
        <v>8308</v>
      </c>
      <c r="B4029" s="9"/>
      <c r="C4029" s="9"/>
      <c r="D4029" s="8"/>
      <c r="E4029" s="8"/>
      <c r="F4029" s="8"/>
      <c r="G4029" s="10"/>
      <c r="H4029" s="8" t="s">
        <v>8357</v>
      </c>
      <c r="I4029" s="10" t="str">
        <f>UPPER("GPCK-ME1000: Ascensor con estructura liviana, motor tubular y cinturón de alta resistencia. Dimensiones cerrado (H1): 19 cm. 59,5 cm x 59,5 cm x 19 cm. Longituddesplazamiento: 1 metro. / Capacidad 25 Kg.")</f>
        <v>GPCK-ME1000: ASCENSOR CON ESTRUCTURA LIVIANA, MOTOR TUBULAR Y CINTURÓN DE ALTA RESISTENCIA. DIMENSIONES CERRADO (H1): 19 CM. 59,5 CM X 59,5 CM X 19 CM. LONGITUDDESPLAZAMIENTO: 1 METRO. / CAPACIDAD 25 KG.</v>
      </c>
      <c r="J4029" s="11" t="s">
        <v>33</v>
      </c>
      <c r="K4029" s="18">
        <v>2199000</v>
      </c>
      <c r="L4029" s="12">
        <f t="shared" si="340"/>
        <v>3141500</v>
      </c>
      <c r="M4029" s="8">
        <v>1</v>
      </c>
      <c r="N4029" s="8" t="s">
        <v>27</v>
      </c>
      <c r="O4029" s="13"/>
      <c r="P4029" s="14">
        <v>0</v>
      </c>
      <c r="Q4029" s="15">
        <v>0.3</v>
      </c>
      <c r="R4029" s="16" t="str">
        <f t="shared" si="339"/>
        <v>SOLIDVIEW</v>
      </c>
      <c r="S4029" s="17"/>
      <c r="T4029" s="10"/>
    </row>
    <row r="4030" spans="1:20" ht="27" customHeight="1" x14ac:dyDescent="0.25">
      <c r="A4030" s="8" t="s">
        <v>8308</v>
      </c>
      <c r="B4030" s="9"/>
      <c r="C4030" s="9"/>
      <c r="D4030" s="8"/>
      <c r="E4030" s="8"/>
      <c r="F4030" s="8"/>
      <c r="G4030" s="10"/>
      <c r="H4030" s="8" t="s">
        <v>8372</v>
      </c>
      <c r="I4030" s="10" t="s">
        <v>8373</v>
      </c>
      <c r="J4030" s="11" t="s">
        <v>33</v>
      </c>
      <c r="K4030" s="18">
        <v>781600</v>
      </c>
      <c r="L4030" s="12">
        <f t="shared" si="340"/>
        <v>1116600</v>
      </c>
      <c r="M4030" s="8">
        <v>1</v>
      </c>
      <c r="N4030" s="8" t="s">
        <v>27</v>
      </c>
      <c r="O4030" s="13"/>
      <c r="P4030" s="14">
        <v>0</v>
      </c>
      <c r="Q4030" s="15">
        <v>0.3</v>
      </c>
      <c r="R4030" s="16" t="str">
        <f t="shared" si="339"/>
        <v>SOLIDVIEW</v>
      </c>
      <c r="S4030" s="17"/>
      <c r="T4030" s="10"/>
    </row>
    <row r="4031" spans="1:20" ht="27" customHeight="1" x14ac:dyDescent="0.25">
      <c r="A4031" s="8" t="s">
        <v>8308</v>
      </c>
      <c r="B4031" s="9"/>
      <c r="C4031" s="9"/>
      <c r="D4031" s="8"/>
      <c r="E4031" s="8"/>
      <c r="F4031" s="8"/>
      <c r="G4031" s="10"/>
      <c r="H4031" s="8" t="s">
        <v>8374</v>
      </c>
      <c r="I4031" s="10" t="s">
        <v>8375</v>
      </c>
      <c r="J4031" s="11" t="s">
        <v>33</v>
      </c>
      <c r="K4031" s="18">
        <v>614000</v>
      </c>
      <c r="L4031" s="12">
        <f t="shared" si="340"/>
        <v>1098500</v>
      </c>
      <c r="M4031" s="8">
        <v>1</v>
      </c>
      <c r="N4031" s="8" t="s">
        <v>27</v>
      </c>
      <c r="O4031" s="13"/>
      <c r="P4031" s="14">
        <v>0.3</v>
      </c>
      <c r="Q4031" s="15">
        <v>0.44105485048622362</v>
      </c>
      <c r="R4031" s="16" t="str">
        <f t="shared" si="339"/>
        <v>SOLIDVIEW</v>
      </c>
      <c r="S4031" s="17"/>
      <c r="T4031" s="10"/>
    </row>
    <row r="4032" spans="1:20" ht="27" customHeight="1" x14ac:dyDescent="0.25">
      <c r="A4032" s="8" t="s">
        <v>8308</v>
      </c>
      <c r="B4032" s="9"/>
      <c r="C4032" s="9"/>
      <c r="D4032" s="8"/>
      <c r="E4032" s="8"/>
      <c r="F4032" s="8"/>
      <c r="G4032" s="10"/>
      <c r="H4032" s="8" t="s">
        <v>8376</v>
      </c>
      <c r="I4032" s="10" t="s">
        <v>8377</v>
      </c>
      <c r="J4032" s="11" t="s">
        <v>33</v>
      </c>
      <c r="K4032" s="18">
        <v>92826</v>
      </c>
      <c r="L4032" s="12">
        <f t="shared" si="340"/>
        <v>132700</v>
      </c>
      <c r="M4032" s="8">
        <v>1</v>
      </c>
      <c r="N4032" s="8" t="s">
        <v>27</v>
      </c>
      <c r="O4032" s="13"/>
      <c r="P4032" s="14">
        <v>0</v>
      </c>
      <c r="Q4032" s="15">
        <v>0.3</v>
      </c>
      <c r="R4032" s="16" t="str">
        <f t="shared" si="339"/>
        <v>SOLIDVIEW</v>
      </c>
      <c r="S4032" s="17"/>
      <c r="T4032" s="10"/>
    </row>
    <row r="4033" spans="1:20" ht="27" customHeight="1" x14ac:dyDescent="0.25">
      <c r="A4033" s="8" t="s">
        <v>8308</v>
      </c>
      <c r="B4033" s="9"/>
      <c r="C4033" s="9"/>
      <c r="D4033" s="8"/>
      <c r="E4033" s="8"/>
      <c r="F4033" s="8"/>
      <c r="G4033" s="10"/>
      <c r="H4033" s="8" t="s">
        <v>8353</v>
      </c>
      <c r="I4033" s="10" t="s">
        <v>8378</v>
      </c>
      <c r="J4033" s="11" t="s">
        <v>33</v>
      </c>
      <c r="K4033" s="18">
        <v>1600000</v>
      </c>
      <c r="L4033" s="12">
        <f t="shared" si="340"/>
        <v>2285800</v>
      </c>
      <c r="M4033" s="8">
        <v>1</v>
      </c>
      <c r="N4033" s="8" t="s">
        <v>27</v>
      </c>
      <c r="O4033" s="13"/>
      <c r="P4033" s="14">
        <v>0</v>
      </c>
      <c r="Q4033" s="15">
        <v>0.3</v>
      </c>
      <c r="R4033" s="16" t="str">
        <f t="shared" si="339"/>
        <v>SOLIDVIEW</v>
      </c>
      <c r="S4033" s="17"/>
      <c r="T4033" s="10"/>
    </row>
    <row r="4034" spans="1:20" ht="27" customHeight="1" x14ac:dyDescent="0.25">
      <c r="A4034" s="8" t="s">
        <v>8308</v>
      </c>
      <c r="B4034" s="9"/>
      <c r="C4034" s="9"/>
      <c r="D4034" s="8"/>
      <c r="E4034" s="8"/>
      <c r="F4034" s="8"/>
      <c r="G4034" s="10"/>
      <c r="H4034" s="8" t="s">
        <v>8379</v>
      </c>
      <c r="I4034" s="10" t="s">
        <v>8380</v>
      </c>
      <c r="J4034" s="11" t="s">
        <v>33</v>
      </c>
      <c r="K4034" s="18">
        <v>77400</v>
      </c>
      <c r="L4034" s="12">
        <f>ROUNDUP(K4034*(1+P4034)/(1-Q4034),0)</f>
        <v>129000</v>
      </c>
      <c r="M4034" s="8">
        <v>1</v>
      </c>
      <c r="N4034" s="8" t="s">
        <v>27</v>
      </c>
      <c r="O4034" s="13"/>
      <c r="P4034" s="14">
        <v>0</v>
      </c>
      <c r="Q4034" s="15">
        <v>0.4</v>
      </c>
      <c r="R4034" s="16" t="str">
        <f t="shared" si="339"/>
        <v>SOLIDVIEW</v>
      </c>
      <c r="S4034" s="17"/>
      <c r="T4034" s="10"/>
    </row>
    <row r="4035" spans="1:20" ht="27" customHeight="1" x14ac:dyDescent="0.25">
      <c r="A4035" s="8" t="s">
        <v>8308</v>
      </c>
      <c r="B4035" s="9"/>
      <c r="C4035" s="9"/>
      <c r="D4035" s="8"/>
      <c r="E4035" s="8"/>
      <c r="F4035" s="8"/>
      <c r="G4035" s="10"/>
      <c r="H4035" s="8" t="s">
        <v>8381</v>
      </c>
      <c r="I4035" s="10" t="s">
        <v>8382</v>
      </c>
      <c r="J4035" s="11" t="s">
        <v>33</v>
      </c>
      <c r="K4035" s="18">
        <v>240800</v>
      </c>
      <c r="L4035" s="12">
        <f>ROUNDUP(K4035*(1+P4035)/(1-Q4035),0)</f>
        <v>401334</v>
      </c>
      <c r="M4035" s="8">
        <v>1</v>
      </c>
      <c r="N4035" s="8" t="s">
        <v>27</v>
      </c>
      <c r="O4035" s="13"/>
      <c r="P4035" s="14">
        <v>0</v>
      </c>
      <c r="Q4035" s="15">
        <v>0.4</v>
      </c>
      <c r="R4035" s="16" t="str">
        <f t="shared" si="339"/>
        <v>SOLIDVIEW</v>
      </c>
      <c r="S4035" s="17"/>
      <c r="T4035" s="10"/>
    </row>
    <row r="4036" spans="1:20" ht="27" customHeight="1" x14ac:dyDescent="0.25">
      <c r="A4036" s="8" t="s">
        <v>8308</v>
      </c>
      <c r="B4036" s="9"/>
      <c r="C4036" s="9"/>
      <c r="D4036" s="8"/>
      <c r="E4036" s="8"/>
      <c r="F4036" s="8"/>
      <c r="G4036" s="10"/>
      <c r="H4036" s="8" t="s">
        <v>8383</v>
      </c>
      <c r="I4036" s="10" t="s">
        <v>8384</v>
      </c>
      <c r="J4036" s="11" t="s">
        <v>33</v>
      </c>
      <c r="K4036" s="18">
        <v>33900</v>
      </c>
      <c r="L4036" s="12">
        <f>ROUNDUP(K4036*(1+P4036)/(1-Q4036),0)</f>
        <v>56500</v>
      </c>
      <c r="M4036" s="8">
        <v>1</v>
      </c>
      <c r="N4036" s="8" t="s">
        <v>27</v>
      </c>
      <c r="O4036" s="13"/>
      <c r="P4036" s="14">
        <v>0</v>
      </c>
      <c r="Q4036" s="15">
        <v>0.4</v>
      </c>
      <c r="R4036" s="16" t="str">
        <f t="shared" si="339"/>
        <v>SOLIDVIEW</v>
      </c>
      <c r="S4036" s="17"/>
      <c r="T4036" s="10"/>
    </row>
    <row r="4037" spans="1:20" ht="27" customHeight="1" x14ac:dyDescent="0.25">
      <c r="A4037" s="8" t="s">
        <v>8308</v>
      </c>
      <c r="B4037" s="9"/>
      <c r="C4037" s="9"/>
      <c r="D4037" s="8"/>
      <c r="E4037" s="8"/>
      <c r="F4037" s="8"/>
      <c r="G4037" s="10"/>
      <c r="H4037" s="8" t="s">
        <v>8385</v>
      </c>
      <c r="I4037" s="10" t="s">
        <v>8386</v>
      </c>
      <c r="J4037" s="11" t="s">
        <v>33</v>
      </c>
      <c r="K4037" s="18">
        <v>5000441</v>
      </c>
      <c r="L4037" s="12">
        <f>K4037*(1+P4037)/(1-Q4037)</f>
        <v>8334068.333333334</v>
      </c>
      <c r="M4037" s="8">
        <v>1</v>
      </c>
      <c r="N4037" s="8" t="s">
        <v>27</v>
      </c>
      <c r="O4037" s="13"/>
      <c r="P4037" s="14">
        <v>0</v>
      </c>
      <c r="Q4037" s="15">
        <v>0.4</v>
      </c>
      <c r="R4037" s="16" t="str">
        <f t="shared" si="339"/>
        <v>SOLIDVIEW</v>
      </c>
      <c r="S4037" s="17"/>
      <c r="T4037" s="10"/>
    </row>
    <row r="4038" spans="1:20" ht="27" customHeight="1" x14ac:dyDescent="0.25">
      <c r="A4038" s="8" t="s">
        <v>8308</v>
      </c>
      <c r="B4038" s="9"/>
      <c r="C4038" s="9"/>
      <c r="D4038" s="8"/>
      <c r="E4038" s="8"/>
      <c r="F4038" s="8"/>
      <c r="G4038" s="10"/>
      <c r="H4038" s="8" t="s">
        <v>8387</v>
      </c>
      <c r="I4038" s="10" t="s">
        <v>8388</v>
      </c>
      <c r="J4038" s="11" t="s">
        <v>33</v>
      </c>
      <c r="K4038" s="18">
        <v>109000</v>
      </c>
      <c r="L4038" s="12">
        <f>IF(J4038="P",ROUNDUP(K4038/(1-Q4038),-2),K4038*(1+P4038)/(1-Q4038))</f>
        <v>136300</v>
      </c>
      <c r="M4038" s="8">
        <v>1</v>
      </c>
      <c r="N4038" s="8" t="s">
        <v>27</v>
      </c>
      <c r="O4038" s="13">
        <f>F4038</f>
        <v>0</v>
      </c>
      <c r="P4038" s="14">
        <v>0</v>
      </c>
      <c r="Q4038" s="15">
        <v>0.2</v>
      </c>
      <c r="R4038" s="16" t="str">
        <f t="shared" si="339"/>
        <v>SOLIDVIEW</v>
      </c>
      <c r="S4038" s="17"/>
      <c r="T4038" s="10"/>
    </row>
    <row r="4039" spans="1:20" ht="27" customHeight="1" x14ac:dyDescent="0.25">
      <c r="A4039" s="8" t="s">
        <v>8308</v>
      </c>
      <c r="B4039" s="9"/>
      <c r="C4039" s="9"/>
      <c r="D4039" s="8"/>
      <c r="E4039" s="8"/>
      <c r="F4039" s="8"/>
      <c r="G4039" s="10"/>
      <c r="H4039" s="8" t="s">
        <v>8389</v>
      </c>
      <c r="I4039" s="10" t="s">
        <v>8390</v>
      </c>
      <c r="J4039" s="11" t="s">
        <v>33</v>
      </c>
      <c r="K4039" s="18">
        <v>4243000</v>
      </c>
      <c r="L4039" s="12">
        <f>IF(J4039="P",ROUNDUP(K4039/(1-Q4039),-2),K4039*(1+P4039)/(1-Q4039))</f>
        <v>6061500</v>
      </c>
      <c r="M4039" s="8">
        <v>1</v>
      </c>
      <c r="N4039" s="8" t="s">
        <v>27</v>
      </c>
      <c r="O4039" s="13">
        <f>F4039</f>
        <v>0</v>
      </c>
      <c r="P4039" s="14">
        <v>0</v>
      </c>
      <c r="Q4039" s="15">
        <v>0.3</v>
      </c>
      <c r="R4039" s="16" t="str">
        <f t="shared" si="339"/>
        <v>SOLIDVIEW</v>
      </c>
      <c r="S4039" s="17"/>
      <c r="T4039" s="10"/>
    </row>
    <row r="4040" spans="1:20" ht="27" customHeight="1" x14ac:dyDescent="0.25">
      <c r="A4040" s="8" t="s">
        <v>8308</v>
      </c>
      <c r="B4040" s="9"/>
      <c r="C4040" s="9"/>
      <c r="D4040" s="8"/>
      <c r="E4040" s="8"/>
      <c r="F4040" s="8"/>
      <c r="G4040" s="10"/>
      <c r="H4040" s="8" t="s">
        <v>8391</v>
      </c>
      <c r="I4040" s="10" t="s">
        <v>8392</v>
      </c>
      <c r="J4040" s="11" t="s">
        <v>33</v>
      </c>
      <c r="K4040" s="18">
        <v>3200</v>
      </c>
      <c r="L4040" s="12">
        <f>IF(J4040="P",ROUNDUP(K4040/(1-Q4040),-2),K4040*(1+P4040)/(1-Q4040))</f>
        <v>4600</v>
      </c>
      <c r="M4040" s="8">
        <v>1</v>
      </c>
      <c r="N4040" s="8" t="s">
        <v>27</v>
      </c>
      <c r="O4040" s="13">
        <f>F4040</f>
        <v>0</v>
      </c>
      <c r="P4040" s="14">
        <v>0</v>
      </c>
      <c r="Q4040" s="15">
        <v>0.3</v>
      </c>
      <c r="R4040" s="16" t="str">
        <f t="shared" si="339"/>
        <v>SOLIDVIEW</v>
      </c>
      <c r="S4040" s="17"/>
      <c r="T4040" s="10"/>
    </row>
    <row r="4041" spans="1:20" ht="27" customHeight="1" x14ac:dyDescent="0.25">
      <c r="A4041" s="8" t="s">
        <v>8308</v>
      </c>
      <c r="B4041" s="9"/>
      <c r="C4041" s="9"/>
      <c r="D4041" s="8"/>
      <c r="E4041" s="8"/>
      <c r="F4041" s="8"/>
      <c r="G4041" s="10"/>
      <c r="H4041" s="8" t="s">
        <v>8393</v>
      </c>
      <c r="I4041" s="10" t="s">
        <v>8394</v>
      </c>
      <c r="J4041" s="11" t="s">
        <v>33</v>
      </c>
      <c r="K4041" s="18">
        <v>15018</v>
      </c>
      <c r="L4041" s="12">
        <f>IF(J4041="P",ROUNDUP(K4041/(1-Q4041),-2),K4041*(1+P4041)/(1-Q4041))</f>
        <v>21500</v>
      </c>
      <c r="M4041" s="8">
        <v>1</v>
      </c>
      <c r="N4041" s="8" t="s">
        <v>27</v>
      </c>
      <c r="O4041" s="13">
        <f>F4041</f>
        <v>0</v>
      </c>
      <c r="P4041" s="14">
        <v>0</v>
      </c>
      <c r="Q4041" s="15">
        <v>0.3</v>
      </c>
      <c r="R4041" s="16" t="str">
        <f t="shared" si="339"/>
        <v>SOLIDVIEW</v>
      </c>
      <c r="S4041" s="17"/>
      <c r="T4041" s="10"/>
    </row>
    <row r="4042" spans="1:20" ht="27" customHeight="1" x14ac:dyDescent="0.25">
      <c r="A4042" s="8" t="s">
        <v>8308</v>
      </c>
      <c r="B4042" s="9"/>
      <c r="C4042" s="9"/>
      <c r="D4042" s="8"/>
      <c r="E4042" s="8"/>
      <c r="F4042" s="8"/>
      <c r="G4042" s="10"/>
      <c r="H4042" s="8" t="s">
        <v>8395</v>
      </c>
      <c r="I4042" s="10" t="s">
        <v>8396</v>
      </c>
      <c r="J4042" s="11" t="s">
        <v>33</v>
      </c>
      <c r="K4042" s="18">
        <v>13400</v>
      </c>
      <c r="L4042" s="12">
        <f>IF(J4042="P",ROUNDUP(K4042/(1-Q4042),-2),K4042*(1+P4042)/(1-Q4042))</f>
        <v>19200</v>
      </c>
      <c r="M4042" s="8">
        <v>1</v>
      </c>
      <c r="N4042" s="8" t="s">
        <v>27</v>
      </c>
      <c r="O4042" s="13">
        <f>F4042</f>
        <v>0</v>
      </c>
      <c r="P4042" s="14">
        <v>0</v>
      </c>
      <c r="Q4042" s="15">
        <v>0.3</v>
      </c>
      <c r="R4042" s="16" t="str">
        <f t="shared" si="339"/>
        <v>SOLIDVIEW</v>
      </c>
      <c r="S4042" s="17"/>
      <c r="T4042" s="10"/>
    </row>
    <row r="4043" spans="1:20" ht="27" customHeight="1" x14ac:dyDescent="0.25">
      <c r="A4043" s="8" t="s">
        <v>8308</v>
      </c>
      <c r="B4043" s="9"/>
      <c r="C4043" s="9"/>
      <c r="D4043" s="8"/>
      <c r="E4043" s="8"/>
      <c r="F4043" s="8"/>
      <c r="G4043" s="10"/>
      <c r="H4043" s="8" t="s">
        <v>8385</v>
      </c>
      <c r="I4043" s="10" t="s">
        <v>8397</v>
      </c>
      <c r="J4043" s="11" t="s">
        <v>33</v>
      </c>
      <c r="K4043" s="18">
        <v>5000000</v>
      </c>
      <c r="L4043" s="12">
        <f>ROUNDUP(K4043*(1+P4043)/(1-Q4043),0)</f>
        <v>8333334</v>
      </c>
      <c r="M4043" s="8">
        <v>1</v>
      </c>
      <c r="N4043" s="8" t="s">
        <v>27</v>
      </c>
      <c r="O4043" s="13"/>
      <c r="P4043" s="14">
        <v>0</v>
      </c>
      <c r="Q4043" s="15">
        <v>0.4</v>
      </c>
      <c r="R4043" s="16" t="str">
        <f t="shared" si="339"/>
        <v>SOLIDVIEW</v>
      </c>
      <c r="S4043" s="17"/>
      <c r="T4043" s="10"/>
    </row>
    <row r="4044" spans="1:20" ht="27" customHeight="1" x14ac:dyDescent="0.25">
      <c r="A4044" s="8" t="s">
        <v>8308</v>
      </c>
      <c r="B4044" s="9"/>
      <c r="C4044" s="9"/>
      <c r="D4044" s="8"/>
      <c r="E4044" s="8"/>
      <c r="F4044" s="8"/>
      <c r="G4044" s="10"/>
      <c r="H4044" s="8" t="s">
        <v>8398</v>
      </c>
      <c r="I4044" s="10" t="s">
        <v>8399</v>
      </c>
      <c r="J4044" s="11" t="s">
        <v>33</v>
      </c>
      <c r="K4044" s="18">
        <v>311200</v>
      </c>
      <c r="L4044" s="12">
        <f t="shared" ref="L4044:L4065" si="341">IF(J4044="P",ROUNDUP(K4044/(1-Q4044),-2),K4044*(1+P4044)/(1-Q4044))</f>
        <v>518700</v>
      </c>
      <c r="M4044" s="8">
        <v>1</v>
      </c>
      <c r="N4044" s="8" t="s">
        <v>27</v>
      </c>
      <c r="O4044" s="13" t="s">
        <v>588</v>
      </c>
      <c r="P4044" s="14">
        <v>0</v>
      </c>
      <c r="Q4044" s="15">
        <v>0.4</v>
      </c>
      <c r="R4044" s="16" t="str">
        <f t="shared" si="339"/>
        <v>SOLIDVIEW</v>
      </c>
      <c r="S4044" s="17"/>
      <c r="T4044" s="10"/>
    </row>
    <row r="4045" spans="1:20" ht="27" customHeight="1" x14ac:dyDescent="0.25">
      <c r="A4045" s="8" t="s">
        <v>8308</v>
      </c>
      <c r="B4045" s="9"/>
      <c r="C4045" s="9"/>
      <c r="D4045" s="8"/>
      <c r="E4045" s="8"/>
      <c r="F4045" s="8"/>
      <c r="G4045" s="10"/>
      <c r="H4045" s="8" t="s">
        <v>8400</v>
      </c>
      <c r="I4045" s="10" t="s">
        <v>8401</v>
      </c>
      <c r="J4045" s="11" t="s">
        <v>33</v>
      </c>
      <c r="K4045" s="18">
        <v>3584000</v>
      </c>
      <c r="L4045" s="12">
        <f t="shared" si="341"/>
        <v>5120000</v>
      </c>
      <c r="M4045" s="8">
        <v>1</v>
      </c>
      <c r="N4045" s="8" t="s">
        <v>27</v>
      </c>
      <c r="O4045" s="13" t="s">
        <v>588</v>
      </c>
      <c r="P4045" s="14">
        <v>0</v>
      </c>
      <c r="Q4045" s="15">
        <v>0.3</v>
      </c>
      <c r="R4045" s="16" t="str">
        <f t="shared" si="339"/>
        <v>SOLIDVIEW</v>
      </c>
      <c r="S4045" s="17"/>
      <c r="T4045" s="10"/>
    </row>
    <row r="4046" spans="1:20" ht="27" customHeight="1" x14ac:dyDescent="0.25">
      <c r="A4046" s="8" t="s">
        <v>8402</v>
      </c>
      <c r="B4046" s="9"/>
      <c r="C4046" s="9"/>
      <c r="D4046" s="8"/>
      <c r="E4046" s="8"/>
      <c r="F4046" s="8" t="s">
        <v>22</v>
      </c>
      <c r="G4046" s="10" t="s">
        <v>5375</v>
      </c>
      <c r="H4046" s="8" t="s">
        <v>8403</v>
      </c>
      <c r="I4046" s="10" t="s">
        <v>5375</v>
      </c>
      <c r="J4046" s="11" t="s">
        <v>33</v>
      </c>
      <c r="K4046" s="18">
        <v>5600000</v>
      </c>
      <c r="L4046" s="12">
        <f t="shared" si="341"/>
        <v>7000000</v>
      </c>
      <c r="M4046" s="8">
        <v>1</v>
      </c>
      <c r="N4046" s="8" t="s">
        <v>27</v>
      </c>
      <c r="O4046" s="13"/>
      <c r="P4046" s="14">
        <v>0.2</v>
      </c>
      <c r="Q4046" s="15">
        <v>0.2</v>
      </c>
      <c r="R4046" s="16" t="str">
        <f t="shared" si="339"/>
        <v>SOLTEC</v>
      </c>
      <c r="S4046" s="17"/>
      <c r="T4046" s="10" t="str">
        <f t="shared" ref="T4046:T4061" si="342">G4046</f>
        <v>UPS DE 6 KVA BIFÁSICA DE DOBLE CONVERSIÓN. AUTONOMÍA DE 4 MIN A FULL CARGA.</v>
      </c>
    </row>
    <row r="4047" spans="1:20" ht="27" customHeight="1" x14ac:dyDescent="0.25">
      <c r="A4047" s="8" t="s">
        <v>8404</v>
      </c>
      <c r="B4047" s="9" t="s">
        <v>8405</v>
      </c>
      <c r="C4047" s="9"/>
      <c r="D4047" s="8" t="s">
        <v>1872</v>
      </c>
      <c r="E4047" s="8">
        <v>1</v>
      </c>
      <c r="F4047" s="8" t="s">
        <v>22</v>
      </c>
      <c r="G4047" s="10" t="s">
        <v>8406</v>
      </c>
      <c r="H4047" s="8" t="s">
        <v>8407</v>
      </c>
      <c r="I4047" s="10" t="s">
        <v>8408</v>
      </c>
      <c r="J4047" s="11" t="s">
        <v>26</v>
      </c>
      <c r="K4047" s="18">
        <v>524</v>
      </c>
      <c r="L4047" s="12">
        <f t="shared" si="341"/>
        <v>739.76470588235293</v>
      </c>
      <c r="M4047" s="8">
        <v>1</v>
      </c>
      <c r="N4047" s="8" t="s">
        <v>27</v>
      </c>
      <c r="O4047" s="13"/>
      <c r="P4047" s="14">
        <v>0.2</v>
      </c>
      <c r="Q4047" s="15">
        <v>0.15</v>
      </c>
      <c r="R4047" s="16" t="str">
        <f t="shared" si="339"/>
        <v>SONOS</v>
      </c>
      <c r="S4047" s="17"/>
      <c r="T4047" s="10" t="str">
        <f t="shared" si="342"/>
        <v>BARRA DE SONIDO PARA INTEGRACIÓN DE SISTEMA SONOS Y TV.</v>
      </c>
    </row>
    <row r="4048" spans="1:20" ht="27" customHeight="1" x14ac:dyDescent="0.25">
      <c r="A4048" s="8" t="s">
        <v>8404</v>
      </c>
      <c r="B4048" s="9" t="s">
        <v>8405</v>
      </c>
      <c r="C4048" s="9"/>
      <c r="D4048" s="8" t="s">
        <v>1878</v>
      </c>
      <c r="E4048" s="8">
        <v>2</v>
      </c>
      <c r="F4048" s="8" t="s">
        <v>22</v>
      </c>
      <c r="G4048" s="10" t="s">
        <v>8409</v>
      </c>
      <c r="H4048" s="8" t="s">
        <v>8410</v>
      </c>
      <c r="I4048" s="10" t="str">
        <f>UPPER("Sistema con 5 altavoces alimentados por amplificador clase D, reproducción WMA, MP3 e Itunes Plus, Servicios de Streaming como: Pandora, Spotify, Deezer y Soundcloud. Color Negro.")</f>
        <v>SISTEMA CON 5 ALTAVOCES ALIMENTADOS POR AMPLIFICADOR CLASE D, REPRODUCCIÓN WMA, MP3 E ITUNES PLUS, SERVICIOS DE STREAMING COMO: PANDORA, SPOTIFY, DEEZER Y SOUNDCLOUD. COLOR NEGRO.</v>
      </c>
      <c r="J4048" s="11" t="s">
        <v>26</v>
      </c>
      <c r="K4048" s="18">
        <v>299</v>
      </c>
      <c r="L4048" s="12">
        <f t="shared" si="341"/>
        <v>422.11764705882354</v>
      </c>
      <c r="M4048" s="8">
        <v>1</v>
      </c>
      <c r="N4048" s="8" t="s">
        <v>27</v>
      </c>
      <c r="O4048" s="13"/>
      <c r="P4048" s="14">
        <v>0.2</v>
      </c>
      <c r="Q4048" s="15">
        <v>0.15</v>
      </c>
      <c r="R4048" s="16" t="str">
        <f t="shared" si="339"/>
        <v>SONOS</v>
      </c>
      <c r="S4048" s="17"/>
      <c r="T4048" s="10" t="str">
        <f t="shared" si="342"/>
        <v>SISTEMA CON 5 ALTAVOCES ALIMENTADOS POR AMPLIFICADOR CLASE D.</v>
      </c>
    </row>
    <row r="4049" spans="1:20" ht="27" customHeight="1" x14ac:dyDescent="0.25">
      <c r="A4049" s="8" t="s">
        <v>8404</v>
      </c>
      <c r="B4049" s="9" t="s">
        <v>8405</v>
      </c>
      <c r="C4049" s="9"/>
      <c r="D4049" s="8" t="s">
        <v>1878</v>
      </c>
      <c r="E4049" s="8">
        <v>3</v>
      </c>
      <c r="F4049" s="8" t="s">
        <v>22</v>
      </c>
      <c r="G4049" s="10" t="s">
        <v>8409</v>
      </c>
      <c r="H4049" s="8" t="s">
        <v>8411</v>
      </c>
      <c r="I4049" s="10" t="str">
        <f>UPPER("Sistema con 5 altavoces alimentados por amplificador clase D, reproducción WMA, MP3 e Itunes Plus, Servicios de Streaming como: Pandora, Spotify, Deezer y Soundcloud. Color Blanco.")</f>
        <v>SISTEMA CON 5 ALTAVOCES ALIMENTADOS POR AMPLIFICADOR CLASE D, REPRODUCCIÓN WMA, MP3 E ITUNES PLUS, SERVICIOS DE STREAMING COMO: PANDORA, SPOTIFY, DEEZER Y SOUNDCLOUD. COLOR BLANCO.</v>
      </c>
      <c r="J4049" s="11" t="s">
        <v>26</v>
      </c>
      <c r="K4049" s="18">
        <v>299</v>
      </c>
      <c r="L4049" s="12">
        <f t="shared" si="341"/>
        <v>422.11764705882354</v>
      </c>
      <c r="M4049" s="8">
        <v>1</v>
      </c>
      <c r="N4049" s="8" t="s">
        <v>27</v>
      </c>
      <c r="O4049" s="13"/>
      <c r="P4049" s="14">
        <v>0.2</v>
      </c>
      <c r="Q4049" s="15">
        <v>0.15</v>
      </c>
      <c r="R4049" s="16" t="str">
        <f t="shared" si="339"/>
        <v>SONOS</v>
      </c>
      <c r="S4049" s="17"/>
      <c r="T4049" s="10" t="str">
        <f t="shared" si="342"/>
        <v>SISTEMA CON 5 ALTAVOCES ALIMENTADOS POR AMPLIFICADOR CLASE D.</v>
      </c>
    </row>
    <row r="4050" spans="1:20" ht="27" customHeight="1" x14ac:dyDescent="0.25">
      <c r="A4050" s="8" t="s">
        <v>8404</v>
      </c>
      <c r="B4050" s="9" t="s">
        <v>8405</v>
      </c>
      <c r="C4050" s="9"/>
      <c r="D4050" s="8" t="s">
        <v>1878</v>
      </c>
      <c r="E4050" s="8">
        <v>4</v>
      </c>
      <c r="F4050" s="8" t="s">
        <v>22</v>
      </c>
      <c r="G4050" s="10" t="s">
        <v>8412</v>
      </c>
      <c r="H4050" s="8" t="s">
        <v>8413</v>
      </c>
      <c r="I4050" s="10" t="str">
        <f>UPPER("Sistema con 3 altavoces alimentados por amplificador clase D, reproducción WMA, MP3 e Itunes Plus, Servicios de Streaming como: Pandora, Spotify, Deezer y Soundcloud. Color Negro.")</f>
        <v>SISTEMA CON 3 ALTAVOCES ALIMENTADOS POR AMPLIFICADOR CLASE D, REPRODUCCIÓN WMA, MP3 E ITUNES PLUS, SERVICIOS DE STREAMING COMO: PANDORA, SPOTIFY, DEEZER Y SOUNDCLOUD. COLOR NEGRO.</v>
      </c>
      <c r="J4050" s="11" t="s">
        <v>26</v>
      </c>
      <c r="K4050" s="18">
        <v>224</v>
      </c>
      <c r="L4050" s="12">
        <f t="shared" si="341"/>
        <v>316.23529411764707</v>
      </c>
      <c r="M4050" s="8">
        <v>1</v>
      </c>
      <c r="N4050" s="8" t="s">
        <v>27</v>
      </c>
      <c r="O4050" s="13"/>
      <c r="P4050" s="14">
        <v>0.2</v>
      </c>
      <c r="Q4050" s="15">
        <v>0.15</v>
      </c>
      <c r="R4050" s="16" t="str">
        <f t="shared" si="339"/>
        <v>SONOS</v>
      </c>
      <c r="S4050" s="17"/>
      <c r="T4050" s="10" t="str">
        <f t="shared" si="342"/>
        <v>SISTEMA CON 3 ALTAVOCES ALIMENTADOS POR AMPLIFICADOR CLASE D.</v>
      </c>
    </row>
    <row r="4051" spans="1:20" ht="27" customHeight="1" x14ac:dyDescent="0.25">
      <c r="A4051" s="8" t="s">
        <v>8404</v>
      </c>
      <c r="B4051" s="9" t="s">
        <v>8405</v>
      </c>
      <c r="C4051" s="9"/>
      <c r="D4051" s="8" t="s">
        <v>1878</v>
      </c>
      <c r="E4051" s="8">
        <v>5</v>
      </c>
      <c r="F4051" s="8" t="s">
        <v>22</v>
      </c>
      <c r="G4051" s="10" t="s">
        <v>8412</v>
      </c>
      <c r="H4051" s="8" t="s">
        <v>8414</v>
      </c>
      <c r="I4051" s="10" t="str">
        <f>UPPER("Sistema con 3 altavoces alimentados por amplificador clase D, reproducción WMA, MP3 e Itunes Plus, Servicios de Streaming como: Pandora, Spotify, Deezer y Soundcloud. Color Blanco.")</f>
        <v>SISTEMA CON 3 ALTAVOCES ALIMENTADOS POR AMPLIFICADOR CLASE D, REPRODUCCIÓN WMA, MP3 E ITUNES PLUS, SERVICIOS DE STREAMING COMO: PANDORA, SPOTIFY, DEEZER Y SOUNDCLOUD. COLOR BLANCO.</v>
      </c>
      <c r="J4051" s="11" t="s">
        <v>26</v>
      </c>
      <c r="K4051" s="18">
        <v>224</v>
      </c>
      <c r="L4051" s="12">
        <f t="shared" si="341"/>
        <v>316.23529411764707</v>
      </c>
      <c r="M4051" s="8">
        <v>1</v>
      </c>
      <c r="N4051" s="8" t="s">
        <v>27</v>
      </c>
      <c r="O4051" s="13"/>
      <c r="P4051" s="14">
        <v>0.2</v>
      </c>
      <c r="Q4051" s="15">
        <v>0.15</v>
      </c>
      <c r="R4051" s="16" t="str">
        <f t="shared" si="339"/>
        <v>SONOS</v>
      </c>
      <c r="S4051" s="17"/>
      <c r="T4051" s="10" t="str">
        <f t="shared" si="342"/>
        <v>SISTEMA CON 3 ALTAVOCES ALIMENTADOS POR AMPLIFICADOR CLASE D.</v>
      </c>
    </row>
    <row r="4052" spans="1:20" ht="27" customHeight="1" x14ac:dyDescent="0.25">
      <c r="A4052" s="8" t="s">
        <v>8404</v>
      </c>
      <c r="B4052" s="9" t="s">
        <v>8405</v>
      </c>
      <c r="C4052" s="9"/>
      <c r="D4052" s="8" t="s">
        <v>1878</v>
      </c>
      <c r="E4052" s="8">
        <v>6</v>
      </c>
      <c r="F4052" s="8" t="s">
        <v>22</v>
      </c>
      <c r="G4052" s="10" t="s">
        <v>8415</v>
      </c>
      <c r="H4052" s="8" t="s">
        <v>8416</v>
      </c>
      <c r="I4052" s="10" t="str">
        <f>UPPER("Sistema con 1 altavoz alimentados por amplificador clase D, reproducción WMA, MP3 e Itunes Plus, Servicios de Streaming como: Pandora, Spotify, Deezer y Soundcloud. Color Blanco.")</f>
        <v>SISTEMA CON 1 ALTAVOZ ALIMENTADOS POR AMPLIFICADOR CLASE D, REPRODUCCIÓN WMA, MP3 E ITUNES PLUS, SERVICIOS DE STREAMING COMO: PANDORA, SPOTIFY, DEEZER Y SOUNDCLOUD. COLOR BLANCO.</v>
      </c>
      <c r="J4052" s="11" t="s">
        <v>26</v>
      </c>
      <c r="K4052" s="18">
        <v>159</v>
      </c>
      <c r="L4052" s="12">
        <f t="shared" si="341"/>
        <v>224.47058823529412</v>
      </c>
      <c r="M4052" s="8">
        <v>1</v>
      </c>
      <c r="N4052" s="8" t="s">
        <v>27</v>
      </c>
      <c r="O4052" s="13"/>
      <c r="P4052" s="14">
        <v>0.2</v>
      </c>
      <c r="Q4052" s="15">
        <v>0.15</v>
      </c>
      <c r="R4052" s="16" t="str">
        <f t="shared" si="339"/>
        <v>SONOS</v>
      </c>
      <c r="S4052" s="17"/>
      <c r="T4052" s="10" t="str">
        <f t="shared" si="342"/>
        <v>SISTEMA CON 1 ALTAVOZ ALIMENTADOS POR AMPLIFICADOR CLASE D.</v>
      </c>
    </row>
    <row r="4053" spans="1:20" ht="27" customHeight="1" x14ac:dyDescent="0.25">
      <c r="A4053" s="8" t="s">
        <v>8404</v>
      </c>
      <c r="B4053" s="9" t="s">
        <v>8405</v>
      </c>
      <c r="C4053" s="9"/>
      <c r="D4053" s="8" t="s">
        <v>1878</v>
      </c>
      <c r="E4053" s="8">
        <v>7</v>
      </c>
      <c r="F4053" s="8" t="s">
        <v>22</v>
      </c>
      <c r="G4053" s="10" t="s">
        <v>8415</v>
      </c>
      <c r="H4053" s="8" t="s">
        <v>8417</v>
      </c>
      <c r="I4053" s="10" t="str">
        <f>UPPER("Sistema con 1 altavoz alimentados por amplificador clase D, reproducción WMA, MP3 e Itunes Plus, Servicios de Streaming como: Pandora, Spotify, Deezer y Soundcloud. Color Blanco.")</f>
        <v>SISTEMA CON 1 ALTAVOZ ALIMENTADOS POR AMPLIFICADOR CLASE D, REPRODUCCIÓN WMA, MP3 E ITUNES PLUS, SERVICIOS DE STREAMING COMO: PANDORA, SPOTIFY, DEEZER Y SOUNDCLOUD. COLOR BLANCO.</v>
      </c>
      <c r="J4053" s="11" t="s">
        <v>26</v>
      </c>
      <c r="K4053" s="18">
        <v>159</v>
      </c>
      <c r="L4053" s="12">
        <f t="shared" si="341"/>
        <v>224.47058823529412</v>
      </c>
      <c r="M4053" s="8">
        <v>1</v>
      </c>
      <c r="N4053" s="8" t="s">
        <v>27</v>
      </c>
      <c r="O4053" s="13"/>
      <c r="P4053" s="14">
        <v>0.2</v>
      </c>
      <c r="Q4053" s="15">
        <v>0.15</v>
      </c>
      <c r="R4053" s="16" t="str">
        <f t="shared" si="339"/>
        <v>SONOS</v>
      </c>
      <c r="S4053" s="17"/>
      <c r="T4053" s="10" t="str">
        <f t="shared" si="342"/>
        <v>SISTEMA CON 1 ALTAVOZ ALIMENTADOS POR AMPLIFICADOR CLASE D.</v>
      </c>
    </row>
    <row r="4054" spans="1:20" ht="27" customHeight="1" x14ac:dyDescent="0.25">
      <c r="A4054" s="8" t="s">
        <v>8404</v>
      </c>
      <c r="B4054" s="9" t="s">
        <v>8405</v>
      </c>
      <c r="C4054" s="9"/>
      <c r="D4054" s="8" t="s">
        <v>1878</v>
      </c>
      <c r="E4054" s="8">
        <v>8</v>
      </c>
      <c r="F4054" s="8" t="s">
        <v>22</v>
      </c>
      <c r="G4054" s="10" t="s">
        <v>8418</v>
      </c>
      <c r="H4054" s="8" t="s">
        <v>8419</v>
      </c>
      <c r="I4054" s="10" t="str">
        <f>UPPER("Amplificador inalambrico con 2 salidas de 55 vatios, para altavoces de 8 ohm. reproducción WMA, MP3 e Itunes Plus, Servicios de Streaming como: Pandora, Spotify, Deezer y Soundcloud. Color Blanco.")</f>
        <v>AMPLIFICADOR INALAMBRICO CON 2 SALIDAS DE 55 VATIOS, PARA ALTAVOCES DE 8 OHM. REPRODUCCIÓN WMA, MP3 E ITUNES PLUS, SERVICIOS DE STREAMING COMO: PANDORA, SPOTIFY, DEEZER Y SOUNDCLOUD. COLOR BLANCO.</v>
      </c>
      <c r="J4054" s="11" t="s">
        <v>26</v>
      </c>
      <c r="K4054" s="18">
        <v>374</v>
      </c>
      <c r="L4054" s="12">
        <f t="shared" si="341"/>
        <v>528</v>
      </c>
      <c r="M4054" s="8">
        <v>1</v>
      </c>
      <c r="N4054" s="8" t="s">
        <v>27</v>
      </c>
      <c r="O4054" s="13"/>
      <c r="P4054" s="14">
        <v>0.2</v>
      </c>
      <c r="Q4054" s="15">
        <v>0.15</v>
      </c>
      <c r="R4054" s="16" t="str">
        <f t="shared" si="339"/>
        <v>SONOS</v>
      </c>
      <c r="S4054" s="17"/>
      <c r="T4054" s="10" t="str">
        <f t="shared" si="342"/>
        <v>AMPLIFICADOR INALAMBRICO CON 2 SALIDAS DE 55 VATIOS.</v>
      </c>
    </row>
    <row r="4055" spans="1:20" ht="27" customHeight="1" x14ac:dyDescent="0.25">
      <c r="A4055" s="8" t="s">
        <v>8404</v>
      </c>
      <c r="B4055" s="9" t="s">
        <v>8405</v>
      </c>
      <c r="C4055" s="9"/>
      <c r="D4055" s="8" t="s">
        <v>1878</v>
      </c>
      <c r="E4055" s="8">
        <v>9</v>
      </c>
      <c r="F4055" s="8" t="s">
        <v>22</v>
      </c>
      <c r="G4055" s="10" t="s">
        <v>8420</v>
      </c>
      <c r="H4055" s="8" t="s">
        <v>8421</v>
      </c>
      <c r="I4055" s="10" t="str">
        <f>UPPER("Receptor inalambrico para integracion con amplificador Externo. Color Blanco.")</f>
        <v>RECEPTOR INALAMBRICO PARA INTEGRACION CON AMPLIFICADOR EXTERNO. COLOR BLANCO.</v>
      </c>
      <c r="J4055" s="11" t="s">
        <v>26</v>
      </c>
      <c r="K4055" s="18">
        <v>261</v>
      </c>
      <c r="L4055" s="12">
        <f t="shared" si="341"/>
        <v>368.47058823529409</v>
      </c>
      <c r="M4055" s="8">
        <v>1</v>
      </c>
      <c r="N4055" s="8" t="s">
        <v>27</v>
      </c>
      <c r="O4055" s="13"/>
      <c r="P4055" s="14">
        <v>0.2</v>
      </c>
      <c r="Q4055" s="15">
        <v>0.15</v>
      </c>
      <c r="R4055" s="16" t="str">
        <f t="shared" si="339"/>
        <v>SONOS</v>
      </c>
      <c r="S4055" s="17"/>
      <c r="T4055" s="10" t="str">
        <f t="shared" si="342"/>
        <v>RECEPTOR INALAMBRICO PARA INTEGRACION CON AMPLIFICADOR EXTERNO. COLOR BLANCO.</v>
      </c>
    </row>
    <row r="4056" spans="1:20" ht="27" customHeight="1" x14ac:dyDescent="0.25">
      <c r="A4056" s="8" t="s">
        <v>8404</v>
      </c>
      <c r="B4056" s="9" t="s">
        <v>8405</v>
      </c>
      <c r="C4056" s="9"/>
      <c r="D4056" s="8" t="s">
        <v>1878</v>
      </c>
      <c r="E4056" s="8">
        <v>10</v>
      </c>
      <c r="F4056" s="8" t="s">
        <v>22</v>
      </c>
      <c r="G4056" s="10" t="s">
        <v>8422</v>
      </c>
      <c r="H4056" s="8" t="s">
        <v>8423</v>
      </c>
      <c r="I4056" s="10" t="s">
        <v>8422</v>
      </c>
      <c r="J4056" s="11" t="s">
        <v>26</v>
      </c>
      <c r="K4056" s="18">
        <v>36</v>
      </c>
      <c r="L4056" s="12">
        <f t="shared" si="341"/>
        <v>50.823529411764703</v>
      </c>
      <c r="M4056" s="8">
        <v>1</v>
      </c>
      <c r="N4056" s="8" t="s">
        <v>27</v>
      </c>
      <c r="O4056" s="13"/>
      <c r="P4056" s="14">
        <v>0.2</v>
      </c>
      <c r="Q4056" s="15">
        <v>0.15</v>
      </c>
      <c r="R4056" s="16" t="str">
        <f t="shared" si="339"/>
        <v>SONOS</v>
      </c>
      <c r="S4056" s="17"/>
      <c r="T4056" s="10" t="str">
        <f t="shared" si="342"/>
        <v>HUB PARA CONEXIÓN INALÁMBRICA DEL SISTEMA.</v>
      </c>
    </row>
    <row r="4057" spans="1:20" ht="27" customHeight="1" x14ac:dyDescent="0.25">
      <c r="A4057" s="8" t="s">
        <v>8404</v>
      </c>
      <c r="B4057" s="9" t="s">
        <v>8405</v>
      </c>
      <c r="C4057" s="9"/>
      <c r="D4057" s="8" t="s">
        <v>1878</v>
      </c>
      <c r="E4057" s="8">
        <v>11</v>
      </c>
      <c r="F4057" s="8" t="s">
        <v>22</v>
      </c>
      <c r="G4057" s="10" t="s">
        <v>8424</v>
      </c>
      <c r="H4057" s="8" t="s">
        <v>8425</v>
      </c>
      <c r="I4057" s="10" t="s">
        <v>8424</v>
      </c>
      <c r="J4057" s="11" t="s">
        <v>26</v>
      </c>
      <c r="K4057" s="18">
        <v>74</v>
      </c>
      <c r="L4057" s="12">
        <f t="shared" si="341"/>
        <v>104.47058823529412</v>
      </c>
      <c r="M4057" s="8">
        <v>1</v>
      </c>
      <c r="N4057" s="8" t="s">
        <v>27</v>
      </c>
      <c r="O4057" s="13"/>
      <c r="P4057" s="14">
        <v>0.2</v>
      </c>
      <c r="Q4057" s="15">
        <v>0.15</v>
      </c>
      <c r="R4057" s="16" t="str">
        <f t="shared" si="339"/>
        <v>SONOS</v>
      </c>
      <c r="S4057" s="17"/>
      <c r="T4057" s="10" t="str">
        <f t="shared" si="342"/>
        <v>MULTIPLICADOR DE ALCANCE DE SEÑAL.</v>
      </c>
    </row>
    <row r="4058" spans="1:20" ht="27" customHeight="1" x14ac:dyDescent="0.25">
      <c r="A4058" s="8" t="s">
        <v>8404</v>
      </c>
      <c r="B4058" s="9" t="s">
        <v>8405</v>
      </c>
      <c r="C4058" s="9"/>
      <c r="D4058" s="8" t="s">
        <v>563</v>
      </c>
      <c r="E4058" s="8">
        <v>1</v>
      </c>
      <c r="F4058" s="8" t="s">
        <v>22</v>
      </c>
      <c r="G4058" s="10" t="s">
        <v>8426</v>
      </c>
      <c r="H4058" s="8" t="s">
        <v>563</v>
      </c>
      <c r="I4058" s="10" t="s">
        <v>8427</v>
      </c>
      <c r="J4058" s="11" t="s">
        <v>26</v>
      </c>
      <c r="K4058" s="18">
        <v>524</v>
      </c>
      <c r="L4058" s="12">
        <f t="shared" si="341"/>
        <v>739.76470588235293</v>
      </c>
      <c r="M4058" s="8">
        <v>1</v>
      </c>
      <c r="N4058" s="8" t="s">
        <v>27</v>
      </c>
      <c r="O4058" s="13"/>
      <c r="P4058" s="14">
        <v>0.2</v>
      </c>
      <c r="Q4058" s="15">
        <v>0.15</v>
      </c>
      <c r="R4058" s="16" t="str">
        <f t="shared" si="339"/>
        <v>SONOS</v>
      </c>
      <c r="S4058" s="17"/>
      <c r="T4058" s="10" t="str">
        <f t="shared" si="342"/>
        <v>SUBWOOFER INALÁMBRICO PARA REPRODUCCIÓN DE BAJAS FRECUENCIAS.</v>
      </c>
    </row>
    <row r="4059" spans="1:20" ht="27" customHeight="1" x14ac:dyDescent="0.25">
      <c r="A4059" s="8" t="s">
        <v>8404</v>
      </c>
      <c r="B4059" s="9" t="s">
        <v>8405</v>
      </c>
      <c r="C4059" s="9"/>
      <c r="D4059" s="8" t="s">
        <v>568</v>
      </c>
      <c r="E4059" s="8">
        <v>1</v>
      </c>
      <c r="F4059" s="8" t="s">
        <v>22</v>
      </c>
      <c r="G4059" s="10" t="s">
        <v>8428</v>
      </c>
      <c r="H4059" s="8" t="s">
        <v>8429</v>
      </c>
      <c r="I4059" s="10" t="s">
        <v>8428</v>
      </c>
      <c r="J4059" s="11" t="s">
        <v>26</v>
      </c>
      <c r="K4059" s="18">
        <v>30</v>
      </c>
      <c r="L4059" s="12">
        <f t="shared" si="341"/>
        <v>42.352941176470587</v>
      </c>
      <c r="M4059" s="8">
        <v>1</v>
      </c>
      <c r="N4059" s="8" t="s">
        <v>27</v>
      </c>
      <c r="O4059" s="13"/>
      <c r="P4059" s="14">
        <v>0.2</v>
      </c>
      <c r="Q4059" s="15">
        <v>0.15</v>
      </c>
      <c r="R4059" s="16" t="str">
        <f t="shared" si="339"/>
        <v>SONOS</v>
      </c>
      <c r="S4059" s="17"/>
      <c r="T4059" s="10" t="str">
        <f t="shared" si="342"/>
        <v>SOPORTE DE PARED PARA PLAYBAR SONOS.</v>
      </c>
    </row>
    <row r="4060" spans="1:20" ht="27" customHeight="1" x14ac:dyDescent="0.25">
      <c r="A4060" s="8" t="s">
        <v>8404</v>
      </c>
      <c r="B4060" s="9" t="s">
        <v>8405</v>
      </c>
      <c r="C4060" s="9"/>
      <c r="D4060" s="8" t="s">
        <v>568</v>
      </c>
      <c r="E4060" s="8">
        <v>2</v>
      </c>
      <c r="F4060" s="8" t="s">
        <v>22</v>
      </c>
      <c r="G4060" s="10" t="s">
        <v>8430</v>
      </c>
      <c r="H4060" s="8" t="s">
        <v>8431</v>
      </c>
      <c r="I4060" s="10" t="s">
        <v>8430</v>
      </c>
      <c r="J4060" s="11" t="s">
        <v>26</v>
      </c>
      <c r="K4060" s="18">
        <v>15</v>
      </c>
      <c r="L4060" s="12">
        <f t="shared" si="341"/>
        <v>21.176470588235293</v>
      </c>
      <c r="M4060" s="8">
        <v>1</v>
      </c>
      <c r="N4060" s="8" t="s">
        <v>27</v>
      </c>
      <c r="O4060" s="13"/>
      <c r="P4060" s="14">
        <v>0.2</v>
      </c>
      <c r="Q4060" s="15">
        <v>0.15</v>
      </c>
      <c r="R4060" s="16" t="str">
        <f t="shared" si="339"/>
        <v>SONOS</v>
      </c>
      <c r="S4060" s="17"/>
      <c r="T4060" s="10" t="str">
        <f t="shared" si="342"/>
        <v>SOPORTE PARA AMPLIFICADOR DE LA Serie PLAY:3. COLOR NEGRO.</v>
      </c>
    </row>
    <row r="4061" spans="1:20" ht="27" customHeight="1" x14ac:dyDescent="0.25">
      <c r="A4061" s="8" t="s">
        <v>8404</v>
      </c>
      <c r="B4061" s="9"/>
      <c r="C4061" s="9"/>
      <c r="D4061" s="8"/>
      <c r="E4061" s="8"/>
      <c r="F4061" s="8" t="s">
        <v>22</v>
      </c>
      <c r="G4061" s="10" t="s">
        <v>8432</v>
      </c>
      <c r="H4061" s="8" t="s">
        <v>8433</v>
      </c>
      <c r="I4061" s="10" t="s">
        <v>8432</v>
      </c>
      <c r="J4061" s="11" t="s">
        <v>26</v>
      </c>
      <c r="K4061" s="18">
        <v>524</v>
      </c>
      <c r="L4061" s="12">
        <f t="shared" si="341"/>
        <v>739.76470588235293</v>
      </c>
      <c r="M4061" s="8">
        <v>1</v>
      </c>
      <c r="N4061" s="8" t="s">
        <v>27</v>
      </c>
      <c r="O4061" s="13"/>
      <c r="P4061" s="14">
        <v>0.2</v>
      </c>
      <c r="Q4061" s="15">
        <v>0.15</v>
      </c>
      <c r="R4061" s="16" t="str">
        <f t="shared" si="339"/>
        <v>SONOS</v>
      </c>
      <c r="S4061" s="17"/>
      <c r="T4061" s="10" t="str">
        <f t="shared" si="342"/>
        <v>SISTEMA DE TEATRO TODO EN UNO PARA BASE DE TV, COLOR BLANCO.</v>
      </c>
    </row>
    <row r="4062" spans="1:20" ht="27" customHeight="1" x14ac:dyDescent="0.25">
      <c r="A4062" s="8" t="s">
        <v>8404</v>
      </c>
      <c r="B4062" s="9"/>
      <c r="C4062" s="9"/>
      <c r="D4062" s="8"/>
      <c r="E4062" s="8"/>
      <c r="F4062" s="8"/>
      <c r="G4062" s="10"/>
      <c r="H4062" s="8" t="s">
        <v>8434</v>
      </c>
      <c r="I4062" s="10" t="s">
        <v>8435</v>
      </c>
      <c r="J4062" s="11" t="s">
        <v>26</v>
      </c>
      <c r="K4062" s="18">
        <v>159</v>
      </c>
      <c r="L4062" s="12">
        <f t="shared" si="341"/>
        <v>227.14285714285717</v>
      </c>
      <c r="M4062" s="8">
        <v>1</v>
      </c>
      <c r="N4062" s="8" t="s">
        <v>27</v>
      </c>
      <c r="O4062" s="13"/>
      <c r="P4062" s="14">
        <v>0</v>
      </c>
      <c r="Q4062" s="15">
        <v>0.3</v>
      </c>
      <c r="R4062" s="16" t="str">
        <f t="shared" si="339"/>
        <v>SONOS</v>
      </c>
      <c r="S4062" s="17"/>
      <c r="T4062" s="10"/>
    </row>
    <row r="4063" spans="1:20" ht="27" customHeight="1" x14ac:dyDescent="0.25">
      <c r="A4063" s="8" t="s">
        <v>8436</v>
      </c>
      <c r="B4063" s="9"/>
      <c r="C4063" s="9"/>
      <c r="D4063" s="8"/>
      <c r="E4063" s="8"/>
      <c r="F4063" s="8" t="s">
        <v>22</v>
      </c>
      <c r="G4063" s="10" t="s">
        <v>8437</v>
      </c>
      <c r="H4063" s="8" t="s">
        <v>8438</v>
      </c>
      <c r="I4063" s="10" t="s">
        <v>8437</v>
      </c>
      <c r="J4063" s="11" t="s">
        <v>33</v>
      </c>
      <c r="K4063" s="18">
        <v>199900</v>
      </c>
      <c r="L4063" s="12">
        <f t="shared" si="341"/>
        <v>333200</v>
      </c>
      <c r="M4063" s="8">
        <v>1</v>
      </c>
      <c r="N4063" s="8" t="s">
        <v>27</v>
      </c>
      <c r="O4063" s="13"/>
      <c r="P4063" s="14">
        <v>0</v>
      </c>
      <c r="Q4063" s="15">
        <v>0.4</v>
      </c>
      <c r="R4063" s="16" t="str">
        <f t="shared" si="339"/>
        <v>SONY</v>
      </c>
      <c r="S4063" s="17"/>
      <c r="T4063" s="10" t="str">
        <f>G4063</f>
        <v>REPRODUCTOR DE BLU-RAY CON LECTOR DE MP3</v>
      </c>
    </row>
    <row r="4064" spans="1:20" ht="27" customHeight="1" x14ac:dyDescent="0.25">
      <c r="A4064" s="8" t="s">
        <v>8436</v>
      </c>
      <c r="B4064" s="9"/>
      <c r="C4064" s="9"/>
      <c r="D4064" s="8"/>
      <c r="E4064" s="8"/>
      <c r="F4064" s="8"/>
      <c r="G4064" s="10"/>
      <c r="H4064" s="8" t="s">
        <v>8439</v>
      </c>
      <c r="I4064" s="10" t="s">
        <v>8440</v>
      </c>
      <c r="J4064" s="11" t="s">
        <v>33</v>
      </c>
      <c r="K4064" s="18">
        <v>1085000</v>
      </c>
      <c r="L4064" s="12">
        <f t="shared" si="341"/>
        <v>1356300</v>
      </c>
      <c r="M4064" s="8">
        <v>1</v>
      </c>
      <c r="N4064" s="8" t="s">
        <v>27</v>
      </c>
      <c r="O4064" s="13">
        <f>F4064</f>
        <v>0</v>
      </c>
      <c r="P4064" s="14">
        <v>0</v>
      </c>
      <c r="Q4064" s="15">
        <v>0.2</v>
      </c>
      <c r="R4064" s="16" t="str">
        <f t="shared" si="339"/>
        <v>SONY</v>
      </c>
      <c r="S4064" s="17"/>
      <c r="T4064" s="10"/>
    </row>
    <row r="4065" spans="1:20" ht="27" customHeight="1" x14ac:dyDescent="0.25">
      <c r="A4065" s="8" t="s">
        <v>8441</v>
      </c>
      <c r="B4065" s="9"/>
      <c r="C4065" s="9"/>
      <c r="D4065" s="8"/>
      <c r="E4065" s="8"/>
      <c r="F4065" s="8" t="s">
        <v>22</v>
      </c>
      <c r="G4065" s="10" t="s">
        <v>8442</v>
      </c>
      <c r="H4065" s="8" t="s">
        <v>8443</v>
      </c>
      <c r="I4065" s="10" t="s">
        <v>8442</v>
      </c>
      <c r="J4065" s="11" t="s">
        <v>26</v>
      </c>
      <c r="K4065" s="18">
        <v>195</v>
      </c>
      <c r="L4065" s="12">
        <f t="shared" si="341"/>
        <v>334.28571428571433</v>
      </c>
      <c r="M4065" s="8">
        <v>1</v>
      </c>
      <c r="N4065" s="8" t="s">
        <v>27</v>
      </c>
      <c r="O4065" s="13"/>
      <c r="P4065" s="14">
        <v>0.2</v>
      </c>
      <c r="Q4065" s="15">
        <v>0.3</v>
      </c>
      <c r="R4065" s="16" t="str">
        <f t="shared" si="339"/>
        <v>SOUND TECH</v>
      </c>
      <c r="S4065" s="17"/>
      <c r="T4065" s="10" t="str">
        <f>G4065</f>
        <v>SISTEMA DE MICRÓFONOS OMNIDIRECCIONALES CON CONEXIÓN DAISY CHAIN.</v>
      </c>
    </row>
    <row r="4066" spans="1:20" ht="27" customHeight="1" x14ac:dyDescent="0.25">
      <c r="A4066" s="8" t="s">
        <v>8444</v>
      </c>
      <c r="B4066" s="9"/>
      <c r="C4066" s="9"/>
      <c r="D4066" s="8" t="s">
        <v>45</v>
      </c>
      <c r="E4066" s="8"/>
      <c r="F4066" s="8" t="s">
        <v>22</v>
      </c>
      <c r="G4066" s="10" t="s">
        <v>8445</v>
      </c>
      <c r="H4066" s="8" t="s">
        <v>8446</v>
      </c>
      <c r="I4066" s="10" t="s">
        <v>8445</v>
      </c>
      <c r="J4066" s="11" t="s">
        <v>26</v>
      </c>
      <c r="K4066" s="18">
        <v>153</v>
      </c>
      <c r="L4066" s="12">
        <f>ROUNDUP(K4066*(1+P4066)/(1-Q4066),0)</f>
        <v>255</v>
      </c>
      <c r="M4066" s="8">
        <v>1</v>
      </c>
      <c r="N4066" s="8" t="s">
        <v>27</v>
      </c>
      <c r="O4066" s="13"/>
      <c r="P4066" s="14">
        <v>0</v>
      </c>
      <c r="Q4066" s="15">
        <v>0.4</v>
      </c>
      <c r="R4066" s="16" t="str">
        <f t="shared" si="339"/>
        <v>SOUNDCRAFT</v>
      </c>
      <c r="S4066" s="17"/>
      <c r="T4066" s="10" t="str">
        <f>G4066</f>
        <v>MEZCLADO DE AUDIO DE 6 CANALES, DOS CANALES ESTÉREO.</v>
      </c>
    </row>
    <row r="4067" spans="1:20" ht="27" customHeight="1" x14ac:dyDescent="0.25">
      <c r="A4067" s="8" t="s">
        <v>8444</v>
      </c>
      <c r="B4067" s="9"/>
      <c r="C4067" s="9"/>
      <c r="D4067" s="8"/>
      <c r="E4067" s="8"/>
      <c r="F4067" s="8"/>
      <c r="G4067" s="10"/>
      <c r="H4067" s="8" t="s">
        <v>8447</v>
      </c>
      <c r="I4067" s="10" t="s">
        <v>8448</v>
      </c>
      <c r="J4067" s="11" t="s">
        <v>26</v>
      </c>
      <c r="K4067" s="18">
        <v>361</v>
      </c>
      <c r="L4067" s="12">
        <f>ROUNDUP(K4067*(1+P4067)/(1-Q4067),0)</f>
        <v>516</v>
      </c>
      <c r="M4067" s="8">
        <v>1</v>
      </c>
      <c r="N4067" s="8" t="s">
        <v>27</v>
      </c>
      <c r="O4067" s="13"/>
      <c r="P4067" s="14">
        <v>0</v>
      </c>
      <c r="Q4067" s="15">
        <v>0.3</v>
      </c>
      <c r="R4067" s="16" t="str">
        <f t="shared" si="339"/>
        <v>SOUNDCRAFT</v>
      </c>
      <c r="S4067" s="17"/>
      <c r="T4067" s="10"/>
    </row>
    <row r="4068" spans="1:20" ht="27" customHeight="1" x14ac:dyDescent="0.25">
      <c r="A4068" s="8" t="s">
        <v>8444</v>
      </c>
      <c r="B4068" s="9"/>
      <c r="C4068" s="9"/>
      <c r="D4068" s="8"/>
      <c r="E4068" s="8"/>
      <c r="F4068" s="8"/>
      <c r="G4068" s="10"/>
      <c r="H4068" s="8" t="s">
        <v>8446</v>
      </c>
      <c r="I4068" s="10" t="s">
        <v>772</v>
      </c>
      <c r="J4068" s="11" t="s">
        <v>26</v>
      </c>
      <c r="K4068" s="18">
        <v>259</v>
      </c>
      <c r="L4068" s="12">
        <f>IF(J4068="P",ROUNDUP(K4068/(1-Q4068),-2),K4068*(1+P4068)/(1-Q4068))</f>
        <v>370</v>
      </c>
      <c r="M4068" s="8">
        <v>1</v>
      </c>
      <c r="N4068" s="8" t="s">
        <v>27</v>
      </c>
      <c r="O4068" s="13">
        <f>F4068</f>
        <v>0</v>
      </c>
      <c r="P4068" s="14">
        <v>0</v>
      </c>
      <c r="Q4068" s="15">
        <v>0.3</v>
      </c>
      <c r="R4068" s="16" t="str">
        <f t="shared" si="339"/>
        <v>SOUNDCRAFT</v>
      </c>
      <c r="S4068" s="17"/>
      <c r="T4068" s="10"/>
    </row>
    <row r="4069" spans="1:20" ht="27" customHeight="1" x14ac:dyDescent="0.25">
      <c r="A4069" s="8" t="s">
        <v>8449</v>
      </c>
      <c r="B4069" s="9"/>
      <c r="C4069" s="9"/>
      <c r="D4069" s="8"/>
      <c r="E4069" s="8"/>
      <c r="F4069" s="8"/>
      <c r="G4069" s="10"/>
      <c r="H4069" s="8" t="s">
        <v>8447</v>
      </c>
      <c r="I4069" s="10" t="s">
        <v>8450</v>
      </c>
      <c r="J4069" s="11" t="s">
        <v>26</v>
      </c>
      <c r="K4069" s="18">
        <v>361</v>
      </c>
      <c r="L4069" s="12">
        <f>ROUNDUP(K4069*(1+P4069)/(1-Q4069),0)</f>
        <v>722</v>
      </c>
      <c r="M4069" s="8">
        <v>1</v>
      </c>
      <c r="N4069" s="8" t="s">
        <v>27</v>
      </c>
      <c r="O4069" s="13"/>
      <c r="P4069" s="14">
        <v>0</v>
      </c>
      <c r="Q4069" s="15">
        <v>0.5</v>
      </c>
      <c r="R4069" s="16" t="str">
        <f t="shared" si="339"/>
        <v>SOUNDKRAFT</v>
      </c>
      <c r="S4069" s="17"/>
      <c r="T4069" s="10"/>
    </row>
    <row r="4070" spans="1:20" ht="27" customHeight="1" x14ac:dyDescent="0.25">
      <c r="A4070" s="8" t="s">
        <v>8451</v>
      </c>
      <c r="B4070" s="9"/>
      <c r="C4070" s="9"/>
      <c r="D4070" s="8"/>
      <c r="E4070" s="8"/>
      <c r="F4070" s="8" t="s">
        <v>22</v>
      </c>
      <c r="G4070" s="10" t="s">
        <v>8452</v>
      </c>
      <c r="H4070" s="8" t="s">
        <v>8453</v>
      </c>
      <c r="I4070" s="10" t="s">
        <v>8452</v>
      </c>
      <c r="J4070" s="11" t="s">
        <v>26</v>
      </c>
      <c r="K4070" s="18">
        <v>69</v>
      </c>
      <c r="L4070" s="12">
        <f>IF(J4070="P",ROUNDUP(K4070/(1-Q4070),-2),K4070*(1+P4070)/(1-Q4070))</f>
        <v>138</v>
      </c>
      <c r="M4070" s="8">
        <v>1</v>
      </c>
      <c r="N4070" s="8" t="s">
        <v>27</v>
      </c>
      <c r="O4070" s="13"/>
      <c r="P4070" s="14">
        <v>0.2</v>
      </c>
      <c r="Q4070" s="15">
        <v>0.4</v>
      </c>
      <c r="R4070" s="16" t="str">
        <f t="shared" si="339"/>
        <v>SPACECRAFT</v>
      </c>
      <c r="S4070" s="17"/>
      <c r="T4070" s="10" t="str">
        <f>G4070</f>
        <v>LUMINARIA DE SOBRE PONER EN MURO CON lED CÁLIDO DE 5 VATIOS</v>
      </c>
    </row>
    <row r="4071" spans="1:20" ht="27" customHeight="1" x14ac:dyDescent="0.25">
      <c r="A4071" s="8" t="s">
        <v>8454</v>
      </c>
      <c r="B4071" s="9"/>
      <c r="C4071" s="9"/>
      <c r="D4071" s="8"/>
      <c r="E4071" s="8"/>
      <c r="F4071" s="8"/>
      <c r="G4071" s="10"/>
      <c r="H4071" s="8" t="s">
        <v>8455</v>
      </c>
      <c r="I4071" s="10" t="s">
        <v>8456</v>
      </c>
      <c r="J4071" s="11" t="s">
        <v>33</v>
      </c>
      <c r="K4071" s="18">
        <v>216024</v>
      </c>
      <c r="L4071" s="12">
        <f>K4071*(1+P4071)/(1-Q4071)</f>
        <v>360040</v>
      </c>
      <c r="M4071" s="8">
        <v>1</v>
      </c>
      <c r="N4071" s="8" t="s">
        <v>27</v>
      </c>
      <c r="O4071" s="13"/>
      <c r="P4071" s="14">
        <v>0</v>
      </c>
      <c r="Q4071" s="15">
        <v>0.4</v>
      </c>
      <c r="R4071" s="16" t="str">
        <f t="shared" si="339"/>
        <v>SPEAKERKRAFT</v>
      </c>
      <c r="S4071" s="17"/>
      <c r="T4071" s="10"/>
    </row>
    <row r="4072" spans="1:20" ht="27" customHeight="1" x14ac:dyDescent="0.25">
      <c r="A4072" s="8" t="s">
        <v>8457</v>
      </c>
      <c r="B4072" s="9"/>
      <c r="C4072" s="9"/>
      <c r="D4072" s="8"/>
      <c r="E4072" s="8"/>
      <c r="F4072" s="8" t="s">
        <v>22</v>
      </c>
      <c r="G4072" s="10" t="s">
        <v>8458</v>
      </c>
      <c r="H4072" s="8" t="s">
        <v>8459</v>
      </c>
      <c r="I4072" s="10" t="s">
        <v>8458</v>
      </c>
      <c r="J4072" s="11" t="s">
        <v>33</v>
      </c>
      <c r="K4072" s="18">
        <v>1232000</v>
      </c>
      <c r="L4072" s="12">
        <f>IF(J4072="P",ROUNDUP(K4072/(1-Q4072),-2),K4072*(1+P4072)/(1-Q4072))</f>
        <v>1760000</v>
      </c>
      <c r="M4072" s="8">
        <v>1</v>
      </c>
      <c r="N4072" s="8" t="s">
        <v>27</v>
      </c>
      <c r="O4072" s="13"/>
      <c r="P4072" s="14">
        <v>0.2</v>
      </c>
      <c r="Q4072" s="15">
        <v>0.3</v>
      </c>
      <c r="R4072" s="16" t="str">
        <f t="shared" si="339"/>
        <v>SPECTRONIC</v>
      </c>
      <c r="S4072" s="17"/>
      <c r="T4072" s="10" t="str">
        <f>G4072</f>
        <v>REGULADOR DE VOLTAJE CONMUTADO POR TRIACS</v>
      </c>
    </row>
    <row r="4073" spans="1:20" ht="27" customHeight="1" x14ac:dyDescent="0.25">
      <c r="A4073" s="8" t="s">
        <v>8460</v>
      </c>
      <c r="B4073" s="9"/>
      <c r="C4073" s="9"/>
      <c r="D4073" s="8"/>
      <c r="E4073" s="8"/>
      <c r="F4073" s="8"/>
      <c r="G4073" s="10"/>
      <c r="H4073" s="8" t="s">
        <v>8461</v>
      </c>
      <c r="I4073" s="10" t="s">
        <v>8462</v>
      </c>
      <c r="J4073" s="11" t="s">
        <v>33</v>
      </c>
      <c r="K4073" s="18">
        <v>90000</v>
      </c>
      <c r="L4073" s="12">
        <f>IF(J4073="P",ROUNDUP(K4073/(1-Q4073),-2),K4073*(1+P4073)/(1-Q4073))</f>
        <v>150000</v>
      </c>
      <c r="M4073" s="8">
        <v>1</v>
      </c>
      <c r="N4073" s="8" t="s">
        <v>27</v>
      </c>
      <c r="O4073" s="13"/>
      <c r="P4073" s="14">
        <v>0</v>
      </c>
      <c r="Q4073" s="15">
        <v>0.4</v>
      </c>
      <c r="R4073" s="16" t="str">
        <f t="shared" si="339"/>
        <v>SPEED</v>
      </c>
      <c r="S4073" s="17"/>
      <c r="T4073" s="10"/>
    </row>
    <row r="4074" spans="1:20" ht="27" customHeight="1" x14ac:dyDescent="0.25">
      <c r="A4074" s="8" t="s">
        <v>8460</v>
      </c>
      <c r="B4074" s="9"/>
      <c r="C4074" s="9"/>
      <c r="D4074" s="8"/>
      <c r="E4074" s="8"/>
      <c r="F4074" s="8"/>
      <c r="G4074" s="10"/>
      <c r="H4074" s="8" t="s">
        <v>8463</v>
      </c>
      <c r="I4074" s="10" t="s">
        <v>8464</v>
      </c>
      <c r="J4074" s="11" t="s">
        <v>33</v>
      </c>
      <c r="K4074" s="18">
        <v>15000</v>
      </c>
      <c r="L4074" s="12">
        <f>IF(J4074="P",ROUNDUP(K4074/(1-Q4074),-2),K4074*(1+P4074)/(1-Q4074))</f>
        <v>30000</v>
      </c>
      <c r="M4074" s="8">
        <v>1</v>
      </c>
      <c r="N4074" s="8" t="s">
        <v>27</v>
      </c>
      <c r="O4074" s="13"/>
      <c r="P4074" s="14">
        <v>0</v>
      </c>
      <c r="Q4074" s="15">
        <v>0.5</v>
      </c>
      <c r="R4074" s="16" t="str">
        <f t="shared" si="339"/>
        <v>SPEED</v>
      </c>
      <c r="S4074" s="17"/>
      <c r="T4074" s="10"/>
    </row>
    <row r="4075" spans="1:20" ht="27" customHeight="1" x14ac:dyDescent="0.25">
      <c r="A4075" s="8" t="s">
        <v>8465</v>
      </c>
      <c r="B4075" s="9"/>
      <c r="C4075" s="9"/>
      <c r="D4075" s="8"/>
      <c r="E4075" s="8"/>
      <c r="F4075" s="8" t="s">
        <v>22</v>
      </c>
      <c r="G4075" s="10" t="s">
        <v>8466</v>
      </c>
      <c r="H4075" s="8" t="s">
        <v>8467</v>
      </c>
      <c r="I4075" s="10" t="s">
        <v>8468</v>
      </c>
      <c r="J4075" s="11" t="s">
        <v>33</v>
      </c>
      <c r="K4075" s="18">
        <v>230000</v>
      </c>
      <c r="L4075" s="12">
        <f>IF(J4075="P",ROUNDUP(K4075/(1-Q4075),-2),K4075*(1+P4075)/(1-Q4075))</f>
        <v>383400</v>
      </c>
      <c r="M4075" s="8">
        <v>1</v>
      </c>
      <c r="N4075" s="8" t="s">
        <v>27</v>
      </c>
      <c r="O4075" s="13"/>
      <c r="P4075" s="14">
        <v>0.2</v>
      </c>
      <c r="Q4075" s="15">
        <v>0.4</v>
      </c>
      <c r="R4075" s="16" t="str">
        <f t="shared" si="339"/>
        <v>STAND</v>
      </c>
      <c r="S4075" s="17"/>
      <c r="T4075" s="10" t="str">
        <f>G4075</f>
        <v>LUMINARIA STIL LED LINEAL CUADRADA.</v>
      </c>
    </row>
    <row r="4076" spans="1:20" ht="27" customHeight="1" x14ac:dyDescent="0.25">
      <c r="A4076" s="8" t="s">
        <v>8465</v>
      </c>
      <c r="B4076" s="9"/>
      <c r="C4076" s="9"/>
      <c r="D4076" s="8"/>
      <c r="E4076" s="8"/>
      <c r="F4076" s="8" t="s">
        <v>22</v>
      </c>
      <c r="G4076" s="10" t="s">
        <v>8469</v>
      </c>
      <c r="H4076" s="8" t="s">
        <v>8470</v>
      </c>
      <c r="I4076" s="10" t="s">
        <v>8469</v>
      </c>
      <c r="J4076" s="11" t="s">
        <v>33</v>
      </c>
      <c r="K4076" s="18">
        <v>230000</v>
      </c>
      <c r="L4076" s="12">
        <f>IF(J4076="P",ROUNDUP(K4076/(1-Q4076),-2),K4076*(1+P4076)/(1-Q4076))</f>
        <v>383400</v>
      </c>
      <c r="M4076" s="8">
        <v>1</v>
      </c>
      <c r="N4076" s="8" t="s">
        <v>27</v>
      </c>
      <c r="O4076" s="13"/>
      <c r="P4076" s="14">
        <v>0.2</v>
      </c>
      <c r="Q4076" s="15">
        <v>0.4</v>
      </c>
      <c r="R4076" s="16" t="str">
        <f t="shared" si="339"/>
        <v>STAND</v>
      </c>
      <c r="S4076" s="17"/>
      <c r="T4076" s="10" t="str">
        <f>G4076</f>
        <v>LUMINARIA ATENUABLE DE 18 VATIOS ULTRA PLANA TIPO PANEL LED ATENUABLE.</v>
      </c>
    </row>
    <row r="4077" spans="1:20" ht="27" customHeight="1" x14ac:dyDescent="0.25">
      <c r="A4077" s="8" t="s">
        <v>8471</v>
      </c>
      <c r="B4077" s="9"/>
      <c r="C4077" s="9"/>
      <c r="D4077" s="8"/>
      <c r="E4077" s="8"/>
      <c r="F4077" s="8"/>
      <c r="G4077" s="10"/>
      <c r="H4077" s="8" t="s">
        <v>8472</v>
      </c>
      <c r="I4077" s="10" t="s">
        <v>8473</v>
      </c>
      <c r="J4077" s="11" t="s">
        <v>33</v>
      </c>
      <c r="K4077" s="18">
        <v>12600</v>
      </c>
      <c r="L4077" s="12">
        <f>ROUNDUP(K4077*(1+P4077)/(1-Q4077),0)</f>
        <v>21000</v>
      </c>
      <c r="M4077" s="8">
        <v>1</v>
      </c>
      <c r="N4077" s="8" t="s">
        <v>27</v>
      </c>
      <c r="O4077" s="13"/>
      <c r="P4077" s="14">
        <v>0</v>
      </c>
      <c r="Q4077" s="15">
        <v>0.4</v>
      </c>
      <c r="R4077" s="16" t="str">
        <f t="shared" si="339"/>
        <v>STAR</v>
      </c>
      <c r="S4077" s="17"/>
      <c r="T4077" s="10"/>
    </row>
    <row r="4078" spans="1:20" ht="27" customHeight="1" x14ac:dyDescent="0.25">
      <c r="A4078" s="8" t="s">
        <v>8474</v>
      </c>
      <c r="B4078" s="9"/>
      <c r="C4078" s="9"/>
      <c r="D4078" s="8"/>
      <c r="E4078" s="8"/>
      <c r="F4078" s="8"/>
      <c r="G4078" s="10"/>
      <c r="H4078" s="8" t="s">
        <v>8475</v>
      </c>
      <c r="I4078" s="10" t="s">
        <v>8476</v>
      </c>
      <c r="J4078" s="11" t="s">
        <v>26</v>
      </c>
      <c r="K4078" s="18">
        <v>106</v>
      </c>
      <c r="L4078" s="12">
        <f>K4078*(1+P4078)/(1-Q4078)</f>
        <v>173.45454545598068</v>
      </c>
      <c r="M4078" s="8">
        <v>1</v>
      </c>
      <c r="N4078" s="8" t="s">
        <v>27</v>
      </c>
      <c r="O4078" s="13"/>
      <c r="P4078" s="14">
        <v>0.2</v>
      </c>
      <c r="Q4078" s="15">
        <v>0.26666666667273459</v>
      </c>
      <c r="R4078" s="16" t="str">
        <f t="shared" si="339"/>
        <v>STARTECH</v>
      </c>
      <c r="S4078" s="17" t="s">
        <v>8477</v>
      </c>
      <c r="T4078" s="10"/>
    </row>
    <row r="4079" spans="1:20" ht="27" customHeight="1" x14ac:dyDescent="0.25">
      <c r="A4079" s="8" t="s">
        <v>8478</v>
      </c>
      <c r="B4079" s="9"/>
      <c r="C4079" s="9"/>
      <c r="D4079" s="8"/>
      <c r="E4079" s="8"/>
      <c r="F4079" s="8" t="s">
        <v>22</v>
      </c>
      <c r="G4079" s="10" t="s">
        <v>8479</v>
      </c>
      <c r="H4079" s="8" t="s">
        <v>8480</v>
      </c>
      <c r="I4079" s="10" t="s">
        <v>8479</v>
      </c>
      <c r="J4079" s="11" t="s">
        <v>33</v>
      </c>
      <c r="K4079" s="18">
        <v>230000</v>
      </c>
      <c r="L4079" s="12">
        <f t="shared" ref="L4079:L4110" si="343">IF(J4079="P",ROUNDUP(K4079/(1-Q4079),-2),K4079*(1+P4079)/(1-Q4079))</f>
        <v>328600</v>
      </c>
      <c r="M4079" s="8">
        <v>1</v>
      </c>
      <c r="N4079" s="8" t="s">
        <v>27</v>
      </c>
      <c r="O4079" s="13"/>
      <c r="P4079" s="14">
        <v>0.2</v>
      </c>
      <c r="Q4079" s="15">
        <v>0.3</v>
      </c>
      <c r="R4079" s="16" t="str">
        <f t="shared" ref="R4079:R4142" si="344">A4079</f>
        <v>STEREN</v>
      </c>
      <c r="S4079" s="17"/>
      <c r="T4079" s="10" t="str">
        <f t="shared" ref="T4079:T4088" si="345">G4079</f>
        <v>MEZCLADORA DE 3 CANALES</v>
      </c>
    </row>
    <row r="4080" spans="1:20" ht="27" customHeight="1" x14ac:dyDescent="0.25">
      <c r="A4080" s="8" t="s">
        <v>8478</v>
      </c>
      <c r="B4080" s="9"/>
      <c r="C4080" s="9"/>
      <c r="D4080" s="8"/>
      <c r="E4080" s="8"/>
      <c r="F4080" s="8" t="s">
        <v>22</v>
      </c>
      <c r="G4080" s="10" t="s">
        <v>8481</v>
      </c>
      <c r="H4080" s="8" t="s">
        <v>8482</v>
      </c>
      <c r="I4080" s="10" t="s">
        <v>8481</v>
      </c>
      <c r="J4080" s="11" t="s">
        <v>33</v>
      </c>
      <c r="K4080" s="18">
        <v>240000</v>
      </c>
      <c r="L4080" s="12">
        <f t="shared" si="343"/>
        <v>342900</v>
      </c>
      <c r="M4080" s="8">
        <v>1</v>
      </c>
      <c r="N4080" s="8" t="s">
        <v>27</v>
      </c>
      <c r="O4080" s="13"/>
      <c r="P4080" s="14">
        <v>0.2</v>
      </c>
      <c r="Q4080" s="15">
        <v>0.3</v>
      </c>
      <c r="R4080" s="16" t="str">
        <f t="shared" si="344"/>
        <v>STEREN</v>
      </c>
      <c r="S4080" s="17"/>
      <c r="T4080" s="10" t="str">
        <f t="shared" si="345"/>
        <v>MICRÓFONO INALÁMBRICO DE MANO VHF</v>
      </c>
    </row>
    <row r="4081" spans="1:20" ht="27" customHeight="1" x14ac:dyDescent="0.25">
      <c r="A4081" s="8" t="s">
        <v>8478</v>
      </c>
      <c r="B4081" s="9"/>
      <c r="C4081" s="9"/>
      <c r="D4081" s="8"/>
      <c r="E4081" s="8"/>
      <c r="F4081" s="8" t="s">
        <v>22</v>
      </c>
      <c r="G4081" s="10" t="s">
        <v>8483</v>
      </c>
      <c r="H4081" s="8" t="s">
        <v>8484</v>
      </c>
      <c r="I4081" s="10" t="s">
        <v>8483</v>
      </c>
      <c r="J4081" s="11" t="s">
        <v>33</v>
      </c>
      <c r="K4081" s="18">
        <v>94000</v>
      </c>
      <c r="L4081" s="12">
        <f t="shared" si="343"/>
        <v>134300</v>
      </c>
      <c r="M4081" s="8">
        <v>1</v>
      </c>
      <c r="N4081" s="8" t="s">
        <v>27</v>
      </c>
      <c r="O4081" s="13"/>
      <c r="P4081" s="14">
        <v>0.2</v>
      </c>
      <c r="Q4081" s="15">
        <v>0.3</v>
      </c>
      <c r="R4081" s="16" t="str">
        <f t="shared" si="344"/>
        <v>STEREN</v>
      </c>
      <c r="S4081" s="17"/>
      <c r="T4081" s="10" t="str">
        <f t="shared" si="345"/>
        <v>ALTAVOCES DE EMPOTRAR 2 VÍAS 240 VATIOS.</v>
      </c>
    </row>
    <row r="4082" spans="1:20" ht="27" customHeight="1" x14ac:dyDescent="0.25">
      <c r="A4082" s="8" t="s">
        <v>8478</v>
      </c>
      <c r="B4082" s="9" t="s">
        <v>8485</v>
      </c>
      <c r="C4082" s="9"/>
      <c r="D4082" s="8"/>
      <c r="E4082" s="8"/>
      <c r="F4082" s="8" t="s">
        <v>22</v>
      </c>
      <c r="G4082" s="10" t="s">
        <v>8486</v>
      </c>
      <c r="H4082" s="8" t="s">
        <v>8487</v>
      </c>
      <c r="I4082" s="10" t="s">
        <v>8486</v>
      </c>
      <c r="J4082" s="11" t="s">
        <v>33</v>
      </c>
      <c r="K4082" s="18">
        <v>35000</v>
      </c>
      <c r="L4082" s="12">
        <f t="shared" si="343"/>
        <v>46700</v>
      </c>
      <c r="M4082" s="8">
        <v>1</v>
      </c>
      <c r="N4082" s="8" t="s">
        <v>27</v>
      </c>
      <c r="O4082" s="13"/>
      <c r="P4082" s="14">
        <v>0.2</v>
      </c>
      <c r="Q4082" s="15">
        <v>0.25</v>
      </c>
      <c r="R4082" s="16" t="str">
        <f t="shared" si="344"/>
        <v>STEREN</v>
      </c>
      <c r="S4082" s="17"/>
      <c r="T4082" s="10" t="str">
        <f t="shared" si="345"/>
        <v>CABLE RCA A ESTÉREO 3.5MM, 1.8 METROS.</v>
      </c>
    </row>
    <row r="4083" spans="1:20" ht="27" customHeight="1" x14ac:dyDescent="0.25">
      <c r="A4083" s="8" t="s">
        <v>8478</v>
      </c>
      <c r="B4083" s="9"/>
      <c r="C4083" s="9"/>
      <c r="D4083" s="8"/>
      <c r="E4083" s="8"/>
      <c r="F4083" s="8" t="s">
        <v>22</v>
      </c>
      <c r="G4083" s="10" t="s">
        <v>8488</v>
      </c>
      <c r="H4083" s="8" t="s">
        <v>8489</v>
      </c>
      <c r="I4083" s="10" t="s">
        <v>8488</v>
      </c>
      <c r="J4083" s="11" t="s">
        <v>33</v>
      </c>
      <c r="K4083" s="18">
        <v>82000</v>
      </c>
      <c r="L4083" s="12">
        <f t="shared" si="343"/>
        <v>117200</v>
      </c>
      <c r="M4083" s="8">
        <v>1</v>
      </c>
      <c r="N4083" s="8" t="s">
        <v>27</v>
      </c>
      <c r="O4083" s="13"/>
      <c r="P4083" s="14">
        <v>0</v>
      </c>
      <c r="Q4083" s="15">
        <v>0.3</v>
      </c>
      <c r="R4083" s="16" t="str">
        <f t="shared" si="344"/>
        <v>STEREN</v>
      </c>
      <c r="S4083" s="17"/>
      <c r="T4083" s="10" t="str">
        <f t="shared" si="345"/>
        <v>CONVERSOR VGA A HDMI. SOPORTA RESOLUCIONES 1080P.</v>
      </c>
    </row>
    <row r="4084" spans="1:20" ht="27" customHeight="1" x14ac:dyDescent="0.25">
      <c r="A4084" s="8" t="s">
        <v>8478</v>
      </c>
      <c r="B4084" s="9"/>
      <c r="C4084" s="9"/>
      <c r="D4084" s="8"/>
      <c r="E4084" s="8"/>
      <c r="F4084" s="8" t="s">
        <v>22</v>
      </c>
      <c r="G4084" s="10" t="s">
        <v>8490</v>
      </c>
      <c r="H4084" s="8" t="s">
        <v>8491</v>
      </c>
      <c r="I4084" s="10" t="s">
        <v>8490</v>
      </c>
      <c r="J4084" s="11" t="s">
        <v>33</v>
      </c>
      <c r="K4084" s="18">
        <v>370000</v>
      </c>
      <c r="L4084" s="12">
        <f t="shared" si="343"/>
        <v>528600</v>
      </c>
      <c r="M4084" s="8">
        <v>1</v>
      </c>
      <c r="N4084" s="8" t="s">
        <v>27</v>
      </c>
      <c r="O4084" s="13"/>
      <c r="P4084" s="14">
        <v>0</v>
      </c>
      <c r="Q4084" s="15">
        <v>0.3</v>
      </c>
      <c r="R4084" s="16" t="str">
        <f t="shared" si="344"/>
        <v>STEREN</v>
      </c>
      <c r="S4084" s="17"/>
      <c r="T4084" s="10" t="str">
        <f t="shared" si="345"/>
        <v>TRANSMISOR ACTIVO DE HASTA 100 METROS POR UTP.</v>
      </c>
    </row>
    <row r="4085" spans="1:20" ht="27" customHeight="1" x14ac:dyDescent="0.25">
      <c r="A4085" s="8" t="s">
        <v>8478</v>
      </c>
      <c r="B4085" s="9"/>
      <c r="C4085" s="9"/>
      <c r="D4085" s="8"/>
      <c r="E4085" s="8"/>
      <c r="F4085" s="8" t="s">
        <v>22</v>
      </c>
      <c r="G4085" s="10" t="s">
        <v>8492</v>
      </c>
      <c r="H4085" s="8" t="s">
        <v>8493</v>
      </c>
      <c r="I4085" s="10" t="s">
        <v>8492</v>
      </c>
      <c r="J4085" s="11" t="s">
        <v>33</v>
      </c>
      <c r="K4085" s="18">
        <v>130000</v>
      </c>
      <c r="L4085" s="12">
        <f t="shared" si="343"/>
        <v>185800</v>
      </c>
      <c r="M4085" s="8">
        <v>1</v>
      </c>
      <c r="N4085" s="8" t="s">
        <v>27</v>
      </c>
      <c r="O4085" s="13"/>
      <c r="P4085" s="14">
        <v>0</v>
      </c>
      <c r="Q4085" s="15">
        <v>0.3</v>
      </c>
      <c r="R4085" s="16" t="str">
        <f t="shared" si="344"/>
        <v>STEREN</v>
      </c>
      <c r="S4085" s="17"/>
      <c r="T4085" s="10" t="str">
        <f t="shared" si="345"/>
        <v>TRANSMISOR PASIVO POR UTP HASTA 27 METROS.</v>
      </c>
    </row>
    <row r="4086" spans="1:20" ht="27" customHeight="1" x14ac:dyDescent="0.25">
      <c r="A4086" s="8" t="s">
        <v>8478</v>
      </c>
      <c r="B4086" s="9"/>
      <c r="C4086" s="9"/>
      <c r="D4086" s="8"/>
      <c r="E4086" s="8"/>
      <c r="F4086" s="8" t="s">
        <v>22</v>
      </c>
      <c r="G4086" s="10" t="s">
        <v>2712</v>
      </c>
      <c r="H4086" s="8" t="s">
        <v>8494</v>
      </c>
      <c r="I4086" s="10" t="s">
        <v>2712</v>
      </c>
      <c r="J4086" s="11" t="s">
        <v>33</v>
      </c>
      <c r="K4086" s="18">
        <v>80000</v>
      </c>
      <c r="L4086" s="12">
        <f t="shared" si="343"/>
        <v>133400</v>
      </c>
      <c r="M4086" s="8">
        <v>1</v>
      </c>
      <c r="N4086" s="8" t="s">
        <v>27</v>
      </c>
      <c r="O4086" s="13"/>
      <c r="P4086" s="14">
        <v>0</v>
      </c>
      <c r="Q4086" s="15">
        <v>0.4</v>
      </c>
      <c r="R4086" s="16" t="str">
        <f t="shared" si="344"/>
        <v>STEREN</v>
      </c>
      <c r="S4086" s="17"/>
      <c r="T4086" s="10" t="str">
        <f t="shared" si="345"/>
        <v>SPLITTER HDMI 2X1</v>
      </c>
    </row>
    <row r="4087" spans="1:20" ht="27" customHeight="1" x14ac:dyDescent="0.25">
      <c r="A4087" s="8" t="s">
        <v>8478</v>
      </c>
      <c r="B4087" s="9"/>
      <c r="C4087" s="9"/>
      <c r="D4087" s="8"/>
      <c r="E4087" s="8"/>
      <c r="F4087" s="8" t="s">
        <v>22</v>
      </c>
      <c r="G4087" s="10" t="s">
        <v>8495</v>
      </c>
      <c r="H4087" s="8" t="s">
        <v>8496</v>
      </c>
      <c r="I4087" s="10" t="s">
        <v>8495</v>
      </c>
      <c r="J4087" s="11" t="s">
        <v>33</v>
      </c>
      <c r="K4087" s="18">
        <v>198000</v>
      </c>
      <c r="L4087" s="12">
        <f t="shared" si="343"/>
        <v>247500</v>
      </c>
      <c r="M4087" s="8">
        <v>1</v>
      </c>
      <c r="N4087" s="8" t="s">
        <v>27</v>
      </c>
      <c r="O4087" s="13" t="s">
        <v>588</v>
      </c>
      <c r="P4087" s="14">
        <v>0</v>
      </c>
      <c r="Q4087" s="15">
        <v>0.2</v>
      </c>
      <c r="R4087" s="16" t="str">
        <f t="shared" si="344"/>
        <v>STEREN</v>
      </c>
      <c r="S4087" s="17"/>
      <c r="T4087" s="10" t="str">
        <f t="shared" si="345"/>
        <v>EXTENSOR DE HASTA 40 METROS POR UTP DE SEÑALES 1080P.</v>
      </c>
    </row>
    <row r="4088" spans="1:20" ht="27" customHeight="1" x14ac:dyDescent="0.25">
      <c r="A4088" s="8" t="s">
        <v>8478</v>
      </c>
      <c r="B4088" s="9"/>
      <c r="C4088" s="9"/>
      <c r="D4088" s="8"/>
      <c r="E4088" s="8"/>
      <c r="F4088" s="8" t="s">
        <v>22</v>
      </c>
      <c r="G4088" s="10" t="s">
        <v>8497</v>
      </c>
      <c r="H4088" s="8" t="s">
        <v>8498</v>
      </c>
      <c r="I4088" s="10" t="s">
        <v>8497</v>
      </c>
      <c r="J4088" s="11" t="s">
        <v>33</v>
      </c>
      <c r="K4088" s="18">
        <v>364000</v>
      </c>
      <c r="L4088" s="12">
        <f t="shared" si="343"/>
        <v>455000</v>
      </c>
      <c r="M4088" s="8">
        <v>1</v>
      </c>
      <c r="N4088" s="8" t="s">
        <v>27</v>
      </c>
      <c r="O4088" s="13"/>
      <c r="P4088" s="14">
        <v>0</v>
      </c>
      <c r="Q4088" s="15">
        <v>0.2</v>
      </c>
      <c r="R4088" s="16" t="str">
        <f t="shared" si="344"/>
        <v>STEREN</v>
      </c>
      <c r="S4088" s="17"/>
      <c r="T4088" s="10" t="str">
        <f t="shared" si="345"/>
        <v>TRANSMISOR ACTIVO DE HDMI POR UTP HASTA 60 METROS.</v>
      </c>
    </row>
    <row r="4089" spans="1:20" ht="27" customHeight="1" x14ac:dyDescent="0.25">
      <c r="A4089" s="8" t="s">
        <v>8499</v>
      </c>
      <c r="B4089" s="9"/>
      <c r="C4089" s="9"/>
      <c r="D4089" s="8"/>
      <c r="E4089" s="8"/>
      <c r="F4089" s="8"/>
      <c r="G4089" s="10"/>
      <c r="H4089" s="8" t="s">
        <v>8500</v>
      </c>
      <c r="I4089" s="10" t="s">
        <v>8501</v>
      </c>
      <c r="J4089" s="11" t="s">
        <v>26</v>
      </c>
      <c r="K4089" s="18">
        <v>52</v>
      </c>
      <c r="L4089" s="12">
        <f t="shared" si="343"/>
        <v>89.142857142857153</v>
      </c>
      <c r="M4089" s="8">
        <v>1</v>
      </c>
      <c r="N4089" s="8" t="s">
        <v>27</v>
      </c>
      <c r="O4089" s="13">
        <f>F4089</f>
        <v>0</v>
      </c>
      <c r="P4089" s="14">
        <v>0.2</v>
      </c>
      <c r="Q4089" s="15">
        <v>0.3</v>
      </c>
      <c r="R4089" s="16" t="str">
        <f t="shared" si="344"/>
        <v>STI</v>
      </c>
      <c r="S4089" s="17"/>
      <c r="T4089" s="10"/>
    </row>
    <row r="4090" spans="1:20" ht="27" customHeight="1" x14ac:dyDescent="0.25">
      <c r="A4090" s="8" t="s">
        <v>8502</v>
      </c>
      <c r="B4090" s="9"/>
      <c r="C4090" s="9"/>
      <c r="D4090" s="8"/>
      <c r="E4090" s="8"/>
      <c r="F4090" s="8" t="s">
        <v>22</v>
      </c>
      <c r="G4090" s="10" t="s">
        <v>8503</v>
      </c>
      <c r="H4090" s="8" t="s">
        <v>8504</v>
      </c>
      <c r="I4090" s="10" t="s">
        <v>8503</v>
      </c>
      <c r="J4090" s="11" t="s">
        <v>33</v>
      </c>
      <c r="K4090" s="18">
        <v>180000</v>
      </c>
      <c r="L4090" s="12">
        <f t="shared" si="343"/>
        <v>300000</v>
      </c>
      <c r="M4090" s="8">
        <v>1</v>
      </c>
      <c r="N4090" s="8" t="s">
        <v>27</v>
      </c>
      <c r="O4090" s="13"/>
      <c r="P4090" s="14">
        <v>0.2</v>
      </c>
      <c r="Q4090" s="15">
        <v>0.4</v>
      </c>
      <c r="R4090" s="16" t="str">
        <f t="shared" si="344"/>
        <v>STIL</v>
      </c>
      <c r="S4090" s="17"/>
      <c r="T4090" s="10" t="str">
        <f>G4090</f>
        <v>LUMINARIA LED DE 50 VATIOS, 6500K, CON CHASIS DE ALUMINIO. ON/OFF.</v>
      </c>
    </row>
    <row r="4091" spans="1:20" ht="27" customHeight="1" x14ac:dyDescent="0.25">
      <c r="A4091" s="8" t="s">
        <v>8502</v>
      </c>
      <c r="B4091" s="9"/>
      <c r="C4091" s="9"/>
      <c r="D4091" s="8"/>
      <c r="E4091" s="8"/>
      <c r="F4091" s="8"/>
      <c r="G4091" s="10"/>
      <c r="H4091" s="8" t="s">
        <v>8505</v>
      </c>
      <c r="I4091" s="10" t="s">
        <v>8506</v>
      </c>
      <c r="J4091" s="11" t="s">
        <v>33</v>
      </c>
      <c r="K4091" s="18">
        <v>380000</v>
      </c>
      <c r="L4091" s="12">
        <f t="shared" si="343"/>
        <v>542900</v>
      </c>
      <c r="M4091" s="8">
        <v>1</v>
      </c>
      <c r="N4091" s="8" t="s">
        <v>27</v>
      </c>
      <c r="O4091" s="13"/>
      <c r="P4091" s="14">
        <v>0</v>
      </c>
      <c r="Q4091" s="15">
        <v>0.3</v>
      </c>
      <c r="R4091" s="16" t="str">
        <f t="shared" si="344"/>
        <v>STIL</v>
      </c>
      <c r="S4091" s="17"/>
      <c r="T4091" s="10"/>
    </row>
    <row r="4092" spans="1:20" ht="27" customHeight="1" x14ac:dyDescent="0.25">
      <c r="A4092" s="8" t="s">
        <v>8507</v>
      </c>
      <c r="B4092" s="9"/>
      <c r="C4092" s="9"/>
      <c r="D4092" s="8"/>
      <c r="E4092" s="8"/>
      <c r="F4092" s="8" t="s">
        <v>22</v>
      </c>
      <c r="G4092" s="10" t="s">
        <v>8508</v>
      </c>
      <c r="H4092" s="8" t="s">
        <v>8509</v>
      </c>
      <c r="I4092" s="10" t="s">
        <v>8508</v>
      </c>
      <c r="J4092" s="11" t="s">
        <v>33</v>
      </c>
      <c r="K4092" s="18">
        <v>150</v>
      </c>
      <c r="L4092" s="12">
        <f t="shared" si="343"/>
        <v>300</v>
      </c>
      <c r="M4092" s="8">
        <v>1</v>
      </c>
      <c r="N4092" s="8" t="s">
        <v>27</v>
      </c>
      <c r="O4092" s="13"/>
      <c r="P4092" s="14">
        <v>0.2</v>
      </c>
      <c r="Q4092" s="15">
        <v>0.4</v>
      </c>
      <c r="R4092" s="16" t="str">
        <f t="shared" si="344"/>
        <v>SUPER</v>
      </c>
      <c r="S4092" s="17"/>
      <c r="T4092" s="10" t="str">
        <f>G4092</f>
        <v>ARANDELA 3/8"</v>
      </c>
    </row>
    <row r="4093" spans="1:20" ht="27" customHeight="1" x14ac:dyDescent="0.25">
      <c r="A4093" s="8" t="s">
        <v>8507</v>
      </c>
      <c r="B4093" s="9"/>
      <c r="C4093" s="9"/>
      <c r="D4093" s="8"/>
      <c r="E4093" s="8"/>
      <c r="F4093" s="8" t="s">
        <v>22</v>
      </c>
      <c r="G4093" s="10" t="s">
        <v>8510</v>
      </c>
      <c r="H4093" s="8" t="s">
        <v>8511</v>
      </c>
      <c r="I4093" s="10" t="s">
        <v>8510</v>
      </c>
      <c r="J4093" s="11" t="s">
        <v>33</v>
      </c>
      <c r="K4093" s="18">
        <v>250</v>
      </c>
      <c r="L4093" s="12">
        <f t="shared" si="343"/>
        <v>400</v>
      </c>
      <c r="M4093" s="8">
        <v>1</v>
      </c>
      <c r="N4093" s="8" t="s">
        <v>27</v>
      </c>
      <c r="O4093" s="13"/>
      <c r="P4093" s="14">
        <v>0.2</v>
      </c>
      <c r="Q4093" s="15">
        <v>0.3</v>
      </c>
      <c r="R4093" s="16" t="str">
        <f t="shared" si="344"/>
        <v>SUPER</v>
      </c>
      <c r="S4093" s="17"/>
      <c r="T4093" s="10" t="str">
        <f>G4093</f>
        <v>TUERCA 3/8"</v>
      </c>
    </row>
    <row r="4094" spans="1:20" ht="27" customHeight="1" x14ac:dyDescent="0.25">
      <c r="A4094" s="8" t="s">
        <v>8512</v>
      </c>
      <c r="B4094" s="9"/>
      <c r="C4094" s="9"/>
      <c r="D4094" s="8"/>
      <c r="E4094" s="8"/>
      <c r="F4094" s="8" t="s">
        <v>22</v>
      </c>
      <c r="G4094" s="10" t="s">
        <v>8513</v>
      </c>
      <c r="H4094" s="8" t="s">
        <v>8514</v>
      </c>
      <c r="I4094" s="10" t="s">
        <v>8513</v>
      </c>
      <c r="J4094" s="11" t="s">
        <v>33</v>
      </c>
      <c r="K4094" s="18">
        <v>5000</v>
      </c>
      <c r="L4094" s="12">
        <f t="shared" si="343"/>
        <v>8400</v>
      </c>
      <c r="M4094" s="8">
        <v>1</v>
      </c>
      <c r="N4094" s="8" t="s">
        <v>27</v>
      </c>
      <c r="O4094" s="13"/>
      <c r="P4094" s="14">
        <v>0.2</v>
      </c>
      <c r="Q4094" s="15">
        <v>0.4</v>
      </c>
      <c r="R4094" s="16" t="str">
        <f t="shared" si="344"/>
        <v>SUPER7</v>
      </c>
      <c r="S4094" s="17"/>
      <c r="T4094" s="10" t="str">
        <f>G4094</f>
        <v>TORNILLERÍA PARA LA INSTALACIÓN</v>
      </c>
    </row>
    <row r="4095" spans="1:20" ht="27" customHeight="1" x14ac:dyDescent="0.25">
      <c r="A4095" s="8" t="s">
        <v>8515</v>
      </c>
      <c r="B4095" s="9"/>
      <c r="C4095" s="9"/>
      <c r="D4095" s="8"/>
      <c r="E4095" s="8"/>
      <c r="F4095" s="8"/>
      <c r="G4095" s="10"/>
      <c r="H4095" s="8" t="s">
        <v>8516</v>
      </c>
      <c r="I4095" s="10" t="s">
        <v>8517</v>
      </c>
      <c r="J4095" s="11" t="s">
        <v>33</v>
      </c>
      <c r="K4095" s="18">
        <f>2500000/1.19</f>
        <v>2100840.3361344538</v>
      </c>
      <c r="L4095" s="12">
        <f t="shared" si="343"/>
        <v>3001300</v>
      </c>
      <c r="M4095" s="8">
        <v>1</v>
      </c>
      <c r="N4095" s="8" t="s">
        <v>27</v>
      </c>
      <c r="O4095" s="13"/>
      <c r="P4095" s="14">
        <v>0</v>
      </c>
      <c r="Q4095" s="15">
        <v>0.3</v>
      </c>
      <c r="R4095" s="16" t="str">
        <f t="shared" si="344"/>
        <v>SUPREMA</v>
      </c>
      <c r="S4095" s="17"/>
      <c r="T4095" s="10"/>
    </row>
    <row r="4096" spans="1:20" ht="27" customHeight="1" x14ac:dyDescent="0.25">
      <c r="A4096" s="8" t="s">
        <v>8518</v>
      </c>
      <c r="B4096" s="9" t="s">
        <v>8519</v>
      </c>
      <c r="C4096" s="9"/>
      <c r="D4096" s="8" t="s">
        <v>602</v>
      </c>
      <c r="E4096" s="8"/>
      <c r="F4096" s="8" t="s">
        <v>22</v>
      </c>
      <c r="G4096" s="10" t="s">
        <v>8520</v>
      </c>
      <c r="H4096" s="8" t="s">
        <v>8521</v>
      </c>
      <c r="I4096" s="10" t="s">
        <v>8520</v>
      </c>
      <c r="J4096" s="11" t="s">
        <v>33</v>
      </c>
      <c r="K4096" s="18">
        <v>26000</v>
      </c>
      <c r="L4096" s="12">
        <f t="shared" si="343"/>
        <v>43400</v>
      </c>
      <c r="M4096" s="8">
        <v>1</v>
      </c>
      <c r="N4096" s="8" t="s">
        <v>27</v>
      </c>
      <c r="O4096" s="13"/>
      <c r="P4096" s="14">
        <v>0.2</v>
      </c>
      <c r="Q4096" s="15">
        <v>0.4</v>
      </c>
      <c r="R4096" s="16" t="str">
        <f t="shared" si="344"/>
        <v>SURLINK</v>
      </c>
      <c r="S4096" s="17"/>
      <c r="T4096" s="10" t="str">
        <f t="shared" ref="T4096:T4127" si="346">G4096</f>
        <v>ORGANIZADOR DE RACK DE UNIDAD DE RACK</v>
      </c>
    </row>
    <row r="4097" spans="1:20" ht="27" customHeight="1" x14ac:dyDescent="0.25">
      <c r="A4097" s="8" t="s">
        <v>8518</v>
      </c>
      <c r="B4097" s="9" t="s">
        <v>8519</v>
      </c>
      <c r="C4097" s="9"/>
      <c r="D4097" s="8"/>
      <c r="E4097" s="8"/>
      <c r="F4097" s="8" t="s">
        <v>22</v>
      </c>
      <c r="G4097" s="10" t="s">
        <v>8522</v>
      </c>
      <c r="H4097" s="8" t="s">
        <v>5231</v>
      </c>
      <c r="I4097" s="10" t="s">
        <v>8522</v>
      </c>
      <c r="J4097" s="11" t="s">
        <v>33</v>
      </c>
      <c r="K4097" s="18">
        <v>1000</v>
      </c>
      <c r="L4097" s="12">
        <f t="shared" si="343"/>
        <v>1500</v>
      </c>
      <c r="M4097" s="8">
        <v>1</v>
      </c>
      <c r="N4097" s="8" t="s">
        <v>27</v>
      </c>
      <c r="O4097" s="13"/>
      <c r="P4097" s="14">
        <v>0.2</v>
      </c>
      <c r="Q4097" s="15">
        <v>0.3</v>
      </c>
      <c r="R4097" s="16" t="str">
        <f t="shared" si="344"/>
        <v>SURLINK</v>
      </c>
      <c r="S4097" s="17"/>
      <c r="T4097" s="10" t="str">
        <f t="shared" si="346"/>
        <v>TUERCA TIPO CANASTILLA DE RACK</v>
      </c>
    </row>
    <row r="4098" spans="1:20" ht="27" customHeight="1" x14ac:dyDescent="0.25">
      <c r="A4098" s="8" t="s">
        <v>8518</v>
      </c>
      <c r="B4098" s="9"/>
      <c r="C4098" s="9"/>
      <c r="D4098" s="8"/>
      <c r="E4098" s="8"/>
      <c r="F4098" s="8" t="s">
        <v>22</v>
      </c>
      <c r="G4098" s="10" t="s">
        <v>8523</v>
      </c>
      <c r="H4098" s="8" t="s">
        <v>8524</v>
      </c>
      <c r="I4098" s="10" t="s">
        <v>8523</v>
      </c>
      <c r="J4098" s="11" t="s">
        <v>33</v>
      </c>
      <c r="K4098" s="18">
        <v>6363</v>
      </c>
      <c r="L4098" s="12">
        <f t="shared" si="343"/>
        <v>9100</v>
      </c>
      <c r="M4098" s="8">
        <v>1</v>
      </c>
      <c r="N4098" s="8" t="s">
        <v>27</v>
      </c>
      <c r="O4098" s="13"/>
      <c r="P4098" s="14">
        <v>0.2</v>
      </c>
      <c r="Q4098" s="15">
        <v>0.3</v>
      </c>
      <c r="R4098" s="16" t="str">
        <f t="shared" si="344"/>
        <v>SURLINK</v>
      </c>
      <c r="S4098" s="17"/>
      <c r="T4098" s="10" t="str">
        <f t="shared" si="346"/>
        <v>JACK CATEGORÍA 5E</v>
      </c>
    </row>
    <row r="4099" spans="1:20" ht="27" customHeight="1" x14ac:dyDescent="0.25">
      <c r="A4099" s="8" t="s">
        <v>8518</v>
      </c>
      <c r="B4099" s="9"/>
      <c r="C4099" s="9"/>
      <c r="D4099" s="8"/>
      <c r="E4099" s="8"/>
      <c r="F4099" s="8" t="s">
        <v>22</v>
      </c>
      <c r="G4099" s="10" t="s">
        <v>8525</v>
      </c>
      <c r="H4099" s="8" t="s">
        <v>8526</v>
      </c>
      <c r="I4099" s="10" t="s">
        <v>8525</v>
      </c>
      <c r="J4099" s="11" t="s">
        <v>33</v>
      </c>
      <c r="K4099" s="18">
        <v>6000</v>
      </c>
      <c r="L4099" s="12">
        <f t="shared" si="343"/>
        <v>8600</v>
      </c>
      <c r="M4099" s="8">
        <v>1</v>
      </c>
      <c r="N4099" s="8" t="s">
        <v>27</v>
      </c>
      <c r="O4099" s="13"/>
      <c r="P4099" s="14">
        <v>0.2</v>
      </c>
      <c r="Q4099" s="15">
        <v>0.3</v>
      </c>
      <c r="R4099" s="16" t="str">
        <f t="shared" si="344"/>
        <v>SURLINK</v>
      </c>
      <c r="S4099" s="17"/>
      <c r="T4099" s="10" t="str">
        <f t="shared" si="346"/>
        <v>PATCH CORE DE 0.5 METROS CATEGORÍA 6</v>
      </c>
    </row>
    <row r="4100" spans="1:20" ht="27" customHeight="1" x14ac:dyDescent="0.25">
      <c r="A4100" s="8" t="s">
        <v>8518</v>
      </c>
      <c r="B4100" s="9" t="s">
        <v>8519</v>
      </c>
      <c r="C4100" s="9"/>
      <c r="D4100" s="8" t="s">
        <v>602</v>
      </c>
      <c r="E4100" s="8"/>
      <c r="F4100" s="8" t="s">
        <v>22</v>
      </c>
      <c r="G4100" s="10" t="s">
        <v>8520</v>
      </c>
      <c r="H4100" s="8" t="s">
        <v>8527</v>
      </c>
      <c r="I4100" s="10" t="s">
        <v>8528</v>
      </c>
      <c r="J4100" s="11" t="s">
        <v>33</v>
      </c>
      <c r="K4100" s="18">
        <v>26800</v>
      </c>
      <c r="L4100" s="12">
        <f t="shared" si="343"/>
        <v>44700</v>
      </c>
      <c r="M4100" s="8">
        <v>1</v>
      </c>
      <c r="N4100" s="8" t="s">
        <v>27</v>
      </c>
      <c r="O4100" s="13"/>
      <c r="P4100" s="14">
        <v>0.2</v>
      </c>
      <c r="Q4100" s="15">
        <v>0.4</v>
      </c>
      <c r="R4100" s="16" t="str">
        <f t="shared" si="344"/>
        <v>SURLINK</v>
      </c>
      <c r="S4100" s="17"/>
      <c r="T4100" s="10" t="str">
        <f t="shared" si="346"/>
        <v>ORGANIZADOR DE RACK DE UNIDAD DE RACK</v>
      </c>
    </row>
    <row r="4101" spans="1:20" ht="27" customHeight="1" x14ac:dyDescent="0.25">
      <c r="A4101" s="8" t="s">
        <v>7931</v>
      </c>
      <c r="B4101" s="9"/>
      <c r="C4101" s="9"/>
      <c r="D4101" s="8"/>
      <c r="E4101" s="8"/>
      <c r="F4101" s="8" t="s">
        <v>22</v>
      </c>
      <c r="G4101" s="10" t="s">
        <v>8529</v>
      </c>
      <c r="H4101" s="8" t="s">
        <v>8530</v>
      </c>
      <c r="I4101" s="10" t="s">
        <v>8529</v>
      </c>
      <c r="J4101" s="11" t="s">
        <v>33</v>
      </c>
      <c r="K4101" s="18">
        <v>91600</v>
      </c>
      <c r="L4101" s="12">
        <f t="shared" si="343"/>
        <v>152700</v>
      </c>
      <c r="M4101" s="8">
        <v>1</v>
      </c>
      <c r="N4101" s="8" t="s">
        <v>27</v>
      </c>
      <c r="O4101" s="13"/>
      <c r="P4101" s="14">
        <v>0</v>
      </c>
      <c r="Q4101" s="15">
        <v>0.4</v>
      </c>
      <c r="R4101" s="16" t="str">
        <f t="shared" si="344"/>
        <v>SYLVANIA</v>
      </c>
      <c r="S4101" s="17"/>
      <c r="T4101" s="10" t="str">
        <f t="shared" si="346"/>
        <v>DRIVER DE ATENUACIÓN DE FASE ADAPTATIVA</v>
      </c>
    </row>
    <row r="4102" spans="1:20" ht="27" customHeight="1" x14ac:dyDescent="0.25">
      <c r="A4102" s="8" t="s">
        <v>7931</v>
      </c>
      <c r="B4102" s="9" t="s">
        <v>3412</v>
      </c>
      <c r="C4102" s="9"/>
      <c r="D4102" s="8" t="s">
        <v>2087</v>
      </c>
      <c r="E4102" s="8">
        <v>9</v>
      </c>
      <c r="F4102" s="8" t="s">
        <v>22</v>
      </c>
      <c r="G4102" s="10" t="s">
        <v>8531</v>
      </c>
      <c r="H4102" s="8" t="s">
        <v>8532</v>
      </c>
      <c r="I4102" s="10" t="s">
        <v>8533</v>
      </c>
      <c r="J4102" s="11" t="s">
        <v>33</v>
      </c>
      <c r="K4102" s="18">
        <v>27000</v>
      </c>
      <c r="L4102" s="12">
        <f t="shared" si="343"/>
        <v>38600</v>
      </c>
      <c r="M4102" s="8">
        <v>1</v>
      </c>
      <c r="N4102" s="8" t="s">
        <v>27</v>
      </c>
      <c r="O4102" s="13"/>
      <c r="P4102" s="14">
        <v>0.2</v>
      </c>
      <c r="Q4102" s="15">
        <v>0.3</v>
      </c>
      <c r="R4102" s="16" t="str">
        <f t="shared" si="344"/>
        <v>SYLVANIA</v>
      </c>
      <c r="S4102" s="17"/>
      <c r="T4102" s="10" t="str">
        <f t="shared" si="346"/>
        <v>BOMBILLA ATENUABLE TIPO LED CON CONECTOR GU10.</v>
      </c>
    </row>
    <row r="4103" spans="1:20" ht="27" customHeight="1" x14ac:dyDescent="0.25">
      <c r="A4103" s="8" t="s">
        <v>7931</v>
      </c>
      <c r="B4103" s="9" t="s">
        <v>8534</v>
      </c>
      <c r="C4103" s="9"/>
      <c r="D4103" s="8" t="s">
        <v>7936</v>
      </c>
      <c r="E4103" s="8"/>
      <c r="F4103" s="8" t="s">
        <v>22</v>
      </c>
      <c r="G4103" s="10" t="s">
        <v>8535</v>
      </c>
      <c r="H4103" s="8" t="s">
        <v>8536</v>
      </c>
      <c r="I4103" s="10" t="s">
        <v>8535</v>
      </c>
      <c r="J4103" s="11" t="s">
        <v>33</v>
      </c>
      <c r="K4103" s="18">
        <v>7900</v>
      </c>
      <c r="L4103" s="12">
        <f t="shared" si="343"/>
        <v>11300</v>
      </c>
      <c r="M4103" s="8">
        <v>1</v>
      </c>
      <c r="N4103" s="8" t="s">
        <v>27</v>
      </c>
      <c r="O4103" s="13"/>
      <c r="P4103" s="14">
        <v>0.2</v>
      </c>
      <c r="Q4103" s="15">
        <v>0.3</v>
      </c>
      <c r="R4103" s="16" t="str">
        <f t="shared" si="344"/>
        <v>SYLVANIA</v>
      </c>
      <c r="S4103" s="17"/>
      <c r="T4103" s="10" t="str">
        <f t="shared" si="346"/>
        <v>TUBO FLUORESCENTE DE 28 VATIOS, 4100K. MARCA SYLVANIA.</v>
      </c>
    </row>
    <row r="4104" spans="1:20" ht="27" customHeight="1" x14ac:dyDescent="0.25">
      <c r="A4104" s="8" t="s">
        <v>7931</v>
      </c>
      <c r="B4104" s="9" t="s">
        <v>8534</v>
      </c>
      <c r="C4104" s="9"/>
      <c r="D4104" s="8" t="s">
        <v>94</v>
      </c>
      <c r="E4104" s="8"/>
      <c r="F4104" s="8" t="s">
        <v>22</v>
      </c>
      <c r="G4104" s="10" t="s">
        <v>8537</v>
      </c>
      <c r="H4104" s="8" t="s">
        <v>8538</v>
      </c>
      <c r="I4104" s="10" t="s">
        <v>8539</v>
      </c>
      <c r="J4104" s="11" t="s">
        <v>26</v>
      </c>
      <c r="K4104" s="18">
        <v>9.49</v>
      </c>
      <c r="L4104" s="12">
        <f t="shared" si="343"/>
        <v>15.816666666666666</v>
      </c>
      <c r="M4104" s="8">
        <v>1</v>
      </c>
      <c r="N4104" s="8" t="s">
        <v>27</v>
      </c>
      <c r="O4104" s="13"/>
      <c r="P4104" s="14">
        <v>0.2</v>
      </c>
      <c r="Q4104" s="15">
        <v>0.28000000000000003</v>
      </c>
      <c r="R4104" s="16" t="str">
        <f t="shared" si="344"/>
        <v>SYLVANIA</v>
      </c>
      <c r="S4104" s="17"/>
      <c r="T4104" s="10" t="str">
        <f t="shared" si="346"/>
        <v>BOMBILLA LED ATENUABLE DE 9 VATIOS, REEMPLAZA BOMBILLA INCANDESCENTE DE 60 VATIOS.</v>
      </c>
    </row>
    <row r="4105" spans="1:20" ht="27" customHeight="1" x14ac:dyDescent="0.25">
      <c r="A4105" s="8" t="s">
        <v>7931</v>
      </c>
      <c r="B4105" s="9" t="s">
        <v>93</v>
      </c>
      <c r="C4105" s="9"/>
      <c r="D4105" s="8" t="s">
        <v>93</v>
      </c>
      <c r="E4105" s="8"/>
      <c r="F4105" s="8" t="s">
        <v>22</v>
      </c>
      <c r="G4105" s="10" t="s">
        <v>8540</v>
      </c>
      <c r="H4105" s="8" t="s">
        <v>8541</v>
      </c>
      <c r="I4105" s="10" t="s">
        <v>8540</v>
      </c>
      <c r="J4105" s="11" t="s">
        <v>33</v>
      </c>
      <c r="K4105" s="18">
        <v>51552</v>
      </c>
      <c r="L4105" s="12">
        <f t="shared" si="343"/>
        <v>73700</v>
      </c>
      <c r="M4105" s="8">
        <v>1</v>
      </c>
      <c r="N4105" s="8" t="s">
        <v>27</v>
      </c>
      <c r="O4105" s="13"/>
      <c r="P4105" s="14">
        <v>0.2</v>
      </c>
      <c r="Q4105" s="15">
        <v>0.3</v>
      </c>
      <c r="R4105" s="16" t="str">
        <f t="shared" si="344"/>
        <v>SYLVANIA</v>
      </c>
      <c r="S4105" s="17"/>
      <c r="T4105" s="10" t="str">
        <f t="shared" si="346"/>
        <v>LAMPARA DE EMERGENCIA LED</v>
      </c>
    </row>
    <row r="4106" spans="1:20" ht="27" customHeight="1" x14ac:dyDescent="0.25">
      <c r="A4106" s="8" t="s">
        <v>7931</v>
      </c>
      <c r="B4106" s="9"/>
      <c r="C4106" s="9"/>
      <c r="D4106" s="8"/>
      <c r="E4106" s="8"/>
      <c r="F4106" s="8" t="s">
        <v>22</v>
      </c>
      <c r="G4106" s="10" t="s">
        <v>8542</v>
      </c>
      <c r="H4106" s="8" t="s">
        <v>8543</v>
      </c>
      <c r="I4106" s="10" t="s">
        <v>8542</v>
      </c>
      <c r="J4106" s="11" t="s">
        <v>33</v>
      </c>
      <c r="K4106" s="18">
        <v>45000</v>
      </c>
      <c r="L4106" s="12">
        <f t="shared" si="343"/>
        <v>75000</v>
      </c>
      <c r="M4106" s="8">
        <v>1</v>
      </c>
      <c r="N4106" s="8" t="s">
        <v>27</v>
      </c>
      <c r="O4106" s="13"/>
      <c r="P4106" s="14">
        <v>0.2</v>
      </c>
      <c r="Q4106" s="15">
        <v>0.4</v>
      </c>
      <c r="R4106" s="16" t="str">
        <f t="shared" si="344"/>
        <v>SYLVANIA</v>
      </c>
      <c r="S4106" s="17"/>
      <c r="T4106" s="10" t="str">
        <f t="shared" si="346"/>
        <v>PANEL LINEAL LED DE 32W</v>
      </c>
    </row>
    <row r="4107" spans="1:20" ht="27" customHeight="1" x14ac:dyDescent="0.25">
      <c r="A4107" s="8" t="s">
        <v>7931</v>
      </c>
      <c r="B4107" s="9"/>
      <c r="C4107" s="9"/>
      <c r="D4107" s="8"/>
      <c r="E4107" s="8"/>
      <c r="F4107" s="8" t="s">
        <v>22</v>
      </c>
      <c r="G4107" s="10" t="s">
        <v>8544</v>
      </c>
      <c r="H4107" s="8" t="s">
        <v>8545</v>
      </c>
      <c r="I4107" s="10" t="s">
        <v>8544</v>
      </c>
      <c r="J4107" s="11" t="s">
        <v>33</v>
      </c>
      <c r="K4107" s="18">
        <v>30000</v>
      </c>
      <c r="L4107" s="12">
        <f t="shared" si="343"/>
        <v>50000</v>
      </c>
      <c r="M4107" s="8">
        <v>1</v>
      </c>
      <c r="N4107" s="8" t="s">
        <v>27</v>
      </c>
      <c r="O4107" s="13"/>
      <c r="P4107" s="14">
        <v>0.2</v>
      </c>
      <c r="Q4107" s="15">
        <v>0.4</v>
      </c>
      <c r="R4107" s="16" t="str">
        <f t="shared" si="344"/>
        <v>SYLVANIA</v>
      </c>
      <c r="S4107" s="17"/>
      <c r="T4107" s="10" t="str">
        <f t="shared" si="346"/>
        <v>BOMBILLA METAL HALIDE DE 250VATIOS</v>
      </c>
    </row>
    <row r="4108" spans="1:20" ht="27" customHeight="1" x14ac:dyDescent="0.25">
      <c r="A4108" s="8" t="s">
        <v>7931</v>
      </c>
      <c r="B4108" s="9"/>
      <c r="C4108" s="9"/>
      <c r="D4108" s="8"/>
      <c r="E4108" s="8"/>
      <c r="F4108" s="8" t="s">
        <v>22</v>
      </c>
      <c r="G4108" s="10" t="s">
        <v>8546</v>
      </c>
      <c r="H4108" s="8" t="s">
        <v>8547</v>
      </c>
      <c r="I4108" s="10" t="s">
        <v>8546</v>
      </c>
      <c r="J4108" s="11" t="s">
        <v>33</v>
      </c>
      <c r="K4108" s="18">
        <v>40000</v>
      </c>
      <c r="L4108" s="12">
        <f t="shared" si="343"/>
        <v>66700</v>
      </c>
      <c r="M4108" s="8">
        <v>1</v>
      </c>
      <c r="N4108" s="8" t="s">
        <v>27</v>
      </c>
      <c r="O4108" s="13"/>
      <c r="P4108" s="14">
        <v>0.2</v>
      </c>
      <c r="Q4108" s="15">
        <v>0.4</v>
      </c>
      <c r="R4108" s="16" t="str">
        <f t="shared" si="344"/>
        <v>SYLVANIA</v>
      </c>
      <c r="S4108" s="17"/>
      <c r="T4108" s="10" t="str">
        <f t="shared" si="346"/>
        <v>LUMINARIA TIPO REJILLA CON DOS TUBOS 2X18W</v>
      </c>
    </row>
    <row r="4109" spans="1:20" ht="27" customHeight="1" x14ac:dyDescent="0.25">
      <c r="A4109" s="8" t="s">
        <v>7931</v>
      </c>
      <c r="B4109" s="9"/>
      <c r="C4109" s="9"/>
      <c r="D4109" s="8"/>
      <c r="E4109" s="8"/>
      <c r="F4109" s="8" t="s">
        <v>22</v>
      </c>
      <c r="G4109" s="10" t="s">
        <v>8548</v>
      </c>
      <c r="H4109" s="8" t="s">
        <v>8549</v>
      </c>
      <c r="I4109" s="10" t="s">
        <v>8550</v>
      </c>
      <c r="J4109" s="11" t="s">
        <v>33</v>
      </c>
      <c r="K4109" s="18">
        <v>282000</v>
      </c>
      <c r="L4109" s="12">
        <f t="shared" si="343"/>
        <v>470000</v>
      </c>
      <c r="M4109" s="8">
        <v>1</v>
      </c>
      <c r="N4109" s="8" t="s">
        <v>27</v>
      </c>
      <c r="O4109" s="13"/>
      <c r="P4109" s="14">
        <v>0.2</v>
      </c>
      <c r="Q4109" s="15">
        <v>0.4</v>
      </c>
      <c r="R4109" s="16" t="str">
        <f t="shared" si="344"/>
        <v>SYLVANIA</v>
      </c>
      <c r="S4109" s="17"/>
      <c r="T4109" s="10" t="str">
        <f t="shared" si="346"/>
        <v>LUMINARIA CONTINUUM LED DE DISENO ANGOSTO. DE SOBREPONER. 28W, 1980 LUMENS.</v>
      </c>
    </row>
    <row r="4110" spans="1:20" ht="27" customHeight="1" x14ac:dyDescent="0.25">
      <c r="A4110" s="8" t="s">
        <v>7931</v>
      </c>
      <c r="B4110" s="9"/>
      <c r="C4110" s="9"/>
      <c r="D4110" s="8"/>
      <c r="E4110" s="8"/>
      <c r="F4110" s="8" t="s">
        <v>22</v>
      </c>
      <c r="G4110" s="10" t="s">
        <v>8551</v>
      </c>
      <c r="H4110" s="8" t="s">
        <v>8552</v>
      </c>
      <c r="I4110" s="10" t="s">
        <v>8551</v>
      </c>
      <c r="J4110" s="11" t="s">
        <v>33</v>
      </c>
      <c r="K4110" s="18">
        <v>105000</v>
      </c>
      <c r="L4110" s="12">
        <f t="shared" si="343"/>
        <v>175000</v>
      </c>
      <c r="M4110" s="8">
        <v>1</v>
      </c>
      <c r="N4110" s="8" t="s">
        <v>27</v>
      </c>
      <c r="O4110" s="13"/>
      <c r="P4110" s="14">
        <v>0.2</v>
      </c>
      <c r="Q4110" s="15">
        <v>0.4</v>
      </c>
      <c r="R4110" s="16" t="str">
        <f t="shared" si="344"/>
        <v>SYLVANIA</v>
      </c>
      <c r="S4110" s="17"/>
      <c r="T4110" s="10" t="str">
        <f t="shared" si="346"/>
        <v>LUMINARIA TIPO PANEL LED RECESADA DE 30 VATIOS, TEMPERATURA 4000K. MULTIVOLTAJE.</v>
      </c>
    </row>
    <row r="4111" spans="1:20" ht="27" customHeight="1" x14ac:dyDescent="0.25">
      <c r="A4111" s="8" t="s">
        <v>7931</v>
      </c>
      <c r="B4111" s="9"/>
      <c r="C4111" s="9"/>
      <c r="D4111" s="8"/>
      <c r="E4111" s="8"/>
      <c r="F4111" s="8" t="s">
        <v>22</v>
      </c>
      <c r="G4111" s="10" t="s">
        <v>8553</v>
      </c>
      <c r="H4111" s="8" t="s">
        <v>8554</v>
      </c>
      <c r="I4111" s="10" t="s">
        <v>8555</v>
      </c>
      <c r="J4111" s="11" t="s">
        <v>33</v>
      </c>
      <c r="K4111" s="18">
        <f>78000*0.9</f>
        <v>70200</v>
      </c>
      <c r="L4111" s="12">
        <f t="shared" ref="L4111:L4142" si="347">IF(J4111="P",ROUNDUP(K4111/(1-Q4111),-2),K4111*(1+P4111)/(1-Q4111))</f>
        <v>100300</v>
      </c>
      <c r="M4111" s="8">
        <v>1</v>
      </c>
      <c r="N4111" s="8" t="s">
        <v>27</v>
      </c>
      <c r="O4111" s="13"/>
      <c r="P4111" s="14">
        <v>0.2</v>
      </c>
      <c r="Q4111" s="15">
        <v>0.3</v>
      </c>
      <c r="R4111" s="16" t="str">
        <f t="shared" si="344"/>
        <v>SYLVANIA</v>
      </c>
      <c r="S4111" s="17"/>
      <c r="T4111" s="10" t="str">
        <f t="shared" si="346"/>
        <v>PANEL LED de 60x60 PARA INCRUSTAR. POTENCIA DE 40 VATIOS.</v>
      </c>
    </row>
    <row r="4112" spans="1:20" ht="27" customHeight="1" x14ac:dyDescent="0.25">
      <c r="A4112" s="8" t="s">
        <v>7931</v>
      </c>
      <c r="B4112" s="9"/>
      <c r="C4112" s="9"/>
      <c r="D4112" s="8"/>
      <c r="E4112" s="8"/>
      <c r="F4112" s="8" t="s">
        <v>22</v>
      </c>
      <c r="G4112" s="10" t="s">
        <v>8556</v>
      </c>
      <c r="H4112" s="8" t="s">
        <v>8557</v>
      </c>
      <c r="I4112" s="10" t="s">
        <v>8558</v>
      </c>
      <c r="J4112" s="11" t="s">
        <v>33</v>
      </c>
      <c r="K4112" s="18">
        <v>18000</v>
      </c>
      <c r="L4112" s="12">
        <f t="shared" si="347"/>
        <v>24000</v>
      </c>
      <c r="M4112" s="8">
        <v>1</v>
      </c>
      <c r="N4112" s="8" t="s">
        <v>27</v>
      </c>
      <c r="O4112" s="13"/>
      <c r="P4112" s="14">
        <v>0.2</v>
      </c>
      <c r="Q4112" s="15">
        <v>0.25</v>
      </c>
      <c r="R4112" s="16" t="str">
        <f t="shared" si="344"/>
        <v>SYLVANIA</v>
      </c>
      <c r="S4112" s="17"/>
      <c r="T4112" s="10" t="str">
        <f t="shared" si="346"/>
        <v>LED BALA CROWN, OPERACIÓN MULTIVOLTAJE, DIÁMETRO DE 6.3"</v>
      </c>
    </row>
    <row r="4113" spans="1:28" ht="27" customHeight="1" x14ac:dyDescent="0.25">
      <c r="A4113" s="8" t="s">
        <v>7931</v>
      </c>
      <c r="B4113" s="9"/>
      <c r="C4113" s="9"/>
      <c r="D4113" s="8"/>
      <c r="E4113" s="8"/>
      <c r="F4113" s="8" t="s">
        <v>22</v>
      </c>
      <c r="G4113" s="10" t="s">
        <v>8559</v>
      </c>
      <c r="H4113" s="8" t="s">
        <v>8560</v>
      </c>
      <c r="I4113" s="10" t="s">
        <v>8559</v>
      </c>
      <c r="J4113" s="11" t="s">
        <v>33</v>
      </c>
      <c r="K4113" s="18">
        <v>90000</v>
      </c>
      <c r="L4113" s="12">
        <f t="shared" si="347"/>
        <v>112500</v>
      </c>
      <c r="M4113" s="8">
        <v>1</v>
      </c>
      <c r="N4113" s="8" t="s">
        <v>27</v>
      </c>
      <c r="O4113" s="13"/>
      <c r="P4113" s="14">
        <v>0.2</v>
      </c>
      <c r="Q4113" s="15">
        <v>0.2</v>
      </c>
      <c r="R4113" s="16" t="str">
        <f t="shared" si="344"/>
        <v>SYLVANIA</v>
      </c>
      <c r="S4113" s="17"/>
      <c r="T4113" s="10" t="str">
        <f t="shared" si="346"/>
        <v>LUMINARIA DOWN LIGHT DIRECCIONABLE TIPO CARDAN DE 15 VATIOS</v>
      </c>
    </row>
    <row r="4114" spans="1:28" ht="27" customHeight="1" x14ac:dyDescent="0.25">
      <c r="A4114" s="8" t="s">
        <v>7931</v>
      </c>
      <c r="B4114" s="9"/>
      <c r="C4114" s="9"/>
      <c r="D4114" s="8"/>
      <c r="E4114" s="8"/>
      <c r="F4114" s="8" t="s">
        <v>22</v>
      </c>
      <c r="G4114" s="10" t="s">
        <v>8561</v>
      </c>
      <c r="H4114" s="8" t="s">
        <v>8562</v>
      </c>
      <c r="I4114" s="10" t="s">
        <v>8563</v>
      </c>
      <c r="J4114" s="11" t="s">
        <v>33</v>
      </c>
      <c r="K4114" s="18">
        <v>78000</v>
      </c>
      <c r="L4114" s="12">
        <f t="shared" si="347"/>
        <v>97500</v>
      </c>
      <c r="M4114" s="8">
        <v>1</v>
      </c>
      <c r="N4114" s="8" t="s">
        <v>27</v>
      </c>
      <c r="O4114" s="13"/>
      <c r="P4114" s="14">
        <v>0.2</v>
      </c>
      <c r="Q4114" s="15">
        <v>0.2</v>
      </c>
      <c r="R4114" s="16" t="str">
        <f t="shared" si="344"/>
        <v>SYLVANIA</v>
      </c>
      <c r="S4114" s="17"/>
      <c r="T4114" s="10" t="str">
        <f t="shared" si="346"/>
        <v>LUMINARIA DE 15 VATIOS, TEMPERATURA DE COLOR: 4.000K.</v>
      </c>
    </row>
    <row r="4115" spans="1:28" ht="27" customHeight="1" x14ac:dyDescent="0.25">
      <c r="A4115" s="8" t="s">
        <v>7931</v>
      </c>
      <c r="B4115" s="9"/>
      <c r="C4115" s="9"/>
      <c r="D4115" s="8"/>
      <c r="E4115" s="8"/>
      <c r="F4115" s="8" t="s">
        <v>22</v>
      </c>
      <c r="G4115" s="10" t="s">
        <v>8561</v>
      </c>
      <c r="H4115" s="8" t="s">
        <v>8557</v>
      </c>
      <c r="I4115" s="10" t="s">
        <v>8563</v>
      </c>
      <c r="J4115" s="11" t="s">
        <v>33</v>
      </c>
      <c r="K4115" s="18">
        <v>18000</v>
      </c>
      <c r="L4115" s="12">
        <f t="shared" si="347"/>
        <v>22500</v>
      </c>
      <c r="M4115" s="8">
        <v>1</v>
      </c>
      <c r="N4115" s="8" t="s">
        <v>27</v>
      </c>
      <c r="O4115" s="13"/>
      <c r="P4115" s="14">
        <v>0.2</v>
      </c>
      <c r="Q4115" s="15">
        <v>0.2</v>
      </c>
      <c r="R4115" s="16" t="str">
        <f t="shared" si="344"/>
        <v>SYLVANIA</v>
      </c>
      <c r="S4115" s="17"/>
      <c r="T4115" s="10" t="str">
        <f t="shared" si="346"/>
        <v>LUMINARIA DE 15 VATIOS, TEMPERATURA DE COLOR: 4.000K.</v>
      </c>
    </row>
    <row r="4116" spans="1:28" ht="27" customHeight="1" x14ac:dyDescent="0.25">
      <c r="A4116" s="8" t="s">
        <v>7931</v>
      </c>
      <c r="B4116" s="9"/>
      <c r="C4116" s="9"/>
      <c r="D4116" s="8"/>
      <c r="E4116" s="8"/>
      <c r="F4116" s="8" t="s">
        <v>22</v>
      </c>
      <c r="G4116" s="10" t="s">
        <v>8564</v>
      </c>
      <c r="H4116" s="8" t="s">
        <v>8565</v>
      </c>
      <c r="I4116" s="10" t="s">
        <v>8564</v>
      </c>
      <c r="J4116" s="11" t="s">
        <v>33</v>
      </c>
      <c r="K4116" s="18">
        <f>127000*0.9</f>
        <v>114300</v>
      </c>
      <c r="L4116" s="12">
        <f t="shared" si="347"/>
        <v>142900</v>
      </c>
      <c r="M4116" s="8">
        <v>1</v>
      </c>
      <c r="N4116" s="8" t="s">
        <v>27</v>
      </c>
      <c r="O4116" s="13"/>
      <c r="P4116" s="14">
        <v>0.2</v>
      </c>
      <c r="Q4116" s="15">
        <v>0.2</v>
      </c>
      <c r="R4116" s="16" t="str">
        <f t="shared" si="344"/>
        <v>SYLVANIA</v>
      </c>
      <c r="S4116" s="17"/>
      <c r="T4116" s="10" t="str">
        <f t="shared" si="346"/>
        <v>BATERÍA PARA LUMINARIA LED, POTENCIA DE CARGA DE 5W, POTENCIA DE SALIDA DE 60W.</v>
      </c>
    </row>
    <row r="4117" spans="1:28" ht="27" customHeight="1" x14ac:dyDescent="0.25">
      <c r="A4117" s="8" t="s">
        <v>7931</v>
      </c>
      <c r="B4117" s="9"/>
      <c r="C4117" s="9"/>
      <c r="D4117" s="8"/>
      <c r="E4117" s="8"/>
      <c r="F4117" s="8" t="s">
        <v>22</v>
      </c>
      <c r="G4117" s="10" t="s">
        <v>8566</v>
      </c>
      <c r="H4117" s="8" t="s">
        <v>8567</v>
      </c>
      <c r="I4117" s="10" t="s">
        <v>8566</v>
      </c>
      <c r="J4117" s="11" t="s">
        <v>33</v>
      </c>
      <c r="K4117" s="18">
        <v>83000</v>
      </c>
      <c r="L4117" s="12">
        <f t="shared" si="347"/>
        <v>103800</v>
      </c>
      <c r="M4117" s="8">
        <v>1</v>
      </c>
      <c r="N4117" s="8" t="s">
        <v>27</v>
      </c>
      <c r="O4117" s="13"/>
      <c r="P4117" s="14">
        <v>0.2</v>
      </c>
      <c r="Q4117" s="15">
        <v>0.2</v>
      </c>
      <c r="R4117" s="16" t="str">
        <f t="shared" si="344"/>
        <v>SYLVANIA</v>
      </c>
      <c r="S4117" s="17"/>
      <c r="T4117" s="10" t="str">
        <f t="shared" si="346"/>
        <v>BALA LED RECESADA DE 20W, TEMPERATURA 4.000K.</v>
      </c>
      <c r="AB4117" s="112">
        <v>1</v>
      </c>
    </row>
    <row r="4118" spans="1:28" ht="27" customHeight="1" x14ac:dyDescent="0.25">
      <c r="A4118" s="8" t="s">
        <v>7931</v>
      </c>
      <c r="B4118" s="9"/>
      <c r="C4118" s="9"/>
      <c r="D4118" s="8"/>
      <c r="E4118" s="8"/>
      <c r="F4118" s="8" t="s">
        <v>22</v>
      </c>
      <c r="G4118" s="10" t="s">
        <v>8568</v>
      </c>
      <c r="H4118" s="8" t="s">
        <v>8569</v>
      </c>
      <c r="I4118" s="10" t="s">
        <v>8568</v>
      </c>
      <c r="J4118" s="11" t="s">
        <v>33</v>
      </c>
      <c r="K4118" s="18">
        <v>371000</v>
      </c>
      <c r="L4118" s="12">
        <f t="shared" si="347"/>
        <v>494700</v>
      </c>
      <c r="M4118" s="8">
        <v>1</v>
      </c>
      <c r="N4118" s="8" t="s">
        <v>27</v>
      </c>
      <c r="O4118" s="13"/>
      <c r="P4118" s="14">
        <v>0.4</v>
      </c>
      <c r="Q4118" s="15">
        <v>0.25</v>
      </c>
      <c r="R4118" s="16" t="str">
        <f t="shared" si="344"/>
        <v>SYLVANIA</v>
      </c>
      <c r="S4118" s="17"/>
      <c r="T4118" s="10" t="str">
        <f t="shared" si="346"/>
        <v>LAMPARA LED DE EXTERIOR EN POSTE CON KIT SOLAR.</v>
      </c>
    </row>
    <row r="4119" spans="1:28" ht="27" customHeight="1" x14ac:dyDescent="0.25">
      <c r="A4119" s="8" t="s">
        <v>7931</v>
      </c>
      <c r="B4119" s="9"/>
      <c r="C4119" s="9"/>
      <c r="D4119" s="8"/>
      <c r="E4119" s="8"/>
      <c r="F4119" s="8" t="s">
        <v>22</v>
      </c>
      <c r="G4119" s="10" t="s">
        <v>8570</v>
      </c>
      <c r="H4119" s="8" t="s">
        <v>8571</v>
      </c>
      <c r="I4119" s="10" t="s">
        <v>8570</v>
      </c>
      <c r="J4119" s="11" t="s">
        <v>33</v>
      </c>
      <c r="K4119" s="18">
        <v>250000</v>
      </c>
      <c r="L4119" s="12">
        <f t="shared" si="347"/>
        <v>333400</v>
      </c>
      <c r="M4119" s="8">
        <v>1</v>
      </c>
      <c r="N4119" s="8" t="s">
        <v>27</v>
      </c>
      <c r="O4119" s="13"/>
      <c r="P4119" s="14">
        <v>0.4</v>
      </c>
      <c r="Q4119" s="15">
        <v>0.25</v>
      </c>
      <c r="R4119" s="16" t="str">
        <f t="shared" si="344"/>
        <v>SYLVANIA</v>
      </c>
      <c r="S4119" s="17"/>
      <c r="T4119" s="10" t="str">
        <f t="shared" si="346"/>
        <v>LUMINARIA DIMERIZABLE DE 1.2 METROS, 4000K. REGLETA LED DE 40W, 4000K.</v>
      </c>
    </row>
    <row r="4120" spans="1:28" ht="27" customHeight="1" x14ac:dyDescent="0.25">
      <c r="A4120" s="8" t="s">
        <v>7931</v>
      </c>
      <c r="B4120" s="9"/>
      <c r="C4120" s="9"/>
      <c r="D4120" s="8"/>
      <c r="E4120" s="8"/>
      <c r="F4120" s="8" t="s">
        <v>22</v>
      </c>
      <c r="G4120" s="10" t="s">
        <v>8572</v>
      </c>
      <c r="H4120" s="8" t="s">
        <v>8573</v>
      </c>
      <c r="I4120" s="10" t="s">
        <v>8574</v>
      </c>
      <c r="J4120" s="11" t="s">
        <v>33</v>
      </c>
      <c r="K4120" s="18">
        <f>34000*0.9</f>
        <v>30600</v>
      </c>
      <c r="L4120" s="12">
        <f t="shared" si="347"/>
        <v>38300</v>
      </c>
      <c r="M4120" s="8">
        <v>1</v>
      </c>
      <c r="N4120" s="8" t="s">
        <v>27</v>
      </c>
      <c r="O4120" s="13"/>
      <c r="P4120" s="14">
        <v>0.2</v>
      </c>
      <c r="Q4120" s="15">
        <v>0.2</v>
      </c>
      <c r="R4120" s="16" t="str">
        <f t="shared" si="344"/>
        <v>SYLVANIA</v>
      </c>
      <c r="S4120" s="17"/>
      <c r="T4120" s="10" t="str">
        <f t="shared" si="346"/>
        <v>LUMINARIA TUBO LED FORMATO T8 CON SENSOR DE PRESENCIA INCORPORADO.</v>
      </c>
    </row>
    <row r="4121" spans="1:28" ht="27" customHeight="1" x14ac:dyDescent="0.25">
      <c r="A4121" s="8" t="s">
        <v>7931</v>
      </c>
      <c r="B4121" s="9"/>
      <c r="C4121" s="9"/>
      <c r="D4121" s="8"/>
      <c r="E4121" s="8"/>
      <c r="F4121" s="8" t="s">
        <v>22</v>
      </c>
      <c r="G4121" s="10" t="s">
        <v>8575</v>
      </c>
      <c r="H4121" s="8" t="s">
        <v>8576</v>
      </c>
      <c r="I4121" s="10" t="s">
        <v>8575</v>
      </c>
      <c r="J4121" s="11" t="s">
        <v>33</v>
      </c>
      <c r="K4121" s="18">
        <f>76800*0.9</f>
        <v>69120</v>
      </c>
      <c r="L4121" s="12">
        <f t="shared" si="347"/>
        <v>86400</v>
      </c>
      <c r="M4121" s="8">
        <v>1</v>
      </c>
      <c r="N4121" s="8" t="s">
        <v>27</v>
      </c>
      <c r="O4121" s="13"/>
      <c r="P4121" s="14">
        <v>0.2</v>
      </c>
      <c r="Q4121" s="15">
        <v>0.2</v>
      </c>
      <c r="R4121" s="16" t="str">
        <f t="shared" si="344"/>
        <v>SYLVANIA</v>
      </c>
      <c r="S4121" s="17"/>
      <c r="T4121" s="10" t="str">
        <f t="shared" si="346"/>
        <v xml:space="preserve">CINTA LED DE 48 VATIOS, 720 LUMENS POR METROS. </v>
      </c>
    </row>
    <row r="4122" spans="1:28" ht="27" customHeight="1" x14ac:dyDescent="0.25">
      <c r="A4122" s="8" t="s">
        <v>7931</v>
      </c>
      <c r="B4122" s="9"/>
      <c r="C4122" s="9"/>
      <c r="D4122" s="8"/>
      <c r="E4122" s="8"/>
      <c r="F4122" s="8" t="s">
        <v>22</v>
      </c>
      <c r="G4122" s="10" t="s">
        <v>8577</v>
      </c>
      <c r="H4122" s="8" t="s">
        <v>8576</v>
      </c>
      <c r="I4122" s="10" t="s">
        <v>8577</v>
      </c>
      <c r="J4122" s="11" t="s">
        <v>33</v>
      </c>
      <c r="K4122" s="18">
        <v>77000</v>
      </c>
      <c r="L4122" s="12">
        <f t="shared" si="347"/>
        <v>96300</v>
      </c>
      <c r="M4122" s="8">
        <v>1</v>
      </c>
      <c r="N4122" s="8" t="s">
        <v>27</v>
      </c>
      <c r="O4122" s="13"/>
      <c r="P4122" s="14">
        <v>0.25</v>
      </c>
      <c r="Q4122" s="15">
        <v>0.2</v>
      </c>
      <c r="R4122" s="16" t="str">
        <f t="shared" si="344"/>
        <v>SYLVANIA</v>
      </c>
      <c r="S4122" s="17"/>
      <c r="T4122" s="10" t="str">
        <f t="shared" si="346"/>
        <v>CINTA LED 5 METROS 48 VATIOS IP42</v>
      </c>
    </row>
    <row r="4123" spans="1:28" ht="27" customHeight="1" x14ac:dyDescent="0.25">
      <c r="A4123" s="8" t="s">
        <v>7931</v>
      </c>
      <c r="B4123" s="9"/>
      <c r="C4123" s="9"/>
      <c r="D4123" s="8"/>
      <c r="E4123" s="8"/>
      <c r="F4123" s="8" t="s">
        <v>22</v>
      </c>
      <c r="G4123" s="10" t="s">
        <v>8578</v>
      </c>
      <c r="H4123" s="8" t="s">
        <v>8579</v>
      </c>
      <c r="I4123" s="10" t="s">
        <v>8578</v>
      </c>
      <c r="J4123" s="11" t="s">
        <v>33</v>
      </c>
      <c r="K4123" s="18">
        <f>243200*0.9</f>
        <v>218880</v>
      </c>
      <c r="L4123" s="12">
        <f t="shared" si="347"/>
        <v>291900</v>
      </c>
      <c r="M4123" s="8">
        <v>1</v>
      </c>
      <c r="N4123" s="8" t="s">
        <v>27</v>
      </c>
      <c r="O4123" s="13"/>
      <c r="P4123" s="14">
        <v>0.4</v>
      </c>
      <c r="Q4123" s="15">
        <v>0.25</v>
      </c>
      <c r="R4123" s="16" t="str">
        <f t="shared" si="344"/>
        <v>SYLVANIA</v>
      </c>
      <c r="S4123" s="17"/>
      <c r="T4123" s="10" t="str">
        <f t="shared" si="346"/>
        <v>LUMINARIA LED DE MONTAJE EN PARED WALL PACK.</v>
      </c>
    </row>
    <row r="4124" spans="1:28" ht="27" customHeight="1" x14ac:dyDescent="0.25">
      <c r="A4124" s="8" t="s">
        <v>7931</v>
      </c>
      <c r="B4124" s="9"/>
      <c r="C4124" s="9"/>
      <c r="D4124" s="8"/>
      <c r="E4124" s="8"/>
      <c r="F4124" s="8" t="s">
        <v>22</v>
      </c>
      <c r="G4124" s="10" t="s">
        <v>8580</v>
      </c>
      <c r="H4124" s="8" t="s">
        <v>8581</v>
      </c>
      <c r="I4124" s="10" t="s">
        <v>8580</v>
      </c>
      <c r="J4124" s="11" t="s">
        <v>33</v>
      </c>
      <c r="K4124" s="18">
        <f>93000*0.9</f>
        <v>83700</v>
      </c>
      <c r="L4124" s="12">
        <f t="shared" si="347"/>
        <v>111600</v>
      </c>
      <c r="M4124" s="8">
        <v>1</v>
      </c>
      <c r="N4124" s="8" t="s">
        <v>27</v>
      </c>
      <c r="O4124" s="13"/>
      <c r="P4124" s="14">
        <v>0.4</v>
      </c>
      <c r="Q4124" s="15">
        <v>0.25</v>
      </c>
      <c r="R4124" s="16" t="str">
        <f t="shared" si="344"/>
        <v>SYLVANIA</v>
      </c>
      <c r="S4124" s="17"/>
      <c r="T4124" s="10" t="str">
        <f t="shared" si="346"/>
        <v>LUMINARIA HERMÉTICA DE 50W, 4000K, 4500 LUMENS DE FLUJO LUMÍNICO.</v>
      </c>
    </row>
    <row r="4125" spans="1:28" ht="27" customHeight="1" x14ac:dyDescent="0.25">
      <c r="A4125" s="8" t="s">
        <v>7931</v>
      </c>
      <c r="B4125" s="9"/>
      <c r="C4125" s="9"/>
      <c r="D4125" s="8"/>
      <c r="E4125" s="8"/>
      <c r="F4125" s="8" t="s">
        <v>22</v>
      </c>
      <c r="G4125" s="10" t="s">
        <v>8582</v>
      </c>
      <c r="H4125" s="8" t="s">
        <v>8583</v>
      </c>
      <c r="I4125" s="10" t="s">
        <v>8582</v>
      </c>
      <c r="J4125" s="11" t="s">
        <v>33</v>
      </c>
      <c r="K4125" s="18">
        <f>384000*0.9</f>
        <v>345600</v>
      </c>
      <c r="L4125" s="12">
        <f t="shared" si="347"/>
        <v>460800</v>
      </c>
      <c r="M4125" s="8">
        <v>1</v>
      </c>
      <c r="N4125" s="8" t="s">
        <v>27</v>
      </c>
      <c r="O4125" s="13"/>
      <c r="P4125" s="14">
        <v>0.4</v>
      </c>
      <c r="Q4125" s="15">
        <v>0.25</v>
      </c>
      <c r="R4125" s="16" t="str">
        <f t="shared" si="344"/>
        <v>SYLVANIA</v>
      </c>
      <c r="S4125" s="17"/>
      <c r="T4125" s="10" t="str">
        <f t="shared" si="346"/>
        <v>ILUMINACION HIGH BAY DE ALTO FLUJO PARA GRANDES SUPERFICIES. 110W Y 14.300Lm.</v>
      </c>
    </row>
    <row r="4126" spans="1:28" ht="27" customHeight="1" x14ac:dyDescent="0.25">
      <c r="A4126" s="8" t="s">
        <v>7931</v>
      </c>
      <c r="B4126" s="9"/>
      <c r="C4126" s="9"/>
      <c r="D4126" s="8"/>
      <c r="E4126" s="8"/>
      <c r="F4126" s="8" t="s">
        <v>22</v>
      </c>
      <c r="G4126" s="10" t="s">
        <v>8584</v>
      </c>
      <c r="H4126" s="8" t="s">
        <v>8585</v>
      </c>
      <c r="I4126" s="10" t="s">
        <v>8584</v>
      </c>
      <c r="J4126" s="11" t="s">
        <v>33</v>
      </c>
      <c r="K4126" s="18">
        <v>308000</v>
      </c>
      <c r="L4126" s="12">
        <f t="shared" si="347"/>
        <v>513400</v>
      </c>
      <c r="M4126" s="8">
        <v>1</v>
      </c>
      <c r="N4126" s="8" t="s">
        <v>27</v>
      </c>
      <c r="O4126" s="13"/>
      <c r="P4126" s="14">
        <v>0.2</v>
      </c>
      <c r="Q4126" s="15">
        <v>0.4</v>
      </c>
      <c r="R4126" s="16" t="str">
        <f t="shared" si="344"/>
        <v>SYLVANIA</v>
      </c>
      <c r="S4126" s="17"/>
      <c r="T4126" s="10" t="str">
        <f t="shared" si="346"/>
        <v>LAMPARA LED DE EXTERIOR DE 40 VATIOS.</v>
      </c>
    </row>
    <row r="4127" spans="1:28" ht="27" customHeight="1" x14ac:dyDescent="0.25">
      <c r="A4127" s="8" t="s">
        <v>7931</v>
      </c>
      <c r="B4127" s="9"/>
      <c r="C4127" s="9"/>
      <c r="D4127" s="8"/>
      <c r="E4127" s="8"/>
      <c r="F4127" s="8" t="s">
        <v>22</v>
      </c>
      <c r="G4127" s="10" t="s">
        <v>8586</v>
      </c>
      <c r="H4127" s="8" t="s">
        <v>8587</v>
      </c>
      <c r="I4127" s="10" t="s">
        <v>8586</v>
      </c>
      <c r="J4127" s="11" t="s">
        <v>33</v>
      </c>
      <c r="K4127" s="18">
        <f>40000*0.9</f>
        <v>36000</v>
      </c>
      <c r="L4127" s="12">
        <f t="shared" si="347"/>
        <v>51500</v>
      </c>
      <c r="M4127" s="8">
        <v>1</v>
      </c>
      <c r="N4127" s="8" t="s">
        <v>27</v>
      </c>
      <c r="O4127" s="13"/>
      <c r="P4127" s="14">
        <v>0.2</v>
      </c>
      <c r="Q4127" s="15">
        <v>0.3</v>
      </c>
      <c r="R4127" s="16" t="str">
        <f t="shared" si="344"/>
        <v>SYLVANIA</v>
      </c>
      <c r="S4127" s="17"/>
      <c r="T4127" s="10" t="str">
        <f t="shared" si="346"/>
        <v xml:space="preserve">TUBO LED T5 DE 25 VATIOS, 6500K. </v>
      </c>
    </row>
    <row r="4128" spans="1:28" ht="27" customHeight="1" x14ac:dyDescent="0.25">
      <c r="A4128" s="8" t="s">
        <v>7931</v>
      </c>
      <c r="B4128" s="9"/>
      <c r="C4128" s="9"/>
      <c r="D4128" s="8"/>
      <c r="E4128" s="8"/>
      <c r="F4128" s="8" t="s">
        <v>22</v>
      </c>
      <c r="G4128" s="10" t="s">
        <v>8588</v>
      </c>
      <c r="H4128" s="8" t="s">
        <v>8589</v>
      </c>
      <c r="I4128" s="10" t="s">
        <v>8588</v>
      </c>
      <c r="J4128" s="11" t="s">
        <v>33</v>
      </c>
      <c r="K4128" s="18">
        <v>14800</v>
      </c>
      <c r="L4128" s="12">
        <f t="shared" si="347"/>
        <v>21200</v>
      </c>
      <c r="M4128" s="8">
        <v>1</v>
      </c>
      <c r="N4128" s="8" t="s">
        <v>27</v>
      </c>
      <c r="O4128" s="13"/>
      <c r="P4128" s="14">
        <v>0.2</v>
      </c>
      <c r="Q4128" s="15">
        <v>0.3</v>
      </c>
      <c r="R4128" s="16" t="str">
        <f t="shared" si="344"/>
        <v>SYLVANIA</v>
      </c>
      <c r="S4128" s="17"/>
      <c r="T4128" s="10" t="str">
        <f t="shared" ref="T4128:T4159" si="348">G4128</f>
        <v>TUBO LED T8 DE 9 VATIOS, 6500K.</v>
      </c>
    </row>
    <row r="4129" spans="1:21" ht="27" customHeight="1" x14ac:dyDescent="0.25">
      <c r="A4129" s="8" t="s">
        <v>7931</v>
      </c>
      <c r="B4129" s="9"/>
      <c r="C4129" s="9"/>
      <c r="D4129" s="8"/>
      <c r="E4129" s="8"/>
      <c r="F4129" s="8" t="s">
        <v>22</v>
      </c>
      <c r="G4129" s="10" t="s">
        <v>8590</v>
      </c>
      <c r="H4129" s="8" t="s">
        <v>8591</v>
      </c>
      <c r="I4129" s="10" t="s">
        <v>8590</v>
      </c>
      <c r="J4129" s="11" t="s">
        <v>33</v>
      </c>
      <c r="K4129" s="18">
        <v>97200</v>
      </c>
      <c r="L4129" s="12">
        <f t="shared" si="347"/>
        <v>138900</v>
      </c>
      <c r="M4129" s="8">
        <v>1</v>
      </c>
      <c r="N4129" s="8" t="s">
        <v>27</v>
      </c>
      <c r="O4129" s="13"/>
      <c r="P4129" s="14">
        <v>0.2</v>
      </c>
      <c r="Q4129" s="15">
        <v>0.3</v>
      </c>
      <c r="R4129" s="16" t="str">
        <f t="shared" si="344"/>
        <v>SYLVANIA</v>
      </c>
      <c r="S4129" s="17"/>
      <c r="T4129" s="10" t="str">
        <f t="shared" si="348"/>
        <v>PANEL LED 60X60 DE 40 VATIOS, 4000K.</v>
      </c>
    </row>
    <row r="4130" spans="1:21" ht="27" customHeight="1" x14ac:dyDescent="0.25">
      <c r="A4130" s="8" t="s">
        <v>7931</v>
      </c>
      <c r="B4130" s="9"/>
      <c r="C4130" s="9"/>
      <c r="D4130" s="8"/>
      <c r="E4130" s="8"/>
      <c r="F4130" s="8" t="s">
        <v>22</v>
      </c>
      <c r="G4130" s="10" t="s">
        <v>8592</v>
      </c>
      <c r="H4130" s="8" t="s">
        <v>8593</v>
      </c>
      <c r="I4130" s="10" t="s">
        <v>8592</v>
      </c>
      <c r="J4130" s="11" t="s">
        <v>33</v>
      </c>
      <c r="K4130" s="18">
        <v>22000</v>
      </c>
      <c r="L4130" s="12">
        <f t="shared" si="347"/>
        <v>31500</v>
      </c>
      <c r="M4130" s="8">
        <v>1</v>
      </c>
      <c r="N4130" s="8" t="s">
        <v>27</v>
      </c>
      <c r="O4130" s="13"/>
      <c r="P4130" s="14">
        <v>0.2</v>
      </c>
      <c r="Q4130" s="15">
        <v>0.3</v>
      </c>
      <c r="R4130" s="16" t="str">
        <f t="shared" si="344"/>
        <v>SYLVANIA</v>
      </c>
      <c r="S4130" s="17"/>
      <c r="T4130" s="10" t="str">
        <f t="shared" si="348"/>
        <v>LUMINARIA LED TIPO BATTEN DE 6500K, 14 VATIOS, 1200 LUMENS.</v>
      </c>
    </row>
    <row r="4131" spans="1:21" ht="27" customHeight="1" x14ac:dyDescent="0.25">
      <c r="A4131" s="8" t="s">
        <v>7931</v>
      </c>
      <c r="B4131" s="9"/>
      <c r="C4131" s="9"/>
      <c r="D4131" s="8"/>
      <c r="E4131" s="8"/>
      <c r="F4131" s="8" t="s">
        <v>22</v>
      </c>
      <c r="G4131" s="10" t="s">
        <v>8594</v>
      </c>
      <c r="H4131" s="8" t="s">
        <v>8595</v>
      </c>
      <c r="I4131" s="10" t="s">
        <v>8594</v>
      </c>
      <c r="J4131" s="11" t="s">
        <v>33</v>
      </c>
      <c r="K4131" s="18">
        <f>12666*0.9</f>
        <v>11399.4</v>
      </c>
      <c r="L4131" s="12">
        <f t="shared" si="347"/>
        <v>16300</v>
      </c>
      <c r="M4131" s="8">
        <v>1</v>
      </c>
      <c r="N4131" s="8" t="s">
        <v>27</v>
      </c>
      <c r="O4131" s="13"/>
      <c r="P4131" s="14">
        <v>0.2</v>
      </c>
      <c r="Q4131" s="15">
        <v>0.3</v>
      </c>
      <c r="R4131" s="16" t="str">
        <f t="shared" si="344"/>
        <v>SYLVANIA</v>
      </c>
      <c r="S4131" s="17"/>
      <c r="T4131" s="10" t="str">
        <f t="shared" si="348"/>
        <v>PANEL LED 6500K DE 12 VATIOS. 720 LUMENS, 100-277VAC.</v>
      </c>
    </row>
    <row r="4132" spans="1:21" ht="27" customHeight="1" x14ac:dyDescent="0.25">
      <c r="A4132" s="8" t="s">
        <v>7931</v>
      </c>
      <c r="B4132" s="9"/>
      <c r="C4132" s="9"/>
      <c r="D4132" s="8"/>
      <c r="E4132" s="8"/>
      <c r="F4132" s="8" t="s">
        <v>22</v>
      </c>
      <c r="G4132" s="10" t="s">
        <v>8596</v>
      </c>
      <c r="H4132" s="8" t="s">
        <v>8597</v>
      </c>
      <c r="I4132" s="10" t="s">
        <v>8596</v>
      </c>
      <c r="J4132" s="11" t="s">
        <v>33</v>
      </c>
      <c r="K4132" s="18">
        <f>14841*0.9</f>
        <v>13356.9</v>
      </c>
      <c r="L4132" s="12">
        <f t="shared" si="347"/>
        <v>19100</v>
      </c>
      <c r="M4132" s="8">
        <v>1</v>
      </c>
      <c r="N4132" s="8" t="s">
        <v>27</v>
      </c>
      <c r="O4132" s="13"/>
      <c r="P4132" s="14">
        <v>0.2</v>
      </c>
      <c r="Q4132" s="15">
        <v>0.3</v>
      </c>
      <c r="R4132" s="16" t="str">
        <f t="shared" si="344"/>
        <v>SYLVANIA</v>
      </c>
      <c r="S4132" s="17"/>
      <c r="T4132" s="10" t="str">
        <f t="shared" si="348"/>
        <v>PANEL LED 6500K DE 18 VATIOS. 1250 LUMENS, 100-277VAC.</v>
      </c>
    </row>
    <row r="4133" spans="1:21" ht="27" customHeight="1" x14ac:dyDescent="0.25">
      <c r="A4133" s="8" t="s">
        <v>7931</v>
      </c>
      <c r="B4133" s="9"/>
      <c r="C4133" s="9"/>
      <c r="D4133" s="8"/>
      <c r="E4133" s="8"/>
      <c r="F4133" s="8" t="s">
        <v>22</v>
      </c>
      <c r="G4133" s="10" t="s">
        <v>8598</v>
      </c>
      <c r="H4133" s="8" t="s">
        <v>8599</v>
      </c>
      <c r="I4133" s="10" t="s">
        <v>8598</v>
      </c>
      <c r="J4133" s="11" t="s">
        <v>33</v>
      </c>
      <c r="K4133" s="18">
        <v>10000</v>
      </c>
      <c r="L4133" s="12">
        <f t="shared" si="347"/>
        <v>14300</v>
      </c>
      <c r="M4133" s="8">
        <v>1</v>
      </c>
      <c r="N4133" s="8" t="s">
        <v>27</v>
      </c>
      <c r="O4133" s="13"/>
      <c r="P4133" s="14">
        <v>0.2</v>
      </c>
      <c r="Q4133" s="15">
        <v>0.3</v>
      </c>
      <c r="R4133" s="16" t="str">
        <f t="shared" si="344"/>
        <v>SYLVANIA</v>
      </c>
      <c r="S4133" s="17"/>
      <c r="T4133" s="10" t="str">
        <f t="shared" si="348"/>
        <v>PANEL LED MULTIVOLTAJE DE 4000K, 12 VATIOS, VIDA ÚTIL DE 30.000 HORAS.</v>
      </c>
    </row>
    <row r="4134" spans="1:21" ht="27" customHeight="1" x14ac:dyDescent="0.25">
      <c r="A4134" s="8" t="s">
        <v>7931</v>
      </c>
      <c r="B4134" s="9"/>
      <c r="C4134" s="9"/>
      <c r="D4134" s="8"/>
      <c r="E4134" s="8"/>
      <c r="F4134" s="8" t="s">
        <v>22</v>
      </c>
      <c r="G4134" s="10" t="s">
        <v>8600</v>
      </c>
      <c r="H4134" s="8" t="s">
        <v>8601</v>
      </c>
      <c r="I4134" s="10" t="s">
        <v>8602</v>
      </c>
      <c r="J4134" s="11" t="s">
        <v>33</v>
      </c>
      <c r="K4134" s="18">
        <f>10700*0.9</f>
        <v>9630</v>
      </c>
      <c r="L4134" s="12">
        <f t="shared" si="347"/>
        <v>13800</v>
      </c>
      <c r="M4134" s="8">
        <v>1</v>
      </c>
      <c r="N4134" s="8" t="s">
        <v>27</v>
      </c>
      <c r="O4134" s="13"/>
      <c r="P4134" s="14">
        <v>0</v>
      </c>
      <c r="Q4134" s="15">
        <v>0.3</v>
      </c>
      <c r="R4134" s="16" t="str">
        <f t="shared" si="344"/>
        <v>SYLVANIA</v>
      </c>
      <c r="S4134" s="17"/>
      <c r="T4134" s="10" t="str">
        <f t="shared" si="348"/>
        <v>BOMBILLA LED GU10 DE 6 VATIOS 3000K, DIMERIZABLE</v>
      </c>
      <c r="U4134" s="21">
        <f>L4134/3900</f>
        <v>3.5384615384615383</v>
      </c>
    </row>
    <row r="4135" spans="1:21" ht="27" customHeight="1" x14ac:dyDescent="0.25">
      <c r="A4135" s="8" t="s">
        <v>7931</v>
      </c>
      <c r="B4135" s="9"/>
      <c r="C4135" s="9"/>
      <c r="D4135" s="8"/>
      <c r="E4135" s="8"/>
      <c r="F4135" s="8" t="s">
        <v>22</v>
      </c>
      <c r="G4135" s="10" t="s">
        <v>8603</v>
      </c>
      <c r="H4135" s="8" t="s">
        <v>8604</v>
      </c>
      <c r="I4135" s="10" t="s">
        <v>8603</v>
      </c>
      <c r="J4135" s="11" t="s">
        <v>33</v>
      </c>
      <c r="K4135" s="18">
        <f>93000*0.9</f>
        <v>83700</v>
      </c>
      <c r="L4135" s="12">
        <f t="shared" si="347"/>
        <v>104700</v>
      </c>
      <c r="M4135" s="8">
        <v>1</v>
      </c>
      <c r="N4135" s="8" t="s">
        <v>27</v>
      </c>
      <c r="O4135" s="13"/>
      <c r="P4135" s="14">
        <v>0</v>
      </c>
      <c r="Q4135" s="15">
        <v>0.2</v>
      </c>
      <c r="R4135" s="16" t="str">
        <f t="shared" si="344"/>
        <v>SYLVANIA</v>
      </c>
      <c r="S4135" s="17"/>
      <c r="T4135" s="10" t="str">
        <f t="shared" si="348"/>
        <v>LUMINARIA HERMÉTICA DE 50W, 6500K, IP65. 4500Lm.</v>
      </c>
    </row>
    <row r="4136" spans="1:21" ht="27" customHeight="1" x14ac:dyDescent="0.25">
      <c r="A4136" s="8" t="s">
        <v>7931</v>
      </c>
      <c r="B4136" s="9"/>
      <c r="C4136" s="9"/>
      <c r="D4136" s="8"/>
      <c r="E4136" s="8"/>
      <c r="F4136" s="8" t="s">
        <v>22</v>
      </c>
      <c r="G4136" s="10" t="s">
        <v>8605</v>
      </c>
      <c r="H4136" s="8" t="s">
        <v>8606</v>
      </c>
      <c r="I4136" s="10" t="s">
        <v>8605</v>
      </c>
      <c r="J4136" s="11" t="s">
        <v>33</v>
      </c>
      <c r="K4136" s="18">
        <f>46000*0.9</f>
        <v>41400</v>
      </c>
      <c r="L4136" s="12">
        <f t="shared" si="347"/>
        <v>51800</v>
      </c>
      <c r="M4136" s="8">
        <v>1</v>
      </c>
      <c r="N4136" s="8" t="s">
        <v>27</v>
      </c>
      <c r="O4136" s="13"/>
      <c r="P4136" s="14">
        <v>0</v>
      </c>
      <c r="Q4136" s="15">
        <v>0.2</v>
      </c>
      <c r="R4136" s="16" t="str">
        <f t="shared" si="344"/>
        <v>SYLVANIA</v>
      </c>
      <c r="S4136" s="17"/>
      <c r="T4136" s="10" t="str">
        <f t="shared" si="348"/>
        <v>LED HERMÉTICA DE 20W, 6500K, 1800Lm.</v>
      </c>
    </row>
    <row r="4137" spans="1:21" ht="27" customHeight="1" x14ac:dyDescent="0.25">
      <c r="A4137" s="8" t="s">
        <v>7931</v>
      </c>
      <c r="B4137" s="9"/>
      <c r="C4137" s="9"/>
      <c r="D4137" s="8"/>
      <c r="E4137" s="8"/>
      <c r="F4137" s="8" t="s">
        <v>22</v>
      </c>
      <c r="G4137" s="10" t="s">
        <v>8607</v>
      </c>
      <c r="H4137" s="8" t="s">
        <v>8608</v>
      </c>
      <c r="I4137" s="10" t="s">
        <v>8607</v>
      </c>
      <c r="J4137" s="11" t="s">
        <v>33</v>
      </c>
      <c r="K4137" s="18">
        <f>62800*0.9</f>
        <v>56520</v>
      </c>
      <c r="L4137" s="12">
        <f t="shared" si="347"/>
        <v>70700</v>
      </c>
      <c r="M4137" s="8">
        <v>1</v>
      </c>
      <c r="N4137" s="8" t="s">
        <v>27</v>
      </c>
      <c r="O4137" s="13"/>
      <c r="P4137" s="14">
        <v>0</v>
      </c>
      <c r="Q4137" s="15">
        <v>0.2</v>
      </c>
      <c r="R4137" s="16" t="str">
        <f t="shared" si="344"/>
        <v>SYLVANIA</v>
      </c>
      <c r="S4137" s="17"/>
      <c r="T4137" s="10" t="str">
        <f t="shared" si="348"/>
        <v>LED DE EMERGENCIA TIPO APLIQUE DE 4W, 6000K, 300Lm.</v>
      </c>
    </row>
    <row r="4138" spans="1:21" ht="27" customHeight="1" x14ac:dyDescent="0.25">
      <c r="A4138" s="8" t="s">
        <v>7931</v>
      </c>
      <c r="B4138" s="9"/>
      <c r="C4138" s="9"/>
      <c r="D4138" s="8"/>
      <c r="E4138" s="8"/>
      <c r="F4138" s="8" t="s">
        <v>22</v>
      </c>
      <c r="G4138" s="10" t="s">
        <v>8609</v>
      </c>
      <c r="H4138" s="8" t="s">
        <v>8610</v>
      </c>
      <c r="I4138" s="10" t="s">
        <v>8609</v>
      </c>
      <c r="J4138" s="11" t="s">
        <v>33</v>
      </c>
      <c r="K4138" s="18">
        <f>897000*0.9</f>
        <v>807300</v>
      </c>
      <c r="L4138" s="12">
        <f t="shared" si="347"/>
        <v>1009200</v>
      </c>
      <c r="M4138" s="8">
        <v>1</v>
      </c>
      <c r="N4138" s="8" t="s">
        <v>27</v>
      </c>
      <c r="O4138" s="13"/>
      <c r="P4138" s="14">
        <v>0</v>
      </c>
      <c r="Q4138" s="15">
        <v>0.2</v>
      </c>
      <c r="R4138" s="16" t="str">
        <f t="shared" si="344"/>
        <v>SYLVANIA</v>
      </c>
      <c r="S4138" s="17"/>
      <c r="T4138" s="10" t="str">
        <f t="shared" si="348"/>
        <v>REFLECTOR LED DE 200W, MULTIVOLTAJE 20000 Lm. 5000K.</v>
      </c>
    </row>
    <row r="4139" spans="1:21" ht="27" customHeight="1" x14ac:dyDescent="0.25">
      <c r="A4139" s="8" t="s">
        <v>7931</v>
      </c>
      <c r="B4139" s="9"/>
      <c r="C4139" s="9"/>
      <c r="D4139" s="8"/>
      <c r="E4139" s="8"/>
      <c r="F4139" s="8" t="s">
        <v>22</v>
      </c>
      <c r="G4139" s="10" t="s">
        <v>8611</v>
      </c>
      <c r="H4139" s="8" t="s">
        <v>8612</v>
      </c>
      <c r="I4139" s="10" t="s">
        <v>8611</v>
      </c>
      <c r="J4139" s="11" t="s">
        <v>33</v>
      </c>
      <c r="K4139" s="18">
        <f>743000*0.9</f>
        <v>668700</v>
      </c>
      <c r="L4139" s="12">
        <f t="shared" si="347"/>
        <v>835900</v>
      </c>
      <c r="M4139" s="8">
        <v>1</v>
      </c>
      <c r="N4139" s="8" t="s">
        <v>27</v>
      </c>
      <c r="O4139" s="13"/>
      <c r="P4139" s="14">
        <v>0</v>
      </c>
      <c r="Q4139" s="15">
        <v>0.2</v>
      </c>
      <c r="R4139" s="16" t="str">
        <f t="shared" si="344"/>
        <v>SYLVANIA</v>
      </c>
      <c r="S4139" s="17"/>
      <c r="T4139" s="10" t="str">
        <f t="shared" si="348"/>
        <v>REFLECTOR LED DE 150W, MULTIVOLTAJE 15000 Lm. 5000K.</v>
      </c>
    </row>
    <row r="4140" spans="1:21" ht="27" customHeight="1" x14ac:dyDescent="0.25">
      <c r="A4140" s="8" t="s">
        <v>7931</v>
      </c>
      <c r="B4140" s="9"/>
      <c r="C4140" s="9"/>
      <c r="D4140" s="8"/>
      <c r="E4140" s="8"/>
      <c r="F4140" s="8" t="s">
        <v>22</v>
      </c>
      <c r="G4140" s="10" t="s">
        <v>8613</v>
      </c>
      <c r="H4140" s="8" t="s">
        <v>8614</v>
      </c>
      <c r="I4140" s="10" t="s">
        <v>8613</v>
      </c>
      <c r="J4140" s="11" t="s">
        <v>33</v>
      </c>
      <c r="K4140" s="18">
        <f>679000*0.9</f>
        <v>611100</v>
      </c>
      <c r="L4140" s="12">
        <f t="shared" si="347"/>
        <v>763900</v>
      </c>
      <c r="M4140" s="8">
        <v>1</v>
      </c>
      <c r="N4140" s="8" t="s">
        <v>27</v>
      </c>
      <c r="O4140" s="13"/>
      <c r="P4140" s="14">
        <v>0</v>
      </c>
      <c r="Q4140" s="15">
        <v>0.2</v>
      </c>
      <c r="R4140" s="16" t="str">
        <f t="shared" si="344"/>
        <v>SYLVANIA</v>
      </c>
      <c r="S4140" s="17"/>
      <c r="T4140" s="10" t="str">
        <f t="shared" si="348"/>
        <v>REFLECTOR LED DE 120W, MULTIVOLTAJE 12000 Lm. 5000K</v>
      </c>
    </row>
    <row r="4141" spans="1:21" ht="27" customHeight="1" x14ac:dyDescent="0.25">
      <c r="A4141" s="8" t="s">
        <v>7931</v>
      </c>
      <c r="B4141" s="9"/>
      <c r="C4141" s="9"/>
      <c r="D4141" s="8"/>
      <c r="E4141" s="8"/>
      <c r="F4141" s="8" t="s">
        <v>22</v>
      </c>
      <c r="G4141" s="10" t="s">
        <v>8615</v>
      </c>
      <c r="H4141" s="8" t="s">
        <v>8616</v>
      </c>
      <c r="I4141" s="10" t="s">
        <v>8615</v>
      </c>
      <c r="J4141" s="11" t="s">
        <v>33</v>
      </c>
      <c r="K4141" s="18">
        <f>461000*0.9</f>
        <v>414900</v>
      </c>
      <c r="L4141" s="12">
        <f t="shared" si="347"/>
        <v>518700</v>
      </c>
      <c r="M4141" s="8">
        <v>1</v>
      </c>
      <c r="N4141" s="8" t="s">
        <v>27</v>
      </c>
      <c r="O4141" s="13"/>
      <c r="P4141" s="14">
        <v>0</v>
      </c>
      <c r="Q4141" s="15">
        <v>0.2</v>
      </c>
      <c r="R4141" s="16" t="str">
        <f t="shared" si="344"/>
        <v>SYLVANIA</v>
      </c>
      <c r="S4141" s="17"/>
      <c r="T4141" s="10" t="str">
        <f t="shared" si="348"/>
        <v xml:space="preserve">LED HIGH BAY DE 150W, 5700K, MULTIVOLTAJE, 18.700Lm. </v>
      </c>
    </row>
    <row r="4142" spans="1:21" ht="27" customHeight="1" x14ac:dyDescent="0.25">
      <c r="A4142" s="8" t="s">
        <v>7931</v>
      </c>
      <c r="B4142" s="9"/>
      <c r="C4142" s="9"/>
      <c r="D4142" s="8"/>
      <c r="E4142" s="8"/>
      <c r="F4142" s="8" t="s">
        <v>22</v>
      </c>
      <c r="G4142" s="10" t="s">
        <v>8617</v>
      </c>
      <c r="H4142" s="8" t="s">
        <v>8616</v>
      </c>
      <c r="I4142" s="10" t="s">
        <v>8617</v>
      </c>
      <c r="J4142" s="11" t="s">
        <v>33</v>
      </c>
      <c r="K4142" s="18">
        <f>397000*0.9</f>
        <v>357300</v>
      </c>
      <c r="L4142" s="12">
        <f t="shared" si="347"/>
        <v>446700</v>
      </c>
      <c r="M4142" s="8">
        <v>1</v>
      </c>
      <c r="N4142" s="8" t="s">
        <v>27</v>
      </c>
      <c r="O4142" s="13"/>
      <c r="P4142" s="14">
        <v>0</v>
      </c>
      <c r="Q4142" s="15">
        <v>0.2</v>
      </c>
      <c r="R4142" s="16" t="str">
        <f t="shared" si="344"/>
        <v>SYLVANIA</v>
      </c>
      <c r="S4142" s="17"/>
      <c r="T4142" s="10" t="str">
        <f t="shared" si="348"/>
        <v xml:space="preserve">LED HIGH BAY DE 100W, 5700K, MULTIVOLTAJE, 13.000Lm. </v>
      </c>
    </row>
    <row r="4143" spans="1:21" ht="27" customHeight="1" x14ac:dyDescent="0.25">
      <c r="A4143" s="8" t="s">
        <v>7931</v>
      </c>
      <c r="B4143" s="9"/>
      <c r="C4143" s="9"/>
      <c r="D4143" s="8"/>
      <c r="E4143" s="8"/>
      <c r="F4143" s="8" t="s">
        <v>22</v>
      </c>
      <c r="G4143" s="10" t="s">
        <v>8618</v>
      </c>
      <c r="H4143" s="8" t="s">
        <v>8619</v>
      </c>
      <c r="I4143" s="10" t="s">
        <v>8618</v>
      </c>
      <c r="J4143" s="11" t="s">
        <v>33</v>
      </c>
      <c r="K4143" s="18">
        <f>115200*0.9</f>
        <v>103680</v>
      </c>
      <c r="L4143" s="12">
        <f t="shared" ref="L4143:L4173" si="349">IF(J4143="P",ROUNDUP(K4143/(1-Q4143),-2),K4143*(1+P4143)/(1-Q4143))</f>
        <v>129600</v>
      </c>
      <c r="M4143" s="8">
        <v>1</v>
      </c>
      <c r="N4143" s="8" t="s">
        <v>27</v>
      </c>
      <c r="O4143" s="13"/>
      <c r="P4143" s="14">
        <v>0</v>
      </c>
      <c r="Q4143" s="15">
        <v>0.2</v>
      </c>
      <c r="R4143" s="16" t="str">
        <f t="shared" ref="R4143:R4206" si="350">A4143</f>
        <v>SYLVANIA</v>
      </c>
      <c r="S4143" s="17"/>
      <c r="T4143" s="10" t="str">
        <f t="shared" si="348"/>
        <v>PANEL LED 60x60 40W. MULTIVOLTAJE, 6000K, 3600Lm.</v>
      </c>
    </row>
    <row r="4144" spans="1:21" ht="27" customHeight="1" x14ac:dyDescent="0.25">
      <c r="A4144" s="8" t="s">
        <v>7931</v>
      </c>
      <c r="B4144" s="9"/>
      <c r="C4144" s="9"/>
      <c r="D4144" s="8"/>
      <c r="E4144" s="8"/>
      <c r="F4144" s="8" t="s">
        <v>22</v>
      </c>
      <c r="G4144" s="10" t="s">
        <v>8620</v>
      </c>
      <c r="H4144" s="8" t="s">
        <v>8621</v>
      </c>
      <c r="I4144" s="10" t="s">
        <v>8620</v>
      </c>
      <c r="J4144" s="11" t="s">
        <v>33</v>
      </c>
      <c r="K4144" s="18">
        <f>237000*0.9</f>
        <v>213300</v>
      </c>
      <c r="L4144" s="12">
        <f t="shared" si="349"/>
        <v>266700</v>
      </c>
      <c r="M4144" s="8">
        <v>1</v>
      </c>
      <c r="N4144" s="8" t="s">
        <v>27</v>
      </c>
      <c r="O4144" s="13"/>
      <c r="P4144" s="14">
        <v>0</v>
      </c>
      <c r="Q4144" s="15">
        <v>0.2</v>
      </c>
      <c r="R4144" s="16" t="str">
        <f t="shared" si="350"/>
        <v>SYLVANIA</v>
      </c>
      <c r="S4144" s="17"/>
      <c r="T4144" s="10" t="str">
        <f t="shared" si="348"/>
        <v>LUMINARIA LED DE 50W, 6500K, 5500Lm. MULTIVOLTAJE.</v>
      </c>
    </row>
    <row r="4145" spans="1:20" ht="27" customHeight="1" x14ac:dyDescent="0.25">
      <c r="A4145" s="8" t="s">
        <v>7931</v>
      </c>
      <c r="B4145" s="9"/>
      <c r="C4145" s="9"/>
      <c r="D4145" s="8"/>
      <c r="E4145" s="8"/>
      <c r="F4145" s="8" t="s">
        <v>22</v>
      </c>
      <c r="G4145" s="10" t="s">
        <v>8622</v>
      </c>
      <c r="H4145" s="8" t="s">
        <v>8623</v>
      </c>
      <c r="I4145" s="10" t="s">
        <v>8622</v>
      </c>
      <c r="J4145" s="11" t="s">
        <v>33</v>
      </c>
      <c r="K4145" s="18">
        <f>320000*0.9</f>
        <v>288000</v>
      </c>
      <c r="L4145" s="12">
        <f t="shared" si="349"/>
        <v>360000</v>
      </c>
      <c r="M4145" s="8">
        <v>1</v>
      </c>
      <c r="N4145" s="8" t="s">
        <v>27</v>
      </c>
      <c r="O4145" s="13"/>
      <c r="P4145" s="14">
        <v>0</v>
      </c>
      <c r="Q4145" s="15">
        <v>0.2</v>
      </c>
      <c r="R4145" s="16" t="str">
        <f t="shared" si="350"/>
        <v>SYLVANIA</v>
      </c>
      <c r="S4145" s="17"/>
      <c r="T4145" s="10" t="str">
        <f t="shared" si="348"/>
        <v>LUMINARIA DE EXTERIOR DE 50W. MULTIVOLTAJE, 4000K. 6000Lm.</v>
      </c>
    </row>
    <row r="4146" spans="1:20" ht="27" customHeight="1" x14ac:dyDescent="0.25">
      <c r="A4146" s="8" t="s">
        <v>7931</v>
      </c>
      <c r="B4146" s="9"/>
      <c r="C4146" s="9"/>
      <c r="D4146" s="8"/>
      <c r="E4146" s="8"/>
      <c r="F4146" s="8" t="s">
        <v>22</v>
      </c>
      <c r="G4146" s="10" t="s">
        <v>8624</v>
      </c>
      <c r="H4146" s="8" t="s">
        <v>8625</v>
      </c>
      <c r="I4146" s="10" t="s">
        <v>8624</v>
      </c>
      <c r="J4146" s="11" t="s">
        <v>33</v>
      </c>
      <c r="K4146" s="18">
        <f>15000*0.9</f>
        <v>13500</v>
      </c>
      <c r="L4146" s="12">
        <f t="shared" si="349"/>
        <v>19300</v>
      </c>
      <c r="M4146" s="8">
        <v>1</v>
      </c>
      <c r="N4146" s="8" t="s">
        <v>27</v>
      </c>
      <c r="O4146" s="13"/>
      <c r="P4146" s="14">
        <v>0</v>
      </c>
      <c r="Q4146" s="15">
        <v>0.3</v>
      </c>
      <c r="R4146" s="16" t="str">
        <f t="shared" si="350"/>
        <v>SYLVANIA</v>
      </c>
      <c r="S4146" s="17"/>
      <c r="T4146" s="10" t="str">
        <f t="shared" si="348"/>
        <v>PANEL LED DE INCRUSTAR 18W, MULTIVOLTAJE, 1250Lm.</v>
      </c>
    </row>
    <row r="4147" spans="1:20" ht="27" customHeight="1" x14ac:dyDescent="0.25">
      <c r="A4147" s="8" t="s">
        <v>7931</v>
      </c>
      <c r="B4147" s="9"/>
      <c r="C4147" s="9"/>
      <c r="D4147" s="8"/>
      <c r="E4147" s="8"/>
      <c r="F4147" s="8" t="s">
        <v>22</v>
      </c>
      <c r="G4147" s="10" t="s">
        <v>8626</v>
      </c>
      <c r="H4147" s="8" t="s">
        <v>8627</v>
      </c>
      <c r="I4147" s="10" t="s">
        <v>8626</v>
      </c>
      <c r="J4147" s="11" t="s">
        <v>33</v>
      </c>
      <c r="K4147" s="18">
        <f>12800*0.9</f>
        <v>11520</v>
      </c>
      <c r="L4147" s="12">
        <f t="shared" si="349"/>
        <v>16500</v>
      </c>
      <c r="M4147" s="8">
        <v>1</v>
      </c>
      <c r="N4147" s="8" t="s">
        <v>27</v>
      </c>
      <c r="O4147" s="13"/>
      <c r="P4147" s="14">
        <v>0</v>
      </c>
      <c r="Q4147" s="15">
        <v>0.3</v>
      </c>
      <c r="R4147" s="16" t="str">
        <f t="shared" si="350"/>
        <v>SYLVANIA</v>
      </c>
      <c r="S4147" s="17"/>
      <c r="T4147" s="10" t="str">
        <f t="shared" si="348"/>
        <v>LUMINARIA TIPO BALA DE 12W, 4000K, 1030Lm. 20 HORAS.</v>
      </c>
    </row>
    <row r="4148" spans="1:20" ht="27" customHeight="1" x14ac:dyDescent="0.25">
      <c r="A4148" s="8" t="s">
        <v>7931</v>
      </c>
      <c r="B4148" s="9"/>
      <c r="C4148" s="9"/>
      <c r="D4148" s="8"/>
      <c r="E4148" s="8"/>
      <c r="F4148" s="8" t="s">
        <v>22</v>
      </c>
      <c r="G4148" s="10" t="s">
        <v>8626</v>
      </c>
      <c r="H4148" s="8" t="s">
        <v>8628</v>
      </c>
      <c r="I4148" s="10" t="s">
        <v>8629</v>
      </c>
      <c r="J4148" s="11" t="s">
        <v>33</v>
      </c>
      <c r="K4148" s="18">
        <f>12800*0.9+50000</f>
        <v>61520</v>
      </c>
      <c r="L4148" s="12">
        <f t="shared" si="349"/>
        <v>87900</v>
      </c>
      <c r="M4148" s="8">
        <v>1</v>
      </c>
      <c r="N4148" s="8" t="s">
        <v>27</v>
      </c>
      <c r="O4148" s="13"/>
      <c r="P4148" s="14">
        <v>0</v>
      </c>
      <c r="Q4148" s="15">
        <v>0.3</v>
      </c>
      <c r="R4148" s="16" t="str">
        <f t="shared" si="350"/>
        <v>SYLVANIA</v>
      </c>
      <c r="S4148" s="17"/>
      <c r="T4148" s="10" t="str">
        <f t="shared" si="348"/>
        <v>LUMINARIA TIPO BALA DE 12W, 4000K, 1030Lm. 20 HORAS.</v>
      </c>
    </row>
    <row r="4149" spans="1:20" ht="27" customHeight="1" x14ac:dyDescent="0.25">
      <c r="A4149" s="8" t="s">
        <v>7931</v>
      </c>
      <c r="B4149" s="9"/>
      <c r="C4149" s="9"/>
      <c r="D4149" s="8"/>
      <c r="E4149" s="8"/>
      <c r="F4149" s="8" t="s">
        <v>22</v>
      </c>
      <c r="G4149" s="10" t="s">
        <v>8630</v>
      </c>
      <c r="H4149" s="8" t="s">
        <v>8631</v>
      </c>
      <c r="I4149" s="10" t="s">
        <v>8630</v>
      </c>
      <c r="J4149" s="11" t="s">
        <v>33</v>
      </c>
      <c r="K4149" s="18">
        <v>18000</v>
      </c>
      <c r="L4149" s="12">
        <f t="shared" si="349"/>
        <v>25800</v>
      </c>
      <c r="M4149" s="8">
        <v>1</v>
      </c>
      <c r="N4149" s="8" t="s">
        <v>27</v>
      </c>
      <c r="O4149" s="13"/>
      <c r="P4149" s="14">
        <v>0</v>
      </c>
      <c r="Q4149" s="15">
        <v>0.3</v>
      </c>
      <c r="R4149" s="16" t="str">
        <f t="shared" si="350"/>
        <v>SYLVANIA</v>
      </c>
      <c r="S4149" s="17"/>
      <c r="T4149" s="10" t="str">
        <f t="shared" si="348"/>
        <v>LUMINARIA TIPO BALA LED DE 15W, 4000K, 1200Lm. 20.000 HORAS.</v>
      </c>
    </row>
    <row r="4150" spans="1:20" ht="27" customHeight="1" x14ac:dyDescent="0.25">
      <c r="A4150" s="8" t="s">
        <v>7931</v>
      </c>
      <c r="B4150" s="9"/>
      <c r="C4150" s="9"/>
      <c r="D4150" s="8"/>
      <c r="E4150" s="8"/>
      <c r="F4150" s="8" t="s">
        <v>22</v>
      </c>
      <c r="G4150" s="10" t="s">
        <v>8632</v>
      </c>
      <c r="H4150" s="8" t="s">
        <v>8633</v>
      </c>
      <c r="I4150" s="10" t="s">
        <v>8632</v>
      </c>
      <c r="J4150" s="11" t="s">
        <v>33</v>
      </c>
      <c r="K4150" s="18">
        <v>11500</v>
      </c>
      <c r="L4150" s="12">
        <f t="shared" si="349"/>
        <v>16500</v>
      </c>
      <c r="M4150" s="8">
        <v>1</v>
      </c>
      <c r="N4150" s="8" t="s">
        <v>27</v>
      </c>
      <c r="O4150" s="13"/>
      <c r="P4150" s="14">
        <v>0</v>
      </c>
      <c r="Q4150" s="15">
        <v>0.3</v>
      </c>
      <c r="R4150" s="16" t="str">
        <f t="shared" si="350"/>
        <v>SYLVANIA</v>
      </c>
      <c r="S4150" s="17"/>
      <c r="T4150" s="10" t="str">
        <f t="shared" si="348"/>
        <v>LED BALA 8W, 4000K, 680Lm. 20.000 HORAS.</v>
      </c>
    </row>
    <row r="4151" spans="1:20" ht="27" customHeight="1" x14ac:dyDescent="0.25">
      <c r="A4151" s="8" t="s">
        <v>7931</v>
      </c>
      <c r="B4151" s="9"/>
      <c r="C4151" s="9"/>
      <c r="D4151" s="8"/>
      <c r="E4151" s="8"/>
      <c r="F4151" s="8" t="s">
        <v>22</v>
      </c>
      <c r="G4151" s="10" t="s">
        <v>8634</v>
      </c>
      <c r="H4151" s="8" t="s">
        <v>8635</v>
      </c>
      <c r="I4151" s="10" t="s">
        <v>8634</v>
      </c>
      <c r="J4151" s="11" t="s">
        <v>33</v>
      </c>
      <c r="K4151" s="18">
        <v>77000</v>
      </c>
      <c r="L4151" s="12">
        <f t="shared" si="349"/>
        <v>110000</v>
      </c>
      <c r="M4151" s="8">
        <v>1</v>
      </c>
      <c r="N4151" s="8" t="s">
        <v>27</v>
      </c>
      <c r="O4151" s="13"/>
      <c r="P4151" s="14">
        <v>0</v>
      </c>
      <c r="Q4151" s="15">
        <v>0.3</v>
      </c>
      <c r="R4151" s="16" t="str">
        <f t="shared" si="350"/>
        <v>SYLVANIA</v>
      </c>
      <c r="S4151" s="17"/>
      <c r="T4151" s="10" t="str">
        <f t="shared" si="348"/>
        <v>LED HERMÉTICA DE 2X18 VATIOS. IP65, 6500K, 2300Lm.</v>
      </c>
    </row>
    <row r="4152" spans="1:20" ht="27" customHeight="1" x14ac:dyDescent="0.25">
      <c r="A4152" s="8" t="s">
        <v>7931</v>
      </c>
      <c r="B4152" s="9"/>
      <c r="C4152" s="9"/>
      <c r="D4152" s="8"/>
      <c r="E4152" s="8"/>
      <c r="F4152" s="8" t="s">
        <v>22</v>
      </c>
      <c r="G4152" s="10" t="s">
        <v>8636</v>
      </c>
      <c r="H4152" s="8" t="s">
        <v>8637</v>
      </c>
      <c r="I4152" s="10" t="s">
        <v>8636</v>
      </c>
      <c r="J4152" s="11" t="s">
        <v>33</v>
      </c>
      <c r="K4152" s="18">
        <v>45000</v>
      </c>
      <c r="L4152" s="12">
        <f t="shared" si="349"/>
        <v>64300</v>
      </c>
      <c r="M4152" s="8">
        <v>1</v>
      </c>
      <c r="N4152" s="8" t="s">
        <v>27</v>
      </c>
      <c r="O4152" s="13"/>
      <c r="P4152" s="14">
        <v>0</v>
      </c>
      <c r="Q4152" s="15">
        <v>0.3</v>
      </c>
      <c r="R4152" s="16" t="str">
        <f t="shared" si="350"/>
        <v>SYLVANIA</v>
      </c>
      <c r="S4152" s="17"/>
      <c r="T4152" s="10" t="str">
        <f t="shared" si="348"/>
        <v>LUMINARIA CON CILINDRO PARA SOBREPONER GU10.</v>
      </c>
    </row>
    <row r="4153" spans="1:20" ht="27" customHeight="1" x14ac:dyDescent="0.25">
      <c r="A4153" s="8" t="s">
        <v>7931</v>
      </c>
      <c r="B4153" s="9"/>
      <c r="C4153" s="9"/>
      <c r="D4153" s="8"/>
      <c r="E4153" s="8"/>
      <c r="F4153" s="8" t="s">
        <v>22</v>
      </c>
      <c r="G4153" s="10" t="s">
        <v>8638</v>
      </c>
      <c r="H4153" s="8" t="s">
        <v>8639</v>
      </c>
      <c r="I4153" s="10" t="s">
        <v>8638</v>
      </c>
      <c r="J4153" s="11" t="s">
        <v>33</v>
      </c>
      <c r="K4153" s="18">
        <f>397000*0.9</f>
        <v>357300</v>
      </c>
      <c r="L4153" s="12">
        <f t="shared" si="349"/>
        <v>510500</v>
      </c>
      <c r="M4153" s="8">
        <v>1</v>
      </c>
      <c r="N4153" s="8" t="s">
        <v>27</v>
      </c>
      <c r="O4153" s="13"/>
      <c r="P4153" s="14">
        <v>0</v>
      </c>
      <c r="Q4153" s="15">
        <v>0.3</v>
      </c>
      <c r="R4153" s="16" t="str">
        <f t="shared" si="350"/>
        <v>SYLVANIA</v>
      </c>
      <c r="S4153" s="17"/>
      <c r="T4153" s="10" t="str">
        <f t="shared" si="348"/>
        <v>LUMINARIA HIGH BAY DE 5700K, 13000 Lm, 100W. 50.000 HORAS.</v>
      </c>
    </row>
    <row r="4154" spans="1:20" ht="27" customHeight="1" x14ac:dyDescent="0.25">
      <c r="A4154" s="8" t="s">
        <v>7931</v>
      </c>
      <c r="B4154" s="9"/>
      <c r="C4154" s="9"/>
      <c r="D4154" s="8"/>
      <c r="E4154" s="8"/>
      <c r="F4154" s="8" t="s">
        <v>22</v>
      </c>
      <c r="G4154" s="10" t="s">
        <v>8640</v>
      </c>
      <c r="H4154" s="8" t="s">
        <v>8641</v>
      </c>
      <c r="I4154" s="10" t="s">
        <v>8640</v>
      </c>
      <c r="J4154" s="11" t="s">
        <v>33</v>
      </c>
      <c r="K4154" s="18">
        <f>480000*0.9</f>
        <v>432000</v>
      </c>
      <c r="L4154" s="12">
        <f t="shared" si="349"/>
        <v>617200</v>
      </c>
      <c r="M4154" s="8">
        <v>1</v>
      </c>
      <c r="N4154" s="8" t="s">
        <v>27</v>
      </c>
      <c r="O4154" s="13"/>
      <c r="P4154" s="14">
        <v>0</v>
      </c>
      <c r="Q4154" s="15">
        <v>0.3</v>
      </c>
      <c r="R4154" s="16" t="str">
        <f t="shared" si="350"/>
        <v>SYLVANIA</v>
      </c>
      <c r="S4154" s="17"/>
      <c r="T4154" s="10" t="str">
        <f t="shared" si="348"/>
        <v>WALL PACK 4000K, 5400 Lm, IP65 72W.</v>
      </c>
    </row>
    <row r="4155" spans="1:20" ht="27" customHeight="1" x14ac:dyDescent="0.25">
      <c r="A4155" s="8" t="s">
        <v>7931</v>
      </c>
      <c r="B4155" s="9"/>
      <c r="C4155" s="9"/>
      <c r="D4155" s="8"/>
      <c r="E4155" s="8"/>
      <c r="F4155" s="8" t="s">
        <v>22</v>
      </c>
      <c r="G4155" s="10" t="s">
        <v>8642</v>
      </c>
      <c r="H4155" s="8" t="s">
        <v>8643</v>
      </c>
      <c r="I4155" s="10" t="s">
        <v>8642</v>
      </c>
      <c r="J4155" s="11" t="s">
        <v>33</v>
      </c>
      <c r="K4155" s="18">
        <v>798000</v>
      </c>
      <c r="L4155" s="12">
        <f t="shared" si="349"/>
        <v>1140000</v>
      </c>
      <c r="M4155" s="8">
        <v>1</v>
      </c>
      <c r="N4155" s="8" t="s">
        <v>27</v>
      </c>
      <c r="O4155" s="13"/>
      <c r="P4155" s="14">
        <v>0</v>
      </c>
      <c r="Q4155" s="15">
        <v>0.3</v>
      </c>
      <c r="R4155" s="16" t="str">
        <f t="shared" si="350"/>
        <v>SYLVANIA</v>
      </c>
      <c r="S4155" s="17"/>
      <c r="T4155" s="10" t="str">
        <f t="shared" si="348"/>
        <v>LUMINARIA POSTE DE EXTERIOR 120W, 14.400Lm.</v>
      </c>
    </row>
    <row r="4156" spans="1:20" ht="27" customHeight="1" x14ac:dyDescent="0.25">
      <c r="A4156" s="8" t="s">
        <v>7931</v>
      </c>
      <c r="B4156" s="9"/>
      <c r="C4156" s="9"/>
      <c r="D4156" s="8"/>
      <c r="E4156" s="8"/>
      <c r="F4156" s="8" t="s">
        <v>22</v>
      </c>
      <c r="G4156" s="10" t="s">
        <v>8644</v>
      </c>
      <c r="H4156" s="8" t="s">
        <v>8645</v>
      </c>
      <c r="I4156" s="10" t="s">
        <v>8644</v>
      </c>
      <c r="J4156" s="11" t="s">
        <v>33</v>
      </c>
      <c r="K4156" s="18">
        <v>474000</v>
      </c>
      <c r="L4156" s="12">
        <f t="shared" si="349"/>
        <v>1185000</v>
      </c>
      <c r="M4156" s="8">
        <v>1</v>
      </c>
      <c r="N4156" s="8" t="s">
        <v>27</v>
      </c>
      <c r="O4156" s="13"/>
      <c r="P4156" s="14">
        <v>0</v>
      </c>
      <c r="Q4156" s="15">
        <v>0.6</v>
      </c>
      <c r="R4156" s="16" t="str">
        <f t="shared" si="350"/>
        <v>SYLVANIA</v>
      </c>
      <c r="S4156" s="17"/>
      <c r="T4156" s="10" t="str">
        <f t="shared" si="348"/>
        <v>PANEL DE 24 VATIOS CON PANEL SOLAR INCORPORADO</v>
      </c>
    </row>
    <row r="4157" spans="1:20" ht="27" customHeight="1" x14ac:dyDescent="0.25">
      <c r="A4157" s="8" t="s">
        <v>7931</v>
      </c>
      <c r="B4157" s="9"/>
      <c r="C4157" s="9"/>
      <c r="D4157" s="8"/>
      <c r="E4157" s="8"/>
      <c r="F4157" s="8" t="s">
        <v>22</v>
      </c>
      <c r="G4157" s="10" t="s">
        <v>8646</v>
      </c>
      <c r="H4157" s="8" t="s">
        <v>8647</v>
      </c>
      <c r="I4157" s="10" t="s">
        <v>8646</v>
      </c>
      <c r="J4157" s="11" t="s">
        <v>33</v>
      </c>
      <c r="K4157" s="18">
        <f>28158*0.9</f>
        <v>25342.2</v>
      </c>
      <c r="L4157" s="12">
        <f t="shared" si="349"/>
        <v>36300</v>
      </c>
      <c r="M4157" s="8">
        <v>1</v>
      </c>
      <c r="N4157" s="8" t="s">
        <v>27</v>
      </c>
      <c r="O4157" s="13"/>
      <c r="P4157" s="14">
        <v>0</v>
      </c>
      <c r="Q4157" s="15">
        <v>0.3</v>
      </c>
      <c r="R4157" s="16" t="str">
        <f t="shared" si="350"/>
        <v>SYLVANIA</v>
      </c>
      <c r="S4157" s="17"/>
      <c r="T4157" s="10" t="str">
        <f t="shared" si="348"/>
        <v>LUMINARIA PAR 30 DE 18W, 1100 LUMENS.</v>
      </c>
    </row>
    <row r="4158" spans="1:20" ht="27" customHeight="1" x14ac:dyDescent="0.25">
      <c r="A4158" s="8" t="s">
        <v>7931</v>
      </c>
      <c r="B4158" s="9"/>
      <c r="C4158" s="9"/>
      <c r="D4158" s="8"/>
      <c r="E4158" s="8"/>
      <c r="F4158" s="8" t="s">
        <v>22</v>
      </c>
      <c r="G4158" s="10" t="s">
        <v>8648</v>
      </c>
      <c r="H4158" s="8" t="s">
        <v>8649</v>
      </c>
      <c r="I4158" s="10" t="s">
        <v>8648</v>
      </c>
      <c r="J4158" s="11" t="s">
        <v>33</v>
      </c>
      <c r="K4158" s="18">
        <f>63400*0.9</f>
        <v>57060</v>
      </c>
      <c r="L4158" s="12">
        <f t="shared" si="349"/>
        <v>81600</v>
      </c>
      <c r="M4158" s="8">
        <v>1</v>
      </c>
      <c r="N4158" s="8" t="s">
        <v>27</v>
      </c>
      <c r="O4158" s="13"/>
      <c r="P4158" s="14">
        <v>0</v>
      </c>
      <c r="Q4158" s="15">
        <v>0.3</v>
      </c>
      <c r="R4158" s="16" t="str">
        <f t="shared" si="350"/>
        <v>SYLVANIA</v>
      </c>
      <c r="S4158" s="17"/>
      <c r="T4158" s="10" t="str">
        <f t="shared" si="348"/>
        <v>LED REFLECTOR DE 50 VATIOS</v>
      </c>
    </row>
    <row r="4159" spans="1:20" ht="27" customHeight="1" x14ac:dyDescent="0.25">
      <c r="A4159" s="8" t="s">
        <v>7931</v>
      </c>
      <c r="B4159" s="9"/>
      <c r="C4159" s="9"/>
      <c r="D4159" s="8"/>
      <c r="E4159" s="8"/>
      <c r="F4159" s="8" t="s">
        <v>22</v>
      </c>
      <c r="G4159" s="10" t="s">
        <v>8650</v>
      </c>
      <c r="H4159" s="8" t="s">
        <v>8651</v>
      </c>
      <c r="I4159" s="10" t="s">
        <v>8650</v>
      </c>
      <c r="J4159" s="11" t="s">
        <v>33</v>
      </c>
      <c r="K4159" s="18">
        <v>137000</v>
      </c>
      <c r="L4159" s="12">
        <f t="shared" si="349"/>
        <v>195800</v>
      </c>
      <c r="M4159" s="8">
        <v>1</v>
      </c>
      <c r="N4159" s="8" t="s">
        <v>27</v>
      </c>
      <c r="O4159" s="13"/>
      <c r="P4159" s="14">
        <v>0</v>
      </c>
      <c r="Q4159" s="15">
        <v>0.3</v>
      </c>
      <c r="R4159" s="16" t="str">
        <f t="shared" si="350"/>
        <v>SYLVANIA</v>
      </c>
      <c r="S4159" s="17"/>
      <c r="T4159" s="10" t="str">
        <f t="shared" si="348"/>
        <v>LED REFLECTOR DE 100 VATIOS</v>
      </c>
    </row>
    <row r="4160" spans="1:20" ht="27" customHeight="1" x14ac:dyDescent="0.25">
      <c r="A4160" s="8" t="s">
        <v>7931</v>
      </c>
      <c r="B4160" s="9"/>
      <c r="C4160" s="9"/>
      <c r="D4160" s="8"/>
      <c r="E4160" s="8"/>
      <c r="F4160" s="8" t="s">
        <v>22</v>
      </c>
      <c r="G4160" s="10" t="s">
        <v>8652</v>
      </c>
      <c r="H4160" s="8" t="s">
        <v>8653</v>
      </c>
      <c r="I4160" s="10" t="s">
        <v>8652</v>
      </c>
      <c r="J4160" s="11" t="s">
        <v>33</v>
      </c>
      <c r="K4160" s="18">
        <v>39000</v>
      </c>
      <c r="L4160" s="12">
        <f t="shared" si="349"/>
        <v>55800</v>
      </c>
      <c r="M4160" s="8">
        <v>1</v>
      </c>
      <c r="N4160" s="8" t="s">
        <v>27</v>
      </c>
      <c r="O4160" s="13"/>
      <c r="P4160" s="14">
        <v>0</v>
      </c>
      <c r="Q4160" s="15">
        <v>0.3</v>
      </c>
      <c r="R4160" s="16" t="str">
        <f t="shared" si="350"/>
        <v>SYLVANIA</v>
      </c>
      <c r="S4160" s="17"/>
      <c r="T4160" s="10" t="str">
        <f t="shared" ref="T4160:T4194" si="351">G4160</f>
        <v>LED REFLECTOR DE 20 VATIOS</v>
      </c>
    </row>
    <row r="4161" spans="1:20" ht="27" customHeight="1" x14ac:dyDescent="0.25">
      <c r="A4161" s="8" t="s">
        <v>7931</v>
      </c>
      <c r="B4161" s="9"/>
      <c r="C4161" s="9"/>
      <c r="D4161" s="8"/>
      <c r="E4161" s="8"/>
      <c r="F4161" s="8" t="s">
        <v>22</v>
      </c>
      <c r="G4161" s="10" t="s">
        <v>8654</v>
      </c>
      <c r="H4161" s="8" t="s">
        <v>8655</v>
      </c>
      <c r="I4161" s="10" t="s">
        <v>8656</v>
      </c>
      <c r="J4161" s="11" t="s">
        <v>33</v>
      </c>
      <c r="K4161" s="18">
        <v>105000</v>
      </c>
      <c r="L4161" s="12">
        <f t="shared" si="349"/>
        <v>262500</v>
      </c>
      <c r="M4161" s="8">
        <v>1</v>
      </c>
      <c r="N4161" s="8" t="s">
        <v>27</v>
      </c>
      <c r="O4161" s="13"/>
      <c r="P4161" s="14">
        <v>0.2</v>
      </c>
      <c r="Q4161" s="15">
        <v>0.6</v>
      </c>
      <c r="R4161" s="16" t="str">
        <f t="shared" si="350"/>
        <v>SYLVANIA</v>
      </c>
      <c r="S4161" s="17"/>
      <c r="T4161" s="10" t="str">
        <f t="shared" si="351"/>
        <v>LUMINARIA TIPO PANEL LED RECESADA DE 30 VATIOS.</v>
      </c>
    </row>
    <row r="4162" spans="1:20" ht="27" customHeight="1" x14ac:dyDescent="0.25">
      <c r="A4162" s="8" t="s">
        <v>7931</v>
      </c>
      <c r="B4162" s="9"/>
      <c r="C4162" s="9"/>
      <c r="D4162" s="8"/>
      <c r="E4162" s="8"/>
      <c r="F4162" s="8" t="s">
        <v>22</v>
      </c>
      <c r="G4162" s="10" t="s">
        <v>8657</v>
      </c>
      <c r="H4162" s="8" t="s">
        <v>8658</v>
      </c>
      <c r="I4162" s="10" t="s">
        <v>8657</v>
      </c>
      <c r="J4162" s="11" t="s">
        <v>33</v>
      </c>
      <c r="K4162" s="18">
        <v>77000</v>
      </c>
      <c r="L4162" s="12">
        <f t="shared" si="349"/>
        <v>96300</v>
      </c>
      <c r="M4162" s="8">
        <v>1</v>
      </c>
      <c r="N4162" s="8" t="s">
        <v>27</v>
      </c>
      <c r="O4162" s="13"/>
      <c r="P4162" s="14">
        <v>0</v>
      </c>
      <c r="Q4162" s="15">
        <v>0.2</v>
      </c>
      <c r="R4162" s="16" t="str">
        <f t="shared" si="350"/>
        <v>SYLVANIA</v>
      </c>
      <c r="S4162" s="17"/>
      <c r="T4162" s="10" t="str">
        <f t="shared" si="351"/>
        <v>LUMINARIA HERMÉTICA DE 32W, 4000K, 2300 LUMENS.</v>
      </c>
    </row>
    <row r="4163" spans="1:20" ht="27" customHeight="1" x14ac:dyDescent="0.25">
      <c r="A4163" s="8" t="s">
        <v>7931</v>
      </c>
      <c r="B4163" s="9"/>
      <c r="C4163" s="9"/>
      <c r="D4163" s="8"/>
      <c r="E4163" s="8"/>
      <c r="F4163" s="8" t="s">
        <v>22</v>
      </c>
      <c r="G4163" s="10" t="s">
        <v>8659</v>
      </c>
      <c r="H4163" s="8" t="s">
        <v>8660</v>
      </c>
      <c r="I4163" s="10" t="s">
        <v>8659</v>
      </c>
      <c r="J4163" s="11" t="s">
        <v>33</v>
      </c>
      <c r="K4163" s="18">
        <v>83245</v>
      </c>
      <c r="L4163" s="12">
        <f t="shared" si="349"/>
        <v>104100</v>
      </c>
      <c r="M4163" s="8">
        <v>1</v>
      </c>
      <c r="N4163" s="8" t="s">
        <v>27</v>
      </c>
      <c r="O4163" s="13"/>
      <c r="P4163" s="14">
        <v>0</v>
      </c>
      <c r="Q4163" s="15">
        <v>0.2</v>
      </c>
      <c r="R4163" s="16" t="str">
        <f t="shared" si="350"/>
        <v>SYLVANIA</v>
      </c>
      <c r="S4163" s="17"/>
      <c r="T4163" s="10" t="str">
        <f t="shared" si="351"/>
        <v>LUMINARIA LED HERMÉTICA 4000K MULTIVOLTAGE CON REGLETA LED, 3500 Lumens.</v>
      </c>
    </row>
    <row r="4164" spans="1:20" ht="27" customHeight="1" x14ac:dyDescent="0.25">
      <c r="A4164" s="8" t="s">
        <v>7931</v>
      </c>
      <c r="B4164" s="9"/>
      <c r="C4164" s="9"/>
      <c r="D4164" s="8"/>
      <c r="E4164" s="8"/>
      <c r="F4164" s="8" t="s">
        <v>22</v>
      </c>
      <c r="G4164" s="10" t="s">
        <v>8661</v>
      </c>
      <c r="H4164" s="8" t="s">
        <v>8662</v>
      </c>
      <c r="I4164" s="10" t="s">
        <v>8663</v>
      </c>
      <c r="J4164" s="11" t="s">
        <v>33</v>
      </c>
      <c r="K4164" s="18">
        <v>94000</v>
      </c>
      <c r="L4164" s="12">
        <f t="shared" si="349"/>
        <v>156700</v>
      </c>
      <c r="M4164" s="8">
        <v>1</v>
      </c>
      <c r="N4164" s="8" t="s">
        <v>27</v>
      </c>
      <c r="O4164" s="13" t="s">
        <v>588</v>
      </c>
      <c r="P4164" s="14">
        <v>0.2</v>
      </c>
      <c r="Q4164" s="15">
        <v>0.4</v>
      </c>
      <c r="R4164" s="16" t="str">
        <f t="shared" si="350"/>
        <v>SYLVANIA</v>
      </c>
      <c r="S4164" s="17"/>
      <c r="T4164" s="10" t="str">
        <f t="shared" si="351"/>
        <v>LUMINARIA DE EMERGENCIA DE 4.5W, MULTIVOLTAJE, 170 LUMENS.</v>
      </c>
    </row>
    <row r="4165" spans="1:20" ht="27" customHeight="1" x14ac:dyDescent="0.25">
      <c r="A4165" s="8" t="s">
        <v>7931</v>
      </c>
      <c r="B4165" s="9"/>
      <c r="C4165" s="9"/>
      <c r="D4165" s="8"/>
      <c r="E4165" s="8"/>
      <c r="F4165" s="8" t="s">
        <v>22</v>
      </c>
      <c r="G4165" s="10" t="s">
        <v>8664</v>
      </c>
      <c r="H4165" s="8" t="s">
        <v>8665</v>
      </c>
      <c r="I4165" s="10" t="s">
        <v>8666</v>
      </c>
      <c r="J4165" s="11" t="s">
        <v>33</v>
      </c>
      <c r="K4165" s="18">
        <v>55000</v>
      </c>
      <c r="L4165" s="12">
        <f t="shared" si="349"/>
        <v>91700</v>
      </c>
      <c r="M4165" s="8">
        <v>1</v>
      </c>
      <c r="N4165" s="8" t="s">
        <v>27</v>
      </c>
      <c r="O4165" s="13" t="s">
        <v>588</v>
      </c>
      <c r="P4165" s="14">
        <v>0.2</v>
      </c>
      <c r="Q4165" s="15">
        <v>0.4</v>
      </c>
      <c r="R4165" s="16" t="str">
        <f t="shared" si="350"/>
        <v>SYLVANIA</v>
      </c>
      <c r="S4165" s="17"/>
      <c r="T4165" s="10" t="str">
        <f t="shared" si="351"/>
        <v>LUMINARIA DE EMERGENCIA DIRECCIONABLE DE 2.4W, MULTIVOLTAJE.</v>
      </c>
    </row>
    <row r="4166" spans="1:20" ht="27" customHeight="1" x14ac:dyDescent="0.25">
      <c r="A4166" s="8" t="s">
        <v>7931</v>
      </c>
      <c r="B4166" s="9"/>
      <c r="C4166" s="9"/>
      <c r="D4166" s="8"/>
      <c r="E4166" s="8"/>
      <c r="F4166" s="8" t="s">
        <v>22</v>
      </c>
      <c r="G4166" s="10" t="s">
        <v>8667</v>
      </c>
      <c r="H4166" s="8" t="s">
        <v>8567</v>
      </c>
      <c r="I4166" s="10" t="s">
        <v>8667</v>
      </c>
      <c r="J4166" s="11" t="s">
        <v>33</v>
      </c>
      <c r="K4166" s="18">
        <f>98026*0.9</f>
        <v>88223.400000000009</v>
      </c>
      <c r="L4166" s="12">
        <f t="shared" si="349"/>
        <v>126100</v>
      </c>
      <c r="M4166" s="8">
        <v>1</v>
      </c>
      <c r="N4166" s="8" t="s">
        <v>27</v>
      </c>
      <c r="O4166" s="13" t="s">
        <v>588</v>
      </c>
      <c r="P4166" s="14">
        <v>0</v>
      </c>
      <c r="Q4166" s="15">
        <v>0.3</v>
      </c>
      <c r="R4166" s="16" t="str">
        <f t="shared" si="350"/>
        <v>SYLVANIA</v>
      </c>
      <c r="S4166" s="17"/>
      <c r="T4166" s="10" t="str">
        <f t="shared" si="351"/>
        <v>LED BALA 20W NW MV JÚPITER, 4000K 2200 LUMENS.</v>
      </c>
    </row>
    <row r="4167" spans="1:20" ht="27" customHeight="1" x14ac:dyDescent="0.25">
      <c r="A4167" s="8" t="s">
        <v>7931</v>
      </c>
      <c r="B4167" s="9"/>
      <c r="C4167" s="9"/>
      <c r="D4167" s="8"/>
      <c r="E4167" s="8"/>
      <c r="F4167" s="8" t="s">
        <v>22</v>
      </c>
      <c r="G4167" s="10" t="s">
        <v>8668</v>
      </c>
      <c r="H4167" s="8" t="s">
        <v>8669</v>
      </c>
      <c r="I4167" s="10" t="s">
        <v>8668</v>
      </c>
      <c r="J4167" s="11" t="s">
        <v>33</v>
      </c>
      <c r="K4167" s="18">
        <v>42400</v>
      </c>
      <c r="L4167" s="12">
        <f t="shared" si="349"/>
        <v>60600</v>
      </c>
      <c r="M4167" s="8">
        <v>1</v>
      </c>
      <c r="N4167" s="8" t="s">
        <v>27</v>
      </c>
      <c r="O4167" s="13" t="s">
        <v>588</v>
      </c>
      <c r="P4167" s="14">
        <v>0</v>
      </c>
      <c r="Q4167" s="15">
        <v>0.3</v>
      </c>
      <c r="R4167" s="16" t="str">
        <f t="shared" si="350"/>
        <v>SYLVANIA</v>
      </c>
      <c r="S4167" s="17"/>
      <c r="T4167" s="10" t="str">
        <f t="shared" si="351"/>
        <v>LUMINARIA DOWNLIGHT DE 3W, 6000K 120 LM MULTIVOLTAJE.</v>
      </c>
    </row>
    <row r="4168" spans="1:20" ht="27" customHeight="1" x14ac:dyDescent="0.25">
      <c r="A4168" s="8" t="s">
        <v>7931</v>
      </c>
      <c r="B4168" s="9"/>
      <c r="C4168" s="9"/>
      <c r="D4168" s="8"/>
      <c r="E4168" s="8"/>
      <c r="F4168" s="8" t="s">
        <v>22</v>
      </c>
      <c r="G4168" s="10" t="s">
        <v>8670</v>
      </c>
      <c r="H4168" s="8" t="s">
        <v>8671</v>
      </c>
      <c r="I4168" s="10" t="s">
        <v>8670</v>
      </c>
      <c r="J4168" s="11" t="s">
        <v>33</v>
      </c>
      <c r="K4168" s="18">
        <v>13800</v>
      </c>
      <c r="L4168" s="12">
        <f t="shared" si="349"/>
        <v>27600</v>
      </c>
      <c r="M4168" s="8">
        <v>1</v>
      </c>
      <c r="N4168" s="8" t="s">
        <v>27</v>
      </c>
      <c r="O4168" s="13" t="s">
        <v>588</v>
      </c>
      <c r="P4168" s="14">
        <v>0</v>
      </c>
      <c r="Q4168" s="15">
        <v>0.5</v>
      </c>
      <c r="R4168" s="16" t="str">
        <f t="shared" si="350"/>
        <v>SYLVANIA</v>
      </c>
      <c r="S4168" s="17"/>
      <c r="T4168" s="10" t="str">
        <f t="shared" si="351"/>
        <v>LUMINARIA PAR 30, TEMPERATURA 2700K 900 LUMENS 35 GRADOS DE APERTURA.</v>
      </c>
    </row>
    <row r="4169" spans="1:20" ht="27" customHeight="1" x14ac:dyDescent="0.25">
      <c r="A4169" s="8" t="s">
        <v>7931</v>
      </c>
      <c r="B4169" s="9"/>
      <c r="C4169" s="9"/>
      <c r="D4169" s="8"/>
      <c r="E4169" s="8"/>
      <c r="F4169" s="8" t="s">
        <v>22</v>
      </c>
      <c r="G4169" s="10" t="s">
        <v>8672</v>
      </c>
      <c r="H4169" s="8" t="s">
        <v>8673</v>
      </c>
      <c r="I4169" s="10" t="s">
        <v>8672</v>
      </c>
      <c r="J4169" s="11" t="s">
        <v>33</v>
      </c>
      <c r="K4169" s="18">
        <v>14300</v>
      </c>
      <c r="L4169" s="12">
        <f t="shared" si="349"/>
        <v>28600</v>
      </c>
      <c r="M4169" s="8">
        <v>1</v>
      </c>
      <c r="N4169" s="8" t="s">
        <v>27</v>
      </c>
      <c r="O4169" s="13" t="s">
        <v>588</v>
      </c>
      <c r="P4169" s="14">
        <v>0</v>
      </c>
      <c r="Q4169" s="15">
        <v>0.5</v>
      </c>
      <c r="R4169" s="16" t="str">
        <f t="shared" si="350"/>
        <v>SYLVANIA</v>
      </c>
      <c r="S4169" s="17"/>
      <c r="T4169" s="10" t="str">
        <f t="shared" si="351"/>
        <v>LUMINARIA PAR 30, TEMPERATURA 2700K 750 LUMENS 25 GRADOS DE APERTURA.</v>
      </c>
    </row>
    <row r="4170" spans="1:20" ht="27" customHeight="1" x14ac:dyDescent="0.25">
      <c r="A4170" s="8" t="s">
        <v>7931</v>
      </c>
      <c r="B4170" s="9"/>
      <c r="C4170" s="9"/>
      <c r="D4170" s="8"/>
      <c r="E4170" s="8"/>
      <c r="F4170" s="8" t="s">
        <v>22</v>
      </c>
      <c r="G4170" s="10" t="s">
        <v>8674</v>
      </c>
      <c r="H4170" s="8" t="s">
        <v>8675</v>
      </c>
      <c r="I4170" s="10" t="s">
        <v>8674</v>
      </c>
      <c r="J4170" s="11" t="s">
        <v>33</v>
      </c>
      <c r="K4170" s="18">
        <v>4793</v>
      </c>
      <c r="L4170" s="12">
        <f t="shared" si="349"/>
        <v>6400</v>
      </c>
      <c r="M4170" s="8">
        <v>1</v>
      </c>
      <c r="N4170" s="8" t="s">
        <v>27</v>
      </c>
      <c r="O4170" s="13" t="s">
        <v>588</v>
      </c>
      <c r="P4170" s="14">
        <v>0</v>
      </c>
      <c r="Q4170" s="15">
        <v>0.25</v>
      </c>
      <c r="R4170" s="16" t="str">
        <f t="shared" si="350"/>
        <v>SYLVANIA</v>
      </c>
      <c r="S4170" s="17"/>
      <c r="T4170" s="10" t="str">
        <f t="shared" si="351"/>
        <v>BOMBILLA GU10 DE 6W, 6500K MULTIVOLTAJE DE 490 Lm</v>
      </c>
    </row>
    <row r="4171" spans="1:20" ht="27" customHeight="1" x14ac:dyDescent="0.25">
      <c r="A4171" s="8" t="s">
        <v>7931</v>
      </c>
      <c r="B4171" s="9"/>
      <c r="C4171" s="9"/>
      <c r="D4171" s="8"/>
      <c r="E4171" s="8"/>
      <c r="F4171" s="8" t="s">
        <v>22</v>
      </c>
      <c r="G4171" s="10" t="s">
        <v>8676</v>
      </c>
      <c r="H4171" s="8" t="s">
        <v>8677</v>
      </c>
      <c r="I4171" s="10" t="s">
        <v>8676</v>
      </c>
      <c r="J4171" s="11" t="s">
        <v>33</v>
      </c>
      <c r="K4171" s="18">
        <f>122855*0.9</f>
        <v>110569.5</v>
      </c>
      <c r="L4171" s="12">
        <f t="shared" si="349"/>
        <v>147500</v>
      </c>
      <c r="M4171" s="8">
        <v>1</v>
      </c>
      <c r="N4171" s="8" t="s">
        <v>27</v>
      </c>
      <c r="O4171" s="13" t="s">
        <v>588</v>
      </c>
      <c r="P4171" s="14">
        <v>0</v>
      </c>
      <c r="Q4171" s="15">
        <v>0.25</v>
      </c>
      <c r="R4171" s="16" t="str">
        <f t="shared" si="350"/>
        <v>SYLVANIA</v>
      </c>
      <c r="S4171" s="17"/>
      <c r="T4171" s="10" t="str">
        <f t="shared" si="351"/>
        <v xml:space="preserve">LUMINARIA HERMÉTICA DE 50W, 4000K, ATENUABLE 0-10, 5000LM. </v>
      </c>
    </row>
    <row r="4172" spans="1:20" ht="27" customHeight="1" x14ac:dyDescent="0.25">
      <c r="A4172" s="8" t="s">
        <v>7931</v>
      </c>
      <c r="B4172" s="9"/>
      <c r="C4172" s="9"/>
      <c r="D4172" s="8"/>
      <c r="E4172" s="8"/>
      <c r="F4172" s="8" t="s">
        <v>22</v>
      </c>
      <c r="G4172" s="10" t="s">
        <v>8678</v>
      </c>
      <c r="H4172" s="8" t="s">
        <v>8679</v>
      </c>
      <c r="I4172" s="10" t="s">
        <v>8678</v>
      </c>
      <c r="J4172" s="11" t="s">
        <v>33</v>
      </c>
      <c r="K4172" s="18">
        <v>6600</v>
      </c>
      <c r="L4172" s="12">
        <f t="shared" si="349"/>
        <v>8800</v>
      </c>
      <c r="M4172" s="8">
        <v>1</v>
      </c>
      <c r="N4172" s="8" t="s">
        <v>27</v>
      </c>
      <c r="O4172" s="13" t="s">
        <v>588</v>
      </c>
      <c r="P4172" s="14">
        <v>0</v>
      </c>
      <c r="Q4172" s="15">
        <v>0.25</v>
      </c>
      <c r="R4172" s="16" t="str">
        <f t="shared" si="350"/>
        <v>SYLVANIA</v>
      </c>
      <c r="S4172" s="17"/>
      <c r="T4172" s="10" t="str">
        <f t="shared" si="351"/>
        <v>PANEL MULTIVOLTAJE DE 6W, 3000K, 220 Lm.</v>
      </c>
    </row>
    <row r="4173" spans="1:20" ht="27" customHeight="1" x14ac:dyDescent="0.25">
      <c r="A4173" s="8" t="s">
        <v>7931</v>
      </c>
      <c r="B4173" s="9"/>
      <c r="C4173" s="9"/>
      <c r="D4173" s="8"/>
      <c r="E4173" s="8"/>
      <c r="F4173" s="8" t="s">
        <v>22</v>
      </c>
      <c r="G4173" s="10" t="s">
        <v>8680</v>
      </c>
      <c r="H4173" s="8" t="s">
        <v>8681</v>
      </c>
      <c r="I4173" s="10" t="s">
        <v>8680</v>
      </c>
      <c r="J4173" s="11" t="s">
        <v>33</v>
      </c>
      <c r="K4173" s="18">
        <v>76627</v>
      </c>
      <c r="L4173" s="12">
        <f t="shared" si="349"/>
        <v>102200</v>
      </c>
      <c r="M4173" s="8">
        <v>1</v>
      </c>
      <c r="N4173" s="8" t="s">
        <v>27</v>
      </c>
      <c r="O4173" s="13" t="s">
        <v>588</v>
      </c>
      <c r="P4173" s="14">
        <v>0</v>
      </c>
      <c r="Q4173" s="15">
        <v>0.25</v>
      </c>
      <c r="R4173" s="16" t="str">
        <f t="shared" si="350"/>
        <v>SYLVANIA</v>
      </c>
      <c r="S4173" s="17"/>
      <c r="T4173" s="10" t="str">
        <f t="shared" si="351"/>
        <v>LED BALA 15W NW MV JÚPITER, 3000K 1600 LUMENS.</v>
      </c>
    </row>
    <row r="4174" spans="1:20" ht="27" customHeight="1" x14ac:dyDescent="0.25">
      <c r="A4174" s="8" t="s">
        <v>7931</v>
      </c>
      <c r="B4174" s="9"/>
      <c r="C4174" s="9"/>
      <c r="D4174" s="8"/>
      <c r="E4174" s="8"/>
      <c r="F4174" s="8" t="s">
        <v>22</v>
      </c>
      <c r="G4174" s="10" t="s">
        <v>8682</v>
      </c>
      <c r="H4174" s="8" t="s">
        <v>8683</v>
      </c>
      <c r="I4174" s="10" t="s">
        <v>8684</v>
      </c>
      <c r="J4174" s="11" t="s">
        <v>33</v>
      </c>
      <c r="K4174" s="18">
        <f>140727*0.9</f>
        <v>126654.3</v>
      </c>
      <c r="L4174" s="12">
        <f>ROUNDUP(K4174*(1+P4174)/(1-Q4174),0)</f>
        <v>180935</v>
      </c>
      <c r="M4174" s="8">
        <v>1</v>
      </c>
      <c r="N4174" s="8" t="s">
        <v>27</v>
      </c>
      <c r="O4174" s="13"/>
      <c r="P4174" s="14">
        <v>0</v>
      </c>
      <c r="Q4174" s="15">
        <v>0.3</v>
      </c>
      <c r="R4174" s="16" t="str">
        <f t="shared" si="350"/>
        <v>SYLVANIA</v>
      </c>
      <c r="S4174" s="17"/>
      <c r="T4174" s="10" t="str">
        <f t="shared" si="351"/>
        <v>LUMINARIA IP65 CÁLIDA 3000K DE 9W, 630LM, MULTIVOLTAJE, DIÁMETRO DE 6.2CM.</v>
      </c>
    </row>
    <row r="4175" spans="1:20" ht="27" customHeight="1" x14ac:dyDescent="0.25">
      <c r="A4175" s="8" t="s">
        <v>7931</v>
      </c>
      <c r="B4175" s="9"/>
      <c r="C4175" s="9"/>
      <c r="D4175" s="8" t="s">
        <v>45</v>
      </c>
      <c r="E4175" s="8"/>
      <c r="F4175" s="8" t="s">
        <v>22</v>
      </c>
      <c r="G4175" s="10" t="s">
        <v>8685</v>
      </c>
      <c r="H4175" s="8" t="s">
        <v>8686</v>
      </c>
      <c r="I4175" s="10" t="s">
        <v>8687</v>
      </c>
      <c r="J4175" s="11" t="s">
        <v>33</v>
      </c>
      <c r="K4175" s="18">
        <f>5800*0.9</f>
        <v>5220</v>
      </c>
      <c r="L4175" s="12">
        <f>IF(J4175="P",ROUNDUP(K4175/(1-Q4175),-2),K4175*(1+P4175)/(1-Q4175))</f>
        <v>6600</v>
      </c>
      <c r="M4175" s="8">
        <v>1</v>
      </c>
      <c r="N4175" s="8" t="s">
        <v>27</v>
      </c>
      <c r="O4175" s="13"/>
      <c r="P4175" s="14">
        <v>0</v>
      </c>
      <c r="Q4175" s="15">
        <v>0.2</v>
      </c>
      <c r="R4175" s="16" t="str">
        <f t="shared" si="350"/>
        <v>SYLVANIA</v>
      </c>
      <c r="S4175" s="17"/>
      <c r="T4175" s="10" t="str">
        <f t="shared" si="351"/>
        <v>BOMBILLA LED CÁLIDA 3.000K, MULTIVOLTAJE, GU10. 450LM, 6W.</v>
      </c>
    </row>
    <row r="4176" spans="1:20" ht="27" customHeight="1" x14ac:dyDescent="0.25">
      <c r="A4176" s="8" t="s">
        <v>7931</v>
      </c>
      <c r="B4176" s="9"/>
      <c r="C4176" s="9"/>
      <c r="D4176" s="8" t="s">
        <v>45</v>
      </c>
      <c r="E4176" s="8"/>
      <c r="F4176" s="8" t="s">
        <v>22</v>
      </c>
      <c r="G4176" s="10" t="s">
        <v>8688</v>
      </c>
      <c r="H4176" s="8" t="s">
        <v>8689</v>
      </c>
      <c r="I4176" s="10" t="s">
        <v>8688</v>
      </c>
      <c r="J4176" s="11" t="s">
        <v>33</v>
      </c>
      <c r="K4176" s="18">
        <f>324000*0.9</f>
        <v>291600</v>
      </c>
      <c r="L4176" s="12">
        <f>ROUNDUP(K4176*(1+P4176)/(1-Q4176),0)</f>
        <v>416572</v>
      </c>
      <c r="M4176" s="8">
        <v>1</v>
      </c>
      <c r="N4176" s="8" t="s">
        <v>27</v>
      </c>
      <c r="O4176" s="13"/>
      <c r="P4176" s="14">
        <v>0</v>
      </c>
      <c r="Q4176" s="15">
        <v>0.3</v>
      </c>
      <c r="R4176" s="16" t="str">
        <f t="shared" si="350"/>
        <v>SYLVANIA</v>
      </c>
      <c r="S4176" s="17"/>
      <c r="T4176" s="10" t="str">
        <f t="shared" si="351"/>
        <v>LUMINARIA LED HIGHBAY 150W, MULTIVOLTAJE DE 18700 LUMENS. 5700K.</v>
      </c>
    </row>
    <row r="4177" spans="1:20" ht="27" customHeight="1" x14ac:dyDescent="0.25">
      <c r="A4177" s="8" t="s">
        <v>7931</v>
      </c>
      <c r="B4177" s="9"/>
      <c r="C4177" s="9"/>
      <c r="D4177" s="8" t="s">
        <v>45</v>
      </c>
      <c r="E4177" s="8"/>
      <c r="F4177" s="8" t="s">
        <v>22</v>
      </c>
      <c r="G4177" s="10" t="s">
        <v>8690</v>
      </c>
      <c r="H4177" s="8" t="s">
        <v>8691</v>
      </c>
      <c r="I4177" s="10" t="s">
        <v>8690</v>
      </c>
      <c r="J4177" s="11" t="s">
        <v>33</v>
      </c>
      <c r="K4177" s="18">
        <v>61472</v>
      </c>
      <c r="L4177" s="12">
        <f>ROUNDUP(K4177*(1+P4177)/(1-Q4177),0)</f>
        <v>87818</v>
      </c>
      <c r="M4177" s="8">
        <v>1</v>
      </c>
      <c r="N4177" s="8" t="s">
        <v>27</v>
      </c>
      <c r="O4177" s="13"/>
      <c r="P4177" s="14">
        <v>0</v>
      </c>
      <c r="Q4177" s="15">
        <v>0.3</v>
      </c>
      <c r="R4177" s="16" t="str">
        <f t="shared" si="350"/>
        <v>SYLVANIA</v>
      </c>
      <c r="S4177" s="17"/>
      <c r="T4177" s="10" t="str">
        <f t="shared" si="351"/>
        <v>LUMINARIA LED HERMÉTICA MULTIVOLTAJE, 6500K, 3500 LM. IP65. 40W.</v>
      </c>
    </row>
    <row r="4178" spans="1:20" ht="27" customHeight="1" x14ac:dyDescent="0.25">
      <c r="A4178" s="8" t="s">
        <v>7931</v>
      </c>
      <c r="B4178" s="9"/>
      <c r="C4178" s="9"/>
      <c r="D4178" s="8" t="s">
        <v>45</v>
      </c>
      <c r="E4178" s="8"/>
      <c r="F4178" s="8" t="s">
        <v>22</v>
      </c>
      <c r="G4178" s="10" t="s">
        <v>8692</v>
      </c>
      <c r="H4178" s="8" t="s">
        <v>8693</v>
      </c>
      <c r="I4178" s="10" t="s">
        <v>8692</v>
      </c>
      <c r="J4178" s="11" t="s">
        <v>33</v>
      </c>
      <c r="K4178" s="18">
        <f>20111*0.9</f>
        <v>18099.900000000001</v>
      </c>
      <c r="L4178" s="12">
        <f>ROUNDUP(K4178*(1+P4178)/(1-Q4178),0)</f>
        <v>25857</v>
      </c>
      <c r="M4178" s="8">
        <v>1</v>
      </c>
      <c r="N4178" s="8" t="s">
        <v>27</v>
      </c>
      <c r="O4178" s="13"/>
      <c r="P4178" s="14">
        <v>0</v>
      </c>
      <c r="Q4178" s="15">
        <v>0.3</v>
      </c>
      <c r="R4178" s="16" t="str">
        <f t="shared" si="350"/>
        <v>SYLVANIA</v>
      </c>
      <c r="S4178" s="17"/>
      <c r="T4178" s="10" t="str">
        <f t="shared" si="351"/>
        <v>LED TIPO APLIQUE DE 18 VATIOS, MULTIVOLTAJE, 1260LM.</v>
      </c>
    </row>
    <row r="4179" spans="1:20" ht="27" customHeight="1" x14ac:dyDescent="0.25">
      <c r="A4179" s="8" t="s">
        <v>7931</v>
      </c>
      <c r="B4179" s="9"/>
      <c r="C4179" s="9"/>
      <c r="D4179" s="8" t="s">
        <v>45</v>
      </c>
      <c r="E4179" s="8"/>
      <c r="F4179" s="8" t="s">
        <v>22</v>
      </c>
      <c r="G4179" s="10" t="s">
        <v>8694</v>
      </c>
      <c r="H4179" s="8" t="s">
        <v>8695</v>
      </c>
      <c r="I4179" s="10" t="s">
        <v>8694</v>
      </c>
      <c r="J4179" s="11" t="s">
        <v>33</v>
      </c>
      <c r="K4179" s="18">
        <v>15000</v>
      </c>
      <c r="L4179" s="12">
        <f t="shared" ref="L4179:L4186" si="352">IF(J4179="P",ROUNDUP(K4179/(1-Q4179),-2),K4179*(1+P4179)/(1-Q4179))</f>
        <v>21500</v>
      </c>
      <c r="M4179" s="8">
        <v>1</v>
      </c>
      <c r="N4179" s="8" t="s">
        <v>27</v>
      </c>
      <c r="O4179" s="13"/>
      <c r="P4179" s="14">
        <v>0</v>
      </c>
      <c r="Q4179" s="15">
        <v>0.3</v>
      </c>
      <c r="R4179" s="16" t="str">
        <f t="shared" si="350"/>
        <v>SYLVANIA</v>
      </c>
      <c r="S4179" s="17"/>
      <c r="T4179" s="10" t="str">
        <f t="shared" si="351"/>
        <v>DRIVER MULTIVOLTAJE DE 700mA, CON SALIDA EN VOLTAJE DE 3-17VDC.</v>
      </c>
    </row>
    <row r="4180" spans="1:20" ht="27" customHeight="1" x14ac:dyDescent="0.25">
      <c r="A4180" s="8" t="s">
        <v>7931</v>
      </c>
      <c r="B4180" s="9"/>
      <c r="C4180" s="9"/>
      <c r="D4180" s="8" t="s">
        <v>45</v>
      </c>
      <c r="E4180" s="8"/>
      <c r="F4180" s="8" t="s">
        <v>22</v>
      </c>
      <c r="G4180" s="10" t="s">
        <v>8696</v>
      </c>
      <c r="H4180" s="8" t="s">
        <v>8697</v>
      </c>
      <c r="I4180" s="10" t="s">
        <v>8696</v>
      </c>
      <c r="J4180" s="11" t="s">
        <v>33</v>
      </c>
      <c r="K4180" s="18">
        <f>101303*0.9</f>
        <v>91172.7</v>
      </c>
      <c r="L4180" s="12">
        <f t="shared" si="352"/>
        <v>152000</v>
      </c>
      <c r="M4180" s="8">
        <v>1</v>
      </c>
      <c r="N4180" s="8" t="s">
        <v>27</v>
      </c>
      <c r="O4180" s="13"/>
      <c r="P4180" s="14">
        <v>0</v>
      </c>
      <c r="Q4180" s="15">
        <v>0.4</v>
      </c>
      <c r="R4180" s="16" t="str">
        <f t="shared" si="350"/>
        <v>SYLVANIA</v>
      </c>
      <c r="S4180" s="17"/>
      <c r="T4180" s="10" t="str">
        <f t="shared" si="351"/>
        <v>PANEL LED DE 60X60, LUZ NEUTRA, FLUJO LUMÍNICO DE 4000Lm</v>
      </c>
    </row>
    <row r="4181" spans="1:20" ht="27" customHeight="1" x14ac:dyDescent="0.25">
      <c r="A4181" s="8" t="s">
        <v>7931</v>
      </c>
      <c r="B4181" s="9"/>
      <c r="C4181" s="9"/>
      <c r="D4181" s="8" t="s">
        <v>45</v>
      </c>
      <c r="E4181" s="8"/>
      <c r="F4181" s="8" t="s">
        <v>22</v>
      </c>
      <c r="G4181" s="10" t="s">
        <v>8698</v>
      </c>
      <c r="H4181" s="8" t="s">
        <v>8699</v>
      </c>
      <c r="I4181" s="10" t="s">
        <v>8698</v>
      </c>
      <c r="J4181" s="11" t="s">
        <v>33</v>
      </c>
      <c r="K4181" s="18">
        <f>69000*0.9</f>
        <v>62100</v>
      </c>
      <c r="L4181" s="12">
        <f t="shared" si="352"/>
        <v>103500</v>
      </c>
      <c r="M4181" s="8">
        <v>1</v>
      </c>
      <c r="N4181" s="8" t="s">
        <v>27</v>
      </c>
      <c r="O4181" s="13"/>
      <c r="P4181" s="14">
        <v>0</v>
      </c>
      <c r="Q4181" s="15">
        <v>0.4</v>
      </c>
      <c r="R4181" s="16" t="str">
        <f t="shared" si="350"/>
        <v>SYLVANIA</v>
      </c>
      <c r="S4181" s="17"/>
      <c r="T4181" s="10" t="str">
        <f t="shared" si="351"/>
        <v>PANEL LED DE 60X60, LUZ NEUTRA, FLUJO LUMÍNICO DE 3200Lm</v>
      </c>
    </row>
    <row r="4182" spans="1:20" ht="27" customHeight="1" x14ac:dyDescent="0.25">
      <c r="A4182" s="8" t="s">
        <v>7931</v>
      </c>
      <c r="B4182" s="9"/>
      <c r="C4182" s="9"/>
      <c r="D4182" s="8" t="s">
        <v>45</v>
      </c>
      <c r="E4182" s="8"/>
      <c r="F4182" s="8" t="s">
        <v>22</v>
      </c>
      <c r="G4182" s="10" t="s">
        <v>8700</v>
      </c>
      <c r="H4182" s="8" t="s">
        <v>8701</v>
      </c>
      <c r="I4182" s="10" t="s">
        <v>8700</v>
      </c>
      <c r="J4182" s="11" t="s">
        <v>33</v>
      </c>
      <c r="K4182" s="18">
        <v>118000</v>
      </c>
      <c r="L4182" s="12">
        <f t="shared" si="352"/>
        <v>196700</v>
      </c>
      <c r="M4182" s="8">
        <v>1</v>
      </c>
      <c r="N4182" s="8" t="s">
        <v>27</v>
      </c>
      <c r="O4182" s="13" t="s">
        <v>588</v>
      </c>
      <c r="P4182" s="14">
        <v>0</v>
      </c>
      <c r="Q4182" s="15">
        <v>0.4</v>
      </c>
      <c r="R4182" s="16" t="str">
        <f t="shared" si="350"/>
        <v>SYLVANIA</v>
      </c>
      <c r="S4182" s="17"/>
      <c r="T4182" s="10" t="str">
        <f t="shared" si="351"/>
        <v>PANEL DE 30X120 DIMERIZABLE 40W, 3200LM 4000K</v>
      </c>
    </row>
    <row r="4183" spans="1:20" ht="27" customHeight="1" x14ac:dyDescent="0.25">
      <c r="A4183" s="8" t="s">
        <v>7931</v>
      </c>
      <c r="B4183" s="9"/>
      <c r="C4183" s="9"/>
      <c r="D4183" s="8" t="s">
        <v>45</v>
      </c>
      <c r="E4183" s="8"/>
      <c r="F4183" s="8" t="s">
        <v>22</v>
      </c>
      <c r="G4183" s="10" t="s">
        <v>8702</v>
      </c>
      <c r="H4183" s="8" t="s">
        <v>8703</v>
      </c>
      <c r="I4183" s="10" t="s">
        <v>8702</v>
      </c>
      <c r="J4183" s="11" t="s">
        <v>33</v>
      </c>
      <c r="K4183" s="18">
        <v>41593</v>
      </c>
      <c r="L4183" s="12">
        <f t="shared" si="352"/>
        <v>52000</v>
      </c>
      <c r="M4183" s="8">
        <v>1</v>
      </c>
      <c r="N4183" s="8" t="s">
        <v>27</v>
      </c>
      <c r="O4183" s="13"/>
      <c r="P4183" s="14">
        <v>0</v>
      </c>
      <c r="Q4183" s="15">
        <v>0.2</v>
      </c>
      <c r="R4183" s="16" t="str">
        <f t="shared" si="350"/>
        <v>SYLVANIA</v>
      </c>
      <c r="S4183" s="17"/>
      <c r="T4183" s="10" t="str">
        <f t="shared" si="351"/>
        <v>LED DE EMERGENCIA DE SEÑALIZACIÓN AVISO DE SALIDA</v>
      </c>
    </row>
    <row r="4184" spans="1:20" ht="27" customHeight="1" x14ac:dyDescent="0.25">
      <c r="A4184" s="8" t="s">
        <v>7931</v>
      </c>
      <c r="B4184" s="9"/>
      <c r="C4184" s="9"/>
      <c r="D4184" s="8" t="s">
        <v>45</v>
      </c>
      <c r="E4184" s="8"/>
      <c r="F4184" s="8" t="s">
        <v>22</v>
      </c>
      <c r="G4184" s="10" t="s">
        <v>8704</v>
      </c>
      <c r="H4184" s="8" t="s">
        <v>8705</v>
      </c>
      <c r="I4184" s="10" t="s">
        <v>8704</v>
      </c>
      <c r="J4184" s="11" t="s">
        <v>33</v>
      </c>
      <c r="K4184" s="18">
        <v>49622</v>
      </c>
      <c r="L4184" s="12">
        <f t="shared" si="352"/>
        <v>62100</v>
      </c>
      <c r="M4184" s="8">
        <v>1</v>
      </c>
      <c r="N4184" s="8" t="s">
        <v>27</v>
      </c>
      <c r="O4184" s="13"/>
      <c r="P4184" s="14">
        <v>0</v>
      </c>
      <c r="Q4184" s="15">
        <v>0.2</v>
      </c>
      <c r="R4184" s="16" t="str">
        <f t="shared" si="350"/>
        <v>SYLVANIA</v>
      </c>
      <c r="S4184" s="17"/>
      <c r="T4184" s="10" t="str">
        <f t="shared" si="351"/>
        <v>LED DE EMERGENCIA R1 2X1.6W, AUTONOMÍA DE 90 MINUTOS.</v>
      </c>
    </row>
    <row r="4185" spans="1:20" ht="27" customHeight="1" x14ac:dyDescent="0.25">
      <c r="A4185" s="8" t="s">
        <v>7931</v>
      </c>
      <c r="B4185" s="9"/>
      <c r="C4185" s="9"/>
      <c r="D4185" s="8" t="s">
        <v>45</v>
      </c>
      <c r="E4185" s="8"/>
      <c r="F4185" s="8" t="s">
        <v>22</v>
      </c>
      <c r="G4185" s="10" t="s">
        <v>8704</v>
      </c>
      <c r="H4185" s="8" t="s">
        <v>8706</v>
      </c>
      <c r="I4185" s="10" t="s">
        <v>8704</v>
      </c>
      <c r="J4185" s="11" t="s">
        <v>33</v>
      </c>
      <c r="K4185" s="18">
        <v>49622</v>
      </c>
      <c r="L4185" s="12">
        <f t="shared" si="352"/>
        <v>62100</v>
      </c>
      <c r="M4185" s="8">
        <v>1</v>
      </c>
      <c r="N4185" s="8" t="s">
        <v>27</v>
      </c>
      <c r="O4185" s="13"/>
      <c r="P4185" s="14">
        <v>0</v>
      </c>
      <c r="Q4185" s="15">
        <v>0.2</v>
      </c>
      <c r="R4185" s="16" t="str">
        <f t="shared" si="350"/>
        <v>SYLVANIA</v>
      </c>
      <c r="S4185" s="17"/>
      <c r="T4185" s="10" t="str">
        <f t="shared" si="351"/>
        <v>LED DE EMERGENCIA R1 2X1.6W, AUTONOMÍA DE 90 MINUTOS.</v>
      </c>
    </row>
    <row r="4186" spans="1:20" ht="27" customHeight="1" x14ac:dyDescent="0.25">
      <c r="A4186" s="8" t="s">
        <v>7931</v>
      </c>
      <c r="B4186" s="9"/>
      <c r="C4186" s="9"/>
      <c r="D4186" s="8" t="s">
        <v>45</v>
      </c>
      <c r="E4186" s="8"/>
      <c r="F4186" s="8" t="s">
        <v>22</v>
      </c>
      <c r="G4186" s="10" t="s">
        <v>3627</v>
      </c>
      <c r="H4186" s="8" t="s">
        <v>8707</v>
      </c>
      <c r="I4186" s="10" t="s">
        <v>3627</v>
      </c>
      <c r="J4186" s="11" t="s">
        <v>33</v>
      </c>
      <c r="K4186" s="18">
        <v>10690</v>
      </c>
      <c r="L4186" s="12">
        <f t="shared" si="352"/>
        <v>13400</v>
      </c>
      <c r="M4186" s="8">
        <v>1</v>
      </c>
      <c r="N4186" s="8" t="s">
        <v>27</v>
      </c>
      <c r="O4186" s="13"/>
      <c r="P4186" s="14">
        <v>0</v>
      </c>
      <c r="Q4186" s="15">
        <v>0.2</v>
      </c>
      <c r="R4186" s="16" t="str">
        <f t="shared" si="350"/>
        <v>SYLVANIA</v>
      </c>
      <c r="S4186" s="17"/>
      <c r="T4186" s="10" t="str">
        <f t="shared" si="351"/>
        <v>PANEL LED DE SOBREPONER 12W, 4000K.</v>
      </c>
    </row>
    <row r="4187" spans="1:20" ht="27" customHeight="1" x14ac:dyDescent="0.25">
      <c r="A4187" s="8" t="s">
        <v>7931</v>
      </c>
      <c r="B4187" s="9"/>
      <c r="C4187" s="9"/>
      <c r="D4187" s="8" t="s">
        <v>45</v>
      </c>
      <c r="E4187" s="8"/>
      <c r="F4187" s="8" t="s">
        <v>22</v>
      </c>
      <c r="G4187" s="10" t="s">
        <v>8708</v>
      </c>
      <c r="H4187" s="8" t="s">
        <v>8709</v>
      </c>
      <c r="I4187" s="10" t="s">
        <v>8708</v>
      </c>
      <c r="J4187" s="11" t="s">
        <v>33</v>
      </c>
      <c r="K4187" s="18">
        <v>96794</v>
      </c>
      <c r="L4187" s="12">
        <f>ROUNDUP(K4187*(1+P4187)/(1-Q4187),0)</f>
        <v>129059</v>
      </c>
      <c r="M4187" s="8">
        <v>1</v>
      </c>
      <c r="N4187" s="8" t="s">
        <v>27</v>
      </c>
      <c r="O4187" s="13"/>
      <c r="P4187" s="14">
        <v>0</v>
      </c>
      <c r="Q4187" s="15">
        <v>0.25</v>
      </c>
      <c r="R4187" s="16" t="str">
        <f t="shared" si="350"/>
        <v>SYLVANIA</v>
      </c>
      <c r="S4187" s="17"/>
      <c r="T4187" s="10" t="str">
        <f t="shared" si="351"/>
        <v>LED DE INCRUSTAR EN PISO MULTIVOLTAGE DE 9W, IP65, 800 LUMENS</v>
      </c>
    </row>
    <row r="4188" spans="1:20" ht="27" customHeight="1" x14ac:dyDescent="0.25">
      <c r="A4188" s="8" t="s">
        <v>7931</v>
      </c>
      <c r="B4188" s="9"/>
      <c r="C4188" s="9"/>
      <c r="D4188" s="8" t="s">
        <v>45</v>
      </c>
      <c r="E4188" s="8"/>
      <c r="F4188" s="8" t="s">
        <v>22</v>
      </c>
      <c r="G4188" s="10" t="s">
        <v>8710</v>
      </c>
      <c r="H4188" s="8" t="s">
        <v>8711</v>
      </c>
      <c r="I4188" s="10" t="s">
        <v>8710</v>
      </c>
      <c r="J4188" s="11" t="s">
        <v>33</v>
      </c>
      <c r="K4188" s="18">
        <v>207429</v>
      </c>
      <c r="L4188" s="12">
        <f>ROUNDUP(K4188*(1+P4188)/(1-Q4188),0)</f>
        <v>259287</v>
      </c>
      <c r="M4188" s="8">
        <v>1</v>
      </c>
      <c r="N4188" s="8" t="s">
        <v>27</v>
      </c>
      <c r="O4188" s="13"/>
      <c r="P4188" s="14">
        <v>0</v>
      </c>
      <c r="Q4188" s="15">
        <v>0.2</v>
      </c>
      <c r="R4188" s="16" t="str">
        <f t="shared" si="350"/>
        <v>SYLVANIA</v>
      </c>
      <c r="S4188" s="17"/>
      <c r="T4188" s="10" t="str">
        <f t="shared" si="351"/>
        <v>LED DE INCRUSTAR EN PISO MULTIVOLTAGE DE 20W, IP65, 1400 LUMENS</v>
      </c>
    </row>
    <row r="4189" spans="1:20" ht="27" customHeight="1" x14ac:dyDescent="0.25">
      <c r="A4189" s="8" t="s">
        <v>7931</v>
      </c>
      <c r="B4189" s="9"/>
      <c r="C4189" s="9"/>
      <c r="D4189" s="8" t="s">
        <v>45</v>
      </c>
      <c r="E4189" s="8"/>
      <c r="F4189" s="8" t="s">
        <v>22</v>
      </c>
      <c r="G4189" s="10" t="s">
        <v>8712</v>
      </c>
      <c r="H4189" s="8" t="s">
        <v>8713</v>
      </c>
      <c r="I4189" s="10" t="s">
        <v>8712</v>
      </c>
      <c r="J4189" s="11" t="s">
        <v>33</v>
      </c>
      <c r="K4189" s="18">
        <v>13000</v>
      </c>
      <c r="L4189" s="12">
        <f>ROUNDUP(K4189*(1+P4189)/(1-Q4189),0)</f>
        <v>18572</v>
      </c>
      <c r="M4189" s="8">
        <v>1</v>
      </c>
      <c r="N4189" s="8" t="s">
        <v>27</v>
      </c>
      <c r="O4189" s="13"/>
      <c r="P4189" s="14">
        <v>0</v>
      </c>
      <c r="Q4189" s="15">
        <v>0.3</v>
      </c>
      <c r="R4189" s="16" t="str">
        <f t="shared" si="350"/>
        <v>SYLVANIA</v>
      </c>
      <c r="S4189" s="17"/>
      <c r="T4189" s="10" t="str">
        <f t="shared" si="351"/>
        <v>PANEL LED DE INCRUSTAR 9W, 4000K. 490Lm.</v>
      </c>
    </row>
    <row r="4190" spans="1:20" ht="27" customHeight="1" x14ac:dyDescent="0.25">
      <c r="A4190" s="8" t="s">
        <v>7931</v>
      </c>
      <c r="B4190" s="9"/>
      <c r="C4190" s="9"/>
      <c r="D4190" s="8" t="s">
        <v>45</v>
      </c>
      <c r="E4190" s="8"/>
      <c r="F4190" s="8" t="s">
        <v>22</v>
      </c>
      <c r="G4190" s="10" t="str">
        <f>B4190&amp;"-"&amp;D4190&amp;"-"&amp;E4190&amp;F4190</f>
        <v>-PROG_-BLANCO</v>
      </c>
      <c r="H4190" s="8" t="s">
        <v>8714</v>
      </c>
      <c r="I4190" s="10" t="s">
        <v>8715</v>
      </c>
      <c r="J4190" s="11" t="s">
        <v>33</v>
      </c>
      <c r="K4190" s="18">
        <v>221800</v>
      </c>
      <c r="L4190" s="12">
        <f>K4190*(1+P4190)/(1-Q4190)</f>
        <v>277250</v>
      </c>
      <c r="M4190" s="8">
        <v>1</v>
      </c>
      <c r="N4190" s="8" t="s">
        <v>27</v>
      </c>
      <c r="O4190" s="13"/>
      <c r="P4190" s="14">
        <v>0</v>
      </c>
      <c r="Q4190" s="15">
        <v>0.2</v>
      </c>
      <c r="R4190" s="16" t="str">
        <f t="shared" si="350"/>
        <v>SYLVANIA</v>
      </c>
      <c r="S4190" s="17"/>
      <c r="T4190" s="10" t="str">
        <f t="shared" si="351"/>
        <v>-PROG_-BLANCO</v>
      </c>
    </row>
    <row r="4191" spans="1:20" ht="27" customHeight="1" x14ac:dyDescent="0.25">
      <c r="A4191" s="8" t="s">
        <v>7931</v>
      </c>
      <c r="B4191" s="9"/>
      <c r="C4191" s="9"/>
      <c r="D4191" s="8" t="s">
        <v>45</v>
      </c>
      <c r="E4191" s="8"/>
      <c r="F4191" s="8" t="s">
        <v>22</v>
      </c>
      <c r="G4191" s="10" t="str">
        <f>B4191&amp;"-"&amp;D4191&amp;"-"&amp;E4191&amp;F4191</f>
        <v>-PROG_-BLANCO</v>
      </c>
      <c r="H4191" s="8" t="s">
        <v>8716</v>
      </c>
      <c r="I4191" s="10" t="s">
        <v>8717</v>
      </c>
      <c r="J4191" s="11" t="s">
        <v>33</v>
      </c>
      <c r="K4191" s="18">
        <v>329600</v>
      </c>
      <c r="L4191" s="12">
        <f>K4191*(1+P4191)/(1-Q4191)</f>
        <v>412000</v>
      </c>
      <c r="M4191" s="8">
        <v>1</v>
      </c>
      <c r="N4191" s="8" t="s">
        <v>27</v>
      </c>
      <c r="O4191" s="13"/>
      <c r="P4191" s="14">
        <v>0</v>
      </c>
      <c r="Q4191" s="15">
        <v>0.2</v>
      </c>
      <c r="R4191" s="16" t="str">
        <f t="shared" si="350"/>
        <v>SYLVANIA</v>
      </c>
      <c r="S4191" s="17"/>
      <c r="T4191" s="10" t="str">
        <f t="shared" si="351"/>
        <v>-PROG_-BLANCO</v>
      </c>
    </row>
    <row r="4192" spans="1:20" ht="27" customHeight="1" x14ac:dyDescent="0.25">
      <c r="A4192" s="8" t="s">
        <v>7931</v>
      </c>
      <c r="B4192" s="9"/>
      <c r="C4192" s="9"/>
      <c r="D4192" s="8" t="s">
        <v>45</v>
      </c>
      <c r="E4192" s="8"/>
      <c r="F4192" s="8" t="s">
        <v>22</v>
      </c>
      <c r="G4192" s="10" t="str">
        <f>B4192&amp;"-"&amp;D4192&amp;"-"&amp;E4192&amp;F4192</f>
        <v>-PROG_-BLANCO</v>
      </c>
      <c r="H4192" s="8" t="s">
        <v>8718</v>
      </c>
      <c r="I4192" s="10" t="s">
        <v>8719</v>
      </c>
      <c r="J4192" s="11" t="s">
        <v>33</v>
      </c>
      <c r="K4192" s="18">
        <v>1160000</v>
      </c>
      <c r="L4192" s="12">
        <f>K4192*(1+P4192)/(1-Q4192)</f>
        <v>1450000</v>
      </c>
      <c r="M4192" s="8">
        <v>1</v>
      </c>
      <c r="N4192" s="8" t="s">
        <v>27</v>
      </c>
      <c r="O4192" s="13"/>
      <c r="P4192" s="14">
        <v>0</v>
      </c>
      <c r="Q4192" s="15">
        <v>0.2</v>
      </c>
      <c r="R4192" s="16" t="str">
        <f t="shared" si="350"/>
        <v>SYLVANIA</v>
      </c>
      <c r="S4192" s="17"/>
      <c r="T4192" s="10" t="str">
        <f t="shared" si="351"/>
        <v>-PROG_-BLANCO</v>
      </c>
    </row>
    <row r="4193" spans="1:20" ht="27" customHeight="1" x14ac:dyDescent="0.25">
      <c r="A4193" s="8" t="s">
        <v>7931</v>
      </c>
      <c r="B4193" s="9"/>
      <c r="C4193" s="9"/>
      <c r="D4193" s="8"/>
      <c r="E4193" s="8"/>
      <c r="F4193" s="8"/>
      <c r="G4193" s="10"/>
      <c r="H4193" s="8" t="s">
        <v>8720</v>
      </c>
      <c r="I4193" s="10" t="s">
        <v>8721</v>
      </c>
      <c r="J4193" s="11" t="s">
        <v>33</v>
      </c>
      <c r="K4193" s="18">
        <v>14056</v>
      </c>
      <c r="L4193" s="12">
        <f t="shared" ref="L4193:L4204" si="353">IF(J4193="P",ROUNDUP(K4193/(1-Q4193),-2),K4193*(1+P4193)/(1-Q4193))</f>
        <v>23500</v>
      </c>
      <c r="M4193" s="8">
        <v>1</v>
      </c>
      <c r="N4193" s="8" t="s">
        <v>27</v>
      </c>
      <c r="O4193" s="13"/>
      <c r="P4193" s="14">
        <v>0</v>
      </c>
      <c r="Q4193" s="15">
        <v>0.4</v>
      </c>
      <c r="R4193" s="16" t="str">
        <f t="shared" si="350"/>
        <v>SYLVANIA</v>
      </c>
      <c r="S4193" s="17"/>
      <c r="T4193" s="10">
        <f t="shared" si="351"/>
        <v>0</v>
      </c>
    </row>
    <row r="4194" spans="1:20" ht="27" customHeight="1" x14ac:dyDescent="0.25">
      <c r="A4194" s="8" t="s">
        <v>7931</v>
      </c>
      <c r="B4194" s="9"/>
      <c r="C4194" s="9"/>
      <c r="D4194" s="8"/>
      <c r="E4194" s="8"/>
      <c r="F4194" s="8"/>
      <c r="G4194" s="10"/>
      <c r="H4194" s="8" t="s">
        <v>8722</v>
      </c>
      <c r="I4194" s="10" t="s">
        <v>8723</v>
      </c>
      <c r="J4194" s="11" t="s">
        <v>33</v>
      </c>
      <c r="K4194" s="18">
        <v>14056</v>
      </c>
      <c r="L4194" s="12">
        <f t="shared" si="353"/>
        <v>23500</v>
      </c>
      <c r="M4194" s="8">
        <v>1</v>
      </c>
      <c r="N4194" s="8" t="s">
        <v>27</v>
      </c>
      <c r="O4194" s="13"/>
      <c r="P4194" s="14">
        <v>0</v>
      </c>
      <c r="Q4194" s="15">
        <v>0.4</v>
      </c>
      <c r="R4194" s="16" t="str">
        <f t="shared" si="350"/>
        <v>SYLVANIA</v>
      </c>
      <c r="S4194" s="17"/>
      <c r="T4194" s="10">
        <f t="shared" si="351"/>
        <v>0</v>
      </c>
    </row>
    <row r="4195" spans="1:20" ht="27" customHeight="1" x14ac:dyDescent="0.25">
      <c r="A4195" s="8" t="s">
        <v>7931</v>
      </c>
      <c r="B4195" s="9"/>
      <c r="C4195" s="9"/>
      <c r="D4195" s="8"/>
      <c r="E4195" s="8"/>
      <c r="F4195" s="8"/>
      <c r="G4195" s="10"/>
      <c r="H4195" s="8" t="s">
        <v>8724</v>
      </c>
      <c r="I4195" s="10" t="s">
        <v>8725</v>
      </c>
      <c r="J4195" s="11" t="s">
        <v>33</v>
      </c>
      <c r="K4195" s="18">
        <v>18999</v>
      </c>
      <c r="L4195" s="12">
        <f t="shared" si="353"/>
        <v>27200</v>
      </c>
      <c r="M4195" s="8">
        <v>1</v>
      </c>
      <c r="N4195" s="8" t="s">
        <v>27</v>
      </c>
      <c r="O4195" s="13"/>
      <c r="P4195" s="14">
        <v>0</v>
      </c>
      <c r="Q4195" s="15">
        <v>0.3</v>
      </c>
      <c r="R4195" s="16" t="str">
        <f t="shared" si="350"/>
        <v>SYLVANIA</v>
      </c>
      <c r="S4195" s="17"/>
      <c r="T4195" s="10"/>
    </row>
    <row r="4196" spans="1:20" ht="27" customHeight="1" x14ac:dyDescent="0.25">
      <c r="A4196" s="8" t="s">
        <v>7931</v>
      </c>
      <c r="B4196" s="9"/>
      <c r="C4196" s="9"/>
      <c r="D4196" s="8"/>
      <c r="E4196" s="8"/>
      <c r="F4196" s="8"/>
      <c r="G4196" s="10"/>
      <c r="H4196" s="8" t="s">
        <v>8726</v>
      </c>
      <c r="I4196" s="10" t="s">
        <v>8727</v>
      </c>
      <c r="J4196" s="11" t="s">
        <v>33</v>
      </c>
      <c r="K4196" s="18">
        <v>4234</v>
      </c>
      <c r="L4196" s="12">
        <f t="shared" si="353"/>
        <v>6100</v>
      </c>
      <c r="M4196" s="8">
        <v>1</v>
      </c>
      <c r="N4196" s="8" t="s">
        <v>27</v>
      </c>
      <c r="O4196" s="13"/>
      <c r="P4196" s="14">
        <v>0</v>
      </c>
      <c r="Q4196" s="15">
        <v>0.3</v>
      </c>
      <c r="R4196" s="16" t="str">
        <f t="shared" si="350"/>
        <v>SYLVANIA</v>
      </c>
      <c r="S4196" s="17"/>
      <c r="T4196" s="10"/>
    </row>
    <row r="4197" spans="1:20" ht="27" customHeight="1" x14ac:dyDescent="0.25">
      <c r="A4197" s="8" t="s">
        <v>7931</v>
      </c>
      <c r="B4197" s="9"/>
      <c r="C4197" s="9"/>
      <c r="D4197" s="8"/>
      <c r="E4197" s="8"/>
      <c r="F4197" s="8"/>
      <c r="G4197" s="10"/>
      <c r="H4197" s="8" t="s">
        <v>8728</v>
      </c>
      <c r="I4197" s="10" t="s">
        <v>8729</v>
      </c>
      <c r="J4197" s="11" t="s">
        <v>33</v>
      </c>
      <c r="K4197" s="18">
        <v>45235</v>
      </c>
      <c r="L4197" s="12">
        <f t="shared" si="353"/>
        <v>64700</v>
      </c>
      <c r="M4197" s="8">
        <v>1</v>
      </c>
      <c r="N4197" s="8" t="s">
        <v>27</v>
      </c>
      <c r="O4197" s="13"/>
      <c r="P4197" s="14">
        <v>0</v>
      </c>
      <c r="Q4197" s="15">
        <v>0.3</v>
      </c>
      <c r="R4197" s="16" t="str">
        <f t="shared" si="350"/>
        <v>SYLVANIA</v>
      </c>
      <c r="S4197" s="17"/>
      <c r="T4197" s="10"/>
    </row>
    <row r="4198" spans="1:20" ht="27" customHeight="1" x14ac:dyDescent="0.25">
      <c r="A4198" s="8" t="s">
        <v>7931</v>
      </c>
      <c r="B4198" s="9"/>
      <c r="C4198" s="9"/>
      <c r="D4198" s="8"/>
      <c r="E4198" s="8"/>
      <c r="F4198" s="8"/>
      <c r="G4198" s="10"/>
      <c r="H4198" s="8" t="s">
        <v>8730</v>
      </c>
      <c r="I4198" s="10" t="s">
        <v>8731</v>
      </c>
      <c r="J4198" s="11" t="s">
        <v>33</v>
      </c>
      <c r="K4198" s="18">
        <v>83245</v>
      </c>
      <c r="L4198" s="12">
        <f t="shared" si="353"/>
        <v>119000</v>
      </c>
      <c r="M4198" s="8">
        <v>1</v>
      </c>
      <c r="N4198" s="8" t="s">
        <v>27</v>
      </c>
      <c r="O4198" s="13"/>
      <c r="P4198" s="14">
        <v>0</v>
      </c>
      <c r="Q4198" s="15">
        <v>0.3</v>
      </c>
      <c r="R4198" s="16" t="str">
        <f t="shared" si="350"/>
        <v>SYLVANIA</v>
      </c>
      <c r="S4198" s="17"/>
      <c r="T4198" s="10"/>
    </row>
    <row r="4199" spans="1:20" ht="27" customHeight="1" x14ac:dyDescent="0.25">
      <c r="A4199" s="8" t="s">
        <v>7931</v>
      </c>
      <c r="B4199" s="9"/>
      <c r="C4199" s="9"/>
      <c r="D4199" s="8"/>
      <c r="E4199" s="8"/>
      <c r="F4199" s="8"/>
      <c r="G4199" s="10"/>
      <c r="H4199" s="8" t="s">
        <v>8732</v>
      </c>
      <c r="I4199" s="10" t="s">
        <v>8733</v>
      </c>
      <c r="J4199" s="11" t="s">
        <v>33</v>
      </c>
      <c r="K4199" s="18">
        <v>13900</v>
      </c>
      <c r="L4199" s="12">
        <f t="shared" si="353"/>
        <v>19900</v>
      </c>
      <c r="M4199" s="8">
        <v>1</v>
      </c>
      <c r="N4199" s="8" t="s">
        <v>27</v>
      </c>
      <c r="O4199" s="13"/>
      <c r="P4199" s="14">
        <v>0</v>
      </c>
      <c r="Q4199" s="15">
        <v>0.3</v>
      </c>
      <c r="R4199" s="16" t="str">
        <f t="shared" si="350"/>
        <v>SYLVANIA</v>
      </c>
      <c r="S4199" s="17"/>
      <c r="T4199" s="10"/>
    </row>
    <row r="4200" spans="1:20" ht="27" customHeight="1" x14ac:dyDescent="0.25">
      <c r="A4200" s="8" t="s">
        <v>7931</v>
      </c>
      <c r="B4200" s="9"/>
      <c r="C4200" s="9"/>
      <c r="D4200" s="8"/>
      <c r="E4200" s="8"/>
      <c r="F4200" s="8"/>
      <c r="G4200" s="10"/>
      <c r="H4200" s="8" t="s">
        <v>8734</v>
      </c>
      <c r="I4200" s="10" t="s">
        <v>8735</v>
      </c>
      <c r="J4200" s="11" t="s">
        <v>33</v>
      </c>
      <c r="K4200" s="18">
        <f>35855*0.9</f>
        <v>32269.5</v>
      </c>
      <c r="L4200" s="12">
        <f t="shared" si="353"/>
        <v>46100</v>
      </c>
      <c r="M4200" s="8">
        <v>1</v>
      </c>
      <c r="N4200" s="8" t="s">
        <v>27</v>
      </c>
      <c r="O4200" s="13"/>
      <c r="P4200" s="14">
        <v>0</v>
      </c>
      <c r="Q4200" s="15">
        <v>0.3</v>
      </c>
      <c r="R4200" s="16" t="str">
        <f t="shared" si="350"/>
        <v>SYLVANIA</v>
      </c>
      <c r="S4200" s="17"/>
      <c r="T4200" s="10"/>
    </row>
    <row r="4201" spans="1:20" ht="27" customHeight="1" x14ac:dyDescent="0.25">
      <c r="A4201" s="8" t="s">
        <v>7931</v>
      </c>
      <c r="B4201" s="9"/>
      <c r="C4201" s="9"/>
      <c r="D4201" s="8"/>
      <c r="E4201" s="8"/>
      <c r="F4201" s="8"/>
      <c r="G4201" s="10"/>
      <c r="H4201" s="8" t="s">
        <v>8736</v>
      </c>
      <c r="I4201" s="10" t="s">
        <v>8737</v>
      </c>
      <c r="J4201" s="11" t="s">
        <v>33</v>
      </c>
      <c r="K4201" s="18">
        <f>29265*0.9</f>
        <v>26338.5</v>
      </c>
      <c r="L4201" s="12">
        <f t="shared" si="353"/>
        <v>33000</v>
      </c>
      <c r="M4201" s="8">
        <v>1</v>
      </c>
      <c r="N4201" s="8" t="s">
        <v>27</v>
      </c>
      <c r="O4201" s="13"/>
      <c r="P4201" s="14">
        <v>0</v>
      </c>
      <c r="Q4201" s="15">
        <v>0.2</v>
      </c>
      <c r="R4201" s="16" t="str">
        <f t="shared" si="350"/>
        <v>SYLVANIA</v>
      </c>
      <c r="S4201" s="17"/>
      <c r="T4201" s="10"/>
    </row>
    <row r="4202" spans="1:20" ht="27" customHeight="1" x14ac:dyDescent="0.25">
      <c r="A4202" s="8" t="s">
        <v>7931</v>
      </c>
      <c r="B4202" s="9"/>
      <c r="C4202" s="9"/>
      <c r="D4202" s="8"/>
      <c r="E4202" s="8"/>
      <c r="F4202" s="8"/>
      <c r="G4202" s="10"/>
      <c r="H4202" s="8" t="s">
        <v>8738</v>
      </c>
      <c r="I4202" s="10" t="s">
        <v>8739</v>
      </c>
      <c r="J4202" s="11" t="s">
        <v>33</v>
      </c>
      <c r="K4202" s="18">
        <v>51000</v>
      </c>
      <c r="L4202" s="12">
        <f t="shared" si="353"/>
        <v>63800</v>
      </c>
      <c r="M4202" s="8">
        <v>1</v>
      </c>
      <c r="N4202" s="8" t="s">
        <v>27</v>
      </c>
      <c r="O4202" s="13"/>
      <c r="P4202" s="14">
        <v>0</v>
      </c>
      <c r="Q4202" s="15">
        <v>0.2</v>
      </c>
      <c r="R4202" s="16" t="str">
        <f t="shared" si="350"/>
        <v>SYLVANIA</v>
      </c>
      <c r="S4202" s="17"/>
      <c r="T4202" s="10"/>
    </row>
    <row r="4203" spans="1:20" ht="27" customHeight="1" x14ac:dyDescent="0.25">
      <c r="A4203" s="8" t="s">
        <v>7931</v>
      </c>
      <c r="B4203" s="9"/>
      <c r="C4203" s="9"/>
      <c r="D4203" s="8"/>
      <c r="E4203" s="8"/>
      <c r="F4203" s="8"/>
      <c r="G4203" s="10"/>
      <c r="H4203" s="8" t="s">
        <v>8740</v>
      </c>
      <c r="I4203" s="10" t="s">
        <v>8741</v>
      </c>
      <c r="J4203" s="11" t="s">
        <v>33</v>
      </c>
      <c r="K4203" s="18">
        <f>75000*0.9</f>
        <v>67500</v>
      </c>
      <c r="L4203" s="12">
        <f t="shared" si="353"/>
        <v>96500</v>
      </c>
      <c r="M4203" s="8">
        <v>1</v>
      </c>
      <c r="N4203" s="8" t="s">
        <v>27</v>
      </c>
      <c r="O4203" s="13"/>
      <c r="P4203" s="14">
        <v>0</v>
      </c>
      <c r="Q4203" s="15">
        <v>0.3</v>
      </c>
      <c r="R4203" s="16" t="str">
        <f t="shared" si="350"/>
        <v>SYLVANIA</v>
      </c>
      <c r="S4203" s="17"/>
      <c r="T4203" s="10"/>
    </row>
    <row r="4204" spans="1:20" ht="27" customHeight="1" x14ac:dyDescent="0.25">
      <c r="A4204" s="8" t="s">
        <v>7931</v>
      </c>
      <c r="B4204" s="9"/>
      <c r="C4204" s="9"/>
      <c r="D4204" s="8"/>
      <c r="E4204" s="8"/>
      <c r="F4204" s="8"/>
      <c r="G4204" s="10"/>
      <c r="H4204" s="8" t="s">
        <v>8742</v>
      </c>
      <c r="I4204" s="10" t="s">
        <v>8743</v>
      </c>
      <c r="J4204" s="11" t="s">
        <v>33</v>
      </c>
      <c r="K4204" s="18">
        <v>184800</v>
      </c>
      <c r="L4204" s="12">
        <f t="shared" si="353"/>
        <v>264000</v>
      </c>
      <c r="M4204" s="8">
        <v>1</v>
      </c>
      <c r="N4204" s="8" t="s">
        <v>27</v>
      </c>
      <c r="O4204" s="13"/>
      <c r="P4204" s="14">
        <v>0</v>
      </c>
      <c r="Q4204" s="15">
        <v>0.3</v>
      </c>
      <c r="R4204" s="16" t="str">
        <f t="shared" si="350"/>
        <v>SYLVANIA</v>
      </c>
      <c r="S4204" s="17"/>
      <c r="T4204" s="10"/>
    </row>
    <row r="4205" spans="1:20" ht="27" customHeight="1" x14ac:dyDescent="0.25">
      <c r="A4205" s="8" t="s">
        <v>7931</v>
      </c>
      <c r="B4205" s="9"/>
      <c r="C4205" s="9"/>
      <c r="D4205" s="8"/>
      <c r="E4205" s="8"/>
      <c r="F4205" s="8"/>
      <c r="G4205" s="10"/>
      <c r="H4205" s="8" t="s">
        <v>8744</v>
      </c>
      <c r="I4205" s="10" t="s">
        <v>8745</v>
      </c>
      <c r="J4205" s="11" t="s">
        <v>33</v>
      </c>
      <c r="K4205" s="18">
        <f>106500*0.9</f>
        <v>95850</v>
      </c>
      <c r="L4205" s="12">
        <f t="shared" ref="L4205:L4215" si="354">K4205*(1+P4205)/(1-Q4205)</f>
        <v>136928.57142857145</v>
      </c>
      <c r="M4205" s="8">
        <v>1</v>
      </c>
      <c r="N4205" s="8" t="s">
        <v>27</v>
      </c>
      <c r="O4205" s="13"/>
      <c r="P4205" s="14">
        <v>0</v>
      </c>
      <c r="Q4205" s="15">
        <v>0.3</v>
      </c>
      <c r="R4205" s="16" t="str">
        <f t="shared" si="350"/>
        <v>SYLVANIA</v>
      </c>
      <c r="S4205" s="17"/>
      <c r="T4205" s="10"/>
    </row>
    <row r="4206" spans="1:20" ht="27" customHeight="1" x14ac:dyDescent="0.25">
      <c r="A4206" s="8" t="s">
        <v>7931</v>
      </c>
      <c r="B4206" s="9"/>
      <c r="C4206" s="9"/>
      <c r="D4206" s="8"/>
      <c r="E4206" s="8"/>
      <c r="F4206" s="8"/>
      <c r="G4206" s="10"/>
      <c r="H4206" s="8" t="s">
        <v>8720</v>
      </c>
      <c r="I4206" s="10" t="s">
        <v>8746</v>
      </c>
      <c r="J4206" s="11" t="s">
        <v>33</v>
      </c>
      <c r="K4206" s="18">
        <v>14056</v>
      </c>
      <c r="L4206" s="12">
        <f t="shared" si="354"/>
        <v>20080</v>
      </c>
      <c r="M4206" s="8">
        <v>1</v>
      </c>
      <c r="N4206" s="8" t="s">
        <v>27</v>
      </c>
      <c r="O4206" s="13"/>
      <c r="P4206" s="14">
        <v>0</v>
      </c>
      <c r="Q4206" s="15">
        <v>0.3</v>
      </c>
      <c r="R4206" s="16" t="str">
        <f t="shared" si="350"/>
        <v>SYLVANIA</v>
      </c>
      <c r="S4206" s="17"/>
      <c r="T4206" s="10"/>
    </row>
    <row r="4207" spans="1:20" ht="27" customHeight="1" x14ac:dyDescent="0.25">
      <c r="A4207" s="8" t="s">
        <v>7931</v>
      </c>
      <c r="B4207" s="9"/>
      <c r="C4207" s="9"/>
      <c r="D4207" s="8"/>
      <c r="E4207" s="8"/>
      <c r="F4207" s="8"/>
      <c r="G4207" s="10"/>
      <c r="H4207" s="8" t="s">
        <v>8709</v>
      </c>
      <c r="I4207" s="10" t="s">
        <v>8747</v>
      </c>
      <c r="J4207" s="11" t="s">
        <v>33</v>
      </c>
      <c r="K4207" s="18">
        <v>101400</v>
      </c>
      <c r="L4207" s="12">
        <f t="shared" si="354"/>
        <v>144857.14285714287</v>
      </c>
      <c r="M4207" s="8">
        <v>1</v>
      </c>
      <c r="N4207" s="8" t="s">
        <v>27</v>
      </c>
      <c r="O4207" s="13"/>
      <c r="P4207" s="14">
        <v>0</v>
      </c>
      <c r="Q4207" s="15">
        <v>0.3</v>
      </c>
      <c r="R4207" s="16" t="str">
        <f t="shared" ref="R4207:R4270" si="355">A4207</f>
        <v>SYLVANIA</v>
      </c>
      <c r="S4207" s="17"/>
      <c r="T4207" s="10"/>
    </row>
    <row r="4208" spans="1:20" ht="27" customHeight="1" x14ac:dyDescent="0.25">
      <c r="A4208" s="8" t="s">
        <v>7931</v>
      </c>
      <c r="B4208" s="9"/>
      <c r="C4208" s="9"/>
      <c r="D4208" s="8"/>
      <c r="E4208" s="8"/>
      <c r="F4208" s="8"/>
      <c r="G4208" s="10"/>
      <c r="H4208" s="8" t="s">
        <v>8748</v>
      </c>
      <c r="I4208" s="10" t="s">
        <v>8749</v>
      </c>
      <c r="J4208" s="11" t="s">
        <v>33</v>
      </c>
      <c r="K4208" s="18">
        <v>19000</v>
      </c>
      <c r="L4208" s="12">
        <f t="shared" si="354"/>
        <v>23750</v>
      </c>
      <c r="M4208" s="8">
        <v>1</v>
      </c>
      <c r="N4208" s="8" t="s">
        <v>27</v>
      </c>
      <c r="O4208" s="13"/>
      <c r="P4208" s="14">
        <v>0</v>
      </c>
      <c r="Q4208" s="15">
        <v>0.2</v>
      </c>
      <c r="R4208" s="16" t="str">
        <f t="shared" si="355"/>
        <v>SYLVANIA</v>
      </c>
      <c r="S4208" s="17"/>
      <c r="T4208" s="10"/>
    </row>
    <row r="4209" spans="1:20" ht="27" customHeight="1" x14ac:dyDescent="0.25">
      <c r="A4209" s="8" t="s">
        <v>7931</v>
      </c>
      <c r="B4209" s="9"/>
      <c r="C4209" s="9"/>
      <c r="D4209" s="8"/>
      <c r="E4209" s="8"/>
      <c r="F4209" s="8"/>
      <c r="G4209" s="10"/>
      <c r="H4209" s="8" t="s">
        <v>8750</v>
      </c>
      <c r="I4209" s="10" t="s">
        <v>8751</v>
      </c>
      <c r="J4209" s="11" t="s">
        <v>33</v>
      </c>
      <c r="K4209" s="18">
        <v>57800</v>
      </c>
      <c r="L4209" s="12">
        <f t="shared" si="354"/>
        <v>72250</v>
      </c>
      <c r="M4209" s="8">
        <v>1</v>
      </c>
      <c r="N4209" s="8" t="s">
        <v>27</v>
      </c>
      <c r="O4209" s="13"/>
      <c r="P4209" s="14">
        <v>0</v>
      </c>
      <c r="Q4209" s="15">
        <v>0.2</v>
      </c>
      <c r="R4209" s="16" t="str">
        <f t="shared" si="355"/>
        <v>SYLVANIA</v>
      </c>
      <c r="S4209" s="17"/>
      <c r="T4209" s="10"/>
    </row>
    <row r="4210" spans="1:20" ht="27" customHeight="1" x14ac:dyDescent="0.25">
      <c r="A4210" s="8" t="s">
        <v>7931</v>
      </c>
      <c r="B4210" s="9"/>
      <c r="C4210" s="9"/>
      <c r="D4210" s="8"/>
      <c r="E4210" s="8"/>
      <c r="F4210" s="8"/>
      <c r="G4210" s="10"/>
      <c r="H4210" s="8" t="s">
        <v>8752</v>
      </c>
      <c r="I4210" s="10" t="s">
        <v>8753</v>
      </c>
      <c r="J4210" s="11" t="s">
        <v>33</v>
      </c>
      <c r="K4210" s="18">
        <v>57000</v>
      </c>
      <c r="L4210" s="12">
        <f t="shared" si="354"/>
        <v>71250</v>
      </c>
      <c r="M4210" s="8">
        <v>1</v>
      </c>
      <c r="N4210" s="8" t="s">
        <v>27</v>
      </c>
      <c r="O4210" s="13"/>
      <c r="P4210" s="14">
        <v>0</v>
      </c>
      <c r="Q4210" s="15">
        <v>0.2</v>
      </c>
      <c r="R4210" s="16" t="str">
        <f t="shared" si="355"/>
        <v>SYLVANIA</v>
      </c>
      <c r="S4210" s="17"/>
      <c r="T4210" s="10"/>
    </row>
    <row r="4211" spans="1:20" ht="27" customHeight="1" x14ac:dyDescent="0.25">
      <c r="A4211" s="8" t="s">
        <v>7931</v>
      </c>
      <c r="B4211" s="9"/>
      <c r="C4211" s="9"/>
      <c r="D4211" s="8"/>
      <c r="E4211" s="8"/>
      <c r="F4211" s="8"/>
      <c r="G4211" s="10"/>
      <c r="H4211" s="8" t="s">
        <v>8754</v>
      </c>
      <c r="I4211" s="10" t="s">
        <v>8755</v>
      </c>
      <c r="J4211" s="11" t="s">
        <v>33</v>
      </c>
      <c r="K4211" s="18">
        <v>52000</v>
      </c>
      <c r="L4211" s="12">
        <f t="shared" si="354"/>
        <v>83200</v>
      </c>
      <c r="M4211" s="8">
        <v>1</v>
      </c>
      <c r="N4211" s="8" t="s">
        <v>27</v>
      </c>
      <c r="O4211" s="13"/>
      <c r="P4211" s="14">
        <v>0.2</v>
      </c>
      <c r="Q4211" s="15">
        <v>0.25</v>
      </c>
      <c r="R4211" s="16" t="str">
        <f t="shared" si="355"/>
        <v>SYLVANIA</v>
      </c>
      <c r="S4211" s="17"/>
      <c r="T4211" s="10"/>
    </row>
    <row r="4212" spans="1:20" ht="27" customHeight="1" x14ac:dyDescent="0.25">
      <c r="A4212" s="8" t="s">
        <v>7931</v>
      </c>
      <c r="B4212" s="9"/>
      <c r="C4212" s="9"/>
      <c r="D4212" s="8"/>
      <c r="E4212" s="8"/>
      <c r="F4212" s="8"/>
      <c r="G4212" s="10"/>
      <c r="H4212" s="8" t="s">
        <v>8756</v>
      </c>
      <c r="I4212" s="10" t="s">
        <v>8757</v>
      </c>
      <c r="J4212" s="11" t="s">
        <v>33</v>
      </c>
      <c r="K4212" s="18">
        <v>14056</v>
      </c>
      <c r="L4212" s="12">
        <f t="shared" si="354"/>
        <v>18741.333333333332</v>
      </c>
      <c r="M4212" s="8">
        <v>1</v>
      </c>
      <c r="N4212" s="8" t="s">
        <v>27</v>
      </c>
      <c r="O4212" s="13"/>
      <c r="P4212" s="14">
        <v>0</v>
      </c>
      <c r="Q4212" s="15">
        <v>0.25</v>
      </c>
      <c r="R4212" s="16" t="str">
        <f t="shared" si="355"/>
        <v>SYLVANIA</v>
      </c>
      <c r="S4212" s="17"/>
      <c r="T4212" s="10"/>
    </row>
    <row r="4213" spans="1:20" ht="27" customHeight="1" x14ac:dyDescent="0.25">
      <c r="A4213" s="8" t="s">
        <v>7931</v>
      </c>
      <c r="B4213" s="9"/>
      <c r="C4213" s="9"/>
      <c r="D4213" s="8"/>
      <c r="E4213" s="8"/>
      <c r="F4213" s="8"/>
      <c r="G4213" s="10"/>
      <c r="H4213" s="8" t="s">
        <v>8758</v>
      </c>
      <c r="I4213" s="10" t="s">
        <v>8759</v>
      </c>
      <c r="J4213" s="11" t="s">
        <v>33</v>
      </c>
      <c r="K4213" s="18">
        <v>73200</v>
      </c>
      <c r="L4213" s="12">
        <f t="shared" si="354"/>
        <v>97600</v>
      </c>
      <c r="M4213" s="8">
        <v>1</v>
      </c>
      <c r="N4213" s="8" t="s">
        <v>27</v>
      </c>
      <c r="O4213" s="13"/>
      <c r="P4213" s="14">
        <v>0</v>
      </c>
      <c r="Q4213" s="15">
        <v>0.25</v>
      </c>
      <c r="R4213" s="16" t="str">
        <f t="shared" si="355"/>
        <v>SYLVANIA</v>
      </c>
      <c r="S4213" s="17"/>
      <c r="T4213" s="10"/>
    </row>
    <row r="4214" spans="1:20" ht="27" customHeight="1" x14ac:dyDescent="0.25">
      <c r="A4214" s="8" t="s">
        <v>7931</v>
      </c>
      <c r="B4214" s="9"/>
      <c r="C4214" s="9"/>
      <c r="D4214" s="8"/>
      <c r="E4214" s="8"/>
      <c r="F4214" s="8"/>
      <c r="G4214" s="10"/>
      <c r="H4214" s="8" t="s">
        <v>8760</v>
      </c>
      <c r="I4214" s="10" t="s">
        <v>8761</v>
      </c>
      <c r="J4214" s="11" t="s">
        <v>33</v>
      </c>
      <c r="K4214" s="18">
        <v>26600</v>
      </c>
      <c r="L4214" s="12">
        <f t="shared" si="354"/>
        <v>35466.666666666664</v>
      </c>
      <c r="M4214" s="8">
        <v>1</v>
      </c>
      <c r="N4214" s="8" t="s">
        <v>27</v>
      </c>
      <c r="O4214" s="13"/>
      <c r="P4214" s="14">
        <v>0</v>
      </c>
      <c r="Q4214" s="15">
        <v>0.25</v>
      </c>
      <c r="R4214" s="16" t="str">
        <f t="shared" si="355"/>
        <v>SYLVANIA</v>
      </c>
      <c r="S4214" s="17"/>
      <c r="T4214" s="10"/>
    </row>
    <row r="4215" spans="1:20" ht="27" customHeight="1" x14ac:dyDescent="0.25">
      <c r="A4215" s="8" t="s">
        <v>7931</v>
      </c>
      <c r="B4215" s="9"/>
      <c r="C4215" s="9"/>
      <c r="D4215" s="8"/>
      <c r="E4215" s="8"/>
      <c r="F4215" s="8"/>
      <c r="G4215" s="10"/>
      <c r="H4215" s="8" t="s">
        <v>8675</v>
      </c>
      <c r="I4215" s="10" t="s">
        <v>8762</v>
      </c>
      <c r="J4215" s="11" t="s">
        <v>33</v>
      </c>
      <c r="K4215" s="18">
        <v>5500</v>
      </c>
      <c r="L4215" s="12">
        <f t="shared" si="354"/>
        <v>7333.333333333333</v>
      </c>
      <c r="M4215" s="8">
        <v>1</v>
      </c>
      <c r="N4215" s="8" t="s">
        <v>27</v>
      </c>
      <c r="O4215" s="13"/>
      <c r="P4215" s="14">
        <v>0</v>
      </c>
      <c r="Q4215" s="15">
        <v>0.25</v>
      </c>
      <c r="R4215" s="16" t="str">
        <f t="shared" si="355"/>
        <v>SYLVANIA</v>
      </c>
      <c r="S4215" s="17"/>
      <c r="T4215" s="10"/>
    </row>
    <row r="4216" spans="1:20" ht="27" customHeight="1" x14ac:dyDescent="0.25">
      <c r="A4216" s="8" t="s">
        <v>7931</v>
      </c>
      <c r="B4216" s="9"/>
      <c r="C4216" s="9"/>
      <c r="D4216" s="8"/>
      <c r="E4216" s="8"/>
      <c r="F4216" s="8"/>
      <c r="G4216" s="10"/>
      <c r="H4216" s="8" t="s">
        <v>8686</v>
      </c>
      <c r="I4216" s="10" t="s">
        <v>8763</v>
      </c>
      <c r="J4216" s="11" t="s">
        <v>33</v>
      </c>
      <c r="K4216" s="18">
        <v>5310</v>
      </c>
      <c r="L4216" s="12">
        <f>IF(J4216="P",ROUNDUP(K4216/(1-Q4216),-2),K4216*(1+P4216)/(1-Q4216))</f>
        <v>10700</v>
      </c>
      <c r="M4216" s="8">
        <v>1</v>
      </c>
      <c r="N4216" s="8" t="s">
        <v>27</v>
      </c>
      <c r="O4216" s="13"/>
      <c r="P4216" s="14">
        <v>0</v>
      </c>
      <c r="Q4216" s="15">
        <v>0.5</v>
      </c>
      <c r="R4216" s="16" t="str">
        <f t="shared" si="355"/>
        <v>SYLVANIA</v>
      </c>
      <c r="S4216" s="17"/>
      <c r="T4216" s="10"/>
    </row>
    <row r="4217" spans="1:20" ht="27" customHeight="1" x14ac:dyDescent="0.25">
      <c r="A4217" s="8" t="s">
        <v>7931</v>
      </c>
      <c r="B4217" s="9"/>
      <c r="C4217" s="9"/>
      <c r="D4217" s="8"/>
      <c r="E4217" s="8"/>
      <c r="F4217" s="8"/>
      <c r="G4217" s="10"/>
      <c r="H4217" s="8" t="s">
        <v>8764</v>
      </c>
      <c r="I4217" s="10" t="s">
        <v>8765</v>
      </c>
      <c r="J4217" s="11" t="s">
        <v>33</v>
      </c>
      <c r="K4217" s="18">
        <f>91800*0.9</f>
        <v>82620</v>
      </c>
      <c r="L4217" s="12">
        <f>ROUNDUP(K4217*(1+P4217)/(1-Q4217),0)</f>
        <v>110160</v>
      </c>
      <c r="M4217" s="8">
        <v>1</v>
      </c>
      <c r="N4217" s="8" t="s">
        <v>27</v>
      </c>
      <c r="O4217" s="13"/>
      <c r="P4217" s="14">
        <v>0</v>
      </c>
      <c r="Q4217" s="15">
        <v>0.25</v>
      </c>
      <c r="R4217" s="16" t="str">
        <f t="shared" si="355"/>
        <v>SYLVANIA</v>
      </c>
      <c r="S4217" s="17"/>
      <c r="T4217" s="10"/>
    </row>
    <row r="4218" spans="1:20" ht="27" customHeight="1" x14ac:dyDescent="0.25">
      <c r="A4218" s="8" t="s">
        <v>7931</v>
      </c>
      <c r="B4218" s="9"/>
      <c r="C4218" s="9"/>
      <c r="D4218" s="8"/>
      <c r="E4218" s="8"/>
      <c r="F4218" s="8"/>
      <c r="G4218" s="10"/>
      <c r="H4218" s="8" t="s">
        <v>8766</v>
      </c>
      <c r="I4218" s="10" t="s">
        <v>8767</v>
      </c>
      <c r="J4218" s="11" t="s">
        <v>33</v>
      </c>
      <c r="K4218" s="18">
        <f>146800*0.9</f>
        <v>132120</v>
      </c>
      <c r="L4218" s="12">
        <f>ROUNDUP(K4218*(1+P4218)/(1-Q4218),0)</f>
        <v>176160</v>
      </c>
      <c r="M4218" s="8">
        <v>1</v>
      </c>
      <c r="N4218" s="8" t="s">
        <v>27</v>
      </c>
      <c r="O4218" s="13"/>
      <c r="P4218" s="14">
        <v>0</v>
      </c>
      <c r="Q4218" s="15">
        <v>0.25</v>
      </c>
      <c r="R4218" s="16" t="str">
        <f t="shared" si="355"/>
        <v>SYLVANIA</v>
      </c>
      <c r="S4218" s="17"/>
      <c r="T4218" s="10"/>
    </row>
    <row r="4219" spans="1:20" ht="27" customHeight="1" x14ac:dyDescent="0.25">
      <c r="A4219" s="8" t="s">
        <v>7931</v>
      </c>
      <c r="B4219" s="9"/>
      <c r="C4219" s="9"/>
      <c r="D4219" s="8"/>
      <c r="E4219" s="8"/>
      <c r="F4219" s="8"/>
      <c r="G4219" s="10"/>
      <c r="H4219" s="8" t="s">
        <v>8768</v>
      </c>
      <c r="I4219" s="10" t="s">
        <v>8769</v>
      </c>
      <c r="J4219" s="11" t="s">
        <v>33</v>
      </c>
      <c r="K4219" s="18">
        <v>113042</v>
      </c>
      <c r="L4219" s="12">
        <f>K4219*(1+P4219)/(1-Q4219)</f>
        <v>150722.66666666666</v>
      </c>
      <c r="M4219" s="8">
        <v>1</v>
      </c>
      <c r="N4219" s="8" t="s">
        <v>27</v>
      </c>
      <c r="O4219" s="13"/>
      <c r="P4219" s="14">
        <v>0</v>
      </c>
      <c r="Q4219" s="15">
        <v>0.25</v>
      </c>
      <c r="R4219" s="16" t="str">
        <f t="shared" si="355"/>
        <v>SYLVANIA</v>
      </c>
      <c r="S4219" s="17"/>
      <c r="T4219" s="10"/>
    </row>
    <row r="4220" spans="1:20" ht="27" customHeight="1" x14ac:dyDescent="0.25">
      <c r="A4220" s="8" t="s">
        <v>7931</v>
      </c>
      <c r="B4220" s="9"/>
      <c r="C4220" s="9"/>
      <c r="D4220" s="8"/>
      <c r="E4220" s="8"/>
      <c r="F4220" s="8"/>
      <c r="G4220" s="10"/>
      <c r="H4220" s="8" t="s">
        <v>8770</v>
      </c>
      <c r="I4220" s="10" t="s">
        <v>8771</v>
      </c>
      <c r="J4220" s="11" t="s">
        <v>33</v>
      </c>
      <c r="K4220" s="18">
        <v>317126</v>
      </c>
      <c r="L4220" s="12">
        <f t="shared" ref="L4220:L4226" si="356">ROUNDUP(K4220*(1+P4220)/(1-Q4220),0)</f>
        <v>396408</v>
      </c>
      <c r="M4220" s="8">
        <v>1</v>
      </c>
      <c r="N4220" s="8" t="s">
        <v>27</v>
      </c>
      <c r="O4220" s="13"/>
      <c r="P4220" s="14">
        <v>0</v>
      </c>
      <c r="Q4220" s="15">
        <v>0.2</v>
      </c>
      <c r="R4220" s="16" t="str">
        <f t="shared" si="355"/>
        <v>SYLVANIA</v>
      </c>
      <c r="S4220" s="17"/>
      <c r="T4220" s="10"/>
    </row>
    <row r="4221" spans="1:20" ht="27" customHeight="1" x14ac:dyDescent="0.25">
      <c r="A4221" s="8" t="s">
        <v>7931</v>
      </c>
      <c r="B4221" s="9"/>
      <c r="C4221" s="9"/>
      <c r="D4221" s="8"/>
      <c r="E4221" s="8"/>
      <c r="F4221" s="8"/>
      <c r="G4221" s="10"/>
      <c r="H4221" s="8" t="s">
        <v>8772</v>
      </c>
      <c r="I4221" s="10" t="s">
        <v>8773</v>
      </c>
      <c r="J4221" s="11" t="s">
        <v>33</v>
      </c>
      <c r="K4221" s="18">
        <v>290000</v>
      </c>
      <c r="L4221" s="12">
        <f t="shared" si="356"/>
        <v>362500</v>
      </c>
      <c r="M4221" s="8">
        <v>1</v>
      </c>
      <c r="N4221" s="8" t="s">
        <v>27</v>
      </c>
      <c r="O4221" s="13"/>
      <c r="P4221" s="14">
        <v>0</v>
      </c>
      <c r="Q4221" s="15">
        <v>0.2</v>
      </c>
      <c r="R4221" s="16" t="str">
        <f t="shared" si="355"/>
        <v>SYLVANIA</v>
      </c>
      <c r="S4221" s="17"/>
      <c r="T4221" s="10"/>
    </row>
    <row r="4222" spans="1:20" ht="27" customHeight="1" x14ac:dyDescent="0.25">
      <c r="A4222" s="8" t="s">
        <v>7931</v>
      </c>
      <c r="B4222" s="9"/>
      <c r="C4222" s="9"/>
      <c r="D4222" s="8"/>
      <c r="E4222" s="8"/>
      <c r="F4222" s="8"/>
      <c r="G4222" s="10"/>
      <c r="H4222" s="8" t="s">
        <v>8774</v>
      </c>
      <c r="I4222" s="10" t="s">
        <v>8775</v>
      </c>
      <c r="J4222" s="11" t="s">
        <v>33</v>
      </c>
      <c r="K4222" s="18">
        <v>621000</v>
      </c>
      <c r="L4222" s="12">
        <f t="shared" si="356"/>
        <v>776250</v>
      </c>
      <c r="M4222" s="8">
        <v>1</v>
      </c>
      <c r="N4222" s="8" t="s">
        <v>27</v>
      </c>
      <c r="O4222" s="13"/>
      <c r="P4222" s="14">
        <v>0</v>
      </c>
      <c r="Q4222" s="15">
        <v>0.2</v>
      </c>
      <c r="R4222" s="16" t="str">
        <f t="shared" si="355"/>
        <v>SYLVANIA</v>
      </c>
      <c r="S4222" s="17"/>
      <c r="T4222" s="10"/>
    </row>
    <row r="4223" spans="1:20" ht="27" customHeight="1" x14ac:dyDescent="0.25">
      <c r="A4223" s="8" t="s">
        <v>7931</v>
      </c>
      <c r="B4223" s="9"/>
      <c r="C4223" s="9"/>
      <c r="D4223" s="8"/>
      <c r="E4223" s="8"/>
      <c r="F4223" s="8"/>
      <c r="G4223" s="10"/>
      <c r="H4223" s="8" t="s">
        <v>8776</v>
      </c>
      <c r="I4223" s="10" t="s">
        <v>8777</v>
      </c>
      <c r="J4223" s="11" t="s">
        <v>33</v>
      </c>
      <c r="K4223" s="18">
        <v>25000</v>
      </c>
      <c r="L4223" s="12">
        <f t="shared" si="356"/>
        <v>31250</v>
      </c>
      <c r="M4223" s="8">
        <v>1</v>
      </c>
      <c r="N4223" s="8" t="s">
        <v>27</v>
      </c>
      <c r="O4223" s="13"/>
      <c r="P4223" s="14">
        <v>0</v>
      </c>
      <c r="Q4223" s="15">
        <v>0.2</v>
      </c>
      <c r="R4223" s="16" t="str">
        <f t="shared" si="355"/>
        <v>SYLVANIA</v>
      </c>
      <c r="S4223" s="17"/>
      <c r="T4223" s="10"/>
    </row>
    <row r="4224" spans="1:20" ht="27" customHeight="1" x14ac:dyDescent="0.25">
      <c r="A4224" s="8" t="s">
        <v>7931</v>
      </c>
      <c r="B4224" s="9"/>
      <c r="C4224" s="9"/>
      <c r="D4224" s="8"/>
      <c r="E4224" s="8"/>
      <c r="F4224" s="8"/>
      <c r="G4224" s="10"/>
      <c r="H4224" s="8" t="s">
        <v>8778</v>
      </c>
      <c r="I4224" s="10" t="s">
        <v>8779</v>
      </c>
      <c r="J4224" s="11" t="s">
        <v>33</v>
      </c>
      <c r="K4224" s="18">
        <v>264300</v>
      </c>
      <c r="L4224" s="12">
        <f t="shared" si="356"/>
        <v>528600</v>
      </c>
      <c r="M4224" s="8">
        <v>1</v>
      </c>
      <c r="N4224" s="8" t="s">
        <v>27</v>
      </c>
      <c r="O4224" s="13"/>
      <c r="P4224" s="14">
        <v>0.2</v>
      </c>
      <c r="Q4224" s="15">
        <v>0.4</v>
      </c>
      <c r="R4224" s="16" t="str">
        <f t="shared" si="355"/>
        <v>SYLVANIA</v>
      </c>
      <c r="S4224" s="17"/>
      <c r="T4224" s="10"/>
    </row>
    <row r="4225" spans="1:20" ht="27" customHeight="1" x14ac:dyDescent="0.25">
      <c r="A4225" s="8" t="s">
        <v>7931</v>
      </c>
      <c r="B4225" s="9"/>
      <c r="C4225" s="9"/>
      <c r="D4225" s="8"/>
      <c r="E4225" s="8"/>
      <c r="F4225" s="8"/>
      <c r="G4225" s="10"/>
      <c r="H4225" s="8" t="s">
        <v>8780</v>
      </c>
      <c r="I4225" s="10" t="s">
        <v>8781</v>
      </c>
      <c r="J4225" s="11" t="s">
        <v>33</v>
      </c>
      <c r="K4225" s="18">
        <v>7075</v>
      </c>
      <c r="L4225" s="12">
        <f t="shared" si="356"/>
        <v>11792</v>
      </c>
      <c r="M4225" s="8">
        <v>1</v>
      </c>
      <c r="N4225" s="8" t="s">
        <v>27</v>
      </c>
      <c r="O4225" s="13"/>
      <c r="P4225" s="14">
        <v>0</v>
      </c>
      <c r="Q4225" s="15">
        <v>0.4</v>
      </c>
      <c r="R4225" s="16" t="str">
        <f t="shared" si="355"/>
        <v>SYLVANIA</v>
      </c>
      <c r="S4225" s="17"/>
      <c r="T4225" s="10"/>
    </row>
    <row r="4226" spans="1:20" ht="27" customHeight="1" x14ac:dyDescent="0.25">
      <c r="A4226" s="8" t="s">
        <v>7931</v>
      </c>
      <c r="B4226" s="9"/>
      <c r="C4226" s="9"/>
      <c r="D4226" s="8"/>
      <c r="E4226" s="8"/>
      <c r="F4226" s="8"/>
      <c r="G4226" s="10"/>
      <c r="H4226" s="8" t="s">
        <v>8782</v>
      </c>
      <c r="I4226" s="10" t="s">
        <v>8783</v>
      </c>
      <c r="J4226" s="11" t="s">
        <v>33</v>
      </c>
      <c r="K4226" s="18">
        <v>800</v>
      </c>
      <c r="L4226" s="12">
        <f t="shared" si="356"/>
        <v>1334</v>
      </c>
      <c r="M4226" s="8">
        <v>1</v>
      </c>
      <c r="N4226" s="8" t="s">
        <v>27</v>
      </c>
      <c r="O4226" s="13"/>
      <c r="P4226" s="14">
        <v>0</v>
      </c>
      <c r="Q4226" s="15">
        <v>0.4</v>
      </c>
      <c r="R4226" s="16" t="str">
        <f t="shared" si="355"/>
        <v>SYLVANIA</v>
      </c>
      <c r="S4226" s="17"/>
      <c r="T4226" s="10"/>
    </row>
    <row r="4227" spans="1:20" ht="27" customHeight="1" x14ac:dyDescent="0.25">
      <c r="A4227" s="8" t="s">
        <v>7931</v>
      </c>
      <c r="B4227" s="9"/>
      <c r="C4227" s="9"/>
      <c r="D4227" s="8"/>
      <c r="E4227" s="8"/>
      <c r="F4227" s="8"/>
      <c r="G4227" s="10"/>
      <c r="H4227" s="8" t="s">
        <v>8784</v>
      </c>
      <c r="I4227" s="10" t="s">
        <v>8785</v>
      </c>
      <c r="J4227" s="11" t="s">
        <v>33</v>
      </c>
      <c r="K4227" s="18">
        <v>52600</v>
      </c>
      <c r="L4227" s="12">
        <f t="shared" ref="L4227:L4232" si="357">IF(J4227="P",ROUNDUP(K4227/(1-Q4227),-2),K4227*(1+P4227)/(1-Q4227))</f>
        <v>75200</v>
      </c>
      <c r="M4227" s="8">
        <v>1</v>
      </c>
      <c r="N4227" s="8" t="s">
        <v>27</v>
      </c>
      <c r="O4227" s="13">
        <f t="shared" ref="O4227:O4232" si="358">F4227</f>
        <v>0</v>
      </c>
      <c r="P4227" s="14">
        <v>0</v>
      </c>
      <c r="Q4227" s="15">
        <v>0.3</v>
      </c>
      <c r="R4227" s="16" t="str">
        <f t="shared" si="355"/>
        <v>SYLVANIA</v>
      </c>
      <c r="S4227" s="17"/>
      <c r="T4227" s="10"/>
    </row>
    <row r="4228" spans="1:20" ht="27" customHeight="1" x14ac:dyDescent="0.25">
      <c r="A4228" s="8" t="s">
        <v>7931</v>
      </c>
      <c r="B4228" s="9"/>
      <c r="C4228" s="9"/>
      <c r="D4228" s="8"/>
      <c r="E4228" s="8"/>
      <c r="F4228" s="8"/>
      <c r="G4228" s="10"/>
      <c r="H4228" s="8" t="s">
        <v>8786</v>
      </c>
      <c r="I4228" s="10" t="s">
        <v>8787</v>
      </c>
      <c r="J4228" s="11" t="s">
        <v>33</v>
      </c>
      <c r="K4228" s="18">
        <v>113636</v>
      </c>
      <c r="L4228" s="12">
        <f t="shared" si="357"/>
        <v>162400</v>
      </c>
      <c r="M4228" s="8">
        <v>1</v>
      </c>
      <c r="N4228" s="8" t="s">
        <v>27</v>
      </c>
      <c r="O4228" s="13">
        <f t="shared" si="358"/>
        <v>0</v>
      </c>
      <c r="P4228" s="14">
        <v>0</v>
      </c>
      <c r="Q4228" s="15">
        <v>0.3</v>
      </c>
      <c r="R4228" s="16" t="str">
        <f t="shared" si="355"/>
        <v>SYLVANIA</v>
      </c>
      <c r="S4228" s="17"/>
      <c r="T4228" s="10"/>
    </row>
    <row r="4229" spans="1:20" ht="27" customHeight="1" x14ac:dyDescent="0.25">
      <c r="A4229" s="8" t="s">
        <v>7931</v>
      </c>
      <c r="B4229" s="9"/>
      <c r="C4229" s="9"/>
      <c r="D4229" s="8"/>
      <c r="E4229" s="8"/>
      <c r="F4229" s="8"/>
      <c r="G4229" s="10"/>
      <c r="H4229" s="8" t="s">
        <v>8788</v>
      </c>
      <c r="I4229" s="10" t="s">
        <v>8789</v>
      </c>
      <c r="J4229" s="11" t="s">
        <v>33</v>
      </c>
      <c r="K4229" s="18">
        <v>18762</v>
      </c>
      <c r="L4229" s="12">
        <f t="shared" si="357"/>
        <v>26900</v>
      </c>
      <c r="M4229" s="8">
        <v>1</v>
      </c>
      <c r="N4229" s="8" t="s">
        <v>27</v>
      </c>
      <c r="O4229" s="13">
        <f t="shared" si="358"/>
        <v>0</v>
      </c>
      <c r="P4229" s="14">
        <v>0</v>
      </c>
      <c r="Q4229" s="15">
        <v>0.3</v>
      </c>
      <c r="R4229" s="16" t="str">
        <f t="shared" si="355"/>
        <v>SYLVANIA</v>
      </c>
      <c r="S4229" s="17"/>
      <c r="T4229" s="10"/>
    </row>
    <row r="4230" spans="1:20" ht="27" customHeight="1" x14ac:dyDescent="0.25">
      <c r="A4230" s="8" t="s">
        <v>7931</v>
      </c>
      <c r="B4230" s="9"/>
      <c r="C4230" s="9"/>
      <c r="D4230" s="8"/>
      <c r="E4230" s="8"/>
      <c r="F4230" s="8"/>
      <c r="G4230" s="10"/>
      <c r="H4230" s="8" t="s">
        <v>8790</v>
      </c>
      <c r="I4230" s="10" t="s">
        <v>8791</v>
      </c>
      <c r="J4230" s="11" t="s">
        <v>33</v>
      </c>
      <c r="K4230" s="18">
        <v>138800</v>
      </c>
      <c r="L4230" s="12">
        <f t="shared" si="357"/>
        <v>198300</v>
      </c>
      <c r="M4230" s="8">
        <v>1</v>
      </c>
      <c r="N4230" s="8" t="s">
        <v>27</v>
      </c>
      <c r="O4230" s="13">
        <f t="shared" si="358"/>
        <v>0</v>
      </c>
      <c r="P4230" s="14">
        <v>0</v>
      </c>
      <c r="Q4230" s="15">
        <v>0.3</v>
      </c>
      <c r="R4230" s="16" t="str">
        <f t="shared" si="355"/>
        <v>SYLVANIA</v>
      </c>
      <c r="S4230" s="17"/>
      <c r="T4230" s="10"/>
    </row>
    <row r="4231" spans="1:20" ht="27" customHeight="1" x14ac:dyDescent="0.25">
      <c r="A4231" s="8" t="s">
        <v>7931</v>
      </c>
      <c r="B4231" s="9"/>
      <c r="C4231" s="9"/>
      <c r="D4231" s="8"/>
      <c r="E4231" s="8"/>
      <c r="F4231" s="8"/>
      <c r="G4231" s="10"/>
      <c r="H4231" s="8" t="s">
        <v>8792</v>
      </c>
      <c r="I4231" s="10" t="s">
        <v>8793</v>
      </c>
      <c r="J4231" s="11" t="s">
        <v>33</v>
      </c>
      <c r="K4231" s="18">
        <v>55500</v>
      </c>
      <c r="L4231" s="12">
        <f t="shared" si="357"/>
        <v>79300</v>
      </c>
      <c r="M4231" s="8">
        <v>1</v>
      </c>
      <c r="N4231" s="8" t="s">
        <v>27</v>
      </c>
      <c r="O4231" s="13">
        <f t="shared" si="358"/>
        <v>0</v>
      </c>
      <c r="P4231" s="14">
        <v>0</v>
      </c>
      <c r="Q4231" s="15">
        <v>0.3</v>
      </c>
      <c r="R4231" s="16" t="str">
        <f t="shared" si="355"/>
        <v>SYLVANIA</v>
      </c>
      <c r="S4231" s="17"/>
      <c r="T4231" s="10"/>
    </row>
    <row r="4232" spans="1:20" ht="27" customHeight="1" x14ac:dyDescent="0.25">
      <c r="A4232" s="8" t="s">
        <v>7931</v>
      </c>
      <c r="B4232" s="9"/>
      <c r="C4232" s="9"/>
      <c r="D4232" s="8"/>
      <c r="E4232" s="8"/>
      <c r="F4232" s="8"/>
      <c r="G4232" s="10"/>
      <c r="H4232" s="8" t="s">
        <v>8794</v>
      </c>
      <c r="I4232" s="10" t="s">
        <v>8795</v>
      </c>
      <c r="J4232" s="11" t="s">
        <v>33</v>
      </c>
      <c r="K4232" s="18">
        <v>344000</v>
      </c>
      <c r="L4232" s="12">
        <f t="shared" si="357"/>
        <v>491500</v>
      </c>
      <c r="M4232" s="8">
        <v>1</v>
      </c>
      <c r="N4232" s="8" t="s">
        <v>27</v>
      </c>
      <c r="O4232" s="13">
        <f t="shared" si="358"/>
        <v>0</v>
      </c>
      <c r="P4232" s="14">
        <v>0</v>
      </c>
      <c r="Q4232" s="15">
        <v>0.3</v>
      </c>
      <c r="R4232" s="16" t="str">
        <f t="shared" si="355"/>
        <v>SYLVANIA</v>
      </c>
      <c r="S4232" s="17"/>
      <c r="T4232" s="10"/>
    </row>
    <row r="4233" spans="1:20" ht="27" customHeight="1" x14ac:dyDescent="0.25">
      <c r="A4233" s="8" t="s">
        <v>7931</v>
      </c>
      <c r="B4233" s="9"/>
      <c r="C4233" s="9"/>
      <c r="D4233" s="8"/>
      <c r="E4233" s="8"/>
      <c r="F4233" s="8"/>
      <c r="G4233" s="10"/>
      <c r="H4233" s="8" t="s">
        <v>8796</v>
      </c>
      <c r="I4233" s="10" t="s">
        <v>8797</v>
      </c>
      <c r="J4233" s="11" t="s">
        <v>33</v>
      </c>
      <c r="K4233" s="18">
        <v>10702</v>
      </c>
      <c r="L4233" s="12">
        <f>ROUNDUP(K4233*(1+P4233)/(1-Q4233),0)</f>
        <v>15289</v>
      </c>
      <c r="M4233" s="8">
        <v>1</v>
      </c>
      <c r="N4233" s="8" t="s">
        <v>27</v>
      </c>
      <c r="O4233" s="13"/>
      <c r="P4233" s="14">
        <v>0</v>
      </c>
      <c r="Q4233" s="15">
        <v>0.3</v>
      </c>
      <c r="R4233" s="16" t="str">
        <f t="shared" si="355"/>
        <v>SYLVANIA</v>
      </c>
      <c r="S4233" s="17"/>
      <c r="T4233" s="10"/>
    </row>
    <row r="4234" spans="1:20" ht="27" customHeight="1" x14ac:dyDescent="0.25">
      <c r="A4234" s="8" t="s">
        <v>7931</v>
      </c>
      <c r="B4234" s="9"/>
      <c r="C4234" s="9"/>
      <c r="D4234" s="8"/>
      <c r="E4234" s="8"/>
      <c r="F4234" s="8"/>
      <c r="G4234" s="10"/>
      <c r="H4234" s="8" t="s">
        <v>8764</v>
      </c>
      <c r="I4234" s="10" t="s">
        <v>8765</v>
      </c>
      <c r="J4234" s="11" t="s">
        <v>33</v>
      </c>
      <c r="K4234" s="18">
        <v>80205</v>
      </c>
      <c r="L4234" s="12">
        <f>ROUNDUP(K4234*(1+P4234)/(1-Q4234),0)</f>
        <v>114579</v>
      </c>
      <c r="M4234" s="8">
        <v>1</v>
      </c>
      <c r="N4234" s="8" t="s">
        <v>27</v>
      </c>
      <c r="O4234" s="13"/>
      <c r="P4234" s="14">
        <v>0</v>
      </c>
      <c r="Q4234" s="15">
        <v>0.3</v>
      </c>
      <c r="R4234" s="16" t="str">
        <f t="shared" si="355"/>
        <v>SYLVANIA</v>
      </c>
      <c r="S4234" s="17"/>
      <c r="T4234" s="10"/>
    </row>
    <row r="4235" spans="1:20" ht="27" customHeight="1" x14ac:dyDescent="0.25">
      <c r="A4235" s="8" t="s">
        <v>7931</v>
      </c>
      <c r="B4235" s="9"/>
      <c r="C4235" s="9"/>
      <c r="D4235" s="8"/>
      <c r="E4235" s="8"/>
      <c r="F4235" s="8"/>
      <c r="G4235" s="10"/>
      <c r="H4235" s="8" t="s">
        <v>8798</v>
      </c>
      <c r="I4235" s="10" t="s">
        <v>8799</v>
      </c>
      <c r="J4235" s="11" t="s">
        <v>33</v>
      </c>
      <c r="K4235" s="18">
        <v>105800</v>
      </c>
      <c r="L4235" s="12">
        <f t="shared" ref="L4235:L4241" si="359">IF(J4235="P",ROUNDUP(K4235/(1-Q4235),-2),K4235*(1+P4235)/(1-Q4235))</f>
        <v>132300</v>
      </c>
      <c r="M4235" s="8">
        <v>1</v>
      </c>
      <c r="N4235" s="8" t="s">
        <v>27</v>
      </c>
      <c r="O4235" s="13" t="s">
        <v>588</v>
      </c>
      <c r="P4235" s="14">
        <v>0</v>
      </c>
      <c r="Q4235" s="15">
        <v>0.2</v>
      </c>
      <c r="R4235" s="16" t="str">
        <f t="shared" si="355"/>
        <v>SYLVANIA</v>
      </c>
      <c r="S4235" s="17"/>
      <c r="T4235" s="10"/>
    </row>
    <row r="4236" spans="1:20" ht="27" customHeight="1" x14ac:dyDescent="0.25">
      <c r="A4236" s="8" t="s">
        <v>7931</v>
      </c>
      <c r="B4236" s="9"/>
      <c r="C4236" s="9"/>
      <c r="D4236" s="8"/>
      <c r="E4236" s="8"/>
      <c r="F4236" s="8"/>
      <c r="G4236" s="10"/>
      <c r="H4236" s="8" t="s">
        <v>8800</v>
      </c>
      <c r="I4236" s="10" t="s">
        <v>8801</v>
      </c>
      <c r="J4236" s="11" t="s">
        <v>33</v>
      </c>
      <c r="K4236" s="18">
        <v>15600</v>
      </c>
      <c r="L4236" s="12">
        <f t="shared" si="359"/>
        <v>26000</v>
      </c>
      <c r="M4236" s="8">
        <v>1</v>
      </c>
      <c r="N4236" s="8" t="s">
        <v>27</v>
      </c>
      <c r="O4236" s="13" t="s">
        <v>588</v>
      </c>
      <c r="P4236" s="14">
        <v>0</v>
      </c>
      <c r="Q4236" s="15">
        <v>0.4</v>
      </c>
      <c r="R4236" s="16" t="str">
        <f t="shared" si="355"/>
        <v>SYLVANIA</v>
      </c>
      <c r="S4236" s="17"/>
      <c r="T4236" s="10"/>
    </row>
    <row r="4237" spans="1:20" ht="27" customHeight="1" x14ac:dyDescent="0.25">
      <c r="A4237" s="8" t="s">
        <v>8802</v>
      </c>
      <c r="B4237" s="9" t="s">
        <v>812</v>
      </c>
      <c r="C4237" s="9"/>
      <c r="D4237" s="8"/>
      <c r="E4237" s="8"/>
      <c r="F4237" s="8" t="s">
        <v>22</v>
      </c>
      <c r="G4237" s="10" t="s">
        <v>8803</v>
      </c>
      <c r="H4237" s="8" t="s">
        <v>8804</v>
      </c>
      <c r="I4237" s="10" t="s">
        <v>8805</v>
      </c>
      <c r="J4237" s="11" t="s">
        <v>26</v>
      </c>
      <c r="K4237" s="18">
        <v>45.95</v>
      </c>
      <c r="L4237" s="12">
        <f t="shared" si="359"/>
        <v>78.771428571428572</v>
      </c>
      <c r="M4237" s="8">
        <v>1</v>
      </c>
      <c r="N4237" s="8" t="s">
        <v>27</v>
      </c>
      <c r="O4237" s="13"/>
      <c r="P4237" s="14">
        <v>0.2</v>
      </c>
      <c r="Q4237" s="15">
        <v>0.3</v>
      </c>
      <c r="R4237" s="16" t="str">
        <f t="shared" si="355"/>
        <v>SYSTEM SENSOR</v>
      </c>
      <c r="S4237" s="17"/>
      <c r="T4237" s="10" t="str">
        <f>G4237</f>
        <v>SENSOR DE HUMO Y TEMPERATURA DE DOS HILOS.</v>
      </c>
    </row>
    <row r="4238" spans="1:20" ht="27" customHeight="1" x14ac:dyDescent="0.25">
      <c r="A4238" s="8" t="s">
        <v>8806</v>
      </c>
      <c r="B4238" s="9" t="s">
        <v>8807</v>
      </c>
      <c r="C4238" s="9"/>
      <c r="D4238" s="8" t="s">
        <v>8807</v>
      </c>
      <c r="E4238" s="8"/>
      <c r="F4238" s="8" t="s">
        <v>22</v>
      </c>
      <c r="G4238" s="10" t="s">
        <v>8808</v>
      </c>
      <c r="H4238" s="8" t="s">
        <v>8809</v>
      </c>
      <c r="I4238" s="10" t="s">
        <v>8808</v>
      </c>
      <c r="J4238" s="11" t="s">
        <v>26</v>
      </c>
      <c r="K4238" s="18">
        <v>34</v>
      </c>
      <c r="L4238" s="12">
        <f t="shared" si="359"/>
        <v>58.285714285714285</v>
      </c>
      <c r="M4238" s="8">
        <v>1</v>
      </c>
      <c r="N4238" s="8" t="s">
        <v>27</v>
      </c>
      <c r="O4238" s="13"/>
      <c r="P4238" s="14">
        <v>0.2</v>
      </c>
      <c r="Q4238" s="15">
        <v>0.3</v>
      </c>
      <c r="R4238" s="16" t="str">
        <f t="shared" si="355"/>
        <v>SYSTEM_SENSOR</v>
      </c>
      <c r="S4238" s="17"/>
      <c r="T4238" s="10" t="str">
        <f>G4238</f>
        <v>SENSOR DE HUMO FOTO ELÉCTRICO Y DETECTOR TÉRMICO A 135 GRADOS.</v>
      </c>
    </row>
    <row r="4239" spans="1:20" ht="27" customHeight="1" x14ac:dyDescent="0.25">
      <c r="A4239" s="8" t="s">
        <v>7931</v>
      </c>
      <c r="B4239" s="9"/>
      <c r="C4239" s="9"/>
      <c r="D4239" s="8"/>
      <c r="E4239" s="8"/>
      <c r="F4239" s="8" t="s">
        <v>22</v>
      </c>
      <c r="G4239" s="10" t="s">
        <v>8810</v>
      </c>
      <c r="H4239" s="8" t="s">
        <v>8633</v>
      </c>
      <c r="I4239" s="10" t="s">
        <v>8810</v>
      </c>
      <c r="J4239" s="11" t="s">
        <v>33</v>
      </c>
      <c r="K4239" s="18">
        <v>12000</v>
      </c>
      <c r="L4239" s="12">
        <f t="shared" si="359"/>
        <v>20000</v>
      </c>
      <c r="M4239" s="8">
        <v>1</v>
      </c>
      <c r="N4239" s="8" t="s">
        <v>27</v>
      </c>
      <c r="O4239" s="13"/>
      <c r="P4239" s="14">
        <v>0.2</v>
      </c>
      <c r="Q4239" s="15">
        <v>0.4</v>
      </c>
      <c r="R4239" s="16" t="str">
        <f t="shared" si="355"/>
        <v>SYLVANIA</v>
      </c>
      <c r="S4239" s="17"/>
      <c r="T4239" s="10" t="str">
        <f>G4239</f>
        <v>LUMINARIA DE 8W, TEMPERATURA 4000K, FLUJO LUMINOSO DE 680 LUMENS.</v>
      </c>
    </row>
    <row r="4240" spans="1:20" ht="27" customHeight="1" x14ac:dyDescent="0.25">
      <c r="A4240" s="8" t="s">
        <v>8811</v>
      </c>
      <c r="B4240" s="9"/>
      <c r="C4240" s="9"/>
      <c r="D4240" s="8"/>
      <c r="E4240" s="8"/>
      <c r="F4240" s="8"/>
      <c r="G4240" s="10"/>
      <c r="H4240" s="8" t="s">
        <v>8812</v>
      </c>
      <c r="I4240" s="10" t="s">
        <v>8813</v>
      </c>
      <c r="J4240" s="11" t="s">
        <v>26</v>
      </c>
      <c r="K4240" s="18">
        <v>1500</v>
      </c>
      <c r="L4240" s="12">
        <f t="shared" si="359"/>
        <v>2571.4285714285716</v>
      </c>
      <c r="M4240" s="8">
        <v>1</v>
      </c>
      <c r="N4240" s="8" t="s">
        <v>27</v>
      </c>
      <c r="O4240" s="13">
        <f>F4240</f>
        <v>0</v>
      </c>
      <c r="P4240" s="14">
        <v>0.2</v>
      </c>
      <c r="Q4240" s="15">
        <v>0.3</v>
      </c>
      <c r="R4240" s="16" t="str">
        <f t="shared" si="355"/>
        <v>TASCAM</v>
      </c>
      <c r="S4240" s="17"/>
      <c r="T4240" s="10"/>
    </row>
    <row r="4241" spans="1:20" ht="27" customHeight="1" x14ac:dyDescent="0.25">
      <c r="A4241" s="8" t="s">
        <v>8814</v>
      </c>
      <c r="B4241" s="9"/>
      <c r="C4241" s="9"/>
      <c r="D4241" s="8"/>
      <c r="E4241" s="8"/>
      <c r="F4241" s="8"/>
      <c r="G4241" s="10"/>
      <c r="H4241" s="8" t="s">
        <v>8815</v>
      </c>
      <c r="I4241" s="10" t="s">
        <v>8816</v>
      </c>
      <c r="J4241" s="11" t="s">
        <v>26</v>
      </c>
      <c r="K4241" s="18">
        <v>350</v>
      </c>
      <c r="L4241" s="12">
        <f t="shared" si="359"/>
        <v>500.00000000000006</v>
      </c>
      <c r="M4241" s="8">
        <v>1</v>
      </c>
      <c r="N4241" s="8" t="s">
        <v>27</v>
      </c>
      <c r="O4241" s="13">
        <f>F4241</f>
        <v>0</v>
      </c>
      <c r="P4241" s="14">
        <v>0</v>
      </c>
      <c r="Q4241" s="15">
        <v>0.3</v>
      </c>
      <c r="R4241" s="16" t="str">
        <f t="shared" si="355"/>
        <v>TBAXO</v>
      </c>
      <c r="S4241" s="17" t="s">
        <v>8817</v>
      </c>
      <c r="T4241" s="10"/>
    </row>
    <row r="4242" spans="1:20" ht="27" customHeight="1" x14ac:dyDescent="0.25">
      <c r="A4242" s="8" t="s">
        <v>8818</v>
      </c>
      <c r="B4242" s="9"/>
      <c r="C4242" s="9"/>
      <c r="D4242" s="8" t="s">
        <v>45</v>
      </c>
      <c r="E4242" s="8"/>
      <c r="F4242" s="8" t="s">
        <v>22</v>
      </c>
      <c r="G4242" s="10" t="s">
        <v>8819</v>
      </c>
      <c r="H4242" s="8" t="s">
        <v>8820</v>
      </c>
      <c r="I4242" s="10" t="s">
        <v>8819</v>
      </c>
      <c r="J4242" s="11" t="s">
        <v>33</v>
      </c>
      <c r="K4242" s="18">
        <v>35000</v>
      </c>
      <c r="L4242" s="12">
        <f>ROUNDUP(K4242*(1+P4242)/(1-Q4242),0)</f>
        <v>50000</v>
      </c>
      <c r="M4242" s="8">
        <v>1</v>
      </c>
      <c r="N4242" s="8" t="s">
        <v>27</v>
      </c>
      <c r="O4242" s="13"/>
      <c r="P4242" s="14">
        <v>0</v>
      </c>
      <c r="Q4242" s="15">
        <v>0.3</v>
      </c>
      <c r="R4242" s="16" t="str">
        <f t="shared" si="355"/>
        <v>TCI</v>
      </c>
      <c r="S4242" s="17"/>
      <c r="T4242" s="10" t="str">
        <f>G4242</f>
        <v>DRIVER PARA CARGAS LED CON ATENUACIÓN 0-10 Y AJUSTABLE PARA CARGAS HASTA DE 50W.</v>
      </c>
    </row>
    <row r="4243" spans="1:20" ht="27" customHeight="1" x14ac:dyDescent="0.25">
      <c r="A4243" s="8" t="s">
        <v>8818</v>
      </c>
      <c r="B4243" s="9"/>
      <c r="C4243" s="9"/>
      <c r="D4243" s="8" t="s">
        <v>45</v>
      </c>
      <c r="E4243" s="8"/>
      <c r="F4243" s="8" t="s">
        <v>22</v>
      </c>
      <c r="G4243" s="10" t="s">
        <v>8821</v>
      </c>
      <c r="H4243" s="8" t="s">
        <v>8822</v>
      </c>
      <c r="I4243" s="10" t="s">
        <v>8821</v>
      </c>
      <c r="J4243" s="11" t="s">
        <v>33</v>
      </c>
      <c r="K4243" s="18">
        <v>35000</v>
      </c>
      <c r="L4243" s="12">
        <f>IF(J4243="P",ROUNDUP(K4243/(1-Q4243),-2),K4243*(1+P4243)/(1-Q4243))</f>
        <v>43800</v>
      </c>
      <c r="M4243" s="8">
        <v>1</v>
      </c>
      <c r="N4243" s="8" t="s">
        <v>27</v>
      </c>
      <c r="O4243" s="13"/>
      <c r="P4243" s="14">
        <v>0</v>
      </c>
      <c r="Q4243" s="15">
        <v>0.2</v>
      </c>
      <c r="R4243" s="16" t="str">
        <f t="shared" si="355"/>
        <v>TCI</v>
      </c>
      <c r="S4243" s="17"/>
      <c r="T4243" s="10" t="str">
        <f>G4243</f>
        <v>DRIVER DE HASTA 50 VATIOS CONFIGURABLE.</v>
      </c>
    </row>
    <row r="4244" spans="1:20" ht="27" customHeight="1" x14ac:dyDescent="0.25">
      <c r="A4244" s="8" t="s">
        <v>8823</v>
      </c>
      <c r="B4244" s="9" t="s">
        <v>1215</v>
      </c>
      <c r="C4244" s="9"/>
      <c r="D4244" s="8" t="s">
        <v>1225</v>
      </c>
      <c r="E4244" s="8">
        <v>2</v>
      </c>
      <c r="F4244" s="8" t="s">
        <v>22</v>
      </c>
      <c r="G4244" s="10" t="s">
        <v>8824</v>
      </c>
      <c r="H4244" s="8" t="s">
        <v>8825</v>
      </c>
      <c r="I4244" s="10" t="s">
        <v>8826</v>
      </c>
      <c r="J4244" s="11" t="s">
        <v>697</v>
      </c>
      <c r="K4244" s="18">
        <v>368000</v>
      </c>
      <c r="L4244" s="12">
        <f>IF(J4244="P",ROUNDUP(K4244/(1-Q4244),-2),K4244*(1+P4244)/(1-Q4244))</f>
        <v>525800</v>
      </c>
      <c r="M4244" s="8">
        <v>1</v>
      </c>
      <c r="N4244" s="8" t="s">
        <v>27</v>
      </c>
      <c r="O4244" s="13"/>
      <c r="P4244" s="14">
        <v>0.2</v>
      </c>
      <c r="Q4244" s="15">
        <v>0.3</v>
      </c>
      <c r="R4244" s="16" t="str">
        <f t="shared" si="355"/>
        <v xml:space="preserve">TECHCONNECT </v>
      </c>
      <c r="S4244" s="17"/>
      <c r="T4244" s="10" t="str">
        <f>G4244</f>
        <v>AMPLIFICADOR DE 30 VATIOS PARA 4 ENTRADAS ESTÉREO Y SALIDA PRE AMPLIFICADA.</v>
      </c>
    </row>
    <row r="4245" spans="1:20" ht="27" customHeight="1" x14ac:dyDescent="0.25">
      <c r="A4245" s="8" t="s">
        <v>8823</v>
      </c>
      <c r="B4245" s="9" t="s">
        <v>1215</v>
      </c>
      <c r="C4245" s="9"/>
      <c r="D4245" s="8" t="s">
        <v>1225</v>
      </c>
      <c r="E4245" s="8">
        <v>2</v>
      </c>
      <c r="F4245" s="8" t="s">
        <v>22</v>
      </c>
      <c r="G4245" s="10" t="s">
        <v>8827</v>
      </c>
      <c r="H4245" s="8" t="s">
        <v>8828</v>
      </c>
      <c r="I4245" s="10" t="s">
        <v>8827</v>
      </c>
      <c r="J4245" s="11" t="s">
        <v>33</v>
      </c>
      <c r="K4245" s="18">
        <v>249500</v>
      </c>
      <c r="L4245" s="12">
        <f>IF(J4245="P",ROUNDUP(K4245/(1-Q4245),-2),K4245*(1+P4245)/(1-Q4245))</f>
        <v>356500</v>
      </c>
      <c r="M4245" s="8">
        <v>1</v>
      </c>
      <c r="N4245" s="8" t="s">
        <v>27</v>
      </c>
      <c r="O4245" s="13"/>
      <c r="P4245" s="14">
        <v>0.2</v>
      </c>
      <c r="Q4245" s="15">
        <v>0.3</v>
      </c>
      <c r="R4245" s="16" t="str">
        <f t="shared" si="355"/>
        <v xml:space="preserve">TECHCONNECT </v>
      </c>
      <c r="S4245" s="17"/>
      <c r="T4245" s="10" t="str">
        <f>G4245</f>
        <v>ALTAVOCES A TECHO DE 30W.</v>
      </c>
    </row>
    <row r="4246" spans="1:20" ht="27" customHeight="1" x14ac:dyDescent="0.25">
      <c r="A4246" s="8" t="s">
        <v>8829</v>
      </c>
      <c r="B4246" s="9"/>
      <c r="C4246" s="9"/>
      <c r="D4246" s="8"/>
      <c r="E4246" s="8"/>
      <c r="F4246" s="8" t="s">
        <v>22</v>
      </c>
      <c r="G4246" s="10" t="s">
        <v>8830</v>
      </c>
      <c r="H4246" s="8" t="s">
        <v>8831</v>
      </c>
      <c r="I4246" s="10" t="s">
        <v>8830</v>
      </c>
      <c r="J4246" s="11" t="s">
        <v>33</v>
      </c>
      <c r="K4246" s="18">
        <v>48000</v>
      </c>
      <c r="L4246" s="12">
        <f>IF(J4246="P",ROUNDUP(K4246/(1-Q4246),-2),K4246*(1+P4246)/(1-Q4246))</f>
        <v>68600</v>
      </c>
      <c r="M4246" s="8">
        <v>1</v>
      </c>
      <c r="N4246" s="8" t="s">
        <v>27</v>
      </c>
      <c r="O4246" s="13"/>
      <c r="P4246" s="14">
        <v>0.2</v>
      </c>
      <c r="Q4246" s="15">
        <v>0.3</v>
      </c>
      <c r="R4246" s="16" t="str">
        <f t="shared" si="355"/>
        <v>TECHMAN</v>
      </c>
      <c r="S4246" s="17"/>
      <c r="T4246" s="10" t="str">
        <f>G4246</f>
        <v>CABLE DE 1.8 METROS CONVERSOR DE VGA A HDMI</v>
      </c>
    </row>
    <row r="4247" spans="1:20" ht="27" customHeight="1" x14ac:dyDescent="0.25">
      <c r="A4247" s="8" t="s">
        <v>8832</v>
      </c>
      <c r="B4247" s="9"/>
      <c r="C4247" s="9"/>
      <c r="D4247" s="8"/>
      <c r="E4247" s="8"/>
      <c r="F4247" s="8"/>
      <c r="G4247" s="10"/>
      <c r="H4247" s="8" t="s">
        <v>8833</v>
      </c>
      <c r="I4247" s="10" t="s">
        <v>8834</v>
      </c>
      <c r="J4247" s="11" t="s">
        <v>33</v>
      </c>
      <c r="K4247" s="18">
        <v>5900</v>
      </c>
      <c r="L4247" s="12">
        <f>ROUNDUP(K4247*(1+P4247)/(1-Q4247),0)</f>
        <v>11800</v>
      </c>
      <c r="M4247" s="8">
        <v>1</v>
      </c>
      <c r="N4247" s="8" t="s">
        <v>27</v>
      </c>
      <c r="O4247" s="13"/>
      <c r="P4247" s="14">
        <v>0</v>
      </c>
      <c r="Q4247" s="15">
        <v>0.5</v>
      </c>
      <c r="R4247" s="16" t="str">
        <f t="shared" si="355"/>
        <v>TECLASTAR</v>
      </c>
      <c r="S4247" s="17"/>
      <c r="T4247" s="10"/>
    </row>
    <row r="4248" spans="1:20" ht="27" customHeight="1" x14ac:dyDescent="0.25">
      <c r="A4248" s="8" t="s">
        <v>8832</v>
      </c>
      <c r="B4248" s="9"/>
      <c r="C4248" s="9"/>
      <c r="D4248" s="8"/>
      <c r="E4248" s="8"/>
      <c r="F4248" s="8"/>
      <c r="G4248" s="10"/>
      <c r="H4248" s="8" t="s">
        <v>8833</v>
      </c>
      <c r="I4248" s="10" t="s">
        <v>8835</v>
      </c>
      <c r="J4248" s="11" t="s">
        <v>33</v>
      </c>
      <c r="K4248" s="18">
        <v>6000</v>
      </c>
      <c r="L4248" s="12">
        <f t="shared" ref="L4248:L4279" si="360">IF(J4248="P",ROUNDUP(K4248/(1-Q4248),-2),K4248*(1+P4248)/(1-Q4248))</f>
        <v>12000</v>
      </c>
      <c r="M4248" s="8">
        <v>1</v>
      </c>
      <c r="N4248" s="8" t="s">
        <v>27</v>
      </c>
      <c r="O4248" s="13"/>
      <c r="P4248" s="14">
        <v>0</v>
      </c>
      <c r="Q4248" s="15">
        <v>0.5</v>
      </c>
      <c r="R4248" s="16" t="str">
        <f t="shared" si="355"/>
        <v>TECLASTAR</v>
      </c>
      <c r="S4248" s="17"/>
      <c r="T4248" s="10"/>
    </row>
    <row r="4249" spans="1:20" ht="27" customHeight="1" x14ac:dyDescent="0.25">
      <c r="A4249" s="8" t="s">
        <v>8836</v>
      </c>
      <c r="B4249" s="9"/>
      <c r="C4249" s="9"/>
      <c r="D4249" s="8"/>
      <c r="E4249" s="8"/>
      <c r="F4249" s="8"/>
      <c r="G4249" s="10"/>
      <c r="H4249" s="8" t="s">
        <v>8837</v>
      </c>
      <c r="I4249" s="10" t="s">
        <v>8838</v>
      </c>
      <c r="J4249" s="11" t="s">
        <v>33</v>
      </c>
      <c r="K4249" s="18">
        <v>9000</v>
      </c>
      <c r="L4249" s="12">
        <f t="shared" si="360"/>
        <v>12900</v>
      </c>
      <c r="M4249" s="8">
        <v>1</v>
      </c>
      <c r="N4249" s="8" t="s">
        <v>27</v>
      </c>
      <c r="O4249" s="13"/>
      <c r="P4249" s="14">
        <v>0</v>
      </c>
      <c r="Q4249" s="15">
        <v>0.3</v>
      </c>
      <c r="R4249" s="16" t="str">
        <f t="shared" si="355"/>
        <v>TECNOLITE</v>
      </c>
      <c r="S4249" s="17"/>
      <c r="T4249" s="10">
        <f t="shared" ref="T4249:T4280" si="361">G4249</f>
        <v>0</v>
      </c>
    </row>
    <row r="4250" spans="1:20" ht="27" customHeight="1" x14ac:dyDescent="0.25">
      <c r="A4250" s="8" t="s">
        <v>8836</v>
      </c>
      <c r="B4250" s="9" t="s">
        <v>683</v>
      </c>
      <c r="C4250" s="9"/>
      <c r="D4250" s="8" t="s">
        <v>684</v>
      </c>
      <c r="E4250" s="8"/>
      <c r="F4250" s="8" t="s">
        <v>22</v>
      </c>
      <c r="G4250" s="10" t="s">
        <v>8839</v>
      </c>
      <c r="H4250" s="8" t="s">
        <v>8840</v>
      </c>
      <c r="I4250" s="10" t="s">
        <v>8839</v>
      </c>
      <c r="J4250" s="11" t="s">
        <v>33</v>
      </c>
      <c r="K4250" s="18">
        <v>164400</v>
      </c>
      <c r="L4250" s="12">
        <f t="shared" si="360"/>
        <v>234900</v>
      </c>
      <c r="M4250" s="8">
        <v>1</v>
      </c>
      <c r="N4250" s="8" t="s">
        <v>27</v>
      </c>
      <c r="O4250" s="13"/>
      <c r="P4250" s="14">
        <v>0.2</v>
      </c>
      <c r="Q4250" s="15">
        <v>0.3</v>
      </c>
      <c r="R4250" s="16" t="str">
        <f t="shared" si="355"/>
        <v>TECNOLITE</v>
      </c>
      <c r="S4250" s="17"/>
      <c r="T4250" s="10" t="str">
        <f t="shared" si="361"/>
        <v>POSTE EN ALUMINIO CON PINTURA ELECTRO ESTÁTICA NEGRA. BOMBILLA LED.</v>
      </c>
    </row>
    <row r="4251" spans="1:20" ht="27" customHeight="1" x14ac:dyDescent="0.25">
      <c r="A4251" s="8" t="s">
        <v>8836</v>
      </c>
      <c r="B4251" s="9" t="s">
        <v>683</v>
      </c>
      <c r="C4251" s="9"/>
      <c r="D4251" s="8" t="s">
        <v>684</v>
      </c>
      <c r="E4251" s="8"/>
      <c r="F4251" s="8" t="s">
        <v>22</v>
      </c>
      <c r="G4251" s="10" t="s">
        <v>8841</v>
      </c>
      <c r="H4251" s="8" t="s">
        <v>8842</v>
      </c>
      <c r="I4251" s="10" t="s">
        <v>8841</v>
      </c>
      <c r="J4251" s="11" t="s">
        <v>33</v>
      </c>
      <c r="K4251" s="18">
        <v>338400</v>
      </c>
      <c r="L4251" s="12">
        <f t="shared" si="360"/>
        <v>483500</v>
      </c>
      <c r="M4251" s="8">
        <v>1</v>
      </c>
      <c r="N4251" s="8" t="s">
        <v>27</v>
      </c>
      <c r="O4251" s="13"/>
      <c r="P4251" s="14">
        <v>0.2</v>
      </c>
      <c r="Q4251" s="15">
        <v>0.3</v>
      </c>
      <c r="R4251" s="16" t="str">
        <f t="shared" si="355"/>
        <v>TECNOLITE</v>
      </c>
      <c r="S4251" s="17"/>
      <c r="T4251" s="10" t="str">
        <f t="shared" si="361"/>
        <v>POSTE EN ACERO INOXIDABLE. BOMBILLA LED.</v>
      </c>
    </row>
    <row r="4252" spans="1:20" ht="27" customHeight="1" x14ac:dyDescent="0.25">
      <c r="A4252" s="8" t="s">
        <v>8836</v>
      </c>
      <c r="B4252" s="9" t="s">
        <v>683</v>
      </c>
      <c r="C4252" s="9"/>
      <c r="D4252" s="8" t="s">
        <v>684</v>
      </c>
      <c r="E4252" s="8"/>
      <c r="F4252" s="8" t="s">
        <v>22</v>
      </c>
      <c r="G4252" s="10" t="s">
        <v>8841</v>
      </c>
      <c r="H4252" s="8" t="s">
        <v>8843</v>
      </c>
      <c r="I4252" s="10" t="s">
        <v>8841</v>
      </c>
      <c r="J4252" s="11" t="s">
        <v>33</v>
      </c>
      <c r="K4252" s="18">
        <v>273600</v>
      </c>
      <c r="L4252" s="12">
        <f t="shared" si="360"/>
        <v>390900</v>
      </c>
      <c r="M4252" s="8">
        <v>1</v>
      </c>
      <c r="N4252" s="8" t="s">
        <v>27</v>
      </c>
      <c r="O4252" s="13"/>
      <c r="P4252" s="14">
        <v>0.2</v>
      </c>
      <c r="Q4252" s="15">
        <v>0.3</v>
      </c>
      <c r="R4252" s="16" t="str">
        <f t="shared" si="355"/>
        <v>TECNOLITE</v>
      </c>
      <c r="S4252" s="17"/>
      <c r="T4252" s="10" t="str">
        <f t="shared" si="361"/>
        <v>POSTE EN ACERO INOXIDABLE. BOMBILLA LED.</v>
      </c>
    </row>
    <row r="4253" spans="1:20" ht="27" customHeight="1" x14ac:dyDescent="0.25">
      <c r="A4253" s="8" t="s">
        <v>8836</v>
      </c>
      <c r="B4253" s="9" t="s">
        <v>683</v>
      </c>
      <c r="C4253" s="9"/>
      <c r="D4253" s="8" t="s">
        <v>684</v>
      </c>
      <c r="E4253" s="8"/>
      <c r="F4253" s="8" t="s">
        <v>22</v>
      </c>
      <c r="G4253" s="10" t="s">
        <v>8841</v>
      </c>
      <c r="H4253" s="8" t="s">
        <v>8844</v>
      </c>
      <c r="I4253" s="10" t="s">
        <v>8841</v>
      </c>
      <c r="J4253" s="11" t="s">
        <v>33</v>
      </c>
      <c r="K4253" s="18">
        <v>217000</v>
      </c>
      <c r="L4253" s="12">
        <f t="shared" si="360"/>
        <v>310000</v>
      </c>
      <c r="M4253" s="8">
        <v>1</v>
      </c>
      <c r="N4253" s="8" t="s">
        <v>27</v>
      </c>
      <c r="O4253" s="13"/>
      <c r="P4253" s="14">
        <v>0.2</v>
      </c>
      <c r="Q4253" s="15">
        <v>0.3</v>
      </c>
      <c r="R4253" s="16" t="str">
        <f t="shared" si="355"/>
        <v>TECNOLITE</v>
      </c>
      <c r="S4253" s="17"/>
      <c r="T4253" s="10" t="str">
        <f t="shared" si="361"/>
        <v>POSTE EN ACERO INOXIDABLE. BOMBILLA LED.</v>
      </c>
    </row>
    <row r="4254" spans="1:20" ht="27" customHeight="1" x14ac:dyDescent="0.25">
      <c r="A4254" s="8" t="s">
        <v>8836</v>
      </c>
      <c r="B4254" s="9" t="s">
        <v>683</v>
      </c>
      <c r="C4254" s="9"/>
      <c r="D4254" s="8" t="s">
        <v>684</v>
      </c>
      <c r="E4254" s="8"/>
      <c r="F4254" s="8" t="s">
        <v>22</v>
      </c>
      <c r="G4254" s="10" t="s">
        <v>8845</v>
      </c>
      <c r="H4254" s="8" t="s">
        <v>8846</v>
      </c>
      <c r="I4254" s="10" t="s">
        <v>8845</v>
      </c>
      <c r="J4254" s="11" t="s">
        <v>26</v>
      </c>
      <c r="K4254" s="18">
        <f>(115000+75000*2)</f>
        <v>265000</v>
      </c>
      <c r="L4254" s="12">
        <f t="shared" si="360"/>
        <v>397500</v>
      </c>
      <c r="M4254" s="8">
        <v>1</v>
      </c>
      <c r="N4254" s="8" t="s">
        <v>27</v>
      </c>
      <c r="O4254" s="13"/>
      <c r="P4254" s="14">
        <v>0.2</v>
      </c>
      <c r="Q4254" s="15">
        <v>0.2</v>
      </c>
      <c r="R4254" s="16" t="str">
        <f t="shared" si="355"/>
        <v>TECNOLITE</v>
      </c>
      <c r="S4254" s="17"/>
      <c r="T4254" s="10" t="str">
        <f t="shared" si="361"/>
        <v>LUMINARIA TIPO CARDAN DOBLE RECESADA CON FONDO NEGRO, PINTURA ELECTROESTÁTICA.</v>
      </c>
    </row>
    <row r="4255" spans="1:20" ht="27" customHeight="1" x14ac:dyDescent="0.25">
      <c r="A4255" s="8" t="s">
        <v>8836</v>
      </c>
      <c r="B4255" s="9" t="s">
        <v>8236</v>
      </c>
      <c r="C4255" s="9"/>
      <c r="D4255" s="8" t="s">
        <v>5905</v>
      </c>
      <c r="E4255" s="8">
        <v>2</v>
      </c>
      <c r="F4255" s="8" t="s">
        <v>22</v>
      </c>
      <c r="G4255" s="10" t="s">
        <v>8847</v>
      </c>
      <c r="H4255" s="8" t="s">
        <v>8848</v>
      </c>
      <c r="I4255" s="10" t="s">
        <v>8847</v>
      </c>
      <c r="J4255" s="11" t="s">
        <v>33</v>
      </c>
      <c r="K4255" s="18">
        <v>155000</v>
      </c>
      <c r="L4255" s="12">
        <f t="shared" si="360"/>
        <v>221500</v>
      </c>
      <c r="M4255" s="8">
        <v>1</v>
      </c>
      <c r="N4255" s="8" t="s">
        <v>27</v>
      </c>
      <c r="O4255" s="13"/>
      <c r="P4255" s="14">
        <v>0.2</v>
      </c>
      <c r="Q4255" s="15">
        <v>0.3</v>
      </c>
      <c r="R4255" s="16" t="str">
        <f t="shared" si="355"/>
        <v>TECNOLITE</v>
      </c>
      <c r="S4255" s="17"/>
      <c r="T4255" s="10" t="str">
        <f t="shared" si="361"/>
        <v>MODULO PARA ATENUACIÓN DE CINTA LED</v>
      </c>
    </row>
    <row r="4256" spans="1:20" ht="27" customHeight="1" x14ac:dyDescent="0.25">
      <c r="A4256" s="8" t="s">
        <v>8836</v>
      </c>
      <c r="B4256" s="9" t="s">
        <v>8236</v>
      </c>
      <c r="C4256" s="9"/>
      <c r="D4256" s="8" t="s">
        <v>205</v>
      </c>
      <c r="E4256" s="8">
        <v>1</v>
      </c>
      <c r="F4256" s="8" t="s">
        <v>22</v>
      </c>
      <c r="G4256" s="10" t="s">
        <v>8849</v>
      </c>
      <c r="H4256" s="8" t="s">
        <v>8850</v>
      </c>
      <c r="I4256" s="10" t="s">
        <v>8849</v>
      </c>
      <c r="J4256" s="11" t="s">
        <v>33</v>
      </c>
      <c r="K4256" s="18">
        <v>15000</v>
      </c>
      <c r="L4256" s="12">
        <f t="shared" si="360"/>
        <v>25000</v>
      </c>
      <c r="M4256" s="8">
        <v>1</v>
      </c>
      <c r="N4256" s="8" t="s">
        <v>27</v>
      </c>
      <c r="O4256" s="13"/>
      <c r="P4256" s="14">
        <v>0.2</v>
      </c>
      <c r="Q4256" s="15">
        <v>0.4</v>
      </c>
      <c r="R4256" s="16" t="str">
        <f t="shared" si="355"/>
        <v>TECNOLITE</v>
      </c>
      <c r="S4256" s="17"/>
      <c r="T4256" s="10" t="str">
        <f t="shared" si="361"/>
        <v>FUENTE DE ALIMENTACIÓN A 12V.</v>
      </c>
    </row>
    <row r="4257" spans="1:20" ht="27" customHeight="1" x14ac:dyDescent="0.25">
      <c r="A4257" s="8" t="s">
        <v>8836</v>
      </c>
      <c r="B4257" s="9" t="s">
        <v>8236</v>
      </c>
      <c r="C4257" s="9"/>
      <c r="D4257" s="8" t="s">
        <v>94</v>
      </c>
      <c r="E4257" s="8">
        <v>4</v>
      </c>
      <c r="F4257" s="8" t="s">
        <v>22</v>
      </c>
      <c r="G4257" s="10" t="s">
        <v>8851</v>
      </c>
      <c r="H4257" s="8" t="s">
        <v>8852</v>
      </c>
      <c r="I4257" s="10" t="s">
        <v>8851</v>
      </c>
      <c r="J4257" s="11" t="s">
        <v>33</v>
      </c>
      <c r="K4257" s="18">
        <v>128000</v>
      </c>
      <c r="L4257" s="12">
        <f t="shared" si="360"/>
        <v>182900</v>
      </c>
      <c r="M4257" s="8">
        <v>1</v>
      </c>
      <c r="N4257" s="8" t="s">
        <v>27</v>
      </c>
      <c r="O4257" s="13"/>
      <c r="P4257" s="14">
        <v>0.2</v>
      </c>
      <c r="Q4257" s="15">
        <v>0.3</v>
      </c>
      <c r="R4257" s="16" t="str">
        <f t="shared" si="355"/>
        <v>TECNOLITE</v>
      </c>
      <c r="S4257" s="17"/>
      <c r="T4257" s="10" t="str">
        <f t="shared" si="361"/>
        <v xml:space="preserve">LUMINARIA LED EN ACERO SATINADO COLOR BLANCO CÁLIDO DE 3000K. </v>
      </c>
    </row>
    <row r="4258" spans="1:20" ht="27" customHeight="1" x14ac:dyDescent="0.25">
      <c r="A4258" s="8" t="s">
        <v>8836</v>
      </c>
      <c r="B4258" s="9" t="s">
        <v>93</v>
      </c>
      <c r="C4258" s="9"/>
      <c r="D4258" s="8" t="s">
        <v>94</v>
      </c>
      <c r="E4258" s="8"/>
      <c r="F4258" s="8" t="s">
        <v>22</v>
      </c>
      <c r="G4258" s="10" t="s">
        <v>8853</v>
      </c>
      <c r="H4258" s="8" t="s">
        <v>8854</v>
      </c>
      <c r="I4258" s="10" t="s">
        <v>8855</v>
      </c>
      <c r="J4258" s="11" t="s">
        <v>26</v>
      </c>
      <c r="K4258" s="18">
        <v>11.5</v>
      </c>
      <c r="L4258" s="12">
        <f t="shared" si="360"/>
        <v>23</v>
      </c>
      <c r="M4258" s="8">
        <v>1</v>
      </c>
      <c r="N4258" s="8" t="s">
        <v>27</v>
      </c>
      <c r="O4258" s="13"/>
      <c r="P4258" s="14">
        <v>0.2</v>
      </c>
      <c r="Q4258" s="15">
        <v>0.4</v>
      </c>
      <c r="R4258" s="16" t="str">
        <f t="shared" si="355"/>
        <v>TECNOLITE</v>
      </c>
      <c r="S4258" s="17"/>
      <c r="T4258" s="10" t="str">
        <f t="shared" si="361"/>
        <v>LUMINARIA RECESADA INYECTADA EN COLOR BLANCO, CON BOMBILLA LED ATENUABLE A 110V.</v>
      </c>
    </row>
    <row r="4259" spans="1:20" ht="27" customHeight="1" x14ac:dyDescent="0.25">
      <c r="A4259" s="8" t="s">
        <v>8836</v>
      </c>
      <c r="B4259" s="9" t="s">
        <v>93</v>
      </c>
      <c r="C4259" s="9"/>
      <c r="D4259" s="8" t="s">
        <v>2087</v>
      </c>
      <c r="E4259" s="8"/>
      <c r="F4259" s="8" t="s">
        <v>22</v>
      </c>
      <c r="G4259" s="10" t="s">
        <v>8856</v>
      </c>
      <c r="H4259" s="8" t="s">
        <v>8857</v>
      </c>
      <c r="I4259" s="10" t="s">
        <v>8856</v>
      </c>
      <c r="J4259" s="11" t="s">
        <v>33</v>
      </c>
      <c r="K4259" s="18">
        <v>85200</v>
      </c>
      <c r="L4259" s="12">
        <f t="shared" si="360"/>
        <v>121800</v>
      </c>
      <c r="M4259" s="8">
        <v>1</v>
      </c>
      <c r="N4259" s="8" t="s">
        <v>27</v>
      </c>
      <c r="O4259" s="13"/>
      <c r="P4259" s="14">
        <v>0.2</v>
      </c>
      <c r="Q4259" s="15">
        <v>0.3</v>
      </c>
      <c r="R4259" s="16" t="str">
        <f t="shared" si="355"/>
        <v>TECNOLITE</v>
      </c>
      <c r="S4259" s="17"/>
      <c r="T4259" s="10" t="str">
        <f t="shared" si="361"/>
        <v>BALA DE PISO EN ACERO INOXIDABLE PARA BOMBILLA GU10.</v>
      </c>
    </row>
    <row r="4260" spans="1:20" ht="27" customHeight="1" x14ac:dyDescent="0.25">
      <c r="A4260" s="8" t="s">
        <v>8836</v>
      </c>
      <c r="B4260" s="9" t="s">
        <v>2277</v>
      </c>
      <c r="C4260" s="9"/>
      <c r="D4260" s="8" t="s">
        <v>2087</v>
      </c>
      <c r="E4260" s="8"/>
      <c r="F4260" s="8" t="s">
        <v>22</v>
      </c>
      <c r="G4260" s="10" t="s">
        <v>8858</v>
      </c>
      <c r="H4260" s="8" t="s">
        <v>8859</v>
      </c>
      <c r="I4260" s="10" t="s">
        <v>8858</v>
      </c>
      <c r="J4260" s="11" t="s">
        <v>33</v>
      </c>
      <c r="K4260" s="18">
        <v>217000</v>
      </c>
      <c r="L4260" s="12">
        <f t="shared" si="360"/>
        <v>361700</v>
      </c>
      <c r="M4260" s="8">
        <v>1</v>
      </c>
      <c r="N4260" s="8" t="s">
        <v>27</v>
      </c>
      <c r="O4260" s="13"/>
      <c r="P4260" s="14">
        <v>0.2</v>
      </c>
      <c r="Q4260" s="15">
        <v>0.4</v>
      </c>
      <c r="R4260" s="16" t="str">
        <f t="shared" si="355"/>
        <v>TECNOLITE</v>
      </c>
      <c r="S4260" s="17"/>
      <c r="T4260" s="10" t="str">
        <f t="shared" si="361"/>
        <v>POSTE DE SOBREPONER EN ACERO INOXIDABLE</v>
      </c>
    </row>
    <row r="4261" spans="1:20" ht="27" customHeight="1" x14ac:dyDescent="0.25">
      <c r="A4261" s="8" t="s">
        <v>8836</v>
      </c>
      <c r="B4261" s="9" t="s">
        <v>2277</v>
      </c>
      <c r="C4261" s="9"/>
      <c r="D4261" s="8" t="s">
        <v>2087</v>
      </c>
      <c r="E4261" s="8"/>
      <c r="F4261" s="8" t="s">
        <v>22</v>
      </c>
      <c r="G4261" s="10" t="s">
        <v>8860</v>
      </c>
      <c r="H4261" s="8" t="s">
        <v>8861</v>
      </c>
      <c r="I4261" s="10" t="s">
        <v>8862</v>
      </c>
      <c r="J4261" s="11" t="s">
        <v>33</v>
      </c>
      <c r="K4261" s="18">
        <f>(115000+75000*2)</f>
        <v>265000</v>
      </c>
      <c r="L4261" s="12">
        <f t="shared" si="360"/>
        <v>378600</v>
      </c>
      <c r="M4261" s="8">
        <v>1</v>
      </c>
      <c r="N4261" s="8" t="s">
        <v>27</v>
      </c>
      <c r="O4261" s="13"/>
      <c r="P4261" s="14">
        <v>0.2</v>
      </c>
      <c r="Q4261" s="15">
        <v>0.3</v>
      </c>
      <c r="R4261" s="16" t="str">
        <f t="shared" si="355"/>
        <v>TECNOLITE</v>
      </c>
      <c r="S4261" s="17"/>
      <c r="T4261" s="10" t="str">
        <f t="shared" si="361"/>
        <v>CARDAN PARA DOS LUMINARIA AR111, CON PINTURA ELECTROESTÁTICA.</v>
      </c>
    </row>
    <row r="4262" spans="1:20" ht="27" customHeight="1" x14ac:dyDescent="0.25">
      <c r="A4262" s="8" t="s">
        <v>8836</v>
      </c>
      <c r="B4262" s="9" t="s">
        <v>2277</v>
      </c>
      <c r="C4262" s="9"/>
      <c r="D4262" s="8" t="s">
        <v>2087</v>
      </c>
      <c r="E4262" s="8"/>
      <c r="F4262" s="8" t="s">
        <v>22</v>
      </c>
      <c r="G4262" s="10" t="s">
        <v>8863</v>
      </c>
      <c r="H4262" s="8" t="s">
        <v>8864</v>
      </c>
      <c r="I4262" s="10" t="s">
        <v>8865</v>
      </c>
      <c r="J4262" s="11" t="s">
        <v>33</v>
      </c>
      <c r="K4262" s="18">
        <f>53000+75000</f>
        <v>128000</v>
      </c>
      <c r="L4262" s="12">
        <f t="shared" si="360"/>
        <v>182900</v>
      </c>
      <c r="M4262" s="8">
        <v>1</v>
      </c>
      <c r="N4262" s="8" t="s">
        <v>27</v>
      </c>
      <c r="O4262" s="13"/>
      <c r="P4262" s="14">
        <v>0.2</v>
      </c>
      <c r="Q4262" s="15">
        <v>0.3</v>
      </c>
      <c r="R4262" s="16" t="str">
        <f t="shared" si="355"/>
        <v>TECNOLITE</v>
      </c>
      <c r="S4262" s="17"/>
      <c r="T4262" s="10" t="str">
        <f t="shared" si="361"/>
        <v>CARDAN PARA UNA LUMINARIA AR111, CON PINTURA ELECTROESTÁTICA.</v>
      </c>
    </row>
    <row r="4263" spans="1:20" ht="27" customHeight="1" x14ac:dyDescent="0.25">
      <c r="A4263" s="8" t="s">
        <v>8836</v>
      </c>
      <c r="B4263" s="9" t="s">
        <v>8236</v>
      </c>
      <c r="C4263" s="9"/>
      <c r="D4263" s="8" t="s">
        <v>2087</v>
      </c>
      <c r="E4263" s="8"/>
      <c r="F4263" s="8" t="s">
        <v>22</v>
      </c>
      <c r="G4263" s="10" t="s">
        <v>8866</v>
      </c>
      <c r="H4263" s="8" t="s">
        <v>8867</v>
      </c>
      <c r="I4263" s="10" t="s">
        <v>8866</v>
      </c>
      <c r="J4263" s="11" t="s">
        <v>33</v>
      </c>
      <c r="K4263" s="18">
        <v>410000</v>
      </c>
      <c r="L4263" s="12">
        <f t="shared" si="360"/>
        <v>512500</v>
      </c>
      <c r="M4263" s="8">
        <v>1</v>
      </c>
      <c r="N4263" s="8" t="s">
        <v>27</v>
      </c>
      <c r="O4263" s="13"/>
      <c r="P4263" s="14">
        <v>0.2</v>
      </c>
      <c r="Q4263" s="15">
        <v>0.2</v>
      </c>
      <c r="R4263" s="16" t="str">
        <f t="shared" si="355"/>
        <v>TECNOLITE</v>
      </c>
      <c r="S4263" s="17"/>
      <c r="T4263" s="10" t="str">
        <f t="shared" si="361"/>
        <v>LUMINARIA PARA EXTERIOR DE 18 VATIOS, 69 LUMENS DIRECCIONABLE.</v>
      </c>
    </row>
    <row r="4264" spans="1:20" ht="27" customHeight="1" x14ac:dyDescent="0.25">
      <c r="A4264" s="8" t="s">
        <v>8836</v>
      </c>
      <c r="B4264" s="9" t="s">
        <v>8236</v>
      </c>
      <c r="C4264" s="9"/>
      <c r="D4264" s="8" t="s">
        <v>2087</v>
      </c>
      <c r="E4264" s="8"/>
      <c r="F4264" s="8" t="s">
        <v>22</v>
      </c>
      <c r="G4264" s="10" t="s">
        <v>8868</v>
      </c>
      <c r="H4264" s="8" t="s">
        <v>8869</v>
      </c>
      <c r="I4264" s="10" t="s">
        <v>8868</v>
      </c>
      <c r="J4264" s="11" t="s">
        <v>33</v>
      </c>
      <c r="K4264" s="18">
        <v>171000</v>
      </c>
      <c r="L4264" s="12">
        <f t="shared" si="360"/>
        <v>228000</v>
      </c>
      <c r="M4264" s="8">
        <v>1</v>
      </c>
      <c r="N4264" s="8" t="s">
        <v>27</v>
      </c>
      <c r="O4264" s="13"/>
      <c r="P4264" s="14">
        <v>0.2</v>
      </c>
      <c r="Q4264" s="15">
        <v>0.25</v>
      </c>
      <c r="R4264" s="16" t="str">
        <f t="shared" si="355"/>
        <v>TECNOLITE</v>
      </c>
      <c r="S4264" s="17"/>
      <c r="T4264" s="10" t="str">
        <f t="shared" si="361"/>
        <v>LUMINARIA CILÍNDRICA DE EXTERIORES, EN ACERO SATINADO. CONSUMO DE 40 VATIOS.</v>
      </c>
    </row>
    <row r="4265" spans="1:20" ht="27" customHeight="1" x14ac:dyDescent="0.25">
      <c r="A4265" s="8" t="s">
        <v>8836</v>
      </c>
      <c r="B4265" s="9" t="s">
        <v>8236</v>
      </c>
      <c r="C4265" s="9"/>
      <c r="D4265" s="8" t="s">
        <v>2087</v>
      </c>
      <c r="E4265" s="8"/>
      <c r="F4265" s="8" t="s">
        <v>22</v>
      </c>
      <c r="G4265" s="10" t="s">
        <v>8870</v>
      </c>
      <c r="H4265" s="8" t="s">
        <v>8871</v>
      </c>
      <c r="I4265" s="10" t="s">
        <v>8870</v>
      </c>
      <c r="J4265" s="11" t="s">
        <v>33</v>
      </c>
      <c r="K4265" s="18">
        <v>211210</v>
      </c>
      <c r="L4265" s="12">
        <f t="shared" si="360"/>
        <v>301800</v>
      </c>
      <c r="M4265" s="8">
        <v>1</v>
      </c>
      <c r="N4265" s="8" t="s">
        <v>27</v>
      </c>
      <c r="O4265" s="13"/>
      <c r="P4265" s="14">
        <v>0.2</v>
      </c>
      <c r="Q4265" s="15">
        <v>0.3</v>
      </c>
      <c r="R4265" s="16" t="str">
        <f t="shared" si="355"/>
        <v>TECNOLITE</v>
      </c>
      <c r="S4265" s="17"/>
      <c r="T4265" s="10" t="str">
        <f t="shared" si="361"/>
        <v>LUMINARIA DE EXTERIOR IP65 DE 30 VATIOS, 2700 LUMENS. 5700K.</v>
      </c>
    </row>
    <row r="4266" spans="1:20" ht="27" customHeight="1" x14ac:dyDescent="0.25">
      <c r="A4266" s="8" t="s">
        <v>8836</v>
      </c>
      <c r="B4266" s="9" t="s">
        <v>8236</v>
      </c>
      <c r="C4266" s="9"/>
      <c r="D4266" s="8" t="s">
        <v>2087</v>
      </c>
      <c r="E4266" s="8"/>
      <c r="F4266" s="8" t="s">
        <v>22</v>
      </c>
      <c r="G4266" s="10" t="s">
        <v>8872</v>
      </c>
      <c r="H4266" s="8" t="s">
        <v>8873</v>
      </c>
      <c r="I4266" s="10" t="s">
        <v>8872</v>
      </c>
      <c r="J4266" s="11" t="s">
        <v>33</v>
      </c>
      <c r="K4266" s="18">
        <v>398920</v>
      </c>
      <c r="L4266" s="12">
        <f t="shared" si="360"/>
        <v>531900</v>
      </c>
      <c r="M4266" s="8">
        <v>1</v>
      </c>
      <c r="N4266" s="8" t="s">
        <v>27</v>
      </c>
      <c r="O4266" s="13"/>
      <c r="P4266" s="14">
        <v>0.2</v>
      </c>
      <c r="Q4266" s="15">
        <v>0.25</v>
      </c>
      <c r="R4266" s="16" t="str">
        <f t="shared" si="355"/>
        <v>TECNOLITE</v>
      </c>
      <c r="S4266" s="17"/>
      <c r="T4266" s="10" t="str">
        <f t="shared" si="361"/>
        <v xml:space="preserve">LUMINARIA DE EXTERIOR IP65 DE 60 VATIOS, 5400 LUMENS. </v>
      </c>
    </row>
    <row r="4267" spans="1:20" ht="27" customHeight="1" x14ac:dyDescent="0.25">
      <c r="A4267" s="8" t="s">
        <v>8836</v>
      </c>
      <c r="B4267" s="9" t="s">
        <v>8236</v>
      </c>
      <c r="C4267" s="9"/>
      <c r="D4267" s="8" t="s">
        <v>2087</v>
      </c>
      <c r="E4267" s="8"/>
      <c r="F4267" s="8" t="s">
        <v>22</v>
      </c>
      <c r="G4267" s="10" t="s">
        <v>8874</v>
      </c>
      <c r="H4267" s="8" t="s">
        <v>8875</v>
      </c>
      <c r="I4267" s="10" t="s">
        <v>8874</v>
      </c>
      <c r="J4267" s="11" t="s">
        <v>33</v>
      </c>
      <c r="K4267" s="18">
        <v>150000</v>
      </c>
      <c r="L4267" s="12">
        <f t="shared" si="360"/>
        <v>187500</v>
      </c>
      <c r="M4267" s="8">
        <v>1</v>
      </c>
      <c r="N4267" s="8" t="s">
        <v>27</v>
      </c>
      <c r="O4267" s="13"/>
      <c r="P4267" s="14">
        <v>0.2</v>
      </c>
      <c r="Q4267" s="15">
        <v>0.2</v>
      </c>
      <c r="R4267" s="16" t="str">
        <f t="shared" si="355"/>
        <v>TECNOLITE</v>
      </c>
      <c r="S4267" s="17"/>
      <c r="T4267" s="10" t="str">
        <f t="shared" si="361"/>
        <v>LAMPARA REFLECTOR DIRECCIONABLE DE 3 VATIOS, IP65. 3000K, 150LM.</v>
      </c>
    </row>
    <row r="4268" spans="1:20" ht="27" customHeight="1" x14ac:dyDescent="0.25">
      <c r="A4268" s="8" t="s">
        <v>8836</v>
      </c>
      <c r="B4268" s="9" t="s">
        <v>93</v>
      </c>
      <c r="C4268" s="9"/>
      <c r="D4268" s="8" t="s">
        <v>93</v>
      </c>
      <c r="E4268" s="8"/>
      <c r="F4268" s="8" t="s">
        <v>22</v>
      </c>
      <c r="G4268" s="10" t="s">
        <v>8876</v>
      </c>
      <c r="H4268" s="8" t="s">
        <v>8877</v>
      </c>
      <c r="I4268" s="10" t="s">
        <v>8876</v>
      </c>
      <c r="J4268" s="11" t="s">
        <v>26</v>
      </c>
      <c r="K4268" s="18">
        <v>202631</v>
      </c>
      <c r="L4268" s="12">
        <f t="shared" si="360"/>
        <v>286067.29411764705</v>
      </c>
      <c r="M4268" s="8">
        <v>1</v>
      </c>
      <c r="N4268" s="8" t="s">
        <v>27</v>
      </c>
      <c r="O4268" s="13"/>
      <c r="P4268" s="14">
        <v>0.2</v>
      </c>
      <c r="Q4268" s="15">
        <v>0.15</v>
      </c>
      <c r="R4268" s="16" t="str">
        <f t="shared" si="355"/>
        <v>TECNOLITE</v>
      </c>
      <c r="S4268" s="17"/>
      <c r="T4268" s="10" t="str">
        <f t="shared" si="361"/>
        <v>APLIQUE PARA EXTERIOR LED DE 11 VATIOS.</v>
      </c>
    </row>
    <row r="4269" spans="1:20" ht="27" customHeight="1" x14ac:dyDescent="0.25">
      <c r="A4269" s="8" t="s">
        <v>8836</v>
      </c>
      <c r="B4269" s="9" t="s">
        <v>93</v>
      </c>
      <c r="C4269" s="9"/>
      <c r="D4269" s="8" t="s">
        <v>93</v>
      </c>
      <c r="E4269" s="8"/>
      <c r="F4269" s="8" t="s">
        <v>22</v>
      </c>
      <c r="G4269" s="10" t="s">
        <v>8878</v>
      </c>
      <c r="H4269" s="8" t="s">
        <v>8879</v>
      </c>
      <c r="I4269" s="10" t="s">
        <v>8878</v>
      </c>
      <c r="J4269" s="11" t="s">
        <v>26</v>
      </c>
      <c r="K4269" s="18">
        <v>109800</v>
      </c>
      <c r="L4269" s="12">
        <f t="shared" si="360"/>
        <v>155011.76470588235</v>
      </c>
      <c r="M4269" s="8">
        <v>1</v>
      </c>
      <c r="N4269" s="8" t="s">
        <v>27</v>
      </c>
      <c r="O4269" s="13"/>
      <c r="P4269" s="14">
        <v>0.2</v>
      </c>
      <c r="Q4269" s="15">
        <v>0.15</v>
      </c>
      <c r="R4269" s="16" t="str">
        <f t="shared" si="355"/>
        <v>TECNOLITE</v>
      </c>
      <c r="S4269" s="17"/>
      <c r="T4269" s="10" t="str">
        <f t="shared" si="361"/>
        <v>APLIQUE DE 6 VATIOS PARA INTERIORES</v>
      </c>
    </row>
    <row r="4270" spans="1:20" ht="27" customHeight="1" x14ac:dyDescent="0.25">
      <c r="A4270" s="8" t="s">
        <v>8836</v>
      </c>
      <c r="B4270" s="9" t="s">
        <v>93</v>
      </c>
      <c r="C4270" s="9"/>
      <c r="D4270" s="8" t="s">
        <v>93</v>
      </c>
      <c r="E4270" s="8"/>
      <c r="F4270" s="8" t="s">
        <v>22</v>
      </c>
      <c r="G4270" s="10" t="s">
        <v>8880</v>
      </c>
      <c r="H4270" s="8" t="s">
        <v>8881</v>
      </c>
      <c r="I4270" s="10" t="s">
        <v>8880</v>
      </c>
      <c r="J4270" s="11" t="s">
        <v>33</v>
      </c>
      <c r="K4270" s="18">
        <f>88200*0.9</f>
        <v>79380</v>
      </c>
      <c r="L4270" s="12">
        <f t="shared" si="360"/>
        <v>99300</v>
      </c>
      <c r="M4270" s="8">
        <v>1</v>
      </c>
      <c r="N4270" s="8" t="s">
        <v>27</v>
      </c>
      <c r="O4270" s="13"/>
      <c r="P4270" s="14">
        <v>0</v>
      </c>
      <c r="Q4270" s="15">
        <v>0.2</v>
      </c>
      <c r="R4270" s="16" t="str">
        <f t="shared" si="355"/>
        <v>TECNOLITE</v>
      </c>
      <c r="S4270" s="17"/>
      <c r="T4270" s="10" t="str">
        <f t="shared" si="361"/>
        <v>RIEL ENERGIZADO DE DOS METROS PARA LUMINARIAS</v>
      </c>
    </row>
    <row r="4271" spans="1:20" ht="27" customHeight="1" x14ac:dyDescent="0.25">
      <c r="A4271" s="8" t="s">
        <v>8836</v>
      </c>
      <c r="B4271" s="9" t="s">
        <v>93</v>
      </c>
      <c r="C4271" s="9"/>
      <c r="D4271" s="8" t="s">
        <v>93</v>
      </c>
      <c r="E4271" s="8"/>
      <c r="F4271" s="8" t="s">
        <v>22</v>
      </c>
      <c r="G4271" s="10" t="s">
        <v>8882</v>
      </c>
      <c r="H4271" s="8" t="s">
        <v>8883</v>
      </c>
      <c r="I4271" s="10" t="s">
        <v>8882</v>
      </c>
      <c r="J4271" s="11" t="s">
        <v>26</v>
      </c>
      <c r="K4271" s="18">
        <v>7000</v>
      </c>
      <c r="L4271" s="12">
        <f t="shared" si="360"/>
        <v>8750</v>
      </c>
      <c r="M4271" s="8">
        <v>1</v>
      </c>
      <c r="N4271" s="8" t="s">
        <v>27</v>
      </c>
      <c r="O4271" s="13"/>
      <c r="P4271" s="14">
        <v>0</v>
      </c>
      <c r="Q4271" s="15">
        <v>0.2</v>
      </c>
      <c r="R4271" s="16" t="str">
        <f t="shared" ref="R4271:R4334" si="362">A4271</f>
        <v>TECNOLITE</v>
      </c>
      <c r="S4271" s="17"/>
      <c r="T4271" s="10" t="str">
        <f t="shared" si="361"/>
        <v>UNIÓN PARA ENERGIZADO DE RIEL</v>
      </c>
    </row>
    <row r="4272" spans="1:20" ht="27" customHeight="1" x14ac:dyDescent="0.25">
      <c r="A4272" s="8" t="s">
        <v>8836</v>
      </c>
      <c r="B4272" s="9" t="s">
        <v>93</v>
      </c>
      <c r="C4272" s="9"/>
      <c r="D4272" s="8" t="s">
        <v>93</v>
      </c>
      <c r="E4272" s="8"/>
      <c r="F4272" s="8" t="s">
        <v>22</v>
      </c>
      <c r="G4272" s="10" t="s">
        <v>8884</v>
      </c>
      <c r="H4272" s="8" t="s">
        <v>8885</v>
      </c>
      <c r="I4272" s="10" t="s">
        <v>8884</v>
      </c>
      <c r="J4272" s="11" t="s">
        <v>26</v>
      </c>
      <c r="K4272" s="18">
        <v>22.5</v>
      </c>
      <c r="L4272" s="12">
        <f t="shared" si="360"/>
        <v>31.764705882352942</v>
      </c>
      <c r="M4272" s="8">
        <v>1</v>
      </c>
      <c r="N4272" s="8" t="s">
        <v>27</v>
      </c>
      <c r="O4272" s="13"/>
      <c r="P4272" s="14">
        <v>0.2</v>
      </c>
      <c r="Q4272" s="15">
        <v>0.15</v>
      </c>
      <c r="R4272" s="16" t="str">
        <f t="shared" si="362"/>
        <v>TECNOLITE</v>
      </c>
      <c r="S4272" s="17"/>
      <c r="T4272" s="10" t="str">
        <f t="shared" si="361"/>
        <v>LUMINARIA GUÍA PARA EXTERIORES</v>
      </c>
    </row>
    <row r="4273" spans="1:28" ht="27" customHeight="1" x14ac:dyDescent="0.25">
      <c r="A4273" s="8" t="s">
        <v>8836</v>
      </c>
      <c r="B4273" s="9" t="s">
        <v>93</v>
      </c>
      <c r="C4273" s="9"/>
      <c r="D4273" s="8" t="s">
        <v>93</v>
      </c>
      <c r="E4273" s="8"/>
      <c r="F4273" s="8" t="s">
        <v>22</v>
      </c>
      <c r="G4273" s="10" t="s">
        <v>8886</v>
      </c>
      <c r="H4273" s="8" t="s">
        <v>8887</v>
      </c>
      <c r="I4273" s="10" t="s">
        <v>8886</v>
      </c>
      <c r="J4273" s="11" t="s">
        <v>33</v>
      </c>
      <c r="K4273" s="18">
        <v>10185</v>
      </c>
      <c r="L4273" s="12">
        <f t="shared" si="360"/>
        <v>14600</v>
      </c>
      <c r="M4273" s="8">
        <v>1</v>
      </c>
      <c r="N4273" s="8" t="s">
        <v>27</v>
      </c>
      <c r="O4273" s="13" t="s">
        <v>22</v>
      </c>
      <c r="P4273" s="14">
        <v>0.2</v>
      </c>
      <c r="Q4273" s="15">
        <v>0.3</v>
      </c>
      <c r="R4273" s="16" t="str">
        <f t="shared" si="362"/>
        <v>TECNOLITE</v>
      </c>
      <c r="S4273" s="17"/>
      <c r="T4273" s="10" t="str">
        <f t="shared" si="361"/>
        <v>BALA HALÓGENA INYECTADA RECESADA REDONDA.</v>
      </c>
    </row>
    <row r="4274" spans="1:28" ht="27" customHeight="1" x14ac:dyDescent="0.25">
      <c r="A4274" s="8" t="s">
        <v>8836</v>
      </c>
      <c r="B4274" s="9" t="s">
        <v>93</v>
      </c>
      <c r="C4274" s="9"/>
      <c r="D4274" s="8" t="s">
        <v>93</v>
      </c>
      <c r="E4274" s="8"/>
      <c r="F4274" s="8" t="s">
        <v>22</v>
      </c>
      <c r="G4274" s="10" t="s">
        <v>8888</v>
      </c>
      <c r="H4274" s="8" t="s">
        <v>8889</v>
      </c>
      <c r="I4274" s="10" t="s">
        <v>8888</v>
      </c>
      <c r="J4274" s="11" t="s">
        <v>26</v>
      </c>
      <c r="K4274" s="18">
        <v>125</v>
      </c>
      <c r="L4274" s="12">
        <f t="shared" si="360"/>
        <v>176.47058823529412</v>
      </c>
      <c r="M4274" s="8">
        <v>1</v>
      </c>
      <c r="N4274" s="8" t="s">
        <v>27</v>
      </c>
      <c r="O4274" s="13"/>
      <c r="P4274" s="14">
        <v>0.2</v>
      </c>
      <c r="Q4274" s="15">
        <v>0.15</v>
      </c>
      <c r="R4274" s="16" t="str">
        <f t="shared" si="362"/>
        <v>TECNOLITE</v>
      </c>
      <c r="S4274" s="17"/>
      <c r="T4274" s="10" t="str">
        <f t="shared" si="361"/>
        <v>LUMINARIA DE PISO DE 9W.</v>
      </c>
    </row>
    <row r="4275" spans="1:28" ht="27" customHeight="1" x14ac:dyDescent="0.25">
      <c r="A4275" s="8" t="s">
        <v>8836</v>
      </c>
      <c r="B4275" s="9"/>
      <c r="C4275" s="9"/>
      <c r="D4275" s="8"/>
      <c r="E4275" s="8"/>
      <c r="F4275" s="8" t="s">
        <v>22</v>
      </c>
      <c r="G4275" s="10" t="s">
        <v>8890</v>
      </c>
      <c r="H4275" s="8" t="s">
        <v>8891</v>
      </c>
      <c r="I4275" s="10" t="s">
        <v>8890</v>
      </c>
      <c r="J4275" s="11" t="s">
        <v>33</v>
      </c>
      <c r="K4275" s="18">
        <v>38000</v>
      </c>
      <c r="L4275" s="12">
        <f t="shared" si="360"/>
        <v>63400</v>
      </c>
      <c r="M4275" s="8">
        <v>1</v>
      </c>
      <c r="N4275" s="8" t="s">
        <v>27</v>
      </c>
      <c r="O4275" s="13"/>
      <c r="P4275" s="14">
        <v>0.2</v>
      </c>
      <c r="Q4275" s="15">
        <v>0.4</v>
      </c>
      <c r="R4275" s="16" t="str">
        <f t="shared" si="362"/>
        <v>TECNOLITE</v>
      </c>
      <c r="S4275" s="17"/>
      <c r="T4275" s="10" t="str">
        <f t="shared" si="361"/>
        <v>APLIQUE BLANCO DIRECCIONABLE</v>
      </c>
    </row>
    <row r="4276" spans="1:28" ht="27" customHeight="1" x14ac:dyDescent="0.25">
      <c r="A4276" s="8" t="s">
        <v>8836</v>
      </c>
      <c r="B4276" s="9"/>
      <c r="C4276" s="9"/>
      <c r="D4276" s="8"/>
      <c r="E4276" s="8"/>
      <c r="F4276" s="8" t="s">
        <v>22</v>
      </c>
      <c r="G4276" s="10" t="s">
        <v>8892</v>
      </c>
      <c r="H4276" s="8" t="s">
        <v>8893</v>
      </c>
      <c r="I4276" s="10" t="s">
        <v>8892</v>
      </c>
      <c r="J4276" s="11" t="s">
        <v>33</v>
      </c>
      <c r="K4276" s="18">
        <v>61500</v>
      </c>
      <c r="L4276" s="12">
        <f t="shared" si="360"/>
        <v>102500</v>
      </c>
      <c r="M4276" s="8">
        <v>1</v>
      </c>
      <c r="N4276" s="8" t="s">
        <v>27</v>
      </c>
      <c r="O4276" s="13"/>
      <c r="P4276" s="14">
        <v>0.2</v>
      </c>
      <c r="Q4276" s="15">
        <v>0.4</v>
      </c>
      <c r="R4276" s="16" t="str">
        <f t="shared" si="362"/>
        <v>TECNOLITE</v>
      </c>
      <c r="S4276" s="17"/>
      <c r="T4276" s="10" t="str">
        <f t="shared" si="361"/>
        <v>CARDAN BLANCO PARA LUMINARIA AR111, 20.5CM DE DIÁMETRO.</v>
      </c>
    </row>
    <row r="4277" spans="1:28" ht="27" customHeight="1" x14ac:dyDescent="0.25">
      <c r="A4277" s="8" t="s">
        <v>8836</v>
      </c>
      <c r="B4277" s="9"/>
      <c r="C4277" s="9"/>
      <c r="D4277" s="8"/>
      <c r="E4277" s="8"/>
      <c r="F4277" s="8" t="s">
        <v>22</v>
      </c>
      <c r="G4277" s="10" t="s">
        <v>8894</v>
      </c>
      <c r="H4277" s="8" t="s">
        <v>8895</v>
      </c>
      <c r="I4277" s="10" t="s">
        <v>8894</v>
      </c>
      <c r="J4277" s="11" t="s">
        <v>33</v>
      </c>
      <c r="K4277" s="18">
        <v>65000</v>
      </c>
      <c r="L4277" s="12">
        <f t="shared" si="360"/>
        <v>108400</v>
      </c>
      <c r="M4277" s="8">
        <v>1</v>
      </c>
      <c r="N4277" s="8" t="s">
        <v>27</v>
      </c>
      <c r="O4277" s="13"/>
      <c r="P4277" s="14">
        <v>0.2</v>
      </c>
      <c r="Q4277" s="15">
        <v>0.4</v>
      </c>
      <c r="R4277" s="16" t="str">
        <f t="shared" si="362"/>
        <v>TECNOLITE</v>
      </c>
      <c r="S4277" s="17"/>
      <c r="T4277" s="10" t="str">
        <f t="shared" si="361"/>
        <v>BALA HERMÉTICA MINI DE 2 VATIOS</v>
      </c>
    </row>
    <row r="4278" spans="1:28" ht="27" customHeight="1" x14ac:dyDescent="0.25">
      <c r="A4278" s="8" t="s">
        <v>8836</v>
      </c>
      <c r="B4278" s="9"/>
      <c r="C4278" s="9"/>
      <c r="D4278" s="8"/>
      <c r="E4278" s="8"/>
      <c r="F4278" s="8" t="s">
        <v>22</v>
      </c>
      <c r="G4278" s="10" t="s">
        <v>8896</v>
      </c>
      <c r="H4278" s="8" t="s">
        <v>8897</v>
      </c>
      <c r="I4278" s="10" t="s">
        <v>8896</v>
      </c>
      <c r="J4278" s="11" t="s">
        <v>33</v>
      </c>
      <c r="K4278" s="18">
        <f>67500*0.9</f>
        <v>60750</v>
      </c>
      <c r="L4278" s="12">
        <f t="shared" si="360"/>
        <v>86800</v>
      </c>
      <c r="M4278" s="8">
        <v>1</v>
      </c>
      <c r="N4278" s="8" t="s">
        <v>27</v>
      </c>
      <c r="O4278" s="13"/>
      <c r="P4278" s="14">
        <v>0</v>
      </c>
      <c r="Q4278" s="15">
        <v>0.3</v>
      </c>
      <c r="R4278" s="16" t="str">
        <f t="shared" si="362"/>
        <v>TECNOLITE</v>
      </c>
      <c r="S4278" s="17"/>
      <c r="T4278" s="10" t="str">
        <f t="shared" si="361"/>
        <v>CARDAN REDONDO EN COLOR BLANCO</v>
      </c>
    </row>
    <row r="4279" spans="1:28" ht="27" customHeight="1" x14ac:dyDescent="0.25">
      <c r="A4279" s="8" t="s">
        <v>8836</v>
      </c>
      <c r="B4279" s="9"/>
      <c r="C4279" s="9"/>
      <c r="D4279" s="8"/>
      <c r="E4279" s="8"/>
      <c r="F4279" s="8" t="s">
        <v>22</v>
      </c>
      <c r="G4279" s="10" t="s">
        <v>8898</v>
      </c>
      <c r="H4279" s="8" t="s">
        <v>8899</v>
      </c>
      <c r="I4279" s="10" t="s">
        <v>8898</v>
      </c>
      <c r="J4279" s="11" t="s">
        <v>33</v>
      </c>
      <c r="K4279" s="18">
        <v>55000</v>
      </c>
      <c r="L4279" s="12">
        <f t="shared" si="360"/>
        <v>91700</v>
      </c>
      <c r="M4279" s="8">
        <v>1</v>
      </c>
      <c r="N4279" s="8" t="s">
        <v>27</v>
      </c>
      <c r="O4279" s="13"/>
      <c r="P4279" s="14">
        <v>0.2</v>
      </c>
      <c r="Q4279" s="15">
        <v>0.4</v>
      </c>
      <c r="R4279" s="16" t="str">
        <f t="shared" si="362"/>
        <v>TECNOLITE</v>
      </c>
      <c r="S4279" s="17"/>
      <c r="T4279" s="10" t="str">
        <f t="shared" si="361"/>
        <v>APLIQUE SATINADO DIRECCIONABLE</v>
      </c>
    </row>
    <row r="4280" spans="1:28" ht="27" customHeight="1" x14ac:dyDescent="0.25">
      <c r="A4280" s="8" t="s">
        <v>8836</v>
      </c>
      <c r="B4280" s="9"/>
      <c r="C4280" s="9"/>
      <c r="D4280" s="8"/>
      <c r="E4280" s="8"/>
      <c r="F4280" s="8" t="s">
        <v>22</v>
      </c>
      <c r="G4280" s="10" t="s">
        <v>8900</v>
      </c>
      <c r="H4280" s="8" t="s">
        <v>8901</v>
      </c>
      <c r="I4280" s="10" t="s">
        <v>8900</v>
      </c>
      <c r="J4280" s="11" t="s">
        <v>26</v>
      </c>
      <c r="K4280" s="18">
        <v>14.36</v>
      </c>
      <c r="L4280" s="12">
        <f t="shared" ref="L4280:L4311" si="363">IF(J4280="P",ROUNDUP(K4280/(1-Q4280),-2),K4280*(1+P4280)/(1-Q4280))</f>
        <v>28.72</v>
      </c>
      <c r="M4280" s="8">
        <v>1</v>
      </c>
      <c r="N4280" s="8" t="s">
        <v>27</v>
      </c>
      <c r="O4280" s="13"/>
      <c r="P4280" s="14">
        <v>0.2</v>
      </c>
      <c r="Q4280" s="15">
        <v>0.4</v>
      </c>
      <c r="R4280" s="16" t="str">
        <f t="shared" si="362"/>
        <v>TECNOLITE</v>
      </c>
      <c r="S4280" s="17"/>
      <c r="T4280" s="10" t="str">
        <f t="shared" si="361"/>
        <v>CARDAN BLANCO CUADRADO EN FORMATO AR111</v>
      </c>
      <c r="AB4280" s="112">
        <v>1</v>
      </c>
    </row>
    <row r="4281" spans="1:28" ht="27" customHeight="1" x14ac:dyDescent="0.25">
      <c r="A4281" s="8" t="s">
        <v>8836</v>
      </c>
      <c r="B4281" s="9"/>
      <c r="C4281" s="9"/>
      <c r="D4281" s="8"/>
      <c r="E4281" s="8"/>
      <c r="F4281" s="8" t="s">
        <v>22</v>
      </c>
      <c r="G4281" s="10" t="s">
        <v>1860</v>
      </c>
      <c r="H4281" s="8" t="s">
        <v>8902</v>
      </c>
      <c r="I4281" s="10" t="s">
        <v>1860</v>
      </c>
      <c r="J4281" s="11" t="s">
        <v>26</v>
      </c>
      <c r="K4281" s="18">
        <v>58</v>
      </c>
      <c r="L4281" s="12">
        <f t="shared" si="363"/>
        <v>116</v>
      </c>
      <c r="M4281" s="8">
        <v>1</v>
      </c>
      <c r="N4281" s="8" t="s">
        <v>27</v>
      </c>
      <c r="O4281" s="13"/>
      <c r="P4281" s="14">
        <v>0.2</v>
      </c>
      <c r="Q4281" s="15">
        <v>0.4</v>
      </c>
      <c r="R4281" s="16" t="str">
        <f t="shared" si="362"/>
        <v>TECNOLITE</v>
      </c>
      <c r="S4281" s="17"/>
      <c r="T4281" s="10" t="str">
        <f t="shared" ref="T4281:T4312" si="364">G4281</f>
        <v>LUMINARIA DE EXTERIOR CON CUERPO EN ALUMINIO</v>
      </c>
    </row>
    <row r="4282" spans="1:28" ht="27" customHeight="1" x14ac:dyDescent="0.25">
      <c r="A4282" s="8" t="s">
        <v>8836</v>
      </c>
      <c r="B4282" s="9"/>
      <c r="C4282" s="9"/>
      <c r="D4282" s="8"/>
      <c r="E4282" s="8"/>
      <c r="F4282" s="8" t="s">
        <v>22</v>
      </c>
      <c r="G4282" s="10" t="s">
        <v>8903</v>
      </c>
      <c r="H4282" s="8" t="s">
        <v>8904</v>
      </c>
      <c r="I4282" s="10" t="s">
        <v>8903</v>
      </c>
      <c r="J4282" s="11" t="s">
        <v>33</v>
      </c>
      <c r="K4282" s="18">
        <v>28000</v>
      </c>
      <c r="L4282" s="12">
        <f t="shared" si="363"/>
        <v>46700</v>
      </c>
      <c r="M4282" s="8">
        <v>1</v>
      </c>
      <c r="N4282" s="8" t="s">
        <v>27</v>
      </c>
      <c r="O4282" s="13"/>
      <c r="P4282" s="14">
        <v>0.2</v>
      </c>
      <c r="Q4282" s="15">
        <v>0.4</v>
      </c>
      <c r="R4282" s="16" t="str">
        <f t="shared" si="362"/>
        <v>TECNOLITE</v>
      </c>
      <c r="S4282" s="17"/>
      <c r="T4282" s="10" t="str">
        <f t="shared" si="364"/>
        <v>LÁMPARA RECESADA PARA LUMINARIA GU10</v>
      </c>
    </row>
    <row r="4283" spans="1:28" ht="27" customHeight="1" x14ac:dyDescent="0.25">
      <c r="A4283" s="8" t="s">
        <v>8836</v>
      </c>
      <c r="B4283" s="9"/>
      <c r="C4283" s="9"/>
      <c r="D4283" s="8"/>
      <c r="E4283" s="8"/>
      <c r="F4283" s="8" t="s">
        <v>22</v>
      </c>
      <c r="G4283" s="10" t="s">
        <v>8905</v>
      </c>
      <c r="H4283" s="8" t="s">
        <v>8906</v>
      </c>
      <c r="I4283" s="10" t="s">
        <v>8905</v>
      </c>
      <c r="J4283" s="11" t="s">
        <v>33</v>
      </c>
      <c r="K4283" s="18">
        <v>123000</v>
      </c>
      <c r="L4283" s="12">
        <f t="shared" si="363"/>
        <v>205000</v>
      </c>
      <c r="M4283" s="8">
        <v>1</v>
      </c>
      <c r="N4283" s="8" t="s">
        <v>27</v>
      </c>
      <c r="O4283" s="13"/>
      <c r="P4283" s="14">
        <v>0.2</v>
      </c>
      <c r="Q4283" s="15">
        <v>0.4</v>
      </c>
      <c r="R4283" s="16" t="str">
        <f t="shared" si="362"/>
        <v>TECNOLITE</v>
      </c>
      <c r="S4283" s="17"/>
      <c r="T4283" s="10" t="str">
        <f t="shared" si="364"/>
        <v>LÁMPARA DESCOLGADA PARA BOMBILLA E27</v>
      </c>
    </row>
    <row r="4284" spans="1:28" ht="27" customHeight="1" x14ac:dyDescent="0.25">
      <c r="A4284" s="8" t="s">
        <v>8836</v>
      </c>
      <c r="B4284" s="9"/>
      <c r="C4284" s="9"/>
      <c r="D4284" s="8"/>
      <c r="E4284" s="8"/>
      <c r="F4284" s="8" t="s">
        <v>22</v>
      </c>
      <c r="G4284" s="10" t="s">
        <v>8907</v>
      </c>
      <c r="H4284" s="8" t="s">
        <v>8908</v>
      </c>
      <c r="I4284" s="10" t="s">
        <v>8907</v>
      </c>
      <c r="J4284" s="11" t="s">
        <v>33</v>
      </c>
      <c r="K4284" s="18">
        <v>139000</v>
      </c>
      <c r="L4284" s="12">
        <f t="shared" si="363"/>
        <v>231700</v>
      </c>
      <c r="M4284" s="8">
        <v>1</v>
      </c>
      <c r="N4284" s="8" t="s">
        <v>27</v>
      </c>
      <c r="O4284" s="13"/>
      <c r="P4284" s="14">
        <v>0.2</v>
      </c>
      <c r="Q4284" s="15">
        <v>0.4</v>
      </c>
      <c r="R4284" s="16" t="str">
        <f t="shared" si="362"/>
        <v>TECNOLITE</v>
      </c>
      <c r="S4284" s="17"/>
      <c r="T4284" s="10" t="str">
        <f t="shared" si="364"/>
        <v>LUMINARIA DE SOBREPONER CUADRADA</v>
      </c>
    </row>
    <row r="4285" spans="1:28" ht="27" customHeight="1" x14ac:dyDescent="0.25">
      <c r="A4285" s="8" t="s">
        <v>8836</v>
      </c>
      <c r="B4285" s="9"/>
      <c r="C4285" s="9"/>
      <c r="D4285" s="8"/>
      <c r="E4285" s="8"/>
      <c r="F4285" s="8" t="s">
        <v>22</v>
      </c>
      <c r="G4285" s="10" t="s">
        <v>8909</v>
      </c>
      <c r="H4285" s="8" t="s">
        <v>8910</v>
      </c>
      <c r="I4285" s="10" t="s">
        <v>8911</v>
      </c>
      <c r="J4285" s="11" t="s">
        <v>33</v>
      </c>
      <c r="K4285" s="18">
        <f>242000</f>
        <v>242000</v>
      </c>
      <c r="L4285" s="12">
        <f t="shared" si="363"/>
        <v>403400</v>
      </c>
      <c r="M4285" s="8">
        <v>1</v>
      </c>
      <c r="N4285" s="8" t="s">
        <v>27</v>
      </c>
      <c r="O4285" s="13"/>
      <c r="P4285" s="14">
        <v>0.2</v>
      </c>
      <c r="Q4285" s="15">
        <v>0.4</v>
      </c>
      <c r="R4285" s="16" t="str">
        <f t="shared" si="362"/>
        <v>TECNOLITE</v>
      </c>
      <c r="S4285" s="17"/>
      <c r="T4285" s="10" t="str">
        <f t="shared" si="364"/>
        <v>LUMINARIA NEGRA DE SUSPENSIÓN CON CHIP ON BOARD, 25W, 1800 LUMENS.</v>
      </c>
    </row>
    <row r="4286" spans="1:28" ht="27" customHeight="1" x14ac:dyDescent="0.25">
      <c r="A4286" s="8" t="s">
        <v>8836</v>
      </c>
      <c r="B4286" s="9"/>
      <c r="C4286" s="9"/>
      <c r="D4286" s="8"/>
      <c r="E4286" s="8"/>
      <c r="F4286" s="8" t="s">
        <v>22</v>
      </c>
      <c r="G4286" s="10" t="s">
        <v>8912</v>
      </c>
      <c r="H4286" s="8" t="s">
        <v>8913</v>
      </c>
      <c r="I4286" s="10" t="s">
        <v>8912</v>
      </c>
      <c r="J4286" s="11" t="s">
        <v>33</v>
      </c>
      <c r="K4286" s="18">
        <v>261000</v>
      </c>
      <c r="L4286" s="12">
        <f t="shared" si="363"/>
        <v>435000</v>
      </c>
      <c r="M4286" s="8">
        <v>1</v>
      </c>
      <c r="N4286" s="8" t="s">
        <v>27</v>
      </c>
      <c r="O4286" s="13"/>
      <c r="P4286" s="14">
        <v>0.2</v>
      </c>
      <c r="Q4286" s="15">
        <v>0.4</v>
      </c>
      <c r="R4286" s="16" t="str">
        <f t="shared" si="362"/>
        <v>TECNOLITE</v>
      </c>
      <c r="S4286" s="17"/>
      <c r="T4286" s="10" t="str">
        <f t="shared" si="364"/>
        <v>LUMINARIA DECORATIVA EN COBRE DE SUSPENSIÓN PARA BOMBILLA E27</v>
      </c>
    </row>
    <row r="4287" spans="1:28" ht="27" customHeight="1" x14ac:dyDescent="0.25">
      <c r="A4287" s="8" t="s">
        <v>8836</v>
      </c>
      <c r="B4287" s="9"/>
      <c r="C4287" s="9"/>
      <c r="D4287" s="8"/>
      <c r="E4287" s="8"/>
      <c r="F4287" s="8" t="s">
        <v>22</v>
      </c>
      <c r="G4287" s="10" t="s">
        <v>8914</v>
      </c>
      <c r="H4287" s="8" t="s">
        <v>8915</v>
      </c>
      <c r="I4287" s="10" t="s">
        <v>8914</v>
      </c>
      <c r="J4287" s="11" t="s">
        <v>33</v>
      </c>
      <c r="K4287" s="18">
        <v>53900</v>
      </c>
      <c r="L4287" s="12">
        <f t="shared" si="363"/>
        <v>89900</v>
      </c>
      <c r="M4287" s="8">
        <v>1</v>
      </c>
      <c r="N4287" s="8" t="s">
        <v>27</v>
      </c>
      <c r="O4287" s="13"/>
      <c r="P4287" s="14">
        <v>0.2</v>
      </c>
      <c r="Q4287" s="15">
        <v>0.4</v>
      </c>
      <c r="R4287" s="16" t="str">
        <f t="shared" si="362"/>
        <v>TECNOLITE</v>
      </c>
      <c r="S4287" s="17"/>
      <c r="T4287" s="10" t="str">
        <f t="shared" si="364"/>
        <v>LUMINARIA PARA CONEXIÓN DE BOMBILLAS H27</v>
      </c>
    </row>
    <row r="4288" spans="1:28" ht="27" customHeight="1" x14ac:dyDescent="0.25">
      <c r="A4288" s="8" t="s">
        <v>8836</v>
      </c>
      <c r="B4288" s="9"/>
      <c r="C4288" s="9"/>
      <c r="D4288" s="8"/>
      <c r="E4288" s="8"/>
      <c r="F4288" s="8" t="s">
        <v>22</v>
      </c>
      <c r="G4288" s="10" t="s">
        <v>1865</v>
      </c>
      <c r="H4288" s="8" t="s">
        <v>8916</v>
      </c>
      <c r="I4288" s="10" t="s">
        <v>1865</v>
      </c>
      <c r="J4288" s="11" t="s">
        <v>33</v>
      </c>
      <c r="K4288" s="18">
        <v>181000</v>
      </c>
      <c r="L4288" s="12">
        <f t="shared" si="363"/>
        <v>301700</v>
      </c>
      <c r="M4288" s="8">
        <v>1</v>
      </c>
      <c r="N4288" s="8" t="s">
        <v>27</v>
      </c>
      <c r="O4288" s="13"/>
      <c r="P4288" s="14">
        <v>0.2</v>
      </c>
      <c r="Q4288" s="15">
        <v>0.4</v>
      </c>
      <c r="R4288" s="16" t="str">
        <f t="shared" si="362"/>
        <v>TECNOLITE</v>
      </c>
      <c r="S4288" s="17"/>
      <c r="T4288" s="10" t="str">
        <f t="shared" si="364"/>
        <v>LUMINARIA DECORATIVA DESCOLGADA</v>
      </c>
    </row>
    <row r="4289" spans="1:20" ht="27" customHeight="1" x14ac:dyDescent="0.25">
      <c r="A4289" s="8" t="s">
        <v>8836</v>
      </c>
      <c r="B4289" s="9"/>
      <c r="C4289" s="9"/>
      <c r="D4289" s="8"/>
      <c r="E4289" s="8"/>
      <c r="F4289" s="8" t="s">
        <v>22</v>
      </c>
      <c r="G4289" s="10" t="s">
        <v>8917</v>
      </c>
      <c r="H4289" s="8" t="s">
        <v>8918</v>
      </c>
      <c r="I4289" s="10" t="s">
        <v>8917</v>
      </c>
      <c r="J4289" s="11" t="s">
        <v>33</v>
      </c>
      <c r="K4289" s="18">
        <v>111000</v>
      </c>
      <c r="L4289" s="12">
        <f t="shared" si="363"/>
        <v>185000</v>
      </c>
      <c r="M4289" s="8">
        <v>1</v>
      </c>
      <c r="N4289" s="8" t="s">
        <v>27</v>
      </c>
      <c r="O4289" s="13"/>
      <c r="P4289" s="14">
        <v>0.2</v>
      </c>
      <c r="Q4289" s="15">
        <v>0.4</v>
      </c>
      <c r="R4289" s="16" t="str">
        <f t="shared" si="362"/>
        <v>TECNOLITE</v>
      </c>
      <c r="S4289" s="17"/>
      <c r="T4289" s="10" t="str">
        <f t="shared" si="364"/>
        <v>LUMINARIA DECORATIVA DE SOBRE PONER</v>
      </c>
    </row>
    <row r="4290" spans="1:20" ht="27" customHeight="1" x14ac:dyDescent="0.25">
      <c r="A4290" s="8" t="s">
        <v>8836</v>
      </c>
      <c r="B4290" s="9"/>
      <c r="C4290" s="9"/>
      <c r="D4290" s="8"/>
      <c r="E4290" s="8"/>
      <c r="F4290" s="8" t="s">
        <v>22</v>
      </c>
      <c r="G4290" s="10" t="s">
        <v>8919</v>
      </c>
      <c r="H4290" s="8" t="s">
        <v>8920</v>
      </c>
      <c r="I4290" s="10" t="s">
        <v>8919</v>
      </c>
      <c r="J4290" s="11" t="s">
        <v>33</v>
      </c>
      <c r="K4290" s="18">
        <v>96500</v>
      </c>
      <c r="L4290" s="12">
        <f t="shared" si="363"/>
        <v>160900</v>
      </c>
      <c r="M4290" s="8">
        <v>1</v>
      </c>
      <c r="N4290" s="8" t="s">
        <v>27</v>
      </c>
      <c r="O4290" s="13"/>
      <c r="P4290" s="14">
        <v>0.2</v>
      </c>
      <c r="Q4290" s="15">
        <v>0.4</v>
      </c>
      <c r="R4290" s="16" t="str">
        <f t="shared" si="362"/>
        <v>TECNOLITE</v>
      </c>
      <c r="S4290" s="17"/>
      <c r="T4290" s="10" t="str">
        <f t="shared" si="364"/>
        <v>LUMINARIA DE SOBREPONER REEMPLAZO TORTUGA</v>
      </c>
    </row>
    <row r="4291" spans="1:20" ht="27" customHeight="1" x14ac:dyDescent="0.25">
      <c r="A4291" s="8" t="s">
        <v>8836</v>
      </c>
      <c r="B4291" s="9"/>
      <c r="C4291" s="9"/>
      <c r="D4291" s="8"/>
      <c r="E4291" s="8"/>
      <c r="F4291" s="8" t="s">
        <v>22</v>
      </c>
      <c r="G4291" s="10" t="s">
        <v>8921</v>
      </c>
      <c r="H4291" s="8" t="s">
        <v>8922</v>
      </c>
      <c r="I4291" s="10" t="s">
        <v>8921</v>
      </c>
      <c r="J4291" s="11" t="s">
        <v>33</v>
      </c>
      <c r="K4291" s="18">
        <v>84000</v>
      </c>
      <c r="L4291" s="12">
        <f t="shared" si="363"/>
        <v>140000</v>
      </c>
      <c r="M4291" s="8">
        <v>1</v>
      </c>
      <c r="N4291" s="8" t="s">
        <v>27</v>
      </c>
      <c r="O4291" s="13"/>
      <c r="P4291" s="14">
        <v>0.2</v>
      </c>
      <c r="Q4291" s="15">
        <v>0.4</v>
      </c>
      <c r="R4291" s="16" t="str">
        <f t="shared" si="362"/>
        <v>TECNOLITE</v>
      </c>
      <c r="S4291" s="17"/>
      <c r="T4291" s="10" t="str">
        <f t="shared" si="364"/>
        <v>LUMINARIA PARA DOS BOMBILLAS E27</v>
      </c>
    </row>
    <row r="4292" spans="1:20" ht="27" customHeight="1" x14ac:dyDescent="0.25">
      <c r="A4292" s="8" t="s">
        <v>8836</v>
      </c>
      <c r="B4292" s="9"/>
      <c r="C4292" s="9"/>
      <c r="D4292" s="8"/>
      <c r="E4292" s="8"/>
      <c r="F4292" s="8" t="s">
        <v>22</v>
      </c>
      <c r="G4292" s="10" t="s">
        <v>8923</v>
      </c>
      <c r="H4292" s="8" t="s">
        <v>8924</v>
      </c>
      <c r="I4292" s="10" t="s">
        <v>8925</v>
      </c>
      <c r="J4292" s="11" t="s">
        <v>33</v>
      </c>
      <c r="K4292" s="18">
        <v>250500</v>
      </c>
      <c r="L4292" s="12">
        <f t="shared" si="363"/>
        <v>417500</v>
      </c>
      <c r="M4292" s="8">
        <v>1</v>
      </c>
      <c r="N4292" s="8" t="s">
        <v>27</v>
      </c>
      <c r="O4292" s="13"/>
      <c r="P4292" s="14">
        <v>0.2</v>
      </c>
      <c r="Q4292" s="15">
        <v>0.4</v>
      </c>
      <c r="R4292" s="16" t="str">
        <f t="shared" si="362"/>
        <v>TECNOLITE</v>
      </c>
      <c r="S4292" s="17"/>
      <c r="T4292" s="10" t="str">
        <f t="shared" si="364"/>
        <v>CONTROLADOR RGB, PARA PROGRAMACIÓN DE SECUENCIAS DE 7 COLORES.</v>
      </c>
    </row>
    <row r="4293" spans="1:20" ht="27" customHeight="1" x14ac:dyDescent="0.25">
      <c r="A4293" s="8" t="s">
        <v>8836</v>
      </c>
      <c r="B4293" s="9"/>
      <c r="C4293" s="9"/>
      <c r="D4293" s="8"/>
      <c r="E4293" s="8"/>
      <c r="F4293" s="8" t="s">
        <v>22</v>
      </c>
      <c r="G4293" s="10" t="s">
        <v>8926</v>
      </c>
      <c r="H4293" s="8" t="s">
        <v>8927</v>
      </c>
      <c r="I4293" s="10" t="s">
        <v>8926</v>
      </c>
      <c r="J4293" s="11" t="s">
        <v>33</v>
      </c>
      <c r="K4293" s="18">
        <v>248500</v>
      </c>
      <c r="L4293" s="12">
        <f t="shared" si="363"/>
        <v>414200</v>
      </c>
      <c r="M4293" s="8">
        <v>1</v>
      </c>
      <c r="N4293" s="8" t="s">
        <v>27</v>
      </c>
      <c r="O4293" s="13"/>
      <c r="P4293" s="14">
        <v>0.2</v>
      </c>
      <c r="Q4293" s="15">
        <v>0.4</v>
      </c>
      <c r="R4293" s="16" t="str">
        <f t="shared" si="362"/>
        <v>TECNOLITE</v>
      </c>
      <c r="S4293" s="17"/>
      <c r="T4293" s="10" t="str">
        <f t="shared" si="364"/>
        <v>LUMINARIA BOMBILLA LED RGB DE 3 VATIOS, PROTECCIÓN IP 68.</v>
      </c>
    </row>
    <row r="4294" spans="1:20" ht="27" customHeight="1" x14ac:dyDescent="0.25">
      <c r="A4294" s="8" t="s">
        <v>8836</v>
      </c>
      <c r="B4294" s="9"/>
      <c r="C4294" s="9"/>
      <c r="D4294" s="8"/>
      <c r="E4294" s="8"/>
      <c r="F4294" s="8" t="s">
        <v>22</v>
      </c>
      <c r="G4294" s="10" t="s">
        <v>8928</v>
      </c>
      <c r="H4294" s="8" t="s">
        <v>8929</v>
      </c>
      <c r="I4294" s="10" t="s">
        <v>8928</v>
      </c>
      <c r="J4294" s="11" t="s">
        <v>33</v>
      </c>
      <c r="K4294" s="18">
        <v>67000</v>
      </c>
      <c r="L4294" s="12">
        <f t="shared" si="363"/>
        <v>111700</v>
      </c>
      <c r="M4294" s="8">
        <v>1</v>
      </c>
      <c r="N4294" s="8" t="s">
        <v>27</v>
      </c>
      <c r="O4294" s="13"/>
      <c r="P4294" s="14">
        <v>0.2</v>
      </c>
      <c r="Q4294" s="15">
        <v>0.4</v>
      </c>
      <c r="R4294" s="16" t="str">
        <f t="shared" si="362"/>
        <v>TECNOLITE</v>
      </c>
      <c r="S4294" s="17"/>
      <c r="T4294" s="10" t="str">
        <f t="shared" si="364"/>
        <v>LUMINARIA EMPOTRADA TIPO LED GUÍA DE 0.6 VATIOS, IP65.</v>
      </c>
    </row>
    <row r="4295" spans="1:20" ht="27" customHeight="1" x14ac:dyDescent="0.25">
      <c r="A4295" s="8" t="s">
        <v>8836</v>
      </c>
      <c r="B4295" s="9"/>
      <c r="C4295" s="9"/>
      <c r="D4295" s="8"/>
      <c r="E4295" s="8"/>
      <c r="F4295" s="8" t="s">
        <v>22</v>
      </c>
      <c r="G4295" s="10" t="s">
        <v>8928</v>
      </c>
      <c r="H4295" s="8" t="s">
        <v>8930</v>
      </c>
      <c r="I4295" s="10" t="s">
        <v>8928</v>
      </c>
      <c r="J4295" s="11" t="s">
        <v>33</v>
      </c>
      <c r="K4295" s="18">
        <v>85000</v>
      </c>
      <c r="L4295" s="12">
        <f t="shared" si="363"/>
        <v>141700</v>
      </c>
      <c r="M4295" s="8">
        <v>1</v>
      </c>
      <c r="N4295" s="8" t="s">
        <v>27</v>
      </c>
      <c r="O4295" s="13"/>
      <c r="P4295" s="14">
        <v>0.2</v>
      </c>
      <c r="Q4295" s="15">
        <v>0.4</v>
      </c>
      <c r="R4295" s="16" t="str">
        <f t="shared" si="362"/>
        <v>TECNOLITE</v>
      </c>
      <c r="S4295" s="17"/>
      <c r="T4295" s="10" t="str">
        <f t="shared" si="364"/>
        <v>LUMINARIA EMPOTRADA TIPO LED GUÍA DE 0.6 VATIOS, IP65.</v>
      </c>
    </row>
    <row r="4296" spans="1:20" ht="27" customHeight="1" x14ac:dyDescent="0.25">
      <c r="A4296" s="8" t="s">
        <v>8836</v>
      </c>
      <c r="B4296" s="9"/>
      <c r="C4296" s="9"/>
      <c r="D4296" s="8"/>
      <c r="E4296" s="8"/>
      <c r="F4296" s="8" t="s">
        <v>22</v>
      </c>
      <c r="G4296" s="10" t="s">
        <v>8931</v>
      </c>
      <c r="H4296" s="8" t="s">
        <v>8932</v>
      </c>
      <c r="I4296" s="10" t="s">
        <v>8931</v>
      </c>
      <c r="J4296" s="11" t="s">
        <v>33</v>
      </c>
      <c r="K4296" s="18">
        <v>47000</v>
      </c>
      <c r="L4296" s="12">
        <f t="shared" si="363"/>
        <v>78400</v>
      </c>
      <c r="M4296" s="8">
        <v>1</v>
      </c>
      <c r="N4296" s="8" t="s">
        <v>27</v>
      </c>
      <c r="O4296" s="13"/>
      <c r="P4296" s="14">
        <v>0.2</v>
      </c>
      <c r="Q4296" s="15">
        <v>0.4</v>
      </c>
      <c r="R4296" s="16" t="str">
        <f t="shared" si="362"/>
        <v>TECNOLITE</v>
      </c>
      <c r="S4296" s="17"/>
      <c r="T4296" s="10" t="str">
        <f t="shared" si="364"/>
        <v>SPOT PARA RIEL EN FORMATO GU10</v>
      </c>
    </row>
    <row r="4297" spans="1:20" ht="27" customHeight="1" x14ac:dyDescent="0.25">
      <c r="A4297" s="8" t="s">
        <v>8836</v>
      </c>
      <c r="B4297" s="9"/>
      <c r="C4297" s="9"/>
      <c r="D4297" s="8"/>
      <c r="E4297" s="8"/>
      <c r="F4297" s="8" t="s">
        <v>22</v>
      </c>
      <c r="G4297" s="10" t="s">
        <v>8933</v>
      </c>
      <c r="H4297" s="8" t="s">
        <v>8934</v>
      </c>
      <c r="I4297" s="10" t="s">
        <v>8935</v>
      </c>
      <c r="J4297" s="11" t="s">
        <v>33</v>
      </c>
      <c r="K4297" s="18">
        <v>15000</v>
      </c>
      <c r="L4297" s="12">
        <f t="shared" si="363"/>
        <v>25000</v>
      </c>
      <c r="M4297" s="8">
        <v>1</v>
      </c>
      <c r="N4297" s="8" t="s">
        <v>27</v>
      </c>
      <c r="O4297" s="13"/>
      <c r="P4297" s="14">
        <v>0.2</v>
      </c>
      <c r="Q4297" s="15">
        <v>0.4</v>
      </c>
      <c r="R4297" s="16" t="str">
        <f t="shared" si="362"/>
        <v>TECNOLITE</v>
      </c>
      <c r="S4297" s="17"/>
      <c r="T4297" s="10" t="str">
        <f t="shared" si="364"/>
        <v>BOMBILLA LED CON ROSCA E27 ATENUABLE, LUZ CÁLIDA 3000k. POTENCIA 10W.</v>
      </c>
    </row>
    <row r="4298" spans="1:20" ht="27" customHeight="1" x14ac:dyDescent="0.25">
      <c r="A4298" s="8" t="s">
        <v>8836</v>
      </c>
      <c r="B4298" s="9"/>
      <c r="C4298" s="9"/>
      <c r="D4298" s="8"/>
      <c r="E4298" s="8"/>
      <c r="F4298" s="8" t="s">
        <v>22</v>
      </c>
      <c r="G4298" s="10" t="s">
        <v>8936</v>
      </c>
      <c r="H4298" s="8" t="s">
        <v>8937</v>
      </c>
      <c r="I4298" s="10" t="s">
        <v>8936</v>
      </c>
      <c r="J4298" s="11" t="s">
        <v>33</v>
      </c>
      <c r="K4298" s="18">
        <v>61000</v>
      </c>
      <c r="L4298" s="12">
        <f t="shared" si="363"/>
        <v>101700</v>
      </c>
      <c r="M4298" s="8">
        <v>1</v>
      </c>
      <c r="N4298" s="8" t="s">
        <v>27</v>
      </c>
      <c r="O4298" s="13"/>
      <c r="P4298" s="14">
        <v>0.2</v>
      </c>
      <c r="Q4298" s="15">
        <v>0.4</v>
      </c>
      <c r="R4298" s="16" t="str">
        <f t="shared" si="362"/>
        <v>TECNOLITE</v>
      </c>
      <c r="S4298" s="17"/>
      <c r="T4298" s="10" t="str">
        <f t="shared" si="364"/>
        <v>CARDAN PEQUEÑO PARA LUMINARIA DOBLE MR16, COLOR BLANCO.</v>
      </c>
    </row>
    <row r="4299" spans="1:20" ht="27" customHeight="1" x14ac:dyDescent="0.25">
      <c r="A4299" s="8" t="s">
        <v>8836</v>
      </c>
      <c r="B4299" s="9"/>
      <c r="C4299" s="9"/>
      <c r="D4299" s="8"/>
      <c r="E4299" s="8"/>
      <c r="F4299" s="8" t="s">
        <v>22</v>
      </c>
      <c r="G4299" s="10" t="s">
        <v>8938</v>
      </c>
      <c r="H4299" s="8" t="s">
        <v>8939</v>
      </c>
      <c r="I4299" s="10" t="s">
        <v>8938</v>
      </c>
      <c r="J4299" s="11" t="s">
        <v>33</v>
      </c>
      <c r="K4299" s="18">
        <v>154000</v>
      </c>
      <c r="L4299" s="12">
        <f t="shared" si="363"/>
        <v>256700</v>
      </c>
      <c r="M4299" s="8">
        <v>1</v>
      </c>
      <c r="N4299" s="8" t="s">
        <v>27</v>
      </c>
      <c r="O4299" s="13"/>
      <c r="P4299" s="14">
        <v>0.2</v>
      </c>
      <c r="Q4299" s="15">
        <v>0.4</v>
      </c>
      <c r="R4299" s="16" t="str">
        <f t="shared" si="362"/>
        <v>TECNOLITE</v>
      </c>
      <c r="S4299" s="17"/>
      <c r="T4299" s="10" t="str">
        <f t="shared" si="364"/>
        <v>LUMINARIA TIPO CAMPANA EN ACERO CROMADO</v>
      </c>
    </row>
    <row r="4300" spans="1:20" ht="27" customHeight="1" x14ac:dyDescent="0.25">
      <c r="A4300" s="8" t="s">
        <v>8836</v>
      </c>
      <c r="B4300" s="9"/>
      <c r="C4300" s="9"/>
      <c r="D4300" s="8"/>
      <c r="E4300" s="8"/>
      <c r="F4300" s="8" t="s">
        <v>22</v>
      </c>
      <c r="G4300" s="10" t="s">
        <v>8940</v>
      </c>
      <c r="H4300" s="8" t="s">
        <v>8941</v>
      </c>
      <c r="I4300" s="10" t="s">
        <v>8942</v>
      </c>
      <c r="J4300" s="11" t="s">
        <v>33</v>
      </c>
      <c r="K4300" s="18">
        <v>140000</v>
      </c>
      <c r="L4300" s="12">
        <f t="shared" si="363"/>
        <v>233400</v>
      </c>
      <c r="M4300" s="8">
        <v>1</v>
      </c>
      <c r="N4300" s="8" t="s">
        <v>27</v>
      </c>
      <c r="O4300" s="13"/>
      <c r="P4300" s="14">
        <v>0.2</v>
      </c>
      <c r="Q4300" s="15">
        <v>0.4</v>
      </c>
      <c r="R4300" s="16" t="str">
        <f t="shared" si="362"/>
        <v>TECNOLITE</v>
      </c>
      <c r="S4300" s="17"/>
      <c r="T4300" s="10" t="str">
        <f t="shared" si="364"/>
        <v>LUMINARIA EN ALUMINIO PARA PARED EN COLOR BLANCO. NO DIMERIZABLE.</v>
      </c>
    </row>
    <row r="4301" spans="1:20" ht="27" customHeight="1" x14ac:dyDescent="0.25">
      <c r="A4301" s="8" t="s">
        <v>8836</v>
      </c>
      <c r="B4301" s="9"/>
      <c r="C4301" s="9"/>
      <c r="D4301" s="8"/>
      <c r="E4301" s="8"/>
      <c r="F4301" s="8" t="s">
        <v>22</v>
      </c>
      <c r="G4301" s="10" t="s">
        <v>8940</v>
      </c>
      <c r="H4301" s="8" t="s">
        <v>8943</v>
      </c>
      <c r="I4301" s="10" t="s">
        <v>8944</v>
      </c>
      <c r="J4301" s="11" t="s">
        <v>33</v>
      </c>
      <c r="K4301" s="18">
        <v>224000</v>
      </c>
      <c r="L4301" s="12">
        <f t="shared" si="363"/>
        <v>373400</v>
      </c>
      <c r="M4301" s="8">
        <v>1</v>
      </c>
      <c r="N4301" s="8" t="s">
        <v>27</v>
      </c>
      <c r="O4301" s="13"/>
      <c r="P4301" s="14">
        <v>0.2</v>
      </c>
      <c r="Q4301" s="15">
        <v>0.4</v>
      </c>
      <c r="R4301" s="16" t="str">
        <f t="shared" si="362"/>
        <v>TECNOLITE</v>
      </c>
      <c r="S4301" s="17"/>
      <c r="T4301" s="10" t="str">
        <f t="shared" si="364"/>
        <v>LUMINARIA EN ALUMINIO PARA PARED EN COLOR BLANCO. NO DIMERIZABLE.</v>
      </c>
    </row>
    <row r="4302" spans="1:20" ht="27" customHeight="1" x14ac:dyDescent="0.25">
      <c r="A4302" s="8" t="s">
        <v>8836</v>
      </c>
      <c r="B4302" s="9"/>
      <c r="C4302" s="9"/>
      <c r="D4302" s="8"/>
      <c r="E4302" s="8"/>
      <c r="F4302" s="8" t="s">
        <v>22</v>
      </c>
      <c r="G4302" s="10" t="s">
        <v>8945</v>
      </c>
      <c r="H4302" s="8" t="s">
        <v>8946</v>
      </c>
      <c r="I4302" s="10" t="s">
        <v>8947</v>
      </c>
      <c r="J4302" s="11" t="s">
        <v>33</v>
      </c>
      <c r="K4302" s="18">
        <v>99000</v>
      </c>
      <c r="L4302" s="12">
        <f t="shared" si="363"/>
        <v>165000</v>
      </c>
      <c r="M4302" s="8">
        <v>1</v>
      </c>
      <c r="N4302" s="8" t="s">
        <v>27</v>
      </c>
      <c r="O4302" s="13"/>
      <c r="P4302" s="14">
        <v>0.2</v>
      </c>
      <c r="Q4302" s="15">
        <v>0.4</v>
      </c>
      <c r="R4302" s="16" t="str">
        <f t="shared" si="362"/>
        <v>TECNOLITE</v>
      </c>
      <c r="S4302" s="17"/>
      <c r="T4302" s="10" t="str">
        <f t="shared" si="364"/>
        <v>LUMINARIA PARA PARED EN COLOR BLANCO. NO DIMERIZABLE. LUZ CÁLIDA, 5.5W.</v>
      </c>
    </row>
    <row r="4303" spans="1:20" ht="27" customHeight="1" x14ac:dyDescent="0.25">
      <c r="A4303" s="8" t="s">
        <v>8836</v>
      </c>
      <c r="B4303" s="9"/>
      <c r="C4303" s="9"/>
      <c r="D4303" s="8"/>
      <c r="E4303" s="8"/>
      <c r="F4303" s="8" t="s">
        <v>22</v>
      </c>
      <c r="G4303" s="10" t="s">
        <v>8948</v>
      </c>
      <c r="H4303" s="8" t="s">
        <v>8949</v>
      </c>
      <c r="I4303" s="10" t="s">
        <v>8948</v>
      </c>
      <c r="J4303" s="11" t="s">
        <v>33</v>
      </c>
      <c r="K4303" s="18">
        <f>20270*0.9</f>
        <v>18243</v>
      </c>
      <c r="L4303" s="12">
        <f t="shared" si="363"/>
        <v>26100</v>
      </c>
      <c r="M4303" s="8">
        <v>1</v>
      </c>
      <c r="N4303" s="8" t="s">
        <v>27</v>
      </c>
      <c r="O4303" s="13"/>
      <c r="P4303" s="14">
        <v>0</v>
      </c>
      <c r="Q4303" s="15">
        <v>0.3</v>
      </c>
      <c r="R4303" s="16" t="str">
        <f t="shared" si="362"/>
        <v>TECNOLITE</v>
      </c>
      <c r="S4303" s="17"/>
      <c r="T4303" s="10" t="str">
        <f t="shared" si="364"/>
        <v>LUMINARIA HERMÉTICA PARA ZONA HÚMEDA</v>
      </c>
    </row>
    <row r="4304" spans="1:20" ht="27" customHeight="1" x14ac:dyDescent="0.25">
      <c r="A4304" s="8" t="s">
        <v>8836</v>
      </c>
      <c r="B4304" s="9"/>
      <c r="C4304" s="9"/>
      <c r="D4304" s="8"/>
      <c r="E4304" s="8"/>
      <c r="F4304" s="8" t="s">
        <v>22</v>
      </c>
      <c r="G4304" s="10" t="s">
        <v>8950</v>
      </c>
      <c r="H4304" s="8" t="s">
        <v>8951</v>
      </c>
      <c r="I4304" s="10" t="s">
        <v>8950</v>
      </c>
      <c r="J4304" s="11" t="s">
        <v>33</v>
      </c>
      <c r="K4304" s="18">
        <f>184400*0.9</f>
        <v>165960</v>
      </c>
      <c r="L4304" s="12">
        <f t="shared" si="363"/>
        <v>237100</v>
      </c>
      <c r="M4304" s="8">
        <v>1</v>
      </c>
      <c r="N4304" s="8" t="s">
        <v>27</v>
      </c>
      <c r="O4304" s="13"/>
      <c r="P4304" s="14">
        <v>0</v>
      </c>
      <c r="Q4304" s="15">
        <v>0.3</v>
      </c>
      <c r="R4304" s="16" t="str">
        <f t="shared" si="362"/>
        <v>TECNOLITE</v>
      </c>
      <c r="S4304" s="17"/>
      <c r="T4304" s="10" t="str">
        <f t="shared" si="364"/>
        <v>LUMINARIA ESCUALIZABLE LED CÁLIDA DE 10 VATIOS</v>
      </c>
    </row>
    <row r="4305" spans="1:20" ht="27" customHeight="1" x14ac:dyDescent="0.25">
      <c r="A4305" s="8" t="s">
        <v>8836</v>
      </c>
      <c r="B4305" s="9"/>
      <c r="C4305" s="9"/>
      <c r="D4305" s="8"/>
      <c r="E4305" s="8"/>
      <c r="F4305" s="8" t="s">
        <v>22</v>
      </c>
      <c r="G4305" s="10" t="s">
        <v>8952</v>
      </c>
      <c r="H4305" s="8" t="s">
        <v>8953</v>
      </c>
      <c r="I4305" s="10" t="s">
        <v>8952</v>
      </c>
      <c r="J4305" s="11" t="s">
        <v>26</v>
      </c>
      <c r="K4305" s="18">
        <v>60</v>
      </c>
      <c r="L4305" s="12">
        <f t="shared" si="363"/>
        <v>120</v>
      </c>
      <c r="M4305" s="8">
        <v>1</v>
      </c>
      <c r="N4305" s="8" t="s">
        <v>27</v>
      </c>
      <c r="O4305" s="13"/>
      <c r="P4305" s="14">
        <v>0.2</v>
      </c>
      <c r="Q4305" s="15">
        <v>0.4</v>
      </c>
      <c r="R4305" s="16" t="str">
        <f t="shared" si="362"/>
        <v>TECNOLITE</v>
      </c>
      <c r="S4305" s="17"/>
      <c r="T4305" s="10" t="str">
        <f t="shared" si="364"/>
        <v>LUMINARIA DE EXTERIOR GRIS DE 6.5 VATIOS</v>
      </c>
    </row>
    <row r="4306" spans="1:20" ht="27" customHeight="1" x14ac:dyDescent="0.25">
      <c r="A4306" s="8" t="s">
        <v>8836</v>
      </c>
      <c r="B4306" s="9"/>
      <c r="C4306" s="9"/>
      <c r="D4306" s="8"/>
      <c r="E4306" s="8"/>
      <c r="F4306" s="8" t="s">
        <v>22</v>
      </c>
      <c r="G4306" s="10" t="s">
        <v>8954</v>
      </c>
      <c r="H4306" s="8" t="s">
        <v>8955</v>
      </c>
      <c r="I4306" s="10" t="s">
        <v>8954</v>
      </c>
      <c r="J4306" s="11" t="s">
        <v>33</v>
      </c>
      <c r="K4306" s="18">
        <f>144000*0.9</f>
        <v>129600</v>
      </c>
      <c r="L4306" s="12">
        <f t="shared" si="363"/>
        <v>216000</v>
      </c>
      <c r="M4306" s="8">
        <v>1</v>
      </c>
      <c r="N4306" s="8" t="s">
        <v>27</v>
      </c>
      <c r="O4306" s="13"/>
      <c r="P4306" s="14">
        <v>0.2</v>
      </c>
      <c r="Q4306" s="15">
        <v>0.4</v>
      </c>
      <c r="R4306" s="16" t="str">
        <f t="shared" si="362"/>
        <v>TECNOLITE</v>
      </c>
      <c r="S4306" s="17"/>
      <c r="T4306" s="10" t="str">
        <f t="shared" si="364"/>
        <v>LUMINARIA DE CHIP INTEGRADO PARA EXTERIORES EN COLOR NEGRO</v>
      </c>
    </row>
    <row r="4307" spans="1:20" ht="27" customHeight="1" x14ac:dyDescent="0.25">
      <c r="A4307" s="8" t="s">
        <v>8836</v>
      </c>
      <c r="B4307" s="9"/>
      <c r="C4307" s="9"/>
      <c r="D4307" s="8"/>
      <c r="E4307" s="8"/>
      <c r="F4307" s="8" t="s">
        <v>22</v>
      </c>
      <c r="G4307" s="10" t="s">
        <v>8956</v>
      </c>
      <c r="H4307" s="8" t="s">
        <v>8957</v>
      </c>
      <c r="I4307" s="10" t="s">
        <v>8956</v>
      </c>
      <c r="J4307" s="11" t="s">
        <v>33</v>
      </c>
      <c r="K4307" s="18">
        <f>174000*0.9</f>
        <v>156600</v>
      </c>
      <c r="L4307" s="12">
        <f t="shared" si="363"/>
        <v>261000</v>
      </c>
      <c r="M4307" s="8">
        <v>1</v>
      </c>
      <c r="N4307" s="8" t="s">
        <v>27</v>
      </c>
      <c r="O4307" s="13"/>
      <c r="P4307" s="14">
        <v>0.2</v>
      </c>
      <c r="Q4307" s="15">
        <v>0.4</v>
      </c>
      <c r="R4307" s="16" t="str">
        <f t="shared" si="362"/>
        <v>TECNOLITE</v>
      </c>
      <c r="S4307" s="17"/>
      <c r="T4307" s="10" t="str">
        <f t="shared" si="364"/>
        <v>LUMINARIA BLANCA PARA EXTERIORES CON CHIP INTEGRADO DE 7.5 VATIOS.</v>
      </c>
    </row>
    <row r="4308" spans="1:20" ht="27" customHeight="1" x14ac:dyDescent="0.25">
      <c r="A4308" s="8" t="s">
        <v>8836</v>
      </c>
      <c r="B4308" s="9"/>
      <c r="C4308" s="9"/>
      <c r="D4308" s="8"/>
      <c r="E4308" s="8"/>
      <c r="F4308" s="8" t="s">
        <v>22</v>
      </c>
      <c r="G4308" s="10" t="s">
        <v>8958</v>
      </c>
      <c r="H4308" s="8" t="s">
        <v>8959</v>
      </c>
      <c r="I4308" s="10" t="s">
        <v>8958</v>
      </c>
      <c r="J4308" s="11" t="s">
        <v>33</v>
      </c>
      <c r="K4308" s="18">
        <f>83000*0.9</f>
        <v>74700</v>
      </c>
      <c r="L4308" s="12">
        <f t="shared" si="363"/>
        <v>124500</v>
      </c>
      <c r="M4308" s="8">
        <v>1</v>
      </c>
      <c r="N4308" s="8" t="s">
        <v>27</v>
      </c>
      <c r="O4308" s="13"/>
      <c r="P4308" s="14">
        <v>0.2</v>
      </c>
      <c r="Q4308" s="15">
        <v>0.4</v>
      </c>
      <c r="R4308" s="16" t="str">
        <f t="shared" si="362"/>
        <v>TECNOLITE</v>
      </c>
      <c r="S4308" s="17"/>
      <c r="T4308" s="10" t="str">
        <f t="shared" si="364"/>
        <v>CARDAN PEQUEÑO PARA LUMINARIA TRIPLE MR16, COLOR BLANCO.</v>
      </c>
    </row>
    <row r="4309" spans="1:20" ht="27" customHeight="1" x14ac:dyDescent="0.25">
      <c r="A4309" s="8" t="s">
        <v>8836</v>
      </c>
      <c r="B4309" s="9"/>
      <c r="C4309" s="9"/>
      <c r="D4309" s="8"/>
      <c r="E4309" s="8"/>
      <c r="F4309" s="8" t="s">
        <v>22</v>
      </c>
      <c r="G4309" s="10" t="s">
        <v>8960</v>
      </c>
      <c r="H4309" s="8" t="s">
        <v>8961</v>
      </c>
      <c r="I4309" s="10" t="s">
        <v>8962</v>
      </c>
      <c r="J4309" s="11" t="s">
        <v>33</v>
      </c>
      <c r="K4309" s="18">
        <v>126200</v>
      </c>
      <c r="L4309" s="12">
        <f t="shared" si="363"/>
        <v>210400</v>
      </c>
      <c r="M4309" s="8">
        <v>1</v>
      </c>
      <c r="N4309" s="8" t="s">
        <v>27</v>
      </c>
      <c r="O4309" s="13"/>
      <c r="P4309" s="14">
        <v>0.2</v>
      </c>
      <c r="Q4309" s="15">
        <v>0.4</v>
      </c>
      <c r="R4309" s="16" t="str">
        <f t="shared" si="362"/>
        <v>TECNOLITE</v>
      </c>
      <c r="S4309" s="17"/>
      <c r="T4309" s="10" t="str">
        <f t="shared" si="364"/>
        <v>LUMINARIA DECORATIVA EN ALUMINIO Y CRISTAL OPALIZADO PARA LUMINARIA E27.</v>
      </c>
    </row>
    <row r="4310" spans="1:20" ht="27" customHeight="1" x14ac:dyDescent="0.25">
      <c r="A4310" s="8" t="s">
        <v>8836</v>
      </c>
      <c r="B4310" s="9"/>
      <c r="C4310" s="9"/>
      <c r="D4310" s="8"/>
      <c r="E4310" s="8"/>
      <c r="F4310" s="8" t="s">
        <v>22</v>
      </c>
      <c r="G4310" s="10" t="s">
        <v>8963</v>
      </c>
      <c r="H4310" s="8" t="s">
        <v>8964</v>
      </c>
      <c r="I4310" s="10" t="s">
        <v>8963</v>
      </c>
      <c r="J4310" s="11" t="s">
        <v>33</v>
      </c>
      <c r="K4310" s="18">
        <v>96000</v>
      </c>
      <c r="L4310" s="12">
        <f t="shared" si="363"/>
        <v>160000</v>
      </c>
      <c r="M4310" s="8">
        <v>1</v>
      </c>
      <c r="N4310" s="8" t="s">
        <v>27</v>
      </c>
      <c r="O4310" s="13"/>
      <c r="P4310" s="14">
        <v>0.2</v>
      </c>
      <c r="Q4310" s="15">
        <v>0.4</v>
      </c>
      <c r="R4310" s="16" t="str">
        <f t="shared" si="362"/>
        <v>TECNOLITE</v>
      </c>
      <c r="S4310" s="17"/>
      <c r="T4310" s="10" t="str">
        <f t="shared" si="364"/>
        <v>LUMINARIA OPALIZADA DE CUERPO EN CRISTAL, COLOR BLANCO, PARA BOMBILLA E27.</v>
      </c>
    </row>
    <row r="4311" spans="1:20" ht="27" customHeight="1" x14ac:dyDescent="0.25">
      <c r="A4311" s="8" t="s">
        <v>8836</v>
      </c>
      <c r="B4311" s="9"/>
      <c r="C4311" s="9"/>
      <c r="D4311" s="8"/>
      <c r="E4311" s="8"/>
      <c r="F4311" s="8" t="s">
        <v>22</v>
      </c>
      <c r="G4311" s="10" t="s">
        <v>8965</v>
      </c>
      <c r="H4311" s="8" t="s">
        <v>8966</v>
      </c>
      <c r="I4311" s="10" t="s">
        <v>8965</v>
      </c>
      <c r="J4311" s="11" t="s">
        <v>33</v>
      </c>
      <c r="K4311" s="18">
        <v>79000</v>
      </c>
      <c r="L4311" s="12">
        <f t="shared" si="363"/>
        <v>131700</v>
      </c>
      <c r="M4311" s="8">
        <v>1</v>
      </c>
      <c r="N4311" s="8" t="s">
        <v>27</v>
      </c>
      <c r="O4311" s="13"/>
      <c r="P4311" s="14">
        <v>0.2</v>
      </c>
      <c r="Q4311" s="15">
        <v>0.4</v>
      </c>
      <c r="R4311" s="16" t="str">
        <f t="shared" si="362"/>
        <v>TECNOLITE</v>
      </c>
      <c r="S4311" s="17"/>
      <c r="T4311" s="10" t="str">
        <f t="shared" si="364"/>
        <v>LUMINARIA OPALIZADA DE CUERPO EN CRISTAL, COLOR ÁMBAR, PARA BOMBILLA E27.</v>
      </c>
    </row>
    <row r="4312" spans="1:20" ht="27" customHeight="1" x14ac:dyDescent="0.25">
      <c r="A4312" s="8" t="s">
        <v>8836</v>
      </c>
      <c r="B4312" s="9"/>
      <c r="C4312" s="9"/>
      <c r="D4312" s="8"/>
      <c r="E4312" s="8"/>
      <c r="F4312" s="8" t="s">
        <v>22</v>
      </c>
      <c r="G4312" s="10" t="s">
        <v>8967</v>
      </c>
      <c r="H4312" s="8" t="s">
        <v>8968</v>
      </c>
      <c r="I4312" s="10" t="s">
        <v>8967</v>
      </c>
      <c r="J4312" s="11" t="s">
        <v>33</v>
      </c>
      <c r="K4312" s="18">
        <f>123000*0.9</f>
        <v>110700</v>
      </c>
      <c r="L4312" s="12">
        <f t="shared" ref="L4312:L4343" si="365">IF(J4312="P",ROUNDUP(K4312/(1-Q4312),-2),K4312*(1+P4312)/(1-Q4312))</f>
        <v>184500</v>
      </c>
      <c r="M4312" s="8">
        <v>1</v>
      </c>
      <c r="N4312" s="8" t="s">
        <v>27</v>
      </c>
      <c r="O4312" s="13"/>
      <c r="P4312" s="14">
        <v>0.2</v>
      </c>
      <c r="Q4312" s="15">
        <v>0.4</v>
      </c>
      <c r="R4312" s="16" t="str">
        <f t="shared" si="362"/>
        <v>TECNOLITE</v>
      </c>
      <c r="S4312" s="17"/>
      <c r="T4312" s="10" t="str">
        <f t="shared" si="364"/>
        <v>LUMINARIA TIPO CARDAN PARA DOS BOMBILLAS AR111</v>
      </c>
    </row>
    <row r="4313" spans="1:20" ht="27" customHeight="1" x14ac:dyDescent="0.25">
      <c r="A4313" s="8" t="s">
        <v>8836</v>
      </c>
      <c r="B4313" s="9"/>
      <c r="C4313" s="9"/>
      <c r="D4313" s="8"/>
      <c r="E4313" s="8"/>
      <c r="F4313" s="8" t="s">
        <v>22</v>
      </c>
      <c r="G4313" s="10" t="s">
        <v>8969</v>
      </c>
      <c r="H4313" s="8" t="s">
        <v>8970</v>
      </c>
      <c r="I4313" s="10" t="s">
        <v>8971</v>
      </c>
      <c r="J4313" s="11" t="s">
        <v>33</v>
      </c>
      <c r="K4313" s="18">
        <v>105000</v>
      </c>
      <c r="L4313" s="12">
        <f t="shared" si="365"/>
        <v>175000</v>
      </c>
      <c r="M4313" s="8">
        <v>1</v>
      </c>
      <c r="N4313" s="8" t="s">
        <v>27</v>
      </c>
      <c r="O4313" s="13"/>
      <c r="P4313" s="14">
        <v>0.2</v>
      </c>
      <c r="Q4313" s="15">
        <v>0.4</v>
      </c>
      <c r="R4313" s="16" t="str">
        <f t="shared" si="362"/>
        <v>TECNOLITE</v>
      </c>
      <c r="S4313" s="17"/>
      <c r="T4313" s="10" t="str">
        <f t="shared" ref="T4313:T4344" si="366">G4313</f>
        <v>LUMINARIA CHIP ON BOARD DE 6.5 VATIOS. LUZ CÁLIDA. ESCUALIZABLE. EN COLOR NEGRO.</v>
      </c>
    </row>
    <row r="4314" spans="1:20" ht="27" customHeight="1" x14ac:dyDescent="0.25">
      <c r="A4314" s="8" t="s">
        <v>8836</v>
      </c>
      <c r="B4314" s="9"/>
      <c r="C4314" s="9"/>
      <c r="D4314" s="8"/>
      <c r="E4314" s="8"/>
      <c r="F4314" s="8" t="s">
        <v>22</v>
      </c>
      <c r="G4314" s="10" t="s">
        <v>8972</v>
      </c>
      <c r="H4314" s="8" t="s">
        <v>8973</v>
      </c>
      <c r="I4314" s="10" t="s">
        <v>8972</v>
      </c>
      <c r="J4314" s="11" t="s">
        <v>33</v>
      </c>
      <c r="K4314" s="18">
        <v>139000</v>
      </c>
      <c r="L4314" s="12">
        <f t="shared" si="365"/>
        <v>173800</v>
      </c>
      <c r="M4314" s="8">
        <v>1</v>
      </c>
      <c r="N4314" s="8" t="s">
        <v>27</v>
      </c>
      <c r="O4314" s="13"/>
      <c r="P4314" s="14">
        <v>0.2</v>
      </c>
      <c r="Q4314" s="15">
        <v>0.2</v>
      </c>
      <c r="R4314" s="16" t="str">
        <f t="shared" si="362"/>
        <v>TECNOLITE</v>
      </c>
      <c r="S4314" s="17"/>
      <c r="T4314" s="10" t="str">
        <f t="shared" si="366"/>
        <v>LUMINARIA DECORATIVA DE DESCOLGAR PARA BOMBILLA E27.</v>
      </c>
    </row>
    <row r="4315" spans="1:20" ht="27" customHeight="1" x14ac:dyDescent="0.25">
      <c r="A4315" s="8" t="s">
        <v>8836</v>
      </c>
      <c r="B4315" s="9"/>
      <c r="C4315" s="9"/>
      <c r="D4315" s="8"/>
      <c r="E4315" s="8"/>
      <c r="F4315" s="8" t="s">
        <v>22</v>
      </c>
      <c r="G4315" s="10" t="s">
        <v>8974</v>
      </c>
      <c r="H4315" s="8" t="s">
        <v>8975</v>
      </c>
      <c r="I4315" s="10" t="s">
        <v>8974</v>
      </c>
      <c r="J4315" s="11" t="s">
        <v>33</v>
      </c>
      <c r="K4315" s="18">
        <v>17000</v>
      </c>
      <c r="L4315" s="12">
        <f t="shared" si="365"/>
        <v>24300</v>
      </c>
      <c r="M4315" s="8">
        <v>1</v>
      </c>
      <c r="N4315" s="8" t="s">
        <v>27</v>
      </c>
      <c r="O4315" s="13"/>
      <c r="P4315" s="14">
        <v>0.2</v>
      </c>
      <c r="Q4315" s="15">
        <v>0.3</v>
      </c>
      <c r="R4315" s="16" t="str">
        <f t="shared" si="362"/>
        <v>TECNOLITE</v>
      </c>
      <c r="S4315" s="17"/>
      <c r="T4315" s="10" t="str">
        <f t="shared" si="366"/>
        <v>LUMINARIA RECESADA CON BORDE LIGERO PARA LUMINARIA EN FORMATO MR-16.</v>
      </c>
    </row>
    <row r="4316" spans="1:20" ht="27" customHeight="1" x14ac:dyDescent="0.25">
      <c r="A4316" s="8" t="s">
        <v>8836</v>
      </c>
      <c r="B4316" s="9"/>
      <c r="C4316" s="9"/>
      <c r="D4316" s="8"/>
      <c r="E4316" s="8"/>
      <c r="F4316" s="8" t="s">
        <v>22</v>
      </c>
      <c r="G4316" s="10" t="s">
        <v>8976</v>
      </c>
      <c r="H4316" s="8" t="s">
        <v>8977</v>
      </c>
      <c r="I4316" s="10" t="s">
        <v>8978</v>
      </c>
      <c r="J4316" s="11" t="s">
        <v>33</v>
      </c>
      <c r="K4316" s="18">
        <f>330000*0.9</f>
        <v>297000</v>
      </c>
      <c r="L4316" s="12">
        <f t="shared" si="365"/>
        <v>371300</v>
      </c>
      <c r="M4316" s="8">
        <v>1</v>
      </c>
      <c r="N4316" s="8" t="s">
        <v>27</v>
      </c>
      <c r="O4316" s="13"/>
      <c r="P4316" s="14">
        <v>0.2</v>
      </c>
      <c r="Q4316" s="15">
        <v>0.2</v>
      </c>
      <c r="R4316" s="16" t="str">
        <f t="shared" si="362"/>
        <v>TECNOLITE</v>
      </c>
      <c r="S4316" s="17"/>
      <c r="T4316" s="10" t="str">
        <f t="shared" si="366"/>
        <v>LUMINARIA CILÍNDRICA ESCUALIZABLE, 24W, ILUMINACIÓN CÁLIDA 3.000K.</v>
      </c>
    </row>
    <row r="4317" spans="1:20" ht="27" customHeight="1" x14ac:dyDescent="0.25">
      <c r="A4317" s="8" t="s">
        <v>8836</v>
      </c>
      <c r="B4317" s="9"/>
      <c r="C4317" s="9"/>
      <c r="D4317" s="8"/>
      <c r="E4317" s="8"/>
      <c r="F4317" s="8" t="s">
        <v>22</v>
      </c>
      <c r="G4317" s="10" t="s">
        <v>8972</v>
      </c>
      <c r="H4317" s="8" t="s">
        <v>8979</v>
      </c>
      <c r="I4317" s="10" t="s">
        <v>8972</v>
      </c>
      <c r="J4317" s="11" t="s">
        <v>33</v>
      </c>
      <c r="K4317" s="18">
        <f>231000*0.9</f>
        <v>207900</v>
      </c>
      <c r="L4317" s="12">
        <f t="shared" si="365"/>
        <v>259900</v>
      </c>
      <c r="M4317" s="8">
        <v>1</v>
      </c>
      <c r="N4317" s="8" t="s">
        <v>27</v>
      </c>
      <c r="O4317" s="13"/>
      <c r="P4317" s="14">
        <v>0.2</v>
      </c>
      <c r="Q4317" s="15">
        <v>0.2</v>
      </c>
      <c r="R4317" s="16" t="str">
        <f t="shared" si="362"/>
        <v>TECNOLITE</v>
      </c>
      <c r="S4317" s="17"/>
      <c r="T4317" s="10" t="str">
        <f t="shared" si="366"/>
        <v>LUMINARIA DECORATIVA DE DESCOLGAR PARA BOMBILLA E27.</v>
      </c>
    </row>
    <row r="4318" spans="1:20" ht="27" customHeight="1" x14ac:dyDescent="0.25">
      <c r="A4318" s="8" t="s">
        <v>8836</v>
      </c>
      <c r="B4318" s="9"/>
      <c r="C4318" s="9"/>
      <c r="D4318" s="8"/>
      <c r="E4318" s="8"/>
      <c r="F4318" s="8" t="s">
        <v>22</v>
      </c>
      <c r="G4318" s="10" t="s">
        <v>8980</v>
      </c>
      <c r="H4318" s="8" t="s">
        <v>8981</v>
      </c>
      <c r="I4318" s="10" t="s">
        <v>8980</v>
      </c>
      <c r="J4318" s="11" t="s">
        <v>33</v>
      </c>
      <c r="K4318" s="18">
        <f>49600*0.9</f>
        <v>44640</v>
      </c>
      <c r="L4318" s="12">
        <f t="shared" si="365"/>
        <v>74400</v>
      </c>
      <c r="M4318" s="8">
        <v>1</v>
      </c>
      <c r="N4318" s="8" t="s">
        <v>27</v>
      </c>
      <c r="O4318" s="13"/>
      <c r="P4318" s="14">
        <v>0.2</v>
      </c>
      <c r="Q4318" s="15">
        <v>0.4</v>
      </c>
      <c r="R4318" s="16" t="str">
        <f t="shared" si="362"/>
        <v>TECNOLITE</v>
      </c>
      <c r="S4318" s="17"/>
      <c r="T4318" s="10" t="str">
        <f t="shared" si="366"/>
        <v>LUMINARIA BORDER LESS PARA BOMBILLA RECESADA GU10</v>
      </c>
    </row>
    <row r="4319" spans="1:20" ht="27" customHeight="1" x14ac:dyDescent="0.25">
      <c r="A4319" s="8" t="s">
        <v>8836</v>
      </c>
      <c r="B4319" s="9" t="s">
        <v>8236</v>
      </c>
      <c r="C4319" s="9"/>
      <c r="D4319" s="8" t="s">
        <v>2087</v>
      </c>
      <c r="E4319" s="8"/>
      <c r="F4319" s="8" t="s">
        <v>22</v>
      </c>
      <c r="G4319" s="10" t="s">
        <v>8982</v>
      </c>
      <c r="H4319" s="8" t="s">
        <v>8983</v>
      </c>
      <c r="I4319" s="10" t="s">
        <v>8982</v>
      </c>
      <c r="J4319" s="11" t="s">
        <v>33</v>
      </c>
      <c r="K4319" s="18">
        <v>168213</v>
      </c>
      <c r="L4319" s="12">
        <f t="shared" si="365"/>
        <v>210300</v>
      </c>
      <c r="M4319" s="8">
        <v>1</v>
      </c>
      <c r="N4319" s="8" t="s">
        <v>27</v>
      </c>
      <c r="O4319" s="13"/>
      <c r="P4319" s="14">
        <v>0.2</v>
      </c>
      <c r="Q4319" s="15">
        <v>0.2</v>
      </c>
      <c r="R4319" s="16" t="str">
        <f t="shared" si="362"/>
        <v>TECNOLITE</v>
      </c>
      <c r="S4319" s="17"/>
      <c r="T4319" s="10" t="str">
        <f t="shared" si="366"/>
        <v>LAMPARA REFLECTOR DIRECCIONABLE DE 6 VATIOS, IP65. 3000K, 150LM.</v>
      </c>
    </row>
    <row r="4320" spans="1:20" ht="27" customHeight="1" x14ac:dyDescent="0.25">
      <c r="A4320" s="8" t="s">
        <v>8836</v>
      </c>
      <c r="B4320" s="9"/>
      <c r="C4320" s="9"/>
      <c r="D4320" s="8"/>
      <c r="E4320" s="8"/>
      <c r="F4320" s="8" t="s">
        <v>22</v>
      </c>
      <c r="G4320" s="10" t="s">
        <v>8984</v>
      </c>
      <c r="H4320" s="8" t="s">
        <v>8985</v>
      </c>
      <c r="I4320" s="10" t="s">
        <v>8984</v>
      </c>
      <c r="J4320" s="11" t="s">
        <v>33</v>
      </c>
      <c r="K4320" s="18">
        <v>130000</v>
      </c>
      <c r="L4320" s="12">
        <f t="shared" si="365"/>
        <v>162500</v>
      </c>
      <c r="M4320" s="8">
        <v>1</v>
      </c>
      <c r="N4320" s="8" t="s">
        <v>27</v>
      </c>
      <c r="O4320" s="13"/>
      <c r="P4320" s="14">
        <v>0.2</v>
      </c>
      <c r="Q4320" s="15">
        <v>0.2</v>
      </c>
      <c r="R4320" s="16" t="str">
        <f t="shared" si="362"/>
        <v>TECNOLITE</v>
      </c>
      <c r="S4320" s="17"/>
      <c r="T4320" s="10" t="str">
        <f t="shared" si="366"/>
        <v>LUMINARIA DE SOBRE PONER LED DE 35 VATIOS, MULTIVOLTAJE. 25.000 HORAS.</v>
      </c>
    </row>
    <row r="4321" spans="1:28" ht="27" customHeight="1" x14ac:dyDescent="0.25">
      <c r="A4321" s="8" t="s">
        <v>8836</v>
      </c>
      <c r="B4321" s="9"/>
      <c r="C4321" s="9"/>
      <c r="D4321" s="8"/>
      <c r="E4321" s="8"/>
      <c r="F4321" s="8" t="s">
        <v>22</v>
      </c>
      <c r="G4321" s="10" t="s">
        <v>8986</v>
      </c>
      <c r="H4321" s="8" t="s">
        <v>8987</v>
      </c>
      <c r="I4321" s="10" t="s">
        <v>8986</v>
      </c>
      <c r="J4321" s="11" t="s">
        <v>33</v>
      </c>
      <c r="K4321" s="18">
        <v>46000</v>
      </c>
      <c r="L4321" s="12">
        <f t="shared" si="365"/>
        <v>57500</v>
      </c>
      <c r="M4321" s="8">
        <v>1</v>
      </c>
      <c r="N4321" s="8" t="s">
        <v>27</v>
      </c>
      <c r="O4321" s="13"/>
      <c r="P4321" s="14">
        <v>0.25</v>
      </c>
      <c r="Q4321" s="15">
        <v>0.2</v>
      </c>
      <c r="R4321" s="16" t="str">
        <f t="shared" si="362"/>
        <v>TECNOLITE</v>
      </c>
      <c r="S4321" s="17"/>
      <c r="T4321" s="10" t="str">
        <f t="shared" si="366"/>
        <v>LUMINARIA DECORATIVA CON VIDRIO OPALIZADO PARA BOMBILLA E27</v>
      </c>
    </row>
    <row r="4322" spans="1:28" ht="27" customHeight="1" x14ac:dyDescent="0.25">
      <c r="A4322" s="8" t="s">
        <v>8836</v>
      </c>
      <c r="B4322" s="9"/>
      <c r="C4322" s="9"/>
      <c r="D4322" s="8"/>
      <c r="E4322" s="8"/>
      <c r="F4322" s="8" t="s">
        <v>22</v>
      </c>
      <c r="G4322" s="10" t="s">
        <v>8988</v>
      </c>
      <c r="H4322" s="8" t="s">
        <v>8989</v>
      </c>
      <c r="I4322" s="10" t="s">
        <v>8990</v>
      </c>
      <c r="J4322" s="11" t="s">
        <v>33</v>
      </c>
      <c r="K4322" s="18">
        <v>73000</v>
      </c>
      <c r="L4322" s="12">
        <f t="shared" si="365"/>
        <v>91300</v>
      </c>
      <c r="M4322" s="8">
        <v>1</v>
      </c>
      <c r="N4322" s="8" t="s">
        <v>27</v>
      </c>
      <c r="O4322" s="13"/>
      <c r="P4322" s="14">
        <v>0.25</v>
      </c>
      <c r="Q4322" s="15">
        <v>0.2</v>
      </c>
      <c r="R4322" s="16" t="str">
        <f t="shared" si="362"/>
        <v>TECNOLITE</v>
      </c>
      <c r="S4322" s="17"/>
      <c r="T4322" s="10" t="str">
        <f t="shared" si="366"/>
        <v>LUMINARIA LED DE INTEMPERIE. SALIDA LUMINA 360°, 6W.</v>
      </c>
    </row>
    <row r="4323" spans="1:28" ht="27" customHeight="1" x14ac:dyDescent="0.25">
      <c r="A4323" s="8" t="s">
        <v>8836</v>
      </c>
      <c r="B4323" s="9"/>
      <c r="C4323" s="9"/>
      <c r="D4323" s="8"/>
      <c r="E4323" s="8"/>
      <c r="F4323" s="8" t="s">
        <v>22</v>
      </c>
      <c r="G4323" s="10" t="s">
        <v>8991</v>
      </c>
      <c r="H4323" s="8" t="s">
        <v>8992</v>
      </c>
      <c r="I4323" s="10" t="s">
        <v>8991</v>
      </c>
      <c r="J4323" s="11" t="s">
        <v>33</v>
      </c>
      <c r="K4323" s="18">
        <v>77000</v>
      </c>
      <c r="L4323" s="12">
        <f t="shared" si="365"/>
        <v>96300</v>
      </c>
      <c r="M4323" s="8">
        <v>1</v>
      </c>
      <c r="N4323" s="8" t="s">
        <v>27</v>
      </c>
      <c r="O4323" s="13"/>
      <c r="P4323" s="14">
        <v>0.25</v>
      </c>
      <c r="Q4323" s="15">
        <v>0.2</v>
      </c>
      <c r="R4323" s="16" t="str">
        <f t="shared" si="362"/>
        <v>TECNOLITE</v>
      </c>
      <c r="S4323" s="17"/>
      <c r="T4323" s="10" t="str">
        <f t="shared" si="366"/>
        <v>LUMINARIA LED HIGH POWER DE 13W, 1100 LUMENS, ATENUABLE, 100-127VAC. 3000K.</v>
      </c>
    </row>
    <row r="4324" spans="1:28" ht="27" customHeight="1" x14ac:dyDescent="0.25">
      <c r="A4324" s="8" t="s">
        <v>8836</v>
      </c>
      <c r="B4324" s="9"/>
      <c r="C4324" s="9"/>
      <c r="D4324" s="8"/>
      <c r="E4324" s="8"/>
      <c r="F4324" s="8" t="s">
        <v>22</v>
      </c>
      <c r="G4324" s="10" t="s">
        <v>8993</v>
      </c>
      <c r="H4324" s="8" t="s">
        <v>8994</v>
      </c>
      <c r="I4324" s="10" t="s">
        <v>8993</v>
      </c>
      <c r="J4324" s="11" t="s">
        <v>33</v>
      </c>
      <c r="K4324" s="18">
        <v>77000</v>
      </c>
      <c r="L4324" s="12">
        <f t="shared" si="365"/>
        <v>96300</v>
      </c>
      <c r="M4324" s="8">
        <v>1</v>
      </c>
      <c r="N4324" s="8" t="s">
        <v>27</v>
      </c>
      <c r="O4324" s="13"/>
      <c r="P4324" s="14">
        <v>0.25</v>
      </c>
      <c r="Q4324" s="15">
        <v>0.2</v>
      </c>
      <c r="R4324" s="16" t="str">
        <f t="shared" si="362"/>
        <v>TECNOLITE</v>
      </c>
      <c r="S4324" s="17"/>
      <c r="T4324" s="10" t="str">
        <f t="shared" si="366"/>
        <v>LUMINARIA LED HIGH POWER DE 13W, 1100 LUMENS, ATENUABLE, 100-127VAC. 4000K.</v>
      </c>
    </row>
    <row r="4325" spans="1:28" ht="27" customHeight="1" x14ac:dyDescent="0.25">
      <c r="A4325" s="8" t="s">
        <v>8836</v>
      </c>
      <c r="B4325" s="9"/>
      <c r="C4325" s="9"/>
      <c r="D4325" s="8"/>
      <c r="E4325" s="8"/>
      <c r="F4325" s="8" t="s">
        <v>22</v>
      </c>
      <c r="G4325" s="10" t="s">
        <v>8995</v>
      </c>
      <c r="H4325" s="8" t="s">
        <v>8996</v>
      </c>
      <c r="I4325" s="10" t="s">
        <v>8995</v>
      </c>
      <c r="J4325" s="11" t="s">
        <v>33</v>
      </c>
      <c r="K4325" s="18">
        <f>154000*0.9</f>
        <v>138600</v>
      </c>
      <c r="L4325" s="12">
        <f t="shared" si="365"/>
        <v>173300</v>
      </c>
      <c r="M4325" s="8">
        <v>1</v>
      </c>
      <c r="N4325" s="8" t="s">
        <v>27</v>
      </c>
      <c r="O4325" s="13"/>
      <c r="P4325" s="14">
        <v>0.25</v>
      </c>
      <c r="Q4325" s="15">
        <v>0.2</v>
      </c>
      <c r="R4325" s="16" t="str">
        <f t="shared" si="362"/>
        <v>TECNOLITE</v>
      </c>
      <c r="S4325" s="17"/>
      <c r="T4325" s="10" t="str">
        <f t="shared" si="366"/>
        <v>REFLECTOR CHIP ON BOARD 15W, 1000 LUMENS. TEMPERATURA 3000K.</v>
      </c>
    </row>
    <row r="4326" spans="1:28" ht="27" customHeight="1" x14ac:dyDescent="0.25">
      <c r="A4326" s="8" t="s">
        <v>8836</v>
      </c>
      <c r="B4326" s="9"/>
      <c r="C4326" s="9"/>
      <c r="D4326" s="8"/>
      <c r="E4326" s="8"/>
      <c r="F4326" s="8" t="s">
        <v>22</v>
      </c>
      <c r="G4326" s="10" t="s">
        <v>8997</v>
      </c>
      <c r="H4326" s="8" t="s">
        <v>8998</v>
      </c>
      <c r="I4326" s="10" t="s">
        <v>8997</v>
      </c>
      <c r="J4326" s="11" t="s">
        <v>33</v>
      </c>
      <c r="K4326" s="18">
        <f>133000*0.9</f>
        <v>119700</v>
      </c>
      <c r="L4326" s="12">
        <f t="shared" si="365"/>
        <v>149700</v>
      </c>
      <c r="M4326" s="8">
        <v>1</v>
      </c>
      <c r="N4326" s="8" t="s">
        <v>27</v>
      </c>
      <c r="O4326" s="13"/>
      <c r="P4326" s="14">
        <v>0.25</v>
      </c>
      <c r="Q4326" s="15">
        <v>0.2</v>
      </c>
      <c r="R4326" s="16" t="str">
        <f t="shared" si="362"/>
        <v>TECNOLITE</v>
      </c>
      <c r="S4326" s="17"/>
      <c r="T4326" s="10" t="str">
        <f t="shared" si="366"/>
        <v>REFLECTOR CHIP ON BOARD 14.5W, 1200 LUMENS. TEMPERATURA 3000K.</v>
      </c>
      <c r="AB4326" s="112">
        <v>2</v>
      </c>
    </row>
    <row r="4327" spans="1:28" ht="27" customHeight="1" x14ac:dyDescent="0.25">
      <c r="A4327" s="8" t="s">
        <v>8836</v>
      </c>
      <c r="B4327" s="9"/>
      <c r="C4327" s="9"/>
      <c r="D4327" s="8"/>
      <c r="E4327" s="8"/>
      <c r="F4327" s="8" t="s">
        <v>22</v>
      </c>
      <c r="G4327" s="10" t="s">
        <v>8999</v>
      </c>
      <c r="H4327" s="8" t="s">
        <v>9000</v>
      </c>
      <c r="I4327" s="10" t="s">
        <v>8999</v>
      </c>
      <c r="J4327" s="11" t="s">
        <v>33</v>
      </c>
      <c r="K4327" s="18">
        <v>94000</v>
      </c>
      <c r="L4327" s="12">
        <f t="shared" si="365"/>
        <v>156700</v>
      </c>
      <c r="M4327" s="8">
        <v>1</v>
      </c>
      <c r="N4327" s="8" t="s">
        <v>27</v>
      </c>
      <c r="O4327" s="13"/>
      <c r="P4327" s="14">
        <v>0.2</v>
      </c>
      <c r="Q4327" s="15">
        <v>0.4</v>
      </c>
      <c r="R4327" s="16" t="str">
        <f t="shared" si="362"/>
        <v>TECNOLITE</v>
      </c>
      <c r="S4327" s="17"/>
      <c r="T4327" s="10" t="str">
        <f t="shared" si="366"/>
        <v>LUMINARIA TIPO APLIQUE DE EXTERIOR EN COLOR NEGRO. LUZ CÁLIDA, 500 LUMENS. 9.5W.</v>
      </c>
    </row>
    <row r="4328" spans="1:28" ht="27" customHeight="1" x14ac:dyDescent="0.25">
      <c r="A4328" s="8" t="s">
        <v>8836</v>
      </c>
      <c r="B4328" s="9"/>
      <c r="C4328" s="9"/>
      <c r="D4328" s="8"/>
      <c r="E4328" s="8"/>
      <c r="F4328" s="8" t="s">
        <v>22</v>
      </c>
      <c r="G4328" s="10" t="s">
        <v>9001</v>
      </c>
      <c r="H4328" s="8" t="s">
        <v>9002</v>
      </c>
      <c r="I4328" s="10" t="s">
        <v>9001</v>
      </c>
      <c r="J4328" s="11" t="s">
        <v>33</v>
      </c>
      <c r="K4328" s="18">
        <f>150800*0.9</f>
        <v>135720</v>
      </c>
      <c r="L4328" s="12">
        <f t="shared" si="365"/>
        <v>193900</v>
      </c>
      <c r="M4328" s="8">
        <v>1</v>
      </c>
      <c r="N4328" s="8" t="s">
        <v>27</v>
      </c>
      <c r="O4328" s="13"/>
      <c r="P4328" s="14">
        <v>0.2</v>
      </c>
      <c r="Q4328" s="15">
        <v>0.3</v>
      </c>
      <c r="R4328" s="16" t="str">
        <f t="shared" si="362"/>
        <v>TECNOLITE</v>
      </c>
      <c r="S4328" s="17"/>
      <c r="T4328" s="10" t="str">
        <f t="shared" si="366"/>
        <v>LUMINARIA DECORATIVA INDUSTRIAL VINTAGE</v>
      </c>
    </row>
    <row r="4329" spans="1:28" ht="27" customHeight="1" x14ac:dyDescent="0.25">
      <c r="A4329" s="8" t="s">
        <v>8836</v>
      </c>
      <c r="B4329" s="9"/>
      <c r="C4329" s="9"/>
      <c r="D4329" s="8"/>
      <c r="E4329" s="8"/>
      <c r="F4329" s="8" t="s">
        <v>22</v>
      </c>
      <c r="G4329" s="10" t="s">
        <v>9003</v>
      </c>
      <c r="H4329" s="8" t="s">
        <v>9004</v>
      </c>
      <c r="I4329" s="10" t="s">
        <v>9003</v>
      </c>
      <c r="J4329" s="11" t="s">
        <v>33</v>
      </c>
      <c r="K4329" s="18">
        <v>66400</v>
      </c>
      <c r="L4329" s="12">
        <f t="shared" si="365"/>
        <v>94900</v>
      </c>
      <c r="M4329" s="8">
        <v>1</v>
      </c>
      <c r="N4329" s="8" t="s">
        <v>27</v>
      </c>
      <c r="O4329" s="13"/>
      <c r="P4329" s="14">
        <v>0</v>
      </c>
      <c r="Q4329" s="15">
        <v>0.3</v>
      </c>
      <c r="R4329" s="16" t="str">
        <f t="shared" si="362"/>
        <v>TECNOLITE</v>
      </c>
      <c r="S4329" s="17"/>
      <c r="T4329" s="10" t="str">
        <f t="shared" si="366"/>
        <v>LUMINARIA TIPO CARDAN DOBLE PARA BOMBILLAS GU10</v>
      </c>
    </row>
    <row r="4330" spans="1:28" ht="27" customHeight="1" x14ac:dyDescent="0.25">
      <c r="A4330" s="8" t="s">
        <v>8836</v>
      </c>
      <c r="B4330" s="9"/>
      <c r="C4330" s="9"/>
      <c r="D4330" s="8"/>
      <c r="E4330" s="8"/>
      <c r="F4330" s="8" t="s">
        <v>22</v>
      </c>
      <c r="G4330" s="10" t="s">
        <v>9005</v>
      </c>
      <c r="H4330" s="8" t="s">
        <v>9006</v>
      </c>
      <c r="I4330" s="10" t="s">
        <v>9005</v>
      </c>
      <c r="J4330" s="11" t="s">
        <v>33</v>
      </c>
      <c r="K4330" s="18">
        <v>25000</v>
      </c>
      <c r="L4330" s="12">
        <f t="shared" si="365"/>
        <v>35800</v>
      </c>
      <c r="M4330" s="8">
        <v>1</v>
      </c>
      <c r="N4330" s="8" t="s">
        <v>27</v>
      </c>
      <c r="O4330" s="13"/>
      <c r="P4330" s="14">
        <v>0</v>
      </c>
      <c r="Q4330" s="15">
        <v>0.3</v>
      </c>
      <c r="R4330" s="16" t="str">
        <f t="shared" si="362"/>
        <v>TECNOLITE</v>
      </c>
      <c r="S4330" s="17"/>
      <c r="T4330" s="10" t="str">
        <f t="shared" si="366"/>
        <v>SPOT EN RIEL PARA LUMINARIA GU10</v>
      </c>
    </row>
    <row r="4331" spans="1:28" ht="27" customHeight="1" x14ac:dyDescent="0.25">
      <c r="A4331" s="8" t="s">
        <v>8836</v>
      </c>
      <c r="B4331" s="9"/>
      <c r="C4331" s="9"/>
      <c r="D4331" s="8"/>
      <c r="E4331" s="8"/>
      <c r="F4331" s="8" t="s">
        <v>22</v>
      </c>
      <c r="G4331" s="10" t="s">
        <v>9007</v>
      </c>
      <c r="H4331" s="8" t="s">
        <v>9008</v>
      </c>
      <c r="I4331" s="10" t="s">
        <v>9007</v>
      </c>
      <c r="J4331" s="11" t="s">
        <v>33</v>
      </c>
      <c r="K4331" s="18">
        <f>35378*0.9</f>
        <v>31840.2</v>
      </c>
      <c r="L4331" s="12">
        <f t="shared" si="365"/>
        <v>45500</v>
      </c>
      <c r="M4331" s="8">
        <v>1</v>
      </c>
      <c r="N4331" s="8" t="s">
        <v>27</v>
      </c>
      <c r="O4331" s="13"/>
      <c r="P4331" s="14">
        <v>0</v>
      </c>
      <c r="Q4331" s="15">
        <v>0.3</v>
      </c>
      <c r="R4331" s="16" t="str">
        <f t="shared" si="362"/>
        <v>TECNOLITE</v>
      </c>
      <c r="S4331" s="17"/>
      <c r="T4331" s="10" t="str">
        <f t="shared" si="366"/>
        <v>REFLECTOR CON ROSCA E27 PARA LUMINARIA PAR 30</v>
      </c>
    </row>
    <row r="4332" spans="1:28" ht="27" customHeight="1" x14ac:dyDescent="0.25">
      <c r="A4332" s="8" t="s">
        <v>8836</v>
      </c>
      <c r="B4332" s="9"/>
      <c r="C4332" s="9"/>
      <c r="D4332" s="8"/>
      <c r="E4332" s="8"/>
      <c r="F4332" s="8" t="s">
        <v>22</v>
      </c>
      <c r="G4332" s="10" t="s">
        <v>9009</v>
      </c>
      <c r="H4332" s="8" t="s">
        <v>9010</v>
      </c>
      <c r="I4332" s="10" t="s">
        <v>9009</v>
      </c>
      <c r="J4332" s="11" t="s">
        <v>33</v>
      </c>
      <c r="K4332" s="18">
        <f>23000*0.9</f>
        <v>20700</v>
      </c>
      <c r="L4332" s="12">
        <f t="shared" si="365"/>
        <v>29600</v>
      </c>
      <c r="M4332" s="8">
        <v>1</v>
      </c>
      <c r="N4332" s="8" t="s">
        <v>27</v>
      </c>
      <c r="O4332" s="13"/>
      <c r="P4332" s="14">
        <v>0</v>
      </c>
      <c r="Q4332" s="15">
        <v>0.3</v>
      </c>
      <c r="R4332" s="16" t="str">
        <f t="shared" si="362"/>
        <v>TECNOLITE</v>
      </c>
      <c r="S4332" s="17"/>
      <c r="T4332" s="10" t="str">
        <f t="shared" si="366"/>
        <v>LUMINARIA PAR 30 DE 10W CÁLIDA</v>
      </c>
    </row>
    <row r="4333" spans="1:28" ht="27" customHeight="1" x14ac:dyDescent="0.25">
      <c r="A4333" s="8" t="s">
        <v>8836</v>
      </c>
      <c r="B4333" s="9"/>
      <c r="C4333" s="9"/>
      <c r="D4333" s="8"/>
      <c r="E4333" s="8"/>
      <c r="F4333" s="8" t="s">
        <v>22</v>
      </c>
      <c r="G4333" s="10" t="s">
        <v>9011</v>
      </c>
      <c r="H4333" s="8" t="s">
        <v>9012</v>
      </c>
      <c r="I4333" s="10" t="s">
        <v>9011</v>
      </c>
      <c r="J4333" s="11" t="s">
        <v>33</v>
      </c>
      <c r="K4333" s="18">
        <f>148810*0.9</f>
        <v>133929</v>
      </c>
      <c r="L4333" s="12">
        <f t="shared" si="365"/>
        <v>167500</v>
      </c>
      <c r="M4333" s="8">
        <v>1</v>
      </c>
      <c r="N4333" s="8" t="s">
        <v>27</v>
      </c>
      <c r="O4333" s="13"/>
      <c r="P4333" s="14">
        <v>0.25</v>
      </c>
      <c r="Q4333" s="15">
        <v>0.2</v>
      </c>
      <c r="R4333" s="16" t="str">
        <f t="shared" si="362"/>
        <v>TECNOLITE</v>
      </c>
      <c r="S4333" s="17"/>
      <c r="T4333" s="10" t="str">
        <f t="shared" si="366"/>
        <v>LUMINARIA LED HIGH POWER DE 25W, 2300 LUMENS, ATENUABLE, 100-127VAC. 3000K.</v>
      </c>
    </row>
    <row r="4334" spans="1:28" ht="27" customHeight="1" x14ac:dyDescent="0.25">
      <c r="A4334" s="8" t="s">
        <v>8836</v>
      </c>
      <c r="B4334" s="9"/>
      <c r="C4334" s="9"/>
      <c r="D4334" s="8"/>
      <c r="E4334" s="8"/>
      <c r="F4334" s="8" t="s">
        <v>22</v>
      </c>
      <c r="G4334" s="10" t="s">
        <v>9013</v>
      </c>
      <c r="H4334" s="8" t="s">
        <v>9014</v>
      </c>
      <c r="I4334" s="10" t="s">
        <v>9013</v>
      </c>
      <c r="J4334" s="11" t="s">
        <v>33</v>
      </c>
      <c r="K4334" s="18">
        <f>148810*0.9</f>
        <v>133929</v>
      </c>
      <c r="L4334" s="12">
        <f t="shared" si="365"/>
        <v>167500</v>
      </c>
      <c r="M4334" s="8">
        <v>1</v>
      </c>
      <c r="N4334" s="8" t="s">
        <v>27</v>
      </c>
      <c r="O4334" s="13"/>
      <c r="P4334" s="14">
        <v>0.25</v>
      </c>
      <c r="Q4334" s="15">
        <v>0.2</v>
      </c>
      <c r="R4334" s="16" t="str">
        <f t="shared" si="362"/>
        <v>TECNOLITE</v>
      </c>
      <c r="S4334" s="17"/>
      <c r="T4334" s="10" t="str">
        <f t="shared" si="366"/>
        <v>LUMINARIA LED HIGH POWER DE 25W, 2300 LUMENS, ATENUABLE, 100-127VAC. 4000K.</v>
      </c>
      <c r="AB4334" s="112">
        <v>2</v>
      </c>
    </row>
    <row r="4335" spans="1:28" ht="27" customHeight="1" x14ac:dyDescent="0.25">
      <c r="A4335" s="8" t="s">
        <v>8836</v>
      </c>
      <c r="B4335" s="9"/>
      <c r="C4335" s="9"/>
      <c r="D4335" s="8"/>
      <c r="E4335" s="8"/>
      <c r="F4335" s="8" t="s">
        <v>22</v>
      </c>
      <c r="G4335" s="10" t="s">
        <v>9015</v>
      </c>
      <c r="H4335" s="8" t="s">
        <v>9016</v>
      </c>
      <c r="I4335" s="10" t="s">
        <v>9015</v>
      </c>
      <c r="J4335" s="11" t="s">
        <v>33</v>
      </c>
      <c r="K4335" s="18">
        <f>178000*0.9</f>
        <v>160200</v>
      </c>
      <c r="L4335" s="12">
        <f t="shared" si="365"/>
        <v>200300</v>
      </c>
      <c r="M4335" s="8">
        <v>1</v>
      </c>
      <c r="N4335" s="8" t="s">
        <v>27</v>
      </c>
      <c r="O4335" s="13"/>
      <c r="P4335" s="14">
        <v>0.25</v>
      </c>
      <c r="Q4335" s="15">
        <v>0.2</v>
      </c>
      <c r="R4335" s="16" t="str">
        <f t="shared" ref="R4335:R4398" si="367">A4335</f>
        <v>TECNOLITE</v>
      </c>
      <c r="S4335" s="17"/>
      <c r="T4335" s="10" t="str">
        <f t="shared" si="366"/>
        <v>LUMINARIA LED HIGH POWER DE 35W, 3300 LUMENS, ATENUABLE, 100-127VAC. 3000K.</v>
      </c>
      <c r="AB4335" s="112">
        <v>1</v>
      </c>
    </row>
    <row r="4336" spans="1:28" ht="27" customHeight="1" x14ac:dyDescent="0.25">
      <c r="A4336" s="8" t="s">
        <v>8836</v>
      </c>
      <c r="B4336" s="9"/>
      <c r="C4336" s="9"/>
      <c r="D4336" s="8"/>
      <c r="E4336" s="8"/>
      <c r="F4336" s="8" t="s">
        <v>22</v>
      </c>
      <c r="G4336" s="10" t="s">
        <v>9017</v>
      </c>
      <c r="H4336" s="8" t="s">
        <v>9018</v>
      </c>
      <c r="I4336" s="10" t="s">
        <v>9017</v>
      </c>
      <c r="J4336" s="11" t="s">
        <v>33</v>
      </c>
      <c r="K4336" s="18">
        <f>202900*0.9</f>
        <v>182610</v>
      </c>
      <c r="L4336" s="12">
        <f t="shared" si="365"/>
        <v>260900</v>
      </c>
      <c r="M4336" s="8">
        <v>1</v>
      </c>
      <c r="N4336" s="8" t="s">
        <v>27</v>
      </c>
      <c r="O4336" s="13"/>
      <c r="P4336" s="14">
        <v>0</v>
      </c>
      <c r="Q4336" s="15">
        <v>0.3</v>
      </c>
      <c r="R4336" s="16" t="str">
        <f t="shared" si="367"/>
        <v>TECNOLITE</v>
      </c>
      <c r="S4336" s="17"/>
      <c r="T4336" s="10" t="str">
        <f t="shared" si="366"/>
        <v>LUMINARIA LED HIGH POWER DE 35W, 3300 LUMENS, ATENUABLE, 100-127VAC. 4000K.</v>
      </c>
      <c r="AB4336" s="112">
        <v>2</v>
      </c>
    </row>
    <row r="4337" spans="1:20" ht="27" customHeight="1" x14ac:dyDescent="0.25">
      <c r="A4337" s="8" t="s">
        <v>8836</v>
      </c>
      <c r="B4337" s="9"/>
      <c r="C4337" s="9"/>
      <c r="D4337" s="8"/>
      <c r="E4337" s="8"/>
      <c r="F4337" s="8" t="s">
        <v>22</v>
      </c>
      <c r="G4337" s="10" t="s">
        <v>9019</v>
      </c>
      <c r="H4337" s="8" t="s">
        <v>9020</v>
      </c>
      <c r="I4337" s="10" t="s">
        <v>9019</v>
      </c>
      <c r="J4337" s="11" t="s">
        <v>33</v>
      </c>
      <c r="K4337" s="18">
        <f>203000*0.9</f>
        <v>182700</v>
      </c>
      <c r="L4337" s="12">
        <f t="shared" si="365"/>
        <v>261000</v>
      </c>
      <c r="M4337" s="8">
        <v>1</v>
      </c>
      <c r="N4337" s="8" t="s">
        <v>27</v>
      </c>
      <c r="O4337" s="13"/>
      <c r="P4337" s="14">
        <v>0</v>
      </c>
      <c r="Q4337" s="15">
        <v>0.3</v>
      </c>
      <c r="R4337" s="16" t="str">
        <f t="shared" si="367"/>
        <v>TECNOLITE</v>
      </c>
      <c r="S4337" s="17"/>
      <c r="T4337" s="10" t="str">
        <f t="shared" si="366"/>
        <v>LUMINARIA DE EMPOTRAR DE 10W, 3000K MULTIVOLTAJE, 800 LUMENS, 20.000 HORAS.</v>
      </c>
    </row>
    <row r="4338" spans="1:20" ht="27" customHeight="1" x14ac:dyDescent="0.25">
      <c r="A4338" s="8" t="s">
        <v>8836</v>
      </c>
      <c r="B4338" s="9"/>
      <c r="C4338" s="9"/>
      <c r="D4338" s="8"/>
      <c r="E4338" s="8"/>
      <c r="F4338" s="8" t="s">
        <v>22</v>
      </c>
      <c r="G4338" s="10" t="s">
        <v>9021</v>
      </c>
      <c r="H4338" s="8" t="s">
        <v>9022</v>
      </c>
      <c r="I4338" s="10" t="s">
        <v>9021</v>
      </c>
      <c r="J4338" s="11" t="s">
        <v>33</v>
      </c>
      <c r="K4338" s="18">
        <f>62000*0.9</f>
        <v>55800</v>
      </c>
      <c r="L4338" s="12">
        <f t="shared" si="365"/>
        <v>79800</v>
      </c>
      <c r="M4338" s="8">
        <v>1</v>
      </c>
      <c r="N4338" s="8" t="s">
        <v>27</v>
      </c>
      <c r="O4338" s="13"/>
      <c r="P4338" s="14">
        <v>0</v>
      </c>
      <c r="Q4338" s="15">
        <v>0.3</v>
      </c>
      <c r="R4338" s="16" t="str">
        <f t="shared" si="367"/>
        <v>TECNOLITE</v>
      </c>
      <c r="S4338" s="17"/>
      <c r="T4338" s="10" t="str">
        <f t="shared" si="366"/>
        <v>LUMINARIA DE EMPOTRAR DE 9W, 3000K MULTIVOLTAJE, 280 LUMENS, 20.000 HORAS.</v>
      </c>
    </row>
    <row r="4339" spans="1:20" ht="27" customHeight="1" x14ac:dyDescent="0.25">
      <c r="A4339" s="8" t="s">
        <v>8836</v>
      </c>
      <c r="B4339" s="9"/>
      <c r="C4339" s="9"/>
      <c r="D4339" s="8"/>
      <c r="E4339" s="8"/>
      <c r="F4339" s="8" t="s">
        <v>22</v>
      </c>
      <c r="G4339" s="10" t="s">
        <v>9023</v>
      </c>
      <c r="H4339" s="8" t="s">
        <v>9024</v>
      </c>
      <c r="I4339" s="10" t="s">
        <v>9023</v>
      </c>
      <c r="J4339" s="11" t="s">
        <v>33</v>
      </c>
      <c r="K4339" s="18">
        <f>200000*0.9</f>
        <v>180000</v>
      </c>
      <c r="L4339" s="12">
        <f t="shared" si="365"/>
        <v>257200</v>
      </c>
      <c r="M4339" s="8">
        <v>1</v>
      </c>
      <c r="N4339" s="8" t="s">
        <v>27</v>
      </c>
      <c r="O4339" s="13"/>
      <c r="P4339" s="14">
        <v>0</v>
      </c>
      <c r="Q4339" s="15">
        <v>0.3</v>
      </c>
      <c r="R4339" s="16" t="str">
        <f t="shared" si="367"/>
        <v>TECNOLITE</v>
      </c>
      <c r="S4339" s="17"/>
      <c r="T4339" s="10" t="str">
        <f t="shared" si="366"/>
        <v>LUMINARIA DECORATIVA DE SOBREPONER, LUMINARIA INTERIOR CON BOMBILLA E27.</v>
      </c>
    </row>
    <row r="4340" spans="1:20" ht="27" customHeight="1" x14ac:dyDescent="0.25">
      <c r="A4340" s="8" t="s">
        <v>8836</v>
      </c>
      <c r="B4340" s="9"/>
      <c r="C4340" s="9"/>
      <c r="D4340" s="8"/>
      <c r="E4340" s="8"/>
      <c r="F4340" s="8" t="s">
        <v>22</v>
      </c>
      <c r="G4340" s="10" t="s">
        <v>9025</v>
      </c>
      <c r="H4340" s="8" t="s">
        <v>9026</v>
      </c>
      <c r="I4340" s="10" t="s">
        <v>9027</v>
      </c>
      <c r="J4340" s="11" t="s">
        <v>33</v>
      </c>
      <c r="K4340" s="18">
        <f>84000*0.9</f>
        <v>75600</v>
      </c>
      <c r="L4340" s="12">
        <f t="shared" si="365"/>
        <v>108000</v>
      </c>
      <c r="M4340" s="8">
        <v>1</v>
      </c>
      <c r="N4340" s="8" t="s">
        <v>27</v>
      </c>
      <c r="O4340" s="13"/>
      <c r="P4340" s="14">
        <v>0</v>
      </c>
      <c r="Q4340" s="15">
        <v>0.3</v>
      </c>
      <c r="R4340" s="16" t="str">
        <f t="shared" si="367"/>
        <v>TECNOLITE</v>
      </c>
      <c r="S4340" s="17"/>
      <c r="T4340" s="10" t="str">
        <f t="shared" si="366"/>
        <v xml:space="preserve">LUMINARIA CILÍNDRICA DESCOLGADA DE 3W, 210 LUMENS.
</v>
      </c>
    </row>
    <row r="4341" spans="1:20" ht="27" customHeight="1" x14ac:dyDescent="0.25">
      <c r="A4341" s="8" t="s">
        <v>8836</v>
      </c>
      <c r="B4341" s="9"/>
      <c r="C4341" s="9"/>
      <c r="D4341" s="8"/>
      <c r="E4341" s="8"/>
      <c r="F4341" s="8" t="s">
        <v>22</v>
      </c>
      <c r="G4341" s="10" t="s">
        <v>9028</v>
      </c>
      <c r="H4341" s="8" t="s">
        <v>9022</v>
      </c>
      <c r="I4341" s="10" t="s">
        <v>9028</v>
      </c>
      <c r="J4341" s="11" t="s">
        <v>33</v>
      </c>
      <c r="K4341" s="18">
        <f>62000*0.9</f>
        <v>55800</v>
      </c>
      <c r="L4341" s="12">
        <f t="shared" si="365"/>
        <v>79800</v>
      </c>
      <c r="M4341" s="8">
        <v>1</v>
      </c>
      <c r="N4341" s="8" t="s">
        <v>27</v>
      </c>
      <c r="O4341" s="13"/>
      <c r="P4341" s="14">
        <v>0</v>
      </c>
      <c r="Q4341" s="15">
        <v>0.3</v>
      </c>
      <c r="R4341" s="16" t="str">
        <f t="shared" si="367"/>
        <v>TECNOLITE</v>
      </c>
      <c r="S4341" s="17"/>
      <c r="T4341" s="10" t="str">
        <f t="shared" si="366"/>
        <v xml:space="preserve">LUMINARIA DE EMPOTRAR EN PISO, 9W, 280 LUMENS, 3000K, 20.000 HORAS DE VIDA. </v>
      </c>
    </row>
    <row r="4342" spans="1:20" ht="27" customHeight="1" x14ac:dyDescent="0.25">
      <c r="A4342" s="8" t="s">
        <v>8836</v>
      </c>
      <c r="B4342" s="9"/>
      <c r="C4342" s="9"/>
      <c r="D4342" s="8"/>
      <c r="E4342" s="8"/>
      <c r="F4342" s="8" t="s">
        <v>22</v>
      </c>
      <c r="G4342" s="10" t="s">
        <v>9029</v>
      </c>
      <c r="H4342" s="8" t="s">
        <v>9030</v>
      </c>
      <c r="I4342" s="10" t="s">
        <v>9031</v>
      </c>
      <c r="J4342" s="11" t="s">
        <v>33</v>
      </c>
      <c r="K4342" s="18">
        <v>136000</v>
      </c>
      <c r="L4342" s="12">
        <f t="shared" si="365"/>
        <v>194300</v>
      </c>
      <c r="M4342" s="8">
        <v>1</v>
      </c>
      <c r="N4342" s="8" t="s">
        <v>27</v>
      </c>
      <c r="O4342" s="13"/>
      <c r="P4342" s="14">
        <v>0</v>
      </c>
      <c r="Q4342" s="15">
        <v>0.3</v>
      </c>
      <c r="R4342" s="16" t="str">
        <f t="shared" si="367"/>
        <v>TECNOLITE</v>
      </c>
      <c r="S4342" s="17"/>
      <c r="T4342" s="10" t="str">
        <f t="shared" si="366"/>
        <v>LUMINARIA DE EXTERIOR EN ALUMINIO GRIS, MULTIVOLTAGE.</v>
      </c>
    </row>
    <row r="4343" spans="1:20" ht="27" customHeight="1" x14ac:dyDescent="0.25">
      <c r="A4343" s="8" t="s">
        <v>8836</v>
      </c>
      <c r="B4343" s="9"/>
      <c r="C4343" s="9"/>
      <c r="D4343" s="8"/>
      <c r="E4343" s="8"/>
      <c r="F4343" s="8" t="s">
        <v>22</v>
      </c>
      <c r="G4343" s="10" t="s">
        <v>9032</v>
      </c>
      <c r="H4343" s="8" t="s">
        <v>9033</v>
      </c>
      <c r="I4343" s="10" t="s">
        <v>9032</v>
      </c>
      <c r="J4343" s="11" t="s">
        <v>33</v>
      </c>
      <c r="K4343" s="18">
        <v>69000</v>
      </c>
      <c r="L4343" s="12">
        <f t="shared" si="365"/>
        <v>98600</v>
      </c>
      <c r="M4343" s="8">
        <v>1</v>
      </c>
      <c r="N4343" s="8" t="s">
        <v>27</v>
      </c>
      <c r="O4343" s="13" t="s">
        <v>588</v>
      </c>
      <c r="P4343" s="14">
        <v>0</v>
      </c>
      <c r="Q4343" s="15">
        <v>0.3</v>
      </c>
      <c r="R4343" s="16" t="str">
        <f t="shared" si="367"/>
        <v>TECNOLITE</v>
      </c>
      <c r="S4343" s="17"/>
      <c r="T4343" s="10" t="str">
        <f t="shared" si="366"/>
        <v>BOMBILLA AR111 ATENUABLE CON CONECTOR GU10, 3000K 850 LUMENS.</v>
      </c>
    </row>
    <row r="4344" spans="1:20" ht="27" customHeight="1" x14ac:dyDescent="0.25">
      <c r="A4344" s="8" t="s">
        <v>8836</v>
      </c>
      <c r="B4344" s="9"/>
      <c r="C4344" s="9"/>
      <c r="D4344" s="8"/>
      <c r="E4344" s="8"/>
      <c r="F4344" s="8" t="s">
        <v>22</v>
      </c>
      <c r="G4344" s="10" t="s">
        <v>9034</v>
      </c>
      <c r="H4344" s="8" t="s">
        <v>9035</v>
      </c>
      <c r="I4344" s="10" t="s">
        <v>9034</v>
      </c>
      <c r="J4344" s="11" t="s">
        <v>33</v>
      </c>
      <c r="K4344" s="18">
        <v>23800</v>
      </c>
      <c r="L4344" s="12">
        <f t="shared" ref="L4344:L4346" si="368">IF(J4344="P",ROUNDUP(K4344/(1-Q4344),-2),K4344*(1+P4344)/(1-Q4344))</f>
        <v>47600</v>
      </c>
      <c r="M4344" s="8">
        <v>1</v>
      </c>
      <c r="N4344" s="8" t="s">
        <v>27</v>
      </c>
      <c r="O4344" s="13" t="s">
        <v>588</v>
      </c>
      <c r="P4344" s="14">
        <v>0</v>
      </c>
      <c r="Q4344" s="15">
        <v>0.5</v>
      </c>
      <c r="R4344" s="16" t="str">
        <f t="shared" si="367"/>
        <v>TECNOLITE</v>
      </c>
      <c r="S4344" s="17"/>
      <c r="T4344" s="10" t="str">
        <f t="shared" si="366"/>
        <v>LUMINARIA DE INTERIOR CON BORDE RECESADO PARA BOMBILLA GU10</v>
      </c>
    </row>
    <row r="4345" spans="1:20" ht="27" customHeight="1" x14ac:dyDescent="0.25">
      <c r="A4345" s="8" t="s">
        <v>8836</v>
      </c>
      <c r="B4345" s="9"/>
      <c r="C4345" s="9"/>
      <c r="D4345" s="8"/>
      <c r="E4345" s="8"/>
      <c r="F4345" s="8" t="s">
        <v>22</v>
      </c>
      <c r="G4345" s="10" t="s">
        <v>9036</v>
      </c>
      <c r="H4345" s="8" t="s">
        <v>9037</v>
      </c>
      <c r="I4345" s="10" t="s">
        <v>9036</v>
      </c>
      <c r="J4345" s="11" t="s">
        <v>33</v>
      </c>
      <c r="K4345" s="18">
        <f>152128*0.9</f>
        <v>136915.20000000001</v>
      </c>
      <c r="L4345" s="12">
        <f t="shared" si="368"/>
        <v>171200</v>
      </c>
      <c r="M4345" s="8">
        <v>1</v>
      </c>
      <c r="N4345" s="8" t="s">
        <v>27</v>
      </c>
      <c r="O4345" s="13"/>
      <c r="P4345" s="14">
        <v>0</v>
      </c>
      <c r="Q4345" s="15">
        <v>0.2</v>
      </c>
      <c r="R4345" s="16" t="str">
        <f t="shared" si="367"/>
        <v>TECNOLITE</v>
      </c>
      <c r="S4345" s="17"/>
      <c r="T4345" s="10" t="str">
        <f t="shared" ref="T4345:T4371" si="369">G4345</f>
        <v>LUMINARIA DE LECTURA DE 3.8W, 100LM, 3000K MULTIVOLTAJE.</v>
      </c>
    </row>
    <row r="4346" spans="1:20" ht="27" customHeight="1" x14ac:dyDescent="0.25">
      <c r="A4346" s="8" t="s">
        <v>8836</v>
      </c>
      <c r="B4346" s="9"/>
      <c r="C4346" s="9"/>
      <c r="D4346" s="8"/>
      <c r="E4346" s="8"/>
      <c r="F4346" s="8" t="s">
        <v>22</v>
      </c>
      <c r="G4346" s="10" t="s">
        <v>9038</v>
      </c>
      <c r="H4346" s="8" t="s">
        <v>9039</v>
      </c>
      <c r="I4346" s="10" t="s">
        <v>9038</v>
      </c>
      <c r="J4346" s="11" t="s">
        <v>33</v>
      </c>
      <c r="K4346" s="18">
        <f>14997*0.9</f>
        <v>13497.300000000001</v>
      </c>
      <c r="L4346" s="12">
        <f t="shared" si="368"/>
        <v>19300</v>
      </c>
      <c r="M4346" s="8">
        <v>1</v>
      </c>
      <c r="N4346" s="8" t="s">
        <v>27</v>
      </c>
      <c r="O4346" s="13"/>
      <c r="P4346" s="14">
        <v>0</v>
      </c>
      <c r="Q4346" s="15">
        <v>0.3</v>
      </c>
      <c r="R4346" s="16" t="str">
        <f t="shared" si="367"/>
        <v>TECNOLITE</v>
      </c>
      <c r="S4346" s="17"/>
      <c r="T4346" s="10" t="str">
        <f t="shared" si="369"/>
        <v>BOMBILLA LED ATENUABLE GU10 PARA FORMATO MR16 LUZ NEUTRA 4000K, 7W, 600Lm.</v>
      </c>
    </row>
    <row r="4347" spans="1:20" ht="27" customHeight="1" x14ac:dyDescent="0.25">
      <c r="A4347" s="8" t="s">
        <v>8836</v>
      </c>
      <c r="B4347" s="9"/>
      <c r="C4347" s="9"/>
      <c r="D4347" s="8"/>
      <c r="E4347" s="8"/>
      <c r="F4347" s="8" t="s">
        <v>22</v>
      </c>
      <c r="G4347" s="10" t="s">
        <v>9040</v>
      </c>
      <c r="H4347" s="8" t="s">
        <v>9041</v>
      </c>
      <c r="I4347" s="10" t="s">
        <v>9042</v>
      </c>
      <c r="J4347" s="11" t="s">
        <v>33</v>
      </c>
      <c r="K4347" s="18">
        <f>24600*0.9</f>
        <v>22140</v>
      </c>
      <c r="L4347" s="12">
        <f t="shared" ref="L4347:L4354" si="370">ROUNDUP(K4347*(1+P4347)/(1-Q4347),0)</f>
        <v>31629</v>
      </c>
      <c r="M4347" s="8">
        <v>1</v>
      </c>
      <c r="N4347" s="8" t="s">
        <v>27</v>
      </c>
      <c r="O4347" s="13"/>
      <c r="P4347" s="14">
        <v>0</v>
      </c>
      <c r="Q4347" s="15">
        <v>0.3</v>
      </c>
      <c r="R4347" s="16" t="str">
        <f t="shared" si="367"/>
        <v>TECNOLITE</v>
      </c>
      <c r="S4347" s="17"/>
      <c r="T4347" s="10" t="str">
        <f t="shared" si="369"/>
        <v>LUMINARIA RECESADA EMPOTRADA EN TECHO CON INTERIOR NEGRO.</v>
      </c>
    </row>
    <row r="4348" spans="1:20" ht="27" customHeight="1" x14ac:dyDescent="0.25">
      <c r="A4348" s="8" t="s">
        <v>8836</v>
      </c>
      <c r="B4348" s="9"/>
      <c r="C4348" s="9"/>
      <c r="D4348" s="8"/>
      <c r="E4348" s="8"/>
      <c r="F4348" s="8" t="s">
        <v>22</v>
      </c>
      <c r="G4348" s="10" t="s">
        <v>9043</v>
      </c>
      <c r="H4348" s="8" t="s">
        <v>9044</v>
      </c>
      <c r="I4348" s="10" t="s">
        <v>9045</v>
      </c>
      <c r="J4348" s="11" t="s">
        <v>33</v>
      </c>
      <c r="K4348" s="18">
        <f>29600*0.9</f>
        <v>26640</v>
      </c>
      <c r="L4348" s="12">
        <f t="shared" si="370"/>
        <v>38058</v>
      </c>
      <c r="M4348" s="8">
        <v>1</v>
      </c>
      <c r="N4348" s="8" t="s">
        <v>27</v>
      </c>
      <c r="O4348" s="13"/>
      <c r="P4348" s="14">
        <v>0</v>
      </c>
      <c r="Q4348" s="15">
        <v>0.3</v>
      </c>
      <c r="R4348" s="16" t="str">
        <f t="shared" si="367"/>
        <v>TECNOLITE</v>
      </c>
      <c r="S4348" s="17"/>
      <c r="T4348" s="10" t="str">
        <f t="shared" si="369"/>
        <v>LUMINARIA RECESADA EMPOTRADA EN TECHO DE BORDE DELGADO PARA BOMBILLA MR16.</v>
      </c>
    </row>
    <row r="4349" spans="1:20" ht="27" customHeight="1" x14ac:dyDescent="0.25">
      <c r="A4349" s="8" t="s">
        <v>8836</v>
      </c>
      <c r="B4349" s="9"/>
      <c r="C4349" s="9"/>
      <c r="D4349" s="8"/>
      <c r="E4349" s="8"/>
      <c r="F4349" s="8" t="s">
        <v>22</v>
      </c>
      <c r="G4349" s="10" t="s">
        <v>9046</v>
      </c>
      <c r="H4349" s="8" t="s">
        <v>9047</v>
      </c>
      <c r="I4349" s="10" t="s">
        <v>9048</v>
      </c>
      <c r="J4349" s="11" t="s">
        <v>33</v>
      </c>
      <c r="K4349" s="18">
        <f>73726*0.9</f>
        <v>66353.400000000009</v>
      </c>
      <c r="L4349" s="12">
        <f t="shared" si="370"/>
        <v>94791</v>
      </c>
      <c r="M4349" s="8">
        <v>1</v>
      </c>
      <c r="N4349" s="8" t="s">
        <v>27</v>
      </c>
      <c r="O4349" s="13"/>
      <c r="P4349" s="14">
        <v>0</v>
      </c>
      <c r="Q4349" s="15">
        <v>0.3</v>
      </c>
      <c r="R4349" s="16" t="str">
        <f t="shared" si="367"/>
        <v>TECNOLITE</v>
      </c>
      <c r="S4349" s="17"/>
      <c r="T4349" s="10" t="str">
        <f t="shared" si="369"/>
        <v>LUMINARIA DE SOBREPONER MULTIVOLTAJE PARA EXTERIOR DE 9W, 800LM, MULTIVOLTAJE.</v>
      </c>
    </row>
    <row r="4350" spans="1:20" ht="27" customHeight="1" x14ac:dyDescent="0.25">
      <c r="A4350" s="8" t="s">
        <v>8836</v>
      </c>
      <c r="B4350" s="9"/>
      <c r="C4350" s="9"/>
      <c r="D4350" s="8"/>
      <c r="E4350" s="8"/>
      <c r="F4350" s="8" t="s">
        <v>22</v>
      </c>
      <c r="G4350" s="10" t="s">
        <v>9049</v>
      </c>
      <c r="H4350" s="8" t="s">
        <v>9050</v>
      </c>
      <c r="I4350" s="10" t="s">
        <v>9051</v>
      </c>
      <c r="J4350" s="11" t="s">
        <v>33</v>
      </c>
      <c r="K4350" s="18">
        <f>104400*0.9</f>
        <v>93960</v>
      </c>
      <c r="L4350" s="12">
        <f t="shared" si="370"/>
        <v>134229</v>
      </c>
      <c r="M4350" s="8">
        <v>1</v>
      </c>
      <c r="N4350" s="8" t="s">
        <v>27</v>
      </c>
      <c r="O4350" s="13"/>
      <c r="P4350" s="14">
        <v>0</v>
      </c>
      <c r="Q4350" s="15">
        <v>0.3</v>
      </c>
      <c r="R4350" s="16" t="str">
        <f t="shared" si="367"/>
        <v>TECNOLITE</v>
      </c>
      <c r="S4350" s="17"/>
      <c r="T4350" s="10" t="str">
        <f t="shared" si="369"/>
        <v>LUMINARIA GUÍA PARA EXTERIORES, IP65 CON DIFUSIÓN DE 365 GRADOS, 50LM. MULTIVOLTAGE DE 1W.</v>
      </c>
    </row>
    <row r="4351" spans="1:20" ht="27" customHeight="1" x14ac:dyDescent="0.25">
      <c r="A4351" s="8" t="s">
        <v>8836</v>
      </c>
      <c r="B4351" s="9"/>
      <c r="C4351" s="9"/>
      <c r="D4351" s="8"/>
      <c r="E4351" s="8"/>
      <c r="F4351" s="8" t="s">
        <v>22</v>
      </c>
      <c r="G4351" s="10" t="s">
        <v>9052</v>
      </c>
      <c r="H4351" s="8" t="s">
        <v>9053</v>
      </c>
      <c r="I4351" s="10" t="s">
        <v>9054</v>
      </c>
      <c r="J4351" s="11" t="s">
        <v>33</v>
      </c>
      <c r="K4351" s="18">
        <f>124500*0.9</f>
        <v>112050</v>
      </c>
      <c r="L4351" s="12">
        <f t="shared" si="370"/>
        <v>160072</v>
      </c>
      <c r="M4351" s="8">
        <v>1</v>
      </c>
      <c r="N4351" s="8" t="s">
        <v>27</v>
      </c>
      <c r="O4351" s="13"/>
      <c r="P4351" s="14">
        <v>0</v>
      </c>
      <c r="Q4351" s="15">
        <v>0.3</v>
      </c>
      <c r="R4351" s="16" t="str">
        <f t="shared" si="367"/>
        <v>TECNOLITE</v>
      </c>
      <c r="S4351" s="17"/>
      <c r="T4351" s="10" t="str">
        <f t="shared" si="369"/>
        <v>LUMINARIA TIPO APLIQUE SATINADO CON ILUMINACIÓN ARRIBA Y ABAJO, 9W.</v>
      </c>
    </row>
    <row r="4352" spans="1:20" ht="27" customHeight="1" x14ac:dyDescent="0.25">
      <c r="A4352" s="8" t="s">
        <v>8836</v>
      </c>
      <c r="B4352" s="9"/>
      <c r="C4352" s="9"/>
      <c r="D4352" s="8"/>
      <c r="E4352" s="8"/>
      <c r="F4352" s="8" t="s">
        <v>22</v>
      </c>
      <c r="G4352" s="10" t="s">
        <v>9055</v>
      </c>
      <c r="H4352" s="8" t="s">
        <v>9056</v>
      </c>
      <c r="I4352" s="10" t="s">
        <v>9057</v>
      </c>
      <c r="J4352" s="11" t="s">
        <v>33</v>
      </c>
      <c r="K4352" s="18">
        <f>93800*0.9</f>
        <v>84420</v>
      </c>
      <c r="L4352" s="12">
        <f t="shared" si="370"/>
        <v>120600</v>
      </c>
      <c r="M4352" s="8">
        <v>1</v>
      </c>
      <c r="N4352" s="8" t="s">
        <v>27</v>
      </c>
      <c r="O4352" s="13"/>
      <c r="P4352" s="14">
        <v>0</v>
      </c>
      <c r="Q4352" s="15">
        <v>0.3</v>
      </c>
      <c r="R4352" s="16" t="str">
        <f t="shared" si="367"/>
        <v>TECNOLITE</v>
      </c>
      <c r="S4352" s="17"/>
      <c r="T4352" s="10" t="str">
        <f t="shared" si="369"/>
        <v>LUMINARIA IP65 CÁLIDA 3000K DE 5W, 150LM, MULTIVOLTAJE, DIÁMETRO DE 6.2CM.</v>
      </c>
    </row>
    <row r="4353" spans="1:20" ht="27" customHeight="1" x14ac:dyDescent="0.25">
      <c r="A4353" s="8" t="s">
        <v>8836</v>
      </c>
      <c r="B4353" s="9"/>
      <c r="C4353" s="9"/>
      <c r="D4353" s="8" t="s">
        <v>45</v>
      </c>
      <c r="E4353" s="8"/>
      <c r="F4353" s="8" t="s">
        <v>22</v>
      </c>
      <c r="G4353" s="10" t="s">
        <v>9058</v>
      </c>
      <c r="H4353" s="8" t="s">
        <v>9059</v>
      </c>
      <c r="I4353" s="10" t="s">
        <v>9058</v>
      </c>
      <c r="J4353" s="11" t="s">
        <v>33</v>
      </c>
      <c r="K4353" s="18">
        <f>64200*0.9</f>
        <v>57780</v>
      </c>
      <c r="L4353" s="12">
        <f t="shared" si="370"/>
        <v>82543</v>
      </c>
      <c r="M4353" s="8">
        <v>1</v>
      </c>
      <c r="N4353" s="8" t="s">
        <v>27</v>
      </c>
      <c r="O4353" s="13"/>
      <c r="P4353" s="14">
        <v>0</v>
      </c>
      <c r="Q4353" s="15">
        <v>0.3</v>
      </c>
      <c r="R4353" s="16" t="str">
        <f t="shared" si="367"/>
        <v>TECNOLITE</v>
      </c>
      <c r="S4353" s="17"/>
      <c r="T4353" s="10" t="str">
        <f t="shared" si="369"/>
        <v>LUMINARIA TIPO CARDAN PARA UNA BOMBILLA AR111</v>
      </c>
    </row>
    <row r="4354" spans="1:20" ht="27" customHeight="1" x14ac:dyDescent="0.25">
      <c r="A4354" s="8" t="s">
        <v>8836</v>
      </c>
      <c r="B4354" s="9"/>
      <c r="C4354" s="9"/>
      <c r="D4354" s="8" t="s">
        <v>45</v>
      </c>
      <c r="E4354" s="8"/>
      <c r="F4354" s="8" t="s">
        <v>22</v>
      </c>
      <c r="G4354" s="10" t="s">
        <v>9060</v>
      </c>
      <c r="H4354" s="8" t="s">
        <v>9061</v>
      </c>
      <c r="I4354" s="10" t="s">
        <v>9060</v>
      </c>
      <c r="J4354" s="11" t="s">
        <v>33</v>
      </c>
      <c r="K4354" s="18">
        <f>45959*0.9</f>
        <v>41363.1</v>
      </c>
      <c r="L4354" s="12">
        <f t="shared" si="370"/>
        <v>68939</v>
      </c>
      <c r="M4354" s="8">
        <v>1</v>
      </c>
      <c r="N4354" s="8" t="s">
        <v>27</v>
      </c>
      <c r="O4354" s="13"/>
      <c r="P4354" s="14">
        <v>0</v>
      </c>
      <c r="Q4354" s="15">
        <v>0.4</v>
      </c>
      <c r="R4354" s="16" t="str">
        <f t="shared" si="367"/>
        <v>TECNOLITE</v>
      </c>
      <c r="S4354" s="17"/>
      <c r="T4354" s="10" t="str">
        <f t="shared" si="369"/>
        <v>RIEL DE UN METRO PARA SPOT EN COLOR NEGRO</v>
      </c>
    </row>
    <row r="4355" spans="1:20" ht="27" customHeight="1" x14ac:dyDescent="0.25">
      <c r="A4355" s="8" t="s">
        <v>8836</v>
      </c>
      <c r="B4355" s="9"/>
      <c r="C4355" s="9"/>
      <c r="D4355" s="8"/>
      <c r="E4355" s="8"/>
      <c r="F4355" s="8" t="s">
        <v>22</v>
      </c>
      <c r="G4355" s="10" t="s">
        <v>9062</v>
      </c>
      <c r="H4355" s="8" t="s">
        <v>9063</v>
      </c>
      <c r="I4355" s="10" t="s">
        <v>9062</v>
      </c>
      <c r="J4355" s="11" t="s">
        <v>33</v>
      </c>
      <c r="K4355" s="18">
        <f>154000*0.9</f>
        <v>138600</v>
      </c>
      <c r="L4355" s="12">
        <f>IF(J4355="P",ROUNDUP(K4355/(1-Q4355),-2),K4355*(1+P4355)/(1-Q4355))</f>
        <v>173300</v>
      </c>
      <c r="M4355" s="8">
        <v>1</v>
      </c>
      <c r="N4355" s="8" t="s">
        <v>27</v>
      </c>
      <c r="O4355" s="13"/>
      <c r="P4355" s="14">
        <v>0.25</v>
      </c>
      <c r="Q4355" s="15">
        <v>0.2</v>
      </c>
      <c r="R4355" s="16" t="str">
        <f t="shared" si="367"/>
        <v>TECNOLITE</v>
      </c>
      <c r="S4355" s="17"/>
      <c r="T4355" s="10" t="str">
        <f t="shared" si="369"/>
        <v>REFLECTOR CHIP ON BOARDNEGRO DE 15W, 1000 LUMENS. TEMPERATURA 3000K.</v>
      </c>
    </row>
    <row r="4356" spans="1:20" ht="27" customHeight="1" x14ac:dyDescent="0.25">
      <c r="A4356" s="8" t="s">
        <v>8836</v>
      </c>
      <c r="B4356" s="9"/>
      <c r="C4356" s="9"/>
      <c r="D4356" s="8" t="s">
        <v>45</v>
      </c>
      <c r="E4356" s="8"/>
      <c r="F4356" s="8" t="s">
        <v>22</v>
      </c>
      <c r="G4356" s="10" t="s">
        <v>9064</v>
      </c>
      <c r="H4356" s="8" t="s">
        <v>9065</v>
      </c>
      <c r="I4356" s="10" t="s">
        <v>9064</v>
      </c>
      <c r="J4356" s="11" t="s">
        <v>33</v>
      </c>
      <c r="K4356" s="18">
        <f>5926*0.9</f>
        <v>5333.4000000000005</v>
      </c>
      <c r="L4356" s="12">
        <f>IF(J4356="P",ROUNDUP(K4356/(1-Q4356),-2),K4356*(1+P4356)/(1-Q4356))</f>
        <v>6700</v>
      </c>
      <c r="M4356" s="8">
        <v>1</v>
      </c>
      <c r="N4356" s="8" t="s">
        <v>27</v>
      </c>
      <c r="O4356" s="13"/>
      <c r="P4356" s="14">
        <v>0</v>
      </c>
      <c r="Q4356" s="15">
        <v>0.2</v>
      </c>
      <c r="R4356" s="16" t="str">
        <f t="shared" si="367"/>
        <v>TECNOLITE</v>
      </c>
      <c r="S4356" s="17"/>
      <c r="T4356" s="10" t="str">
        <f t="shared" si="369"/>
        <v>BOMBILLA LED DE 6W CÁLIDA: 3.000K, VIDA ÚTIL DE 15.000 HORAS, FORMATO GU10.</v>
      </c>
    </row>
    <row r="4357" spans="1:20" ht="27" customHeight="1" x14ac:dyDescent="0.25">
      <c r="A4357" s="8" t="s">
        <v>8836</v>
      </c>
      <c r="B4357" s="9"/>
      <c r="C4357" s="9"/>
      <c r="D4357" s="8" t="s">
        <v>45</v>
      </c>
      <c r="E4357" s="8"/>
      <c r="F4357" s="8" t="s">
        <v>22</v>
      </c>
      <c r="G4357" s="10" t="s">
        <v>9066</v>
      </c>
      <c r="H4357" s="8" t="s">
        <v>9067</v>
      </c>
      <c r="I4357" s="10" t="s">
        <v>9066</v>
      </c>
      <c r="J4357" s="11" t="s">
        <v>33</v>
      </c>
      <c r="K4357" s="18">
        <v>60700</v>
      </c>
      <c r="L4357" s="12">
        <f>IF(J4357="P",ROUNDUP(K4357/(1-Q4357),-2),K4357*(1+P4357)/(1-Q4357))</f>
        <v>86800</v>
      </c>
      <c r="M4357" s="8">
        <v>1</v>
      </c>
      <c r="N4357" s="8" t="s">
        <v>27</v>
      </c>
      <c r="O4357" s="13"/>
      <c r="P4357" s="14">
        <v>0</v>
      </c>
      <c r="Q4357" s="15">
        <v>0.3</v>
      </c>
      <c r="R4357" s="16" t="str">
        <f t="shared" si="367"/>
        <v>TECNOLITE</v>
      </c>
      <c r="S4357" s="17"/>
      <c r="T4357" s="10" t="str">
        <f t="shared" si="369"/>
        <v>LUMINARIA GUÍA EN COLOR GRIS, 2.5W, MULTIVOLTAJE. DIÁMETRO DE 9CM. 3000K.</v>
      </c>
    </row>
    <row r="4358" spans="1:20" ht="27" customHeight="1" x14ac:dyDescent="0.25">
      <c r="A4358" s="8" t="s">
        <v>8836</v>
      </c>
      <c r="B4358" s="9"/>
      <c r="C4358" s="9"/>
      <c r="D4358" s="8" t="s">
        <v>45</v>
      </c>
      <c r="E4358" s="8"/>
      <c r="F4358" s="8" t="s">
        <v>22</v>
      </c>
      <c r="G4358" s="10" t="s">
        <v>9068</v>
      </c>
      <c r="H4358" s="8" t="s">
        <v>9069</v>
      </c>
      <c r="I4358" s="10" t="s">
        <v>9068</v>
      </c>
      <c r="J4358" s="11" t="s">
        <v>33</v>
      </c>
      <c r="K4358" s="18">
        <v>123000</v>
      </c>
      <c r="L4358" s="12">
        <f>IF(J4358="P",ROUNDUP(K4358/(1-Q4358),-2),K4358*(1+P4358)/(1-Q4358))</f>
        <v>175800</v>
      </c>
      <c r="M4358" s="8">
        <v>1</v>
      </c>
      <c r="N4358" s="8" t="s">
        <v>27</v>
      </c>
      <c r="O4358" s="13"/>
      <c r="P4358" s="14">
        <v>0</v>
      </c>
      <c r="Q4358" s="15">
        <v>0.3</v>
      </c>
      <c r="R4358" s="16" t="str">
        <f t="shared" si="367"/>
        <v>TECNOLITE</v>
      </c>
      <c r="S4358" s="17"/>
      <c r="T4358" s="10" t="str">
        <f t="shared" si="369"/>
        <v>LUMINARIA DECORATIVA TIPO APLIQUE, MULTI VOLTAJE, 315 LUMENS. 5.5W, CÁLIDA.</v>
      </c>
    </row>
    <row r="4359" spans="1:20" ht="27" customHeight="1" x14ac:dyDescent="0.25">
      <c r="A4359" s="8" t="s">
        <v>8836</v>
      </c>
      <c r="B4359" s="9"/>
      <c r="C4359" s="9"/>
      <c r="D4359" s="8" t="s">
        <v>45</v>
      </c>
      <c r="E4359" s="8"/>
      <c r="F4359" s="8" t="s">
        <v>22</v>
      </c>
      <c r="G4359" s="10" t="s">
        <v>9070</v>
      </c>
      <c r="H4359" s="8" t="s">
        <v>9071</v>
      </c>
      <c r="I4359" s="10" t="s">
        <v>9070</v>
      </c>
      <c r="J4359" s="11" t="s">
        <v>33</v>
      </c>
      <c r="K4359" s="18">
        <v>123006</v>
      </c>
      <c r="L4359" s="12">
        <f>IF(J4359="P",ROUNDUP(K4359/(1-Q4359),-2),K4359*(1+P4359)/(1-Q4359))</f>
        <v>175800</v>
      </c>
      <c r="M4359" s="8">
        <v>1</v>
      </c>
      <c r="N4359" s="8" t="s">
        <v>27</v>
      </c>
      <c r="O4359" s="13"/>
      <c r="P4359" s="14">
        <v>0</v>
      </c>
      <c r="Q4359" s="15">
        <v>0.3</v>
      </c>
      <c r="R4359" s="16" t="str">
        <f t="shared" si="367"/>
        <v>TECNOLITE</v>
      </c>
      <c r="S4359" s="17"/>
      <c r="T4359" s="10" t="str">
        <f t="shared" si="369"/>
        <v>LUMINARIA NEGRO MATE DE 315LM, MULTIVOLTAJE. LUZ CÁLIDA 3000K.</v>
      </c>
    </row>
    <row r="4360" spans="1:20" ht="27" customHeight="1" x14ac:dyDescent="0.25">
      <c r="A4360" s="8" t="s">
        <v>8836</v>
      </c>
      <c r="B4360" s="9"/>
      <c r="C4360" s="9"/>
      <c r="D4360" s="8" t="s">
        <v>45</v>
      </c>
      <c r="E4360" s="8"/>
      <c r="F4360" s="8" t="s">
        <v>22</v>
      </c>
      <c r="G4360" s="10" t="s">
        <v>9072</v>
      </c>
      <c r="H4360" s="8" t="s">
        <v>9073</v>
      </c>
      <c r="I4360" s="10" t="s">
        <v>9072</v>
      </c>
      <c r="J4360" s="11" t="s">
        <v>33</v>
      </c>
      <c r="K4360" s="18">
        <f>57400*0.9</f>
        <v>51660</v>
      </c>
      <c r="L4360" s="12">
        <f t="shared" ref="L4360:L4370" si="371">ROUNDUP(K4360*(1+P4360)/(1-Q4360),0)</f>
        <v>73800</v>
      </c>
      <c r="M4360" s="8">
        <v>1</v>
      </c>
      <c r="N4360" s="8" t="s">
        <v>27</v>
      </c>
      <c r="O4360" s="13"/>
      <c r="P4360" s="14">
        <v>0</v>
      </c>
      <c r="Q4360" s="15">
        <v>0.3</v>
      </c>
      <c r="R4360" s="16" t="str">
        <f t="shared" si="367"/>
        <v>TECNOLITE</v>
      </c>
      <c r="S4360" s="17"/>
      <c r="T4360" s="10" t="str">
        <f t="shared" si="369"/>
        <v>LUMINARIA DE EMPOTRAR 3000K CHIP ON BOARD. 9W, 650Lm. DIÁMETRO DE 8.3Cm.</v>
      </c>
    </row>
    <row r="4361" spans="1:20" ht="27" customHeight="1" x14ac:dyDescent="0.25">
      <c r="A4361" s="8" t="s">
        <v>8836</v>
      </c>
      <c r="B4361" s="9"/>
      <c r="C4361" s="9"/>
      <c r="D4361" s="8" t="s">
        <v>45</v>
      </c>
      <c r="E4361" s="8"/>
      <c r="F4361" s="8" t="s">
        <v>22</v>
      </c>
      <c r="G4361" s="10" t="s">
        <v>9074</v>
      </c>
      <c r="H4361" s="8" t="s">
        <v>9075</v>
      </c>
      <c r="I4361" s="10" t="s">
        <v>9074</v>
      </c>
      <c r="J4361" s="11" t="s">
        <v>33</v>
      </c>
      <c r="K4361" s="18">
        <f>16144*0.9</f>
        <v>14529.6</v>
      </c>
      <c r="L4361" s="12">
        <f t="shared" si="371"/>
        <v>24216</v>
      </c>
      <c r="M4361" s="8">
        <v>1</v>
      </c>
      <c r="N4361" s="8" t="s">
        <v>27</v>
      </c>
      <c r="O4361" s="13"/>
      <c r="P4361" s="14">
        <v>0</v>
      </c>
      <c r="Q4361" s="15">
        <v>0.4</v>
      </c>
      <c r="R4361" s="16" t="str">
        <f t="shared" si="367"/>
        <v>TECNOLITE</v>
      </c>
      <c r="S4361" s="17"/>
      <c r="T4361" s="10" t="str">
        <f t="shared" si="369"/>
        <v>BOMBILLA GU10 DIMERIZABLE CÁLIDA 3000K. 600Lm, 7W.</v>
      </c>
    </row>
    <row r="4362" spans="1:20" ht="27" customHeight="1" x14ac:dyDescent="0.25">
      <c r="A4362" s="8" t="s">
        <v>8836</v>
      </c>
      <c r="B4362" s="9"/>
      <c r="C4362" s="9"/>
      <c r="D4362" s="8" t="s">
        <v>45</v>
      </c>
      <c r="E4362" s="8"/>
      <c r="F4362" s="8" t="s">
        <v>22</v>
      </c>
      <c r="G4362" s="10" t="s">
        <v>9076</v>
      </c>
      <c r="H4362" s="8" t="s">
        <v>9065</v>
      </c>
      <c r="I4362" s="10" t="s">
        <v>9076</v>
      </c>
      <c r="J4362" s="11" t="s">
        <v>33</v>
      </c>
      <c r="K4362" s="18">
        <f>11300*0.8</f>
        <v>9040</v>
      </c>
      <c r="L4362" s="12">
        <f t="shared" si="371"/>
        <v>15067</v>
      </c>
      <c r="M4362" s="8">
        <v>1</v>
      </c>
      <c r="N4362" s="8" t="s">
        <v>27</v>
      </c>
      <c r="O4362" s="13"/>
      <c r="P4362" s="14">
        <v>0</v>
      </c>
      <c r="Q4362" s="15">
        <v>0.4</v>
      </c>
      <c r="R4362" s="16" t="str">
        <f t="shared" si="367"/>
        <v>TECNOLITE</v>
      </c>
      <c r="S4362" s="17"/>
      <c r="T4362" s="10" t="str">
        <f t="shared" si="369"/>
        <v>BOMBILLA GU10 DIMERIZABLE CÁLIDA 3000K. 550Lm, 6W.</v>
      </c>
    </row>
    <row r="4363" spans="1:20" ht="27" customHeight="1" x14ac:dyDescent="0.25">
      <c r="A4363" s="8" t="s">
        <v>8836</v>
      </c>
      <c r="B4363" s="9"/>
      <c r="C4363" s="9"/>
      <c r="D4363" s="8" t="s">
        <v>45</v>
      </c>
      <c r="E4363" s="8"/>
      <c r="F4363" s="8" t="s">
        <v>22</v>
      </c>
      <c r="G4363" s="10" t="s">
        <v>9077</v>
      </c>
      <c r="H4363" s="8" t="s">
        <v>9078</v>
      </c>
      <c r="I4363" s="10" t="s">
        <v>9077</v>
      </c>
      <c r="J4363" s="11" t="s">
        <v>33</v>
      </c>
      <c r="K4363" s="18">
        <v>230000</v>
      </c>
      <c r="L4363" s="12">
        <f t="shared" si="371"/>
        <v>383334</v>
      </c>
      <c r="M4363" s="8">
        <v>1</v>
      </c>
      <c r="N4363" s="8" t="s">
        <v>27</v>
      </c>
      <c r="O4363" s="13"/>
      <c r="P4363" s="14">
        <v>0</v>
      </c>
      <c r="Q4363" s="15">
        <v>0.4</v>
      </c>
      <c r="R4363" s="16" t="str">
        <f t="shared" si="367"/>
        <v>TECNOLITE</v>
      </c>
      <c r="S4363" s="17"/>
      <c r="T4363" s="10" t="str">
        <f t="shared" si="369"/>
        <v>LUMINARIA DECORATIVA DE VIDRIO REF: APODIS</v>
      </c>
    </row>
    <row r="4364" spans="1:20" ht="27" customHeight="1" x14ac:dyDescent="0.25">
      <c r="A4364" s="8" t="s">
        <v>8836</v>
      </c>
      <c r="B4364" s="9"/>
      <c r="C4364" s="9"/>
      <c r="D4364" s="8" t="s">
        <v>45</v>
      </c>
      <c r="E4364" s="8"/>
      <c r="F4364" s="8" t="s">
        <v>22</v>
      </c>
      <c r="G4364" s="10" t="s">
        <v>9079</v>
      </c>
      <c r="H4364" s="8" t="s">
        <v>9080</v>
      </c>
      <c r="I4364" s="10" t="s">
        <v>9079</v>
      </c>
      <c r="J4364" s="11" t="s">
        <v>33</v>
      </c>
      <c r="K4364" s="18">
        <v>192000</v>
      </c>
      <c r="L4364" s="12">
        <f t="shared" si="371"/>
        <v>320000</v>
      </c>
      <c r="M4364" s="8">
        <v>1</v>
      </c>
      <c r="N4364" s="8" t="s">
        <v>27</v>
      </c>
      <c r="O4364" s="13"/>
      <c r="P4364" s="14">
        <v>0</v>
      </c>
      <c r="Q4364" s="15">
        <v>0.4</v>
      </c>
      <c r="R4364" s="16" t="str">
        <f t="shared" si="367"/>
        <v>TECNOLITE</v>
      </c>
      <c r="S4364" s="17"/>
      <c r="T4364" s="10" t="str">
        <f t="shared" si="369"/>
        <v>LUMINARIA DECORATIVA DE VIDRIO REF: LAOS</v>
      </c>
    </row>
    <row r="4365" spans="1:20" ht="27" customHeight="1" x14ac:dyDescent="0.25">
      <c r="A4365" s="8" t="s">
        <v>8836</v>
      </c>
      <c r="B4365" s="9"/>
      <c r="C4365" s="9"/>
      <c r="D4365" s="8" t="s">
        <v>45</v>
      </c>
      <c r="E4365" s="8"/>
      <c r="F4365" s="8" t="s">
        <v>22</v>
      </c>
      <c r="G4365" s="10" t="s">
        <v>9081</v>
      </c>
      <c r="H4365" s="8" t="s">
        <v>9082</v>
      </c>
      <c r="I4365" s="10" t="s">
        <v>9081</v>
      </c>
      <c r="J4365" s="11" t="s">
        <v>33</v>
      </c>
      <c r="K4365" s="18">
        <v>41300</v>
      </c>
      <c r="L4365" s="12">
        <f t="shared" si="371"/>
        <v>51625</v>
      </c>
      <c r="M4365" s="8">
        <v>1</v>
      </c>
      <c r="N4365" s="8" t="s">
        <v>27</v>
      </c>
      <c r="O4365" s="13"/>
      <c r="P4365" s="14">
        <v>0</v>
      </c>
      <c r="Q4365" s="15">
        <v>0.2</v>
      </c>
      <c r="R4365" s="16" t="str">
        <f t="shared" si="367"/>
        <v>TECNOLITE</v>
      </c>
      <c r="S4365" s="17"/>
      <c r="T4365" s="10" t="str">
        <f t="shared" si="369"/>
        <v>LUMINARIA DE EMPOTRAR PARA BOMBILLA PAR 20.</v>
      </c>
    </row>
    <row r="4366" spans="1:20" ht="27" customHeight="1" x14ac:dyDescent="0.25">
      <c r="A4366" s="8" t="s">
        <v>8836</v>
      </c>
      <c r="B4366" s="9"/>
      <c r="C4366" s="9"/>
      <c r="D4366" s="8" t="s">
        <v>45</v>
      </c>
      <c r="E4366" s="8"/>
      <c r="F4366" s="8" t="s">
        <v>22</v>
      </c>
      <c r="G4366" s="10" t="s">
        <v>9083</v>
      </c>
      <c r="H4366" s="8" t="s">
        <v>9084</v>
      </c>
      <c r="I4366" s="10" t="s">
        <v>9083</v>
      </c>
      <c r="J4366" s="11" t="s">
        <v>33</v>
      </c>
      <c r="K4366" s="18">
        <f>109800*0.9</f>
        <v>98820</v>
      </c>
      <c r="L4366" s="12">
        <f t="shared" si="371"/>
        <v>123525</v>
      </c>
      <c r="M4366" s="8">
        <v>1</v>
      </c>
      <c r="N4366" s="8" t="s">
        <v>27</v>
      </c>
      <c r="O4366" s="13"/>
      <c r="P4366" s="14">
        <v>0</v>
      </c>
      <c r="Q4366" s="15">
        <v>0.2</v>
      </c>
      <c r="R4366" s="16" t="str">
        <f t="shared" si="367"/>
        <v>TECNOLITE</v>
      </c>
      <c r="S4366" s="17"/>
      <c r="T4366" s="10" t="str">
        <f t="shared" si="369"/>
        <v>LUMINARIA DE EMPOTRAR PARA BOMBILLA PAR 38.</v>
      </c>
    </row>
    <row r="4367" spans="1:20" ht="27" customHeight="1" x14ac:dyDescent="0.25">
      <c r="A4367" s="8" t="s">
        <v>8836</v>
      </c>
      <c r="B4367" s="9"/>
      <c r="C4367" s="9"/>
      <c r="D4367" s="8" t="s">
        <v>45</v>
      </c>
      <c r="E4367" s="8"/>
      <c r="F4367" s="8" t="s">
        <v>22</v>
      </c>
      <c r="G4367" s="10" t="s">
        <v>9085</v>
      </c>
      <c r="H4367" s="8" t="s">
        <v>9086</v>
      </c>
      <c r="I4367" s="10" t="s">
        <v>9085</v>
      </c>
      <c r="J4367" s="11" t="s">
        <v>33</v>
      </c>
      <c r="K4367" s="18">
        <v>21700</v>
      </c>
      <c r="L4367" s="12">
        <f t="shared" si="371"/>
        <v>28934</v>
      </c>
      <c r="M4367" s="8">
        <v>1</v>
      </c>
      <c r="N4367" s="8" t="s">
        <v>27</v>
      </c>
      <c r="O4367" s="13"/>
      <c r="P4367" s="14">
        <v>0</v>
      </c>
      <c r="Q4367" s="15">
        <v>0.25</v>
      </c>
      <c r="R4367" s="16" t="str">
        <f t="shared" si="367"/>
        <v>TECNOLITE</v>
      </c>
      <c r="S4367" s="17"/>
      <c r="T4367" s="10" t="str">
        <f t="shared" si="369"/>
        <v>BOMBILLA PAR 38, 6500K, 13W, 1250 LUMENS</v>
      </c>
    </row>
    <row r="4368" spans="1:20" ht="27" customHeight="1" x14ac:dyDescent="0.25">
      <c r="A4368" s="8" t="s">
        <v>8836</v>
      </c>
      <c r="B4368" s="9"/>
      <c r="C4368" s="9"/>
      <c r="D4368" s="8" t="s">
        <v>45</v>
      </c>
      <c r="E4368" s="8"/>
      <c r="F4368" s="8" t="s">
        <v>22</v>
      </c>
      <c r="G4368" s="10" t="s">
        <v>9087</v>
      </c>
      <c r="H4368" s="8" t="s">
        <v>9088</v>
      </c>
      <c r="I4368" s="10" t="s">
        <v>9087</v>
      </c>
      <c r="J4368" s="11" t="s">
        <v>33</v>
      </c>
      <c r="K4368" s="18">
        <v>9000</v>
      </c>
      <c r="L4368" s="12">
        <f t="shared" si="371"/>
        <v>12858</v>
      </c>
      <c r="M4368" s="8">
        <v>1</v>
      </c>
      <c r="N4368" s="8" t="s">
        <v>27</v>
      </c>
      <c r="O4368" s="13"/>
      <c r="P4368" s="14">
        <v>0</v>
      </c>
      <c r="Q4368" s="15">
        <v>0.3</v>
      </c>
      <c r="R4368" s="16" t="str">
        <f t="shared" si="367"/>
        <v>TECNOLITE</v>
      </c>
      <c r="S4368" s="17"/>
      <c r="T4368" s="10" t="str">
        <f t="shared" si="369"/>
        <v>BOMBILLA PAR 20, 6500K, 6W, 500 LUMENS</v>
      </c>
    </row>
    <row r="4369" spans="1:28" ht="27" customHeight="1" x14ac:dyDescent="0.25">
      <c r="A4369" s="8" t="s">
        <v>8836</v>
      </c>
      <c r="B4369" s="9"/>
      <c r="C4369" s="9"/>
      <c r="D4369" s="8" t="s">
        <v>45</v>
      </c>
      <c r="E4369" s="8"/>
      <c r="F4369" s="8" t="s">
        <v>22</v>
      </c>
      <c r="G4369" s="10" t="s">
        <v>9089</v>
      </c>
      <c r="H4369" s="8" t="s">
        <v>9090</v>
      </c>
      <c r="I4369" s="10" t="s">
        <v>9089</v>
      </c>
      <c r="J4369" s="11" t="s">
        <v>33</v>
      </c>
      <c r="K4369" s="18">
        <f>271619*0.9</f>
        <v>244457.1</v>
      </c>
      <c r="L4369" s="12">
        <f t="shared" si="371"/>
        <v>349225</v>
      </c>
      <c r="M4369" s="8">
        <v>1</v>
      </c>
      <c r="N4369" s="8" t="s">
        <v>27</v>
      </c>
      <c r="O4369" s="13"/>
      <c r="P4369" s="14">
        <v>0</v>
      </c>
      <c r="Q4369" s="15">
        <v>0.3</v>
      </c>
      <c r="R4369" s="16" t="str">
        <f t="shared" si="367"/>
        <v>TECNOLITE</v>
      </c>
      <c r="S4369" s="17"/>
      <c r="T4369" s="10" t="str">
        <f t="shared" si="369"/>
        <v>REFLECTOR DE ESTACA 12W, 760LM</v>
      </c>
      <c r="AB4369" s="112">
        <v>4</v>
      </c>
    </row>
    <row r="4370" spans="1:28" ht="27" customHeight="1" x14ac:dyDescent="0.25">
      <c r="A4370" s="8" t="s">
        <v>8836</v>
      </c>
      <c r="B4370" s="9"/>
      <c r="C4370" s="9"/>
      <c r="D4370" s="8" t="s">
        <v>45</v>
      </c>
      <c r="E4370" s="8"/>
      <c r="F4370" s="8" t="s">
        <v>22</v>
      </c>
      <c r="G4370" s="10" t="s">
        <v>9091</v>
      </c>
      <c r="H4370" s="8" t="s">
        <v>9092</v>
      </c>
      <c r="I4370" s="10" t="s">
        <v>9091</v>
      </c>
      <c r="J4370" s="11" t="s">
        <v>33</v>
      </c>
      <c r="K4370" s="18">
        <f>120346*0.9</f>
        <v>108311.40000000001</v>
      </c>
      <c r="L4370" s="12">
        <f t="shared" si="371"/>
        <v>154731</v>
      </c>
      <c r="M4370" s="8">
        <v>1</v>
      </c>
      <c r="N4370" s="8" t="s">
        <v>27</v>
      </c>
      <c r="O4370" s="13"/>
      <c r="P4370" s="14">
        <v>0</v>
      </c>
      <c r="Q4370" s="15">
        <v>0.3</v>
      </c>
      <c r="R4370" s="16" t="str">
        <f t="shared" si="367"/>
        <v>TECNOLITE</v>
      </c>
      <c r="S4370" s="17"/>
      <c r="T4370" s="10" t="str">
        <f t="shared" si="369"/>
        <v>APLIQUE DE EXTERIOR, 3000K, 600LM, 8W.</v>
      </c>
    </row>
    <row r="4371" spans="1:28" ht="27" customHeight="1" x14ac:dyDescent="0.25">
      <c r="A4371" s="8" t="s">
        <v>8836</v>
      </c>
      <c r="B4371" s="9"/>
      <c r="C4371" s="9"/>
      <c r="D4371" s="8" t="s">
        <v>45</v>
      </c>
      <c r="E4371" s="8"/>
      <c r="F4371" s="8" t="s">
        <v>22</v>
      </c>
      <c r="G4371" s="10" t="str">
        <f>B4371&amp;"-"&amp;D4371&amp;"-"&amp;E4371&amp;F4371</f>
        <v>-PROG_-BLANCO</v>
      </c>
      <c r="H4371" s="8" t="s">
        <v>9093</v>
      </c>
      <c r="I4371" s="10" t="s">
        <v>9094</v>
      </c>
      <c r="J4371" s="11" t="s">
        <v>33</v>
      </c>
      <c r="K4371" s="18">
        <v>23802</v>
      </c>
      <c r="L4371" s="12">
        <f t="shared" ref="L4371:L4384" si="372">IF(J4371="P",ROUNDUP(K4371/(1-Q4371),-2),K4371*(1+P4371)/(1-Q4371))</f>
        <v>39700</v>
      </c>
      <c r="M4371" s="8">
        <v>1</v>
      </c>
      <c r="N4371" s="8" t="s">
        <v>27</v>
      </c>
      <c r="O4371" s="13"/>
      <c r="P4371" s="14">
        <v>0</v>
      </c>
      <c r="Q4371" s="15">
        <v>0.4</v>
      </c>
      <c r="R4371" s="16" t="str">
        <f t="shared" si="367"/>
        <v>TECNOLITE</v>
      </c>
      <c r="S4371" s="17"/>
      <c r="T4371" s="10" t="str">
        <f t="shared" si="369"/>
        <v>-PROG_-BLANCO</v>
      </c>
    </row>
    <row r="4372" spans="1:28" ht="27" customHeight="1" x14ac:dyDescent="0.25">
      <c r="A4372" s="8" t="s">
        <v>8836</v>
      </c>
      <c r="B4372" s="9"/>
      <c r="C4372" s="9"/>
      <c r="D4372" s="8"/>
      <c r="E4372" s="8"/>
      <c r="F4372" s="8"/>
      <c r="G4372" s="10"/>
      <c r="H4372" s="8" t="s">
        <v>9095</v>
      </c>
      <c r="I4372" s="10" t="s">
        <v>9096</v>
      </c>
      <c r="J4372" s="11" t="s">
        <v>33</v>
      </c>
      <c r="K4372" s="18">
        <f>29068*0.9</f>
        <v>26161.200000000001</v>
      </c>
      <c r="L4372" s="12">
        <f t="shared" si="372"/>
        <v>37400</v>
      </c>
      <c r="M4372" s="8">
        <v>1</v>
      </c>
      <c r="N4372" s="8" t="s">
        <v>27</v>
      </c>
      <c r="O4372" s="13"/>
      <c r="P4372" s="14">
        <v>0</v>
      </c>
      <c r="Q4372" s="15">
        <v>0.3</v>
      </c>
      <c r="R4372" s="16" t="str">
        <f t="shared" si="367"/>
        <v>TECNOLITE</v>
      </c>
      <c r="S4372" s="17"/>
      <c r="T4372" s="10"/>
    </row>
    <row r="4373" spans="1:28" ht="27" customHeight="1" x14ac:dyDescent="0.25">
      <c r="A4373" s="8" t="s">
        <v>8836</v>
      </c>
      <c r="B4373" s="9"/>
      <c r="C4373" s="9"/>
      <c r="D4373" s="8"/>
      <c r="E4373" s="8"/>
      <c r="F4373" s="8"/>
      <c r="G4373" s="10"/>
      <c r="H4373" s="8" t="s">
        <v>9097</v>
      </c>
      <c r="I4373" s="10" t="s">
        <v>9098</v>
      </c>
      <c r="J4373" s="11" t="s">
        <v>33</v>
      </c>
      <c r="K4373" s="18">
        <f>16922*0.9</f>
        <v>15229.800000000001</v>
      </c>
      <c r="L4373" s="12">
        <f t="shared" si="372"/>
        <v>21800</v>
      </c>
      <c r="M4373" s="8">
        <v>1</v>
      </c>
      <c r="N4373" s="8" t="s">
        <v>27</v>
      </c>
      <c r="O4373" s="13"/>
      <c r="P4373" s="14">
        <v>0</v>
      </c>
      <c r="Q4373" s="15">
        <v>0.3</v>
      </c>
      <c r="R4373" s="16" t="str">
        <f t="shared" si="367"/>
        <v>TECNOLITE</v>
      </c>
      <c r="S4373" s="17"/>
      <c r="T4373" s="10"/>
    </row>
    <row r="4374" spans="1:28" ht="27" customHeight="1" x14ac:dyDescent="0.25">
      <c r="A4374" s="8" t="s">
        <v>8836</v>
      </c>
      <c r="B4374" s="9"/>
      <c r="C4374" s="9"/>
      <c r="D4374" s="8"/>
      <c r="E4374" s="8"/>
      <c r="F4374" s="8"/>
      <c r="G4374" s="10"/>
      <c r="H4374" s="8" t="s">
        <v>9099</v>
      </c>
      <c r="I4374" s="10" t="s">
        <v>9100</v>
      </c>
      <c r="J4374" s="11" t="s">
        <v>33</v>
      </c>
      <c r="K4374" s="18">
        <v>9947</v>
      </c>
      <c r="L4374" s="12">
        <f t="shared" si="372"/>
        <v>14300</v>
      </c>
      <c r="M4374" s="8">
        <v>1</v>
      </c>
      <c r="N4374" s="8" t="s">
        <v>27</v>
      </c>
      <c r="O4374" s="13"/>
      <c r="P4374" s="14">
        <v>0</v>
      </c>
      <c r="Q4374" s="15">
        <v>0.3</v>
      </c>
      <c r="R4374" s="16" t="str">
        <f t="shared" si="367"/>
        <v>TECNOLITE</v>
      </c>
      <c r="S4374" s="17"/>
      <c r="T4374" s="10"/>
    </row>
    <row r="4375" spans="1:28" ht="27" customHeight="1" x14ac:dyDescent="0.25">
      <c r="A4375" s="8" t="s">
        <v>8836</v>
      </c>
      <c r="B4375" s="9"/>
      <c r="C4375" s="9"/>
      <c r="D4375" s="8"/>
      <c r="E4375" s="8"/>
      <c r="F4375" s="8"/>
      <c r="G4375" s="10"/>
      <c r="H4375" s="8" t="s">
        <v>9101</v>
      </c>
      <c r="I4375" s="10" t="s">
        <v>9102</v>
      </c>
      <c r="J4375" s="11" t="s">
        <v>33</v>
      </c>
      <c r="K4375" s="18">
        <f>24400*0.9</f>
        <v>21960</v>
      </c>
      <c r="L4375" s="12">
        <f t="shared" si="372"/>
        <v>31400</v>
      </c>
      <c r="M4375" s="8">
        <v>1</v>
      </c>
      <c r="N4375" s="8" t="s">
        <v>27</v>
      </c>
      <c r="O4375" s="13"/>
      <c r="P4375" s="14">
        <v>0</v>
      </c>
      <c r="Q4375" s="15">
        <v>0.3</v>
      </c>
      <c r="R4375" s="16" t="str">
        <f t="shared" si="367"/>
        <v>TECNOLITE</v>
      </c>
      <c r="S4375" s="17"/>
      <c r="T4375" s="10"/>
    </row>
    <row r="4376" spans="1:28" ht="27" customHeight="1" x14ac:dyDescent="0.25">
      <c r="A4376" s="8" t="s">
        <v>8836</v>
      </c>
      <c r="B4376" s="9"/>
      <c r="C4376" s="9"/>
      <c r="D4376" s="8"/>
      <c r="E4376" s="8"/>
      <c r="F4376" s="8"/>
      <c r="G4376" s="10"/>
      <c r="H4376" s="8" t="s">
        <v>9103</v>
      </c>
      <c r="I4376" s="10" t="s">
        <v>9104</v>
      </c>
      <c r="J4376" s="11" t="s">
        <v>33</v>
      </c>
      <c r="K4376" s="18">
        <v>83939</v>
      </c>
      <c r="L4376" s="12">
        <f t="shared" si="372"/>
        <v>139900</v>
      </c>
      <c r="M4376" s="8">
        <v>1</v>
      </c>
      <c r="N4376" s="8" t="s">
        <v>27</v>
      </c>
      <c r="O4376" s="13"/>
      <c r="P4376" s="14">
        <v>0</v>
      </c>
      <c r="Q4376" s="15">
        <v>0.4</v>
      </c>
      <c r="R4376" s="16" t="str">
        <f t="shared" si="367"/>
        <v>TECNOLITE</v>
      </c>
      <c r="S4376" s="17"/>
      <c r="T4376" s="10"/>
    </row>
    <row r="4377" spans="1:28" ht="27" customHeight="1" x14ac:dyDescent="0.25">
      <c r="A4377" s="8" t="s">
        <v>8836</v>
      </c>
      <c r="B4377" s="9"/>
      <c r="C4377" s="9"/>
      <c r="D4377" s="8"/>
      <c r="E4377" s="8"/>
      <c r="F4377" s="8"/>
      <c r="G4377" s="10"/>
      <c r="H4377" s="8" t="s">
        <v>9105</v>
      </c>
      <c r="I4377" s="10" t="s">
        <v>9106</v>
      </c>
      <c r="J4377" s="11" t="s">
        <v>33</v>
      </c>
      <c r="K4377" s="18">
        <f>47198*0.9</f>
        <v>42478.200000000004</v>
      </c>
      <c r="L4377" s="12">
        <f t="shared" si="372"/>
        <v>53100</v>
      </c>
      <c r="M4377" s="8">
        <v>1</v>
      </c>
      <c r="N4377" s="8" t="s">
        <v>27</v>
      </c>
      <c r="O4377" s="13"/>
      <c r="P4377" s="14">
        <v>0</v>
      </c>
      <c r="Q4377" s="15">
        <v>0.2</v>
      </c>
      <c r="R4377" s="16" t="str">
        <f t="shared" si="367"/>
        <v>TECNOLITE</v>
      </c>
      <c r="S4377" s="17"/>
      <c r="T4377" s="10"/>
    </row>
    <row r="4378" spans="1:28" ht="27" customHeight="1" x14ac:dyDescent="0.25">
      <c r="A4378" s="8" t="s">
        <v>8836</v>
      </c>
      <c r="B4378" s="9"/>
      <c r="C4378" s="9"/>
      <c r="D4378" s="8"/>
      <c r="E4378" s="8"/>
      <c r="F4378" s="8"/>
      <c r="G4378" s="10"/>
      <c r="H4378" s="8" t="s">
        <v>9107</v>
      </c>
      <c r="I4378" s="10" t="s">
        <v>9108</v>
      </c>
      <c r="J4378" s="11" t="s">
        <v>33</v>
      </c>
      <c r="K4378" s="18">
        <f>8505*0.9</f>
        <v>7654.5</v>
      </c>
      <c r="L4378" s="12">
        <f t="shared" si="372"/>
        <v>9600</v>
      </c>
      <c r="M4378" s="8">
        <v>1</v>
      </c>
      <c r="N4378" s="8" t="s">
        <v>27</v>
      </c>
      <c r="O4378" s="13"/>
      <c r="P4378" s="14">
        <v>0</v>
      </c>
      <c r="Q4378" s="15">
        <v>0.2</v>
      </c>
      <c r="R4378" s="16" t="str">
        <f t="shared" si="367"/>
        <v>TECNOLITE</v>
      </c>
      <c r="S4378" s="17"/>
      <c r="T4378" s="10"/>
    </row>
    <row r="4379" spans="1:28" ht="27" customHeight="1" x14ac:dyDescent="0.25">
      <c r="A4379" s="8" t="s">
        <v>8836</v>
      </c>
      <c r="B4379" s="9"/>
      <c r="C4379" s="9"/>
      <c r="D4379" s="8"/>
      <c r="E4379" s="8"/>
      <c r="F4379" s="8"/>
      <c r="G4379" s="10"/>
      <c r="H4379" s="8" t="s">
        <v>9109</v>
      </c>
      <c r="I4379" s="10" t="s">
        <v>9110</v>
      </c>
      <c r="J4379" s="11" t="s">
        <v>33</v>
      </c>
      <c r="K4379" s="18">
        <f>79000*0.9</f>
        <v>71100</v>
      </c>
      <c r="L4379" s="12">
        <f t="shared" si="372"/>
        <v>88900</v>
      </c>
      <c r="M4379" s="8">
        <v>1</v>
      </c>
      <c r="N4379" s="8" t="s">
        <v>27</v>
      </c>
      <c r="O4379" s="13"/>
      <c r="P4379" s="14">
        <v>0</v>
      </c>
      <c r="Q4379" s="15">
        <v>0.2</v>
      </c>
      <c r="R4379" s="16" t="str">
        <f t="shared" si="367"/>
        <v>TECNOLITE</v>
      </c>
      <c r="S4379" s="17"/>
      <c r="T4379" s="10"/>
    </row>
    <row r="4380" spans="1:28" ht="27" customHeight="1" x14ac:dyDescent="0.25">
      <c r="A4380" s="8" t="s">
        <v>8836</v>
      </c>
      <c r="B4380" s="9"/>
      <c r="C4380" s="9"/>
      <c r="D4380" s="8"/>
      <c r="E4380" s="8"/>
      <c r="F4380" s="8"/>
      <c r="G4380" s="10"/>
      <c r="H4380" s="8" t="s">
        <v>9111</v>
      </c>
      <c r="I4380" s="10" t="s">
        <v>9112</v>
      </c>
      <c r="J4380" s="11" t="s">
        <v>33</v>
      </c>
      <c r="K4380" s="18">
        <v>176000</v>
      </c>
      <c r="L4380" s="12">
        <f t="shared" si="372"/>
        <v>251500</v>
      </c>
      <c r="M4380" s="8">
        <v>1</v>
      </c>
      <c r="N4380" s="8" t="s">
        <v>27</v>
      </c>
      <c r="O4380" s="13"/>
      <c r="P4380" s="14">
        <v>0</v>
      </c>
      <c r="Q4380" s="15">
        <v>0.3</v>
      </c>
      <c r="R4380" s="16" t="str">
        <f t="shared" si="367"/>
        <v>TECNOLITE</v>
      </c>
      <c r="S4380" s="17"/>
      <c r="T4380" s="10"/>
    </row>
    <row r="4381" spans="1:28" ht="27" customHeight="1" x14ac:dyDescent="0.25">
      <c r="A4381" s="8" t="s">
        <v>8836</v>
      </c>
      <c r="B4381" s="9"/>
      <c r="C4381" s="9"/>
      <c r="D4381" s="8"/>
      <c r="E4381" s="8"/>
      <c r="F4381" s="8"/>
      <c r="G4381" s="10"/>
      <c r="H4381" s="8" t="s">
        <v>9113</v>
      </c>
      <c r="I4381" s="10" t="s">
        <v>9114</v>
      </c>
      <c r="J4381" s="11" t="s">
        <v>33</v>
      </c>
      <c r="K4381" s="18">
        <f>78200*0.9</f>
        <v>70380</v>
      </c>
      <c r="L4381" s="12">
        <f t="shared" si="372"/>
        <v>100600</v>
      </c>
      <c r="M4381" s="8">
        <v>1</v>
      </c>
      <c r="N4381" s="8" t="s">
        <v>27</v>
      </c>
      <c r="O4381" s="13"/>
      <c r="P4381" s="14">
        <v>0</v>
      </c>
      <c r="Q4381" s="15">
        <v>0.3</v>
      </c>
      <c r="R4381" s="16" t="str">
        <f t="shared" si="367"/>
        <v>TECNOLITE</v>
      </c>
      <c r="S4381" s="17"/>
      <c r="T4381" s="10"/>
    </row>
    <row r="4382" spans="1:28" ht="27" customHeight="1" x14ac:dyDescent="0.25">
      <c r="A4382" s="8" t="s">
        <v>8836</v>
      </c>
      <c r="B4382" s="9"/>
      <c r="C4382" s="9"/>
      <c r="D4382" s="8"/>
      <c r="E4382" s="8"/>
      <c r="F4382" s="8"/>
      <c r="G4382" s="10"/>
      <c r="H4382" s="8" t="s">
        <v>9115</v>
      </c>
      <c r="I4382" s="10" t="s">
        <v>9116</v>
      </c>
      <c r="J4382" s="11" t="s">
        <v>33</v>
      </c>
      <c r="K4382" s="18">
        <f>116500*0.9</f>
        <v>104850</v>
      </c>
      <c r="L4382" s="12">
        <f t="shared" si="372"/>
        <v>149800</v>
      </c>
      <c r="M4382" s="8">
        <v>1</v>
      </c>
      <c r="N4382" s="8" t="s">
        <v>27</v>
      </c>
      <c r="O4382" s="13"/>
      <c r="P4382" s="14">
        <v>0</v>
      </c>
      <c r="Q4382" s="15">
        <v>0.3</v>
      </c>
      <c r="R4382" s="16" t="str">
        <f t="shared" si="367"/>
        <v>TECNOLITE</v>
      </c>
      <c r="S4382" s="17"/>
      <c r="T4382" s="10"/>
    </row>
    <row r="4383" spans="1:28" ht="27" customHeight="1" x14ac:dyDescent="0.25">
      <c r="A4383" s="8" t="s">
        <v>8836</v>
      </c>
      <c r="B4383" s="9"/>
      <c r="C4383" s="9"/>
      <c r="D4383" s="8"/>
      <c r="E4383" s="8"/>
      <c r="F4383" s="8"/>
      <c r="G4383" s="10"/>
      <c r="H4383" s="8" t="s">
        <v>9117</v>
      </c>
      <c r="I4383" s="10" t="s">
        <v>9118</v>
      </c>
      <c r="J4383" s="11" t="s">
        <v>33</v>
      </c>
      <c r="K4383" s="18">
        <f>88800*0.9</f>
        <v>79920</v>
      </c>
      <c r="L4383" s="12">
        <f t="shared" si="372"/>
        <v>114200</v>
      </c>
      <c r="M4383" s="8">
        <v>1</v>
      </c>
      <c r="N4383" s="8" t="s">
        <v>27</v>
      </c>
      <c r="O4383" s="13"/>
      <c r="P4383" s="14">
        <v>0</v>
      </c>
      <c r="Q4383" s="15">
        <v>0.3</v>
      </c>
      <c r="R4383" s="16" t="str">
        <f t="shared" si="367"/>
        <v>TECNOLITE</v>
      </c>
      <c r="S4383" s="17"/>
      <c r="T4383" s="10"/>
    </row>
    <row r="4384" spans="1:28" ht="27" customHeight="1" x14ac:dyDescent="0.25">
      <c r="A4384" s="8" t="s">
        <v>8836</v>
      </c>
      <c r="B4384" s="9"/>
      <c r="C4384" s="9"/>
      <c r="D4384" s="8"/>
      <c r="E4384" s="8"/>
      <c r="F4384" s="8"/>
      <c r="G4384" s="10"/>
      <c r="H4384" s="8" t="s">
        <v>9119</v>
      </c>
      <c r="I4384" s="10" t="s">
        <v>9120</v>
      </c>
      <c r="J4384" s="11" t="s">
        <v>33</v>
      </c>
      <c r="K4384" s="18">
        <f>180815*0.9</f>
        <v>162733.5</v>
      </c>
      <c r="L4384" s="12">
        <f t="shared" si="372"/>
        <v>232500</v>
      </c>
      <c r="M4384" s="8">
        <v>1</v>
      </c>
      <c r="N4384" s="8" t="s">
        <v>27</v>
      </c>
      <c r="O4384" s="13"/>
      <c r="P4384" s="14">
        <v>0</v>
      </c>
      <c r="Q4384" s="15">
        <v>0.3</v>
      </c>
      <c r="R4384" s="16" t="str">
        <f t="shared" si="367"/>
        <v>TECNOLITE</v>
      </c>
      <c r="S4384" s="17"/>
      <c r="T4384" s="10"/>
    </row>
    <row r="4385" spans="1:20" ht="27" customHeight="1" x14ac:dyDescent="0.25">
      <c r="A4385" s="8" t="s">
        <v>8836</v>
      </c>
      <c r="B4385" s="9"/>
      <c r="C4385" s="9"/>
      <c r="D4385" s="8"/>
      <c r="E4385" s="8"/>
      <c r="F4385" s="8"/>
      <c r="G4385" s="10"/>
      <c r="H4385" s="8" t="s">
        <v>9121</v>
      </c>
      <c r="I4385" s="10" t="s">
        <v>9122</v>
      </c>
      <c r="J4385" s="11" t="s">
        <v>33</v>
      </c>
      <c r="K4385" s="18">
        <f>280000*0.9</f>
        <v>252000</v>
      </c>
      <c r="L4385" s="12">
        <f t="shared" ref="L4385:L4397" si="373">K4385*(1+P4385)/(1-Q4385)</f>
        <v>315000</v>
      </c>
      <c r="M4385" s="8">
        <v>1</v>
      </c>
      <c r="N4385" s="8" t="s">
        <v>27</v>
      </c>
      <c r="O4385" s="13"/>
      <c r="P4385" s="14">
        <v>0</v>
      </c>
      <c r="Q4385" s="15">
        <v>0.2</v>
      </c>
      <c r="R4385" s="16" t="str">
        <f t="shared" si="367"/>
        <v>TECNOLITE</v>
      </c>
      <c r="S4385" s="17"/>
      <c r="T4385" s="10"/>
    </row>
    <row r="4386" spans="1:20" ht="27" customHeight="1" x14ac:dyDescent="0.25">
      <c r="A4386" s="8" t="s">
        <v>8836</v>
      </c>
      <c r="B4386" s="9"/>
      <c r="C4386" s="9"/>
      <c r="D4386" s="8"/>
      <c r="E4386" s="8"/>
      <c r="F4386" s="8"/>
      <c r="G4386" s="10"/>
      <c r="H4386" s="8" t="s">
        <v>9123</v>
      </c>
      <c r="I4386" s="10" t="s">
        <v>9124</v>
      </c>
      <c r="J4386" s="11" t="s">
        <v>33</v>
      </c>
      <c r="K4386" s="18">
        <f>242270*0.9</f>
        <v>218043</v>
      </c>
      <c r="L4386" s="12">
        <f t="shared" si="373"/>
        <v>272553.75</v>
      </c>
      <c r="M4386" s="8">
        <v>1</v>
      </c>
      <c r="N4386" s="8" t="s">
        <v>27</v>
      </c>
      <c r="O4386" s="13"/>
      <c r="P4386" s="14">
        <v>0</v>
      </c>
      <c r="Q4386" s="15">
        <v>0.2</v>
      </c>
      <c r="R4386" s="16" t="str">
        <f t="shared" si="367"/>
        <v>TECNOLITE</v>
      </c>
      <c r="S4386" s="17"/>
      <c r="T4386" s="10"/>
    </row>
    <row r="4387" spans="1:20" ht="27" customHeight="1" x14ac:dyDescent="0.25">
      <c r="A4387" s="8" t="s">
        <v>8836</v>
      </c>
      <c r="B4387" s="9"/>
      <c r="C4387" s="9"/>
      <c r="D4387" s="8"/>
      <c r="E4387" s="8"/>
      <c r="F4387" s="8"/>
      <c r="G4387" s="10"/>
      <c r="H4387" s="8" t="s">
        <v>9125</v>
      </c>
      <c r="I4387" s="10" t="s">
        <v>9126</v>
      </c>
      <c r="J4387" s="11" t="s">
        <v>33</v>
      </c>
      <c r="K4387" s="18">
        <v>73281</v>
      </c>
      <c r="L4387" s="12">
        <f t="shared" si="373"/>
        <v>97708</v>
      </c>
      <c r="M4387" s="8">
        <v>1</v>
      </c>
      <c r="N4387" s="8" t="s">
        <v>27</v>
      </c>
      <c r="O4387" s="13"/>
      <c r="P4387" s="14">
        <v>0</v>
      </c>
      <c r="Q4387" s="15">
        <v>0.25</v>
      </c>
      <c r="R4387" s="16" t="str">
        <f t="shared" si="367"/>
        <v>TECNOLITE</v>
      </c>
      <c r="S4387" s="17"/>
      <c r="T4387" s="10"/>
    </row>
    <row r="4388" spans="1:20" ht="27" customHeight="1" x14ac:dyDescent="0.25">
      <c r="A4388" s="8" t="s">
        <v>8836</v>
      </c>
      <c r="B4388" s="9"/>
      <c r="C4388" s="9"/>
      <c r="D4388" s="8"/>
      <c r="E4388" s="8"/>
      <c r="F4388" s="8"/>
      <c r="G4388" s="10"/>
      <c r="H4388" s="8" t="s">
        <v>9127</v>
      </c>
      <c r="I4388" s="10" t="s">
        <v>9128</v>
      </c>
      <c r="J4388" s="11" t="s">
        <v>33</v>
      </c>
      <c r="K4388" s="18">
        <f>204000*0.9</f>
        <v>183600</v>
      </c>
      <c r="L4388" s="12">
        <f t="shared" si="373"/>
        <v>229500</v>
      </c>
      <c r="M4388" s="8">
        <v>1</v>
      </c>
      <c r="N4388" s="8" t="s">
        <v>27</v>
      </c>
      <c r="O4388" s="13"/>
      <c r="P4388" s="14">
        <v>0</v>
      </c>
      <c r="Q4388" s="15">
        <v>0.2</v>
      </c>
      <c r="R4388" s="16" t="str">
        <f t="shared" si="367"/>
        <v>TECNOLITE</v>
      </c>
      <c r="S4388" s="17"/>
      <c r="T4388" s="10"/>
    </row>
    <row r="4389" spans="1:20" ht="27" customHeight="1" x14ac:dyDescent="0.25">
      <c r="A4389" s="8" t="s">
        <v>8836</v>
      </c>
      <c r="B4389" s="9"/>
      <c r="C4389" s="9"/>
      <c r="D4389" s="8"/>
      <c r="E4389" s="8"/>
      <c r="F4389" s="8"/>
      <c r="G4389" s="10"/>
      <c r="H4389" s="8" t="s">
        <v>9129</v>
      </c>
      <c r="I4389" s="10" t="s">
        <v>9130</v>
      </c>
      <c r="J4389" s="11" t="s">
        <v>33</v>
      </c>
      <c r="K4389" s="18">
        <f>149150*0.9</f>
        <v>134235</v>
      </c>
      <c r="L4389" s="12">
        <f t="shared" si="373"/>
        <v>167793.75</v>
      </c>
      <c r="M4389" s="8">
        <v>1</v>
      </c>
      <c r="N4389" s="8" t="s">
        <v>27</v>
      </c>
      <c r="O4389" s="13"/>
      <c r="P4389" s="14">
        <v>0</v>
      </c>
      <c r="Q4389" s="15">
        <v>0.2</v>
      </c>
      <c r="R4389" s="16" t="str">
        <f t="shared" si="367"/>
        <v>TECNOLITE</v>
      </c>
      <c r="S4389" s="17"/>
      <c r="T4389" s="10"/>
    </row>
    <row r="4390" spans="1:20" ht="27" customHeight="1" x14ac:dyDescent="0.25">
      <c r="A4390" s="8" t="s">
        <v>8836</v>
      </c>
      <c r="B4390" s="9"/>
      <c r="C4390" s="9"/>
      <c r="D4390" s="8"/>
      <c r="E4390" s="8"/>
      <c r="F4390" s="8"/>
      <c r="G4390" s="10"/>
      <c r="H4390" s="8" t="s">
        <v>9131</v>
      </c>
      <c r="I4390" s="10" t="s">
        <v>9132</v>
      </c>
      <c r="J4390" s="11" t="s">
        <v>33</v>
      </c>
      <c r="K4390" s="18">
        <v>140000</v>
      </c>
      <c r="L4390" s="12">
        <f t="shared" si="373"/>
        <v>233333.33333333334</v>
      </c>
      <c r="M4390" s="8">
        <v>1</v>
      </c>
      <c r="N4390" s="8" t="s">
        <v>27</v>
      </c>
      <c r="O4390" s="13"/>
      <c r="P4390" s="14">
        <v>0</v>
      </c>
      <c r="Q4390" s="15">
        <v>0.4</v>
      </c>
      <c r="R4390" s="16" t="str">
        <f t="shared" si="367"/>
        <v>TECNOLITE</v>
      </c>
      <c r="S4390" s="17"/>
      <c r="T4390" s="10"/>
    </row>
    <row r="4391" spans="1:20" ht="27" customHeight="1" x14ac:dyDescent="0.25">
      <c r="A4391" s="8" t="s">
        <v>8836</v>
      </c>
      <c r="B4391" s="9"/>
      <c r="C4391" s="9"/>
      <c r="D4391" s="8"/>
      <c r="E4391" s="8"/>
      <c r="F4391" s="8"/>
      <c r="G4391" s="10"/>
      <c r="H4391" s="8" t="s">
        <v>9133</v>
      </c>
      <c r="I4391" s="10" t="s">
        <v>9134</v>
      </c>
      <c r="J4391" s="11" t="s">
        <v>33</v>
      </c>
      <c r="K4391" s="18">
        <v>131500</v>
      </c>
      <c r="L4391" s="12">
        <f t="shared" si="373"/>
        <v>187857.14285714287</v>
      </c>
      <c r="M4391" s="8">
        <v>1</v>
      </c>
      <c r="N4391" s="8" t="s">
        <v>27</v>
      </c>
      <c r="O4391" s="13"/>
      <c r="P4391" s="14">
        <v>0</v>
      </c>
      <c r="Q4391" s="15">
        <v>0.3</v>
      </c>
      <c r="R4391" s="16" t="str">
        <f t="shared" si="367"/>
        <v>TECNOLITE</v>
      </c>
      <c r="S4391" s="17"/>
      <c r="T4391" s="10"/>
    </row>
    <row r="4392" spans="1:20" ht="27" customHeight="1" x14ac:dyDescent="0.25">
      <c r="A4392" s="8" t="s">
        <v>8836</v>
      </c>
      <c r="B4392" s="9"/>
      <c r="C4392" s="9"/>
      <c r="D4392" s="8"/>
      <c r="E4392" s="8"/>
      <c r="F4392" s="8"/>
      <c r="G4392" s="10"/>
      <c r="H4392" s="8" t="s">
        <v>9135</v>
      </c>
      <c r="I4392" s="10" t="s">
        <v>9136</v>
      </c>
      <c r="J4392" s="11" t="s">
        <v>33</v>
      </c>
      <c r="K4392" s="18">
        <v>11000</v>
      </c>
      <c r="L4392" s="12">
        <f t="shared" si="373"/>
        <v>13750</v>
      </c>
      <c r="M4392" s="8">
        <v>1</v>
      </c>
      <c r="N4392" s="8" t="s">
        <v>27</v>
      </c>
      <c r="O4392" s="13"/>
      <c r="P4392" s="14">
        <v>0</v>
      </c>
      <c r="Q4392" s="15">
        <v>0.2</v>
      </c>
      <c r="R4392" s="16" t="str">
        <f t="shared" si="367"/>
        <v>TECNOLITE</v>
      </c>
      <c r="S4392" s="17"/>
      <c r="T4392" s="10"/>
    </row>
    <row r="4393" spans="1:20" ht="27" customHeight="1" x14ac:dyDescent="0.25">
      <c r="A4393" s="8" t="s">
        <v>8836</v>
      </c>
      <c r="B4393" s="9"/>
      <c r="C4393" s="9"/>
      <c r="D4393" s="8"/>
      <c r="E4393" s="8"/>
      <c r="F4393" s="8"/>
      <c r="G4393" s="10"/>
      <c r="H4393" s="8" t="s">
        <v>9137</v>
      </c>
      <c r="I4393" s="10" t="s">
        <v>9138</v>
      </c>
      <c r="J4393" s="11" t="s">
        <v>33</v>
      </c>
      <c r="K4393" s="18">
        <v>24500</v>
      </c>
      <c r="L4393" s="12">
        <f t="shared" si="373"/>
        <v>30625</v>
      </c>
      <c r="M4393" s="8">
        <v>1</v>
      </c>
      <c r="N4393" s="8" t="s">
        <v>27</v>
      </c>
      <c r="O4393" s="13"/>
      <c r="P4393" s="14">
        <v>0</v>
      </c>
      <c r="Q4393" s="15">
        <v>0.2</v>
      </c>
      <c r="R4393" s="16" t="str">
        <f t="shared" si="367"/>
        <v>TECNOLITE</v>
      </c>
      <c r="S4393" s="17"/>
      <c r="T4393" s="10"/>
    </row>
    <row r="4394" spans="1:20" ht="27" customHeight="1" x14ac:dyDescent="0.25">
      <c r="A4394" s="8" t="s">
        <v>8836</v>
      </c>
      <c r="B4394" s="9"/>
      <c r="C4394" s="9"/>
      <c r="D4394" s="8"/>
      <c r="E4394" s="8"/>
      <c r="F4394" s="8"/>
      <c r="G4394" s="10"/>
      <c r="H4394" s="8" t="s">
        <v>9139</v>
      </c>
      <c r="I4394" s="10" t="s">
        <v>9140</v>
      </c>
      <c r="J4394" s="11" t="s">
        <v>33</v>
      </c>
      <c r="K4394" s="18">
        <v>117000</v>
      </c>
      <c r="L4394" s="12">
        <f t="shared" si="373"/>
        <v>146250</v>
      </c>
      <c r="M4394" s="8">
        <v>1</v>
      </c>
      <c r="N4394" s="8" t="s">
        <v>27</v>
      </c>
      <c r="O4394" s="13"/>
      <c r="P4394" s="14">
        <v>0</v>
      </c>
      <c r="Q4394" s="15">
        <v>0.2</v>
      </c>
      <c r="R4394" s="16" t="str">
        <f t="shared" si="367"/>
        <v>TECNOLITE</v>
      </c>
      <c r="S4394" s="17"/>
      <c r="T4394" s="10"/>
    </row>
    <row r="4395" spans="1:20" ht="27" customHeight="1" x14ac:dyDescent="0.25">
      <c r="A4395" s="8" t="s">
        <v>8836</v>
      </c>
      <c r="B4395" s="9"/>
      <c r="C4395" s="9"/>
      <c r="D4395" s="8"/>
      <c r="E4395" s="8"/>
      <c r="F4395" s="8"/>
      <c r="G4395" s="10"/>
      <c r="H4395" s="8" t="s">
        <v>9141</v>
      </c>
      <c r="I4395" s="10" t="s">
        <v>9142</v>
      </c>
      <c r="J4395" s="11" t="s">
        <v>33</v>
      </c>
      <c r="K4395" s="18">
        <v>43000</v>
      </c>
      <c r="L4395" s="12">
        <f t="shared" si="373"/>
        <v>57333.333333333336</v>
      </c>
      <c r="M4395" s="8">
        <v>1</v>
      </c>
      <c r="N4395" s="8" t="s">
        <v>27</v>
      </c>
      <c r="O4395" s="13"/>
      <c r="P4395" s="14">
        <v>0</v>
      </c>
      <c r="Q4395" s="15">
        <v>0.25</v>
      </c>
      <c r="R4395" s="16" t="str">
        <f t="shared" si="367"/>
        <v>TECNOLITE</v>
      </c>
      <c r="S4395" s="17"/>
      <c r="T4395" s="10"/>
    </row>
    <row r="4396" spans="1:20" ht="27" customHeight="1" x14ac:dyDescent="0.25">
      <c r="A4396" s="8" t="s">
        <v>8836</v>
      </c>
      <c r="B4396" s="9"/>
      <c r="C4396" s="9"/>
      <c r="D4396" s="8"/>
      <c r="E4396" s="8"/>
      <c r="F4396" s="8"/>
      <c r="G4396" s="10"/>
      <c r="H4396" s="8" t="s">
        <v>9143</v>
      </c>
      <c r="I4396" s="10" t="s">
        <v>9144</v>
      </c>
      <c r="J4396" s="11" t="s">
        <v>33</v>
      </c>
      <c r="K4396" s="18">
        <v>83000</v>
      </c>
      <c r="L4396" s="12">
        <f t="shared" si="373"/>
        <v>110666.66666666667</v>
      </c>
      <c r="M4396" s="8">
        <v>1</v>
      </c>
      <c r="N4396" s="8" t="s">
        <v>27</v>
      </c>
      <c r="O4396" s="13"/>
      <c r="P4396" s="14">
        <v>0</v>
      </c>
      <c r="Q4396" s="15">
        <v>0.25</v>
      </c>
      <c r="R4396" s="16" t="str">
        <f t="shared" si="367"/>
        <v>TECNOLITE</v>
      </c>
      <c r="S4396" s="17"/>
      <c r="T4396" s="10"/>
    </row>
    <row r="4397" spans="1:20" ht="27" customHeight="1" x14ac:dyDescent="0.25">
      <c r="A4397" s="8" t="s">
        <v>8836</v>
      </c>
      <c r="B4397" s="9"/>
      <c r="C4397" s="9"/>
      <c r="D4397" s="8"/>
      <c r="E4397" s="8"/>
      <c r="F4397" s="8"/>
      <c r="G4397" s="10"/>
      <c r="H4397" s="8" t="s">
        <v>9145</v>
      </c>
      <c r="I4397" s="10" t="s">
        <v>9146</v>
      </c>
      <c r="J4397" s="11" t="s">
        <v>33</v>
      </c>
      <c r="K4397" s="18">
        <v>20000</v>
      </c>
      <c r="L4397" s="12">
        <f t="shared" si="373"/>
        <v>26666.666666666668</v>
      </c>
      <c r="M4397" s="8">
        <v>1</v>
      </c>
      <c r="N4397" s="8" t="s">
        <v>27</v>
      </c>
      <c r="O4397" s="13"/>
      <c r="P4397" s="14">
        <v>0</v>
      </c>
      <c r="Q4397" s="15">
        <v>0.25</v>
      </c>
      <c r="R4397" s="16" t="str">
        <f t="shared" si="367"/>
        <v>TECNOLITE</v>
      </c>
      <c r="S4397" s="17"/>
      <c r="T4397" s="10"/>
    </row>
    <row r="4398" spans="1:20" ht="27" customHeight="1" x14ac:dyDescent="0.25">
      <c r="A4398" s="8" t="s">
        <v>8836</v>
      </c>
      <c r="B4398" s="9"/>
      <c r="C4398" s="9"/>
      <c r="D4398" s="8"/>
      <c r="E4398" s="8"/>
      <c r="F4398" s="8"/>
      <c r="G4398" s="10"/>
      <c r="H4398" s="8" t="s">
        <v>9147</v>
      </c>
      <c r="I4398" s="10" t="s">
        <v>9148</v>
      </c>
      <c r="J4398" s="11" t="s">
        <v>33</v>
      </c>
      <c r="K4398" s="18">
        <f>150786*0.9</f>
        <v>135707.4</v>
      </c>
      <c r="L4398" s="12">
        <f t="shared" ref="L4398:L4404" si="374">IF(J4398="P",ROUNDUP(K4398/(1-Q4398),-2),K4398*(1+P4398)/(1-Q4398))</f>
        <v>193900</v>
      </c>
      <c r="M4398" s="8">
        <v>1</v>
      </c>
      <c r="N4398" s="8" t="s">
        <v>27</v>
      </c>
      <c r="O4398" s="13"/>
      <c r="P4398" s="14">
        <v>0</v>
      </c>
      <c r="Q4398" s="15">
        <v>0.3</v>
      </c>
      <c r="R4398" s="16" t="str">
        <f t="shared" si="367"/>
        <v>TECNOLITE</v>
      </c>
      <c r="S4398" s="17"/>
      <c r="T4398" s="10"/>
    </row>
    <row r="4399" spans="1:20" ht="27" customHeight="1" x14ac:dyDescent="0.25">
      <c r="A4399" s="8" t="s">
        <v>8836</v>
      </c>
      <c r="B4399" s="9"/>
      <c r="C4399" s="9"/>
      <c r="D4399" s="8"/>
      <c r="E4399" s="8"/>
      <c r="F4399" s="8"/>
      <c r="G4399" s="10"/>
      <c r="H4399" s="8" t="s">
        <v>9149</v>
      </c>
      <c r="I4399" s="10" t="s">
        <v>9150</v>
      </c>
      <c r="J4399" s="11" t="s">
        <v>33</v>
      </c>
      <c r="K4399" s="18">
        <v>58600</v>
      </c>
      <c r="L4399" s="12">
        <f t="shared" si="374"/>
        <v>83800</v>
      </c>
      <c r="M4399" s="8">
        <v>1</v>
      </c>
      <c r="N4399" s="8" t="s">
        <v>27</v>
      </c>
      <c r="O4399" s="13"/>
      <c r="P4399" s="14">
        <v>0</v>
      </c>
      <c r="Q4399" s="15">
        <v>0.3</v>
      </c>
      <c r="R4399" s="16" t="str">
        <f t="shared" ref="R4399:R4462" si="375">A4399</f>
        <v>TECNOLITE</v>
      </c>
      <c r="S4399" s="17"/>
      <c r="T4399" s="10"/>
    </row>
    <row r="4400" spans="1:20" ht="27" customHeight="1" x14ac:dyDescent="0.25">
      <c r="A4400" s="8" t="s">
        <v>8836</v>
      </c>
      <c r="B4400" s="9"/>
      <c r="C4400" s="9"/>
      <c r="D4400" s="8"/>
      <c r="E4400" s="8"/>
      <c r="F4400" s="8"/>
      <c r="G4400" s="10"/>
      <c r="H4400" s="8" t="s">
        <v>9151</v>
      </c>
      <c r="I4400" s="10" t="s">
        <v>9152</v>
      </c>
      <c r="J4400" s="11" t="s">
        <v>33</v>
      </c>
      <c r="K4400" s="18">
        <f>399600*0.9</f>
        <v>359640</v>
      </c>
      <c r="L4400" s="12">
        <f t="shared" si="374"/>
        <v>513800</v>
      </c>
      <c r="M4400" s="8">
        <v>1</v>
      </c>
      <c r="N4400" s="8" t="s">
        <v>27</v>
      </c>
      <c r="O4400" s="13"/>
      <c r="P4400" s="14">
        <v>0</v>
      </c>
      <c r="Q4400" s="15">
        <v>0.3</v>
      </c>
      <c r="R4400" s="16" t="str">
        <f t="shared" si="375"/>
        <v>TECNOLITE</v>
      </c>
      <c r="S4400" s="17"/>
      <c r="T4400" s="10"/>
    </row>
    <row r="4401" spans="1:28" ht="27" customHeight="1" x14ac:dyDescent="0.25">
      <c r="A4401" s="8" t="s">
        <v>8836</v>
      </c>
      <c r="B4401" s="9"/>
      <c r="C4401" s="9"/>
      <c r="D4401" s="8"/>
      <c r="E4401" s="8"/>
      <c r="F4401" s="8"/>
      <c r="G4401" s="10"/>
      <c r="H4401" s="8" t="s">
        <v>9153</v>
      </c>
      <c r="I4401" s="10" t="s">
        <v>9154</v>
      </c>
      <c r="J4401" s="11" t="s">
        <v>33</v>
      </c>
      <c r="K4401" s="18">
        <f>220000*0.9</f>
        <v>198000</v>
      </c>
      <c r="L4401" s="12">
        <f t="shared" si="374"/>
        <v>282900</v>
      </c>
      <c r="M4401" s="8">
        <v>1</v>
      </c>
      <c r="N4401" s="8" t="s">
        <v>27</v>
      </c>
      <c r="O4401" s="13"/>
      <c r="P4401" s="14">
        <v>0</v>
      </c>
      <c r="Q4401" s="15">
        <v>0.3</v>
      </c>
      <c r="R4401" s="16" t="str">
        <f t="shared" si="375"/>
        <v>TECNOLITE</v>
      </c>
      <c r="S4401" s="17"/>
      <c r="T4401" s="10"/>
    </row>
    <row r="4402" spans="1:28" ht="27" customHeight="1" x14ac:dyDescent="0.25">
      <c r="A4402" s="8" t="s">
        <v>8836</v>
      </c>
      <c r="B4402" s="9"/>
      <c r="C4402" s="9"/>
      <c r="D4402" s="8"/>
      <c r="E4402" s="8"/>
      <c r="F4402" s="8"/>
      <c r="G4402" s="10"/>
      <c r="H4402" s="8" t="s">
        <v>9155</v>
      </c>
      <c r="I4402" s="10" t="s">
        <v>9156</v>
      </c>
      <c r="J4402" s="11" t="s">
        <v>33</v>
      </c>
      <c r="K4402" s="18">
        <f>125303*0.9</f>
        <v>112772.7</v>
      </c>
      <c r="L4402" s="12">
        <f t="shared" si="374"/>
        <v>161200</v>
      </c>
      <c r="M4402" s="8">
        <v>1</v>
      </c>
      <c r="N4402" s="8" t="s">
        <v>27</v>
      </c>
      <c r="O4402" s="13"/>
      <c r="P4402" s="14">
        <v>0</v>
      </c>
      <c r="Q4402" s="15">
        <v>0.3</v>
      </c>
      <c r="R4402" s="16" t="str">
        <f t="shared" si="375"/>
        <v>TECNOLITE</v>
      </c>
      <c r="S4402" s="17"/>
      <c r="T4402" s="10"/>
    </row>
    <row r="4403" spans="1:28" ht="27" customHeight="1" x14ac:dyDescent="0.25">
      <c r="A4403" s="8" t="s">
        <v>8836</v>
      </c>
      <c r="B4403" s="9"/>
      <c r="C4403" s="9"/>
      <c r="D4403" s="8"/>
      <c r="E4403" s="8"/>
      <c r="F4403" s="8"/>
      <c r="G4403" s="10"/>
      <c r="H4403" s="8" t="s">
        <v>9157</v>
      </c>
      <c r="I4403" s="10" t="s">
        <v>9158</v>
      </c>
      <c r="J4403" s="11" t="s">
        <v>33</v>
      </c>
      <c r="K4403" s="18">
        <f>196287*0.9</f>
        <v>176658.30000000002</v>
      </c>
      <c r="L4403" s="12">
        <f t="shared" si="374"/>
        <v>252400</v>
      </c>
      <c r="M4403" s="8">
        <v>1</v>
      </c>
      <c r="N4403" s="8" t="s">
        <v>27</v>
      </c>
      <c r="O4403" s="13"/>
      <c r="P4403" s="14">
        <v>0</v>
      </c>
      <c r="Q4403" s="15">
        <v>0.3</v>
      </c>
      <c r="R4403" s="16" t="str">
        <f t="shared" si="375"/>
        <v>TECNOLITE</v>
      </c>
      <c r="S4403" s="17"/>
      <c r="T4403" s="10"/>
    </row>
    <row r="4404" spans="1:28" ht="27" customHeight="1" x14ac:dyDescent="0.25">
      <c r="A4404" s="8" t="s">
        <v>8836</v>
      </c>
      <c r="B4404" s="9"/>
      <c r="C4404" s="9"/>
      <c r="D4404" s="8"/>
      <c r="E4404" s="8"/>
      <c r="F4404" s="8"/>
      <c r="G4404" s="10"/>
      <c r="H4404" s="8" t="s">
        <v>9159</v>
      </c>
      <c r="I4404" s="10" t="s">
        <v>9160</v>
      </c>
      <c r="J4404" s="11" t="s">
        <v>33</v>
      </c>
      <c r="K4404" s="18">
        <v>43100</v>
      </c>
      <c r="L4404" s="12">
        <f t="shared" si="374"/>
        <v>67900</v>
      </c>
      <c r="M4404" s="8">
        <v>1</v>
      </c>
      <c r="N4404" s="8" t="s">
        <v>27</v>
      </c>
      <c r="O4404" s="13"/>
      <c r="P4404" s="14">
        <v>0.2</v>
      </c>
      <c r="Q4404" s="15">
        <v>0.36503825566160181</v>
      </c>
      <c r="R4404" s="16" t="str">
        <f t="shared" si="375"/>
        <v>TECNOLITE</v>
      </c>
      <c r="S4404" s="17"/>
      <c r="T4404" s="10"/>
    </row>
    <row r="4405" spans="1:28" ht="27" customHeight="1" x14ac:dyDescent="0.25">
      <c r="A4405" s="8" t="s">
        <v>8836</v>
      </c>
      <c r="B4405" s="9"/>
      <c r="C4405" s="9"/>
      <c r="D4405" s="8"/>
      <c r="E4405" s="8"/>
      <c r="F4405" s="8"/>
      <c r="G4405" s="10"/>
      <c r="H4405" s="8" t="s">
        <v>9161</v>
      </c>
      <c r="I4405" s="10" t="s">
        <v>9162</v>
      </c>
      <c r="J4405" s="11" t="s">
        <v>33</v>
      </c>
      <c r="K4405" s="18">
        <v>85300</v>
      </c>
      <c r="L4405" s="12">
        <f>ROUNDUP(K4405*(1+P4405)/(1-Q4405),0)</f>
        <v>100353</v>
      </c>
      <c r="M4405" s="8">
        <v>1</v>
      </c>
      <c r="N4405" s="8" t="s">
        <v>27</v>
      </c>
      <c r="O4405" s="13"/>
      <c r="P4405" s="14">
        <v>0</v>
      </c>
      <c r="Q4405" s="15">
        <v>0.15</v>
      </c>
      <c r="R4405" s="16" t="str">
        <f t="shared" si="375"/>
        <v>TECNOLITE</v>
      </c>
      <c r="S4405" s="17"/>
      <c r="T4405" s="10"/>
    </row>
    <row r="4406" spans="1:28" ht="27" customHeight="1" x14ac:dyDescent="0.25">
      <c r="A4406" s="8" t="s">
        <v>8836</v>
      </c>
      <c r="B4406" s="9"/>
      <c r="C4406" s="9"/>
      <c r="D4406" s="8"/>
      <c r="E4406" s="8"/>
      <c r="F4406" s="8"/>
      <c r="G4406" s="10"/>
      <c r="H4406" s="8" t="s">
        <v>9163</v>
      </c>
      <c r="I4406" s="10" t="s">
        <v>9164</v>
      </c>
      <c r="J4406" s="11" t="s">
        <v>33</v>
      </c>
      <c r="K4406" s="18">
        <v>117000</v>
      </c>
      <c r="L4406" s="12">
        <f>ROUNDUP(K4406*(1+P4406)/(1-Q4406),0)</f>
        <v>137648</v>
      </c>
      <c r="M4406" s="8">
        <v>1</v>
      </c>
      <c r="N4406" s="8" t="s">
        <v>27</v>
      </c>
      <c r="O4406" s="13"/>
      <c r="P4406" s="14">
        <v>0</v>
      </c>
      <c r="Q4406" s="15">
        <v>0.15</v>
      </c>
      <c r="R4406" s="16" t="str">
        <f t="shared" si="375"/>
        <v>TECNOLITE</v>
      </c>
      <c r="S4406" s="17"/>
      <c r="T4406" s="10"/>
      <c r="AB4406" s="112">
        <v>4</v>
      </c>
    </row>
    <row r="4407" spans="1:28" ht="27" customHeight="1" x14ac:dyDescent="0.25">
      <c r="A4407" s="8" t="s">
        <v>8836</v>
      </c>
      <c r="B4407" s="9"/>
      <c r="C4407" s="9"/>
      <c r="D4407" s="8"/>
      <c r="E4407" s="8"/>
      <c r="F4407" s="8"/>
      <c r="G4407" s="10"/>
      <c r="H4407" s="8" t="s">
        <v>8949</v>
      </c>
      <c r="I4407" s="10" t="s">
        <v>9165</v>
      </c>
      <c r="J4407" s="11" t="s">
        <v>33</v>
      </c>
      <c r="K4407" s="18">
        <v>18000</v>
      </c>
      <c r="L4407" s="12">
        <f>ROUNDUP(K4407*(1+P4407)/(1-Q4407),0)</f>
        <v>25715</v>
      </c>
      <c r="M4407" s="8">
        <v>1</v>
      </c>
      <c r="N4407" s="8" t="s">
        <v>27</v>
      </c>
      <c r="O4407" s="13"/>
      <c r="P4407" s="14">
        <v>0</v>
      </c>
      <c r="Q4407" s="15">
        <v>0.3</v>
      </c>
      <c r="R4407" s="16" t="str">
        <f t="shared" si="375"/>
        <v>TECNOLITE</v>
      </c>
      <c r="S4407" s="17"/>
      <c r="T4407" s="10"/>
    </row>
    <row r="4408" spans="1:28" ht="27" customHeight="1" x14ac:dyDescent="0.25">
      <c r="A4408" s="8" t="s">
        <v>8836</v>
      </c>
      <c r="B4408" s="9"/>
      <c r="C4408" s="9"/>
      <c r="D4408" s="8"/>
      <c r="E4408" s="8"/>
      <c r="F4408" s="8"/>
      <c r="G4408" s="10"/>
      <c r="H4408" s="8" t="s">
        <v>9143</v>
      </c>
      <c r="I4408" s="10" t="s">
        <v>9166</v>
      </c>
      <c r="J4408" s="11" t="s">
        <v>33</v>
      </c>
      <c r="K4408" s="18">
        <v>82400</v>
      </c>
      <c r="L4408" s="12">
        <f>K4408*(1+P4408)/(1-Q4408)</f>
        <v>103000</v>
      </c>
      <c r="M4408" s="8">
        <v>1</v>
      </c>
      <c r="N4408" s="8" t="s">
        <v>27</v>
      </c>
      <c r="O4408" s="13"/>
      <c r="P4408" s="14">
        <v>0</v>
      </c>
      <c r="Q4408" s="15">
        <v>0.2</v>
      </c>
      <c r="R4408" s="16" t="str">
        <f t="shared" si="375"/>
        <v>TECNOLITE</v>
      </c>
      <c r="S4408" s="17"/>
      <c r="T4408" s="10"/>
    </row>
    <row r="4409" spans="1:28" ht="27" customHeight="1" x14ac:dyDescent="0.25">
      <c r="A4409" s="8" t="s">
        <v>8836</v>
      </c>
      <c r="B4409" s="9"/>
      <c r="C4409" s="9"/>
      <c r="D4409" s="8"/>
      <c r="E4409" s="8"/>
      <c r="F4409" s="8"/>
      <c r="G4409" s="10"/>
      <c r="H4409" s="8" t="s">
        <v>9167</v>
      </c>
      <c r="I4409" s="10" t="s">
        <v>9168</v>
      </c>
      <c r="J4409" s="11" t="s">
        <v>33</v>
      </c>
      <c r="K4409" s="18">
        <v>135213</v>
      </c>
      <c r="L4409" s="12">
        <f>ROUNDUP(K4409*(1+P4409)/(1-Q4409),0)</f>
        <v>169017</v>
      </c>
      <c r="M4409" s="8">
        <v>1</v>
      </c>
      <c r="N4409" s="8" t="s">
        <v>27</v>
      </c>
      <c r="O4409" s="13"/>
      <c r="P4409" s="14">
        <v>0</v>
      </c>
      <c r="Q4409" s="15">
        <v>0.2</v>
      </c>
      <c r="R4409" s="16" t="str">
        <f t="shared" si="375"/>
        <v>TECNOLITE</v>
      </c>
      <c r="S4409" s="17"/>
      <c r="T4409" s="10"/>
    </row>
    <row r="4410" spans="1:28" ht="27" customHeight="1" x14ac:dyDescent="0.25">
      <c r="A4410" s="8" t="s">
        <v>8836</v>
      </c>
      <c r="B4410" s="9"/>
      <c r="C4410" s="9"/>
      <c r="D4410" s="8"/>
      <c r="E4410" s="8"/>
      <c r="F4410" s="8"/>
      <c r="G4410" s="10"/>
      <c r="H4410" s="8" t="s">
        <v>8949</v>
      </c>
      <c r="I4410" s="10" t="s">
        <v>9169</v>
      </c>
      <c r="J4410" s="11" t="s">
        <v>33</v>
      </c>
      <c r="K4410" s="18">
        <v>17000</v>
      </c>
      <c r="L4410" s="12">
        <f>ROUNDUP(K4410*(1+P4410)/(1-Q4410),0)</f>
        <v>24286</v>
      </c>
      <c r="M4410" s="8">
        <v>1</v>
      </c>
      <c r="N4410" s="8" t="s">
        <v>27</v>
      </c>
      <c r="O4410" s="13"/>
      <c r="P4410" s="14">
        <v>0</v>
      </c>
      <c r="Q4410" s="15">
        <v>0.3</v>
      </c>
      <c r="R4410" s="16" t="str">
        <f t="shared" si="375"/>
        <v>TECNOLITE</v>
      </c>
      <c r="S4410" s="17"/>
      <c r="T4410" s="10"/>
    </row>
    <row r="4411" spans="1:28" ht="27" customHeight="1" x14ac:dyDescent="0.25">
      <c r="A4411" s="8" t="s">
        <v>8836</v>
      </c>
      <c r="B4411" s="9"/>
      <c r="C4411" s="9"/>
      <c r="D4411" s="8"/>
      <c r="E4411" s="8"/>
      <c r="F4411" s="8"/>
      <c r="G4411" s="10"/>
      <c r="H4411" s="8" t="s">
        <v>9170</v>
      </c>
      <c r="I4411" s="10" t="s">
        <v>1865</v>
      </c>
      <c r="J4411" s="11" t="s">
        <v>33</v>
      </c>
      <c r="K4411" s="18">
        <v>173000</v>
      </c>
      <c r="L4411" s="12">
        <f>ROUNDUP(K4411*(1+P4411)/(1-Q4411),0)</f>
        <v>247143</v>
      </c>
      <c r="M4411" s="8">
        <v>1</v>
      </c>
      <c r="N4411" s="8" t="s">
        <v>27</v>
      </c>
      <c r="O4411" s="13"/>
      <c r="P4411" s="14">
        <v>0</v>
      </c>
      <c r="Q4411" s="15">
        <v>0.3</v>
      </c>
      <c r="R4411" s="16" t="str">
        <f t="shared" si="375"/>
        <v>TECNOLITE</v>
      </c>
      <c r="S4411" s="17"/>
      <c r="T4411" s="10"/>
    </row>
    <row r="4412" spans="1:28" ht="27" customHeight="1" x14ac:dyDescent="0.25">
      <c r="A4412" s="8" t="s">
        <v>8836</v>
      </c>
      <c r="B4412" s="9"/>
      <c r="C4412" s="9"/>
      <c r="D4412" s="8"/>
      <c r="E4412" s="8"/>
      <c r="F4412" s="8"/>
      <c r="G4412" s="10"/>
      <c r="H4412" s="8" t="s">
        <v>9171</v>
      </c>
      <c r="I4412" s="10" t="s">
        <v>9172</v>
      </c>
      <c r="J4412" s="11" t="s">
        <v>33</v>
      </c>
      <c r="K4412" s="18">
        <f>6613*0.9</f>
        <v>5951.7</v>
      </c>
      <c r="L4412" s="12">
        <f>ROUNDUP(K4412*(1+P4412)/(1-Q4412),0)</f>
        <v>8503</v>
      </c>
      <c r="M4412" s="8">
        <v>1</v>
      </c>
      <c r="N4412" s="8" t="s">
        <v>27</v>
      </c>
      <c r="O4412" s="13"/>
      <c r="P4412" s="14">
        <v>0</v>
      </c>
      <c r="Q4412" s="15">
        <v>0.3</v>
      </c>
      <c r="R4412" s="16" t="str">
        <f t="shared" si="375"/>
        <v>TECNOLITE</v>
      </c>
      <c r="S4412" s="17"/>
      <c r="T4412" s="10"/>
    </row>
    <row r="4413" spans="1:28" ht="27" customHeight="1" x14ac:dyDescent="0.25">
      <c r="A4413" s="8" t="s">
        <v>8836</v>
      </c>
      <c r="B4413" s="9"/>
      <c r="C4413" s="9"/>
      <c r="D4413" s="8"/>
      <c r="E4413" s="8"/>
      <c r="F4413" s="8"/>
      <c r="G4413" s="10"/>
      <c r="H4413" s="8" t="s">
        <v>9173</v>
      </c>
      <c r="I4413" s="10" t="s">
        <v>9174</v>
      </c>
      <c r="J4413" s="11" t="s">
        <v>33</v>
      </c>
      <c r="K4413" s="18">
        <v>204000</v>
      </c>
      <c r="L4413" s="12">
        <f>ROUNDUP(K4413*(1+P4413)/(1-Q4413),0)</f>
        <v>291429</v>
      </c>
      <c r="M4413" s="8">
        <v>1</v>
      </c>
      <c r="N4413" s="8" t="s">
        <v>27</v>
      </c>
      <c r="O4413" s="13"/>
      <c r="P4413" s="14">
        <v>0</v>
      </c>
      <c r="Q4413" s="15">
        <v>0.3</v>
      </c>
      <c r="R4413" s="16" t="str">
        <f t="shared" si="375"/>
        <v>TECNOLITE</v>
      </c>
      <c r="S4413" s="17"/>
      <c r="T4413" s="10"/>
    </row>
    <row r="4414" spans="1:28" ht="27" customHeight="1" x14ac:dyDescent="0.25">
      <c r="A4414" s="8" t="s">
        <v>8836</v>
      </c>
      <c r="B4414" s="9"/>
      <c r="C4414" s="9"/>
      <c r="D4414" s="8"/>
      <c r="E4414" s="8"/>
      <c r="F4414" s="8" t="s">
        <v>22</v>
      </c>
      <c r="G4414" s="10" t="s">
        <v>9025</v>
      </c>
      <c r="H4414" s="8" t="s">
        <v>9175</v>
      </c>
      <c r="I4414" s="10" t="s">
        <v>9176</v>
      </c>
      <c r="J4414" s="11" t="s">
        <v>33</v>
      </c>
      <c r="K4414" s="18">
        <f>84000*0.9</f>
        <v>75600</v>
      </c>
      <c r="L4414" s="12">
        <f>IF(J4414="P",ROUNDUP(K4414/(1-Q4414),-2),K4414*(1+P4414)/(1-Q4414))</f>
        <v>108000</v>
      </c>
      <c r="M4414" s="8">
        <v>1</v>
      </c>
      <c r="N4414" s="8" t="s">
        <v>27</v>
      </c>
      <c r="O4414" s="13"/>
      <c r="P4414" s="14">
        <v>0</v>
      </c>
      <c r="Q4414" s="15">
        <v>0.3</v>
      </c>
      <c r="R4414" s="16" t="str">
        <f t="shared" si="375"/>
        <v>TECNOLITE</v>
      </c>
      <c r="S4414" s="17"/>
      <c r="T4414" s="10" t="str">
        <f>G4414</f>
        <v xml:space="preserve">LUMINARIA CILÍNDRICA DESCOLGADA DE 3W, 210 LUMENS.
</v>
      </c>
    </row>
    <row r="4415" spans="1:28" ht="27" customHeight="1" x14ac:dyDescent="0.25">
      <c r="A4415" s="8" t="s">
        <v>8836</v>
      </c>
      <c r="B4415" s="9"/>
      <c r="C4415" s="9"/>
      <c r="D4415" s="8"/>
      <c r="E4415" s="8"/>
      <c r="F4415" s="8"/>
      <c r="G4415" s="10"/>
      <c r="H4415" s="8" t="s">
        <v>9177</v>
      </c>
      <c r="I4415" s="10" t="s">
        <v>9178</v>
      </c>
      <c r="J4415" s="11" t="s">
        <v>33</v>
      </c>
      <c r="K4415" s="18">
        <v>30571</v>
      </c>
      <c r="L4415" s="12">
        <f>IF(J4415="P",ROUNDUP(K4415/(1-Q4415),-2),K4415*(1+P4415)/(1-Q4415))</f>
        <v>43700</v>
      </c>
      <c r="M4415" s="8">
        <v>1</v>
      </c>
      <c r="N4415" s="8" t="s">
        <v>27</v>
      </c>
      <c r="O4415" s="13"/>
      <c r="P4415" s="14">
        <v>0</v>
      </c>
      <c r="Q4415" s="15">
        <v>0.3</v>
      </c>
      <c r="R4415" s="16" t="str">
        <f t="shared" si="375"/>
        <v>TECNOLITE</v>
      </c>
      <c r="S4415" s="17"/>
      <c r="T4415" s="10"/>
    </row>
    <row r="4416" spans="1:28" ht="27" customHeight="1" x14ac:dyDescent="0.25">
      <c r="A4416" s="8" t="s">
        <v>8836</v>
      </c>
      <c r="B4416" s="9"/>
      <c r="C4416" s="9"/>
      <c r="D4416" s="8"/>
      <c r="E4416" s="8"/>
      <c r="F4416" s="8"/>
      <c r="G4416" s="10"/>
      <c r="H4416" s="8" t="s">
        <v>9113</v>
      </c>
      <c r="I4416" s="10" t="s">
        <v>9179</v>
      </c>
      <c r="J4416" s="11" t="s">
        <v>33</v>
      </c>
      <c r="K4416" s="18">
        <v>58545</v>
      </c>
      <c r="L4416" s="12">
        <f>IF(J4416="P",ROUNDUP(K4416/(1-Q4416),-2),K4416*(1+P4416)/(1-Q4416))</f>
        <v>83700</v>
      </c>
      <c r="M4416" s="8">
        <v>1</v>
      </c>
      <c r="N4416" s="8" t="s">
        <v>27</v>
      </c>
      <c r="O4416" s="13"/>
      <c r="P4416" s="14">
        <v>0</v>
      </c>
      <c r="Q4416" s="15">
        <v>0.3</v>
      </c>
      <c r="R4416" s="16" t="str">
        <f t="shared" si="375"/>
        <v>TECNOLITE</v>
      </c>
      <c r="S4416" s="17"/>
      <c r="T4416" s="10"/>
    </row>
    <row r="4417" spans="1:20" ht="27" customHeight="1" x14ac:dyDescent="0.25">
      <c r="A4417" s="8" t="s">
        <v>8836</v>
      </c>
      <c r="B4417" s="9"/>
      <c r="C4417" s="9"/>
      <c r="D4417" s="8"/>
      <c r="E4417" s="8"/>
      <c r="F4417" s="8"/>
      <c r="G4417" s="10"/>
      <c r="H4417" s="8" t="s">
        <v>8837</v>
      </c>
      <c r="I4417" s="10" t="s">
        <v>8838</v>
      </c>
      <c r="J4417" s="11" t="s">
        <v>33</v>
      </c>
      <c r="K4417" s="18">
        <v>9000</v>
      </c>
      <c r="L4417" s="12">
        <f>IF(J4417="P",ROUNDUP(K4417/(1-Q4417),-2),K4417*(1+P4417)/(1-Q4417))</f>
        <v>12900</v>
      </c>
      <c r="M4417" s="8">
        <v>1</v>
      </c>
      <c r="N4417" s="8" t="s">
        <v>27</v>
      </c>
      <c r="O4417" s="13"/>
      <c r="P4417" s="14">
        <v>0</v>
      </c>
      <c r="Q4417" s="15">
        <v>0.3</v>
      </c>
      <c r="R4417" s="16" t="str">
        <f t="shared" si="375"/>
        <v>TECNOLITE</v>
      </c>
      <c r="S4417" s="17"/>
      <c r="T4417" s="10"/>
    </row>
    <row r="4418" spans="1:20" ht="27" customHeight="1" x14ac:dyDescent="0.25">
      <c r="A4418" s="8" t="s">
        <v>8836</v>
      </c>
      <c r="B4418" s="9"/>
      <c r="C4418" s="9"/>
      <c r="D4418" s="8"/>
      <c r="E4418" s="8"/>
      <c r="F4418" s="8"/>
      <c r="G4418" s="10"/>
      <c r="H4418" s="8" t="s">
        <v>9180</v>
      </c>
      <c r="I4418" s="10" t="s">
        <v>9181</v>
      </c>
      <c r="J4418" s="11" t="s">
        <v>33</v>
      </c>
      <c r="K4418" s="18">
        <v>55200</v>
      </c>
      <c r="L4418" s="12">
        <f>IF(J4418="P",ROUNDUP(K4418/(1-Q4418),-2),K4418*(1+P4418)/(1-Q4418))+1900000/3000</f>
        <v>79533.333333333328</v>
      </c>
      <c r="M4418" s="8">
        <v>1</v>
      </c>
      <c r="N4418" s="8" t="s">
        <v>27</v>
      </c>
      <c r="O4418" s="13"/>
      <c r="P4418" s="14">
        <v>0</v>
      </c>
      <c r="Q4418" s="15">
        <v>0.3</v>
      </c>
      <c r="R4418" s="16" t="str">
        <f t="shared" si="375"/>
        <v>TECNOLITE</v>
      </c>
      <c r="S4418" s="17"/>
      <c r="T4418" s="10"/>
    </row>
    <row r="4419" spans="1:20" ht="27" customHeight="1" x14ac:dyDescent="0.25">
      <c r="A4419" s="8" t="s">
        <v>8836</v>
      </c>
      <c r="B4419" s="9"/>
      <c r="C4419" s="9"/>
      <c r="D4419" s="8"/>
      <c r="E4419" s="8"/>
      <c r="F4419" s="8"/>
      <c r="G4419" s="10"/>
      <c r="H4419" s="8" t="s">
        <v>9182</v>
      </c>
      <c r="I4419" s="10" t="s">
        <v>9183</v>
      </c>
      <c r="J4419" s="11" t="s">
        <v>33</v>
      </c>
      <c r="K4419" s="18">
        <f>32419*0.9</f>
        <v>29177.100000000002</v>
      </c>
      <c r="L4419" s="12">
        <f t="shared" ref="L4419:L4425" si="376">IF(J4419="P",ROUNDUP(K4419/(1-Q4419),-2),K4419*(1+P4419)/(1-Q4419))</f>
        <v>41700</v>
      </c>
      <c r="M4419" s="8">
        <v>1</v>
      </c>
      <c r="N4419" s="8" t="s">
        <v>27</v>
      </c>
      <c r="O4419" s="13">
        <f t="shared" ref="O4419:O4425" si="377">F4419</f>
        <v>0</v>
      </c>
      <c r="P4419" s="14">
        <v>0</v>
      </c>
      <c r="Q4419" s="15">
        <v>0.3</v>
      </c>
      <c r="R4419" s="16" t="str">
        <f t="shared" si="375"/>
        <v>TECNOLITE</v>
      </c>
      <c r="S4419" s="17"/>
      <c r="T4419" s="10"/>
    </row>
    <row r="4420" spans="1:20" ht="27" customHeight="1" x14ac:dyDescent="0.25">
      <c r="A4420" s="8" t="s">
        <v>8836</v>
      </c>
      <c r="B4420" s="9"/>
      <c r="C4420" s="9"/>
      <c r="D4420" s="8"/>
      <c r="E4420" s="8"/>
      <c r="F4420" s="8"/>
      <c r="G4420" s="10"/>
      <c r="H4420" s="8" t="s">
        <v>9184</v>
      </c>
      <c r="I4420" s="10" t="s">
        <v>9185</v>
      </c>
      <c r="J4420" s="11" t="s">
        <v>33</v>
      </c>
      <c r="K4420" s="18">
        <f>13750*0.9</f>
        <v>12375</v>
      </c>
      <c r="L4420" s="12">
        <f t="shared" si="376"/>
        <v>17700</v>
      </c>
      <c r="M4420" s="8">
        <v>1</v>
      </c>
      <c r="N4420" s="8" t="s">
        <v>27</v>
      </c>
      <c r="O4420" s="13">
        <f t="shared" si="377"/>
        <v>0</v>
      </c>
      <c r="P4420" s="14">
        <v>0</v>
      </c>
      <c r="Q4420" s="15">
        <v>0.3</v>
      </c>
      <c r="R4420" s="16" t="str">
        <f t="shared" si="375"/>
        <v>TECNOLITE</v>
      </c>
      <c r="S4420" s="17"/>
      <c r="T4420" s="10"/>
    </row>
    <row r="4421" spans="1:20" ht="27" customHeight="1" x14ac:dyDescent="0.25">
      <c r="A4421" s="8" t="s">
        <v>8836</v>
      </c>
      <c r="B4421" s="9"/>
      <c r="C4421" s="9"/>
      <c r="D4421" s="8"/>
      <c r="E4421" s="8"/>
      <c r="F4421" s="8"/>
      <c r="G4421" s="10"/>
      <c r="H4421" s="8" t="s">
        <v>9186</v>
      </c>
      <c r="I4421" s="10" t="s">
        <v>9187</v>
      </c>
      <c r="J4421" s="11" t="s">
        <v>33</v>
      </c>
      <c r="K4421" s="18">
        <f>24000*0.9</f>
        <v>21600</v>
      </c>
      <c r="L4421" s="12">
        <f t="shared" si="376"/>
        <v>30900</v>
      </c>
      <c r="M4421" s="8">
        <v>1</v>
      </c>
      <c r="N4421" s="8" t="s">
        <v>27</v>
      </c>
      <c r="O4421" s="13">
        <f t="shared" si="377"/>
        <v>0</v>
      </c>
      <c r="P4421" s="14">
        <v>0</v>
      </c>
      <c r="Q4421" s="15">
        <v>0.3</v>
      </c>
      <c r="R4421" s="16" t="str">
        <f t="shared" si="375"/>
        <v>TECNOLITE</v>
      </c>
      <c r="S4421" s="17"/>
      <c r="T4421" s="10"/>
    </row>
    <row r="4422" spans="1:20" ht="27" customHeight="1" x14ac:dyDescent="0.25">
      <c r="A4422" s="8" t="s">
        <v>8836</v>
      </c>
      <c r="B4422" s="9" t="s">
        <v>93</v>
      </c>
      <c r="C4422" s="9"/>
      <c r="D4422" s="8" t="s">
        <v>93</v>
      </c>
      <c r="E4422" s="8"/>
      <c r="F4422" s="8" t="s">
        <v>22</v>
      </c>
      <c r="G4422" s="10" t="s">
        <v>8880</v>
      </c>
      <c r="H4422" s="8" t="s">
        <v>9188</v>
      </c>
      <c r="I4422" s="10" t="s">
        <v>9189</v>
      </c>
      <c r="J4422" s="11" t="s">
        <v>33</v>
      </c>
      <c r="K4422" s="18">
        <f>29900</f>
        <v>29900</v>
      </c>
      <c r="L4422" s="12">
        <f t="shared" si="376"/>
        <v>42800</v>
      </c>
      <c r="M4422" s="8">
        <v>1</v>
      </c>
      <c r="N4422" s="8" t="s">
        <v>27</v>
      </c>
      <c r="O4422" s="13" t="str">
        <f t="shared" si="377"/>
        <v>BLANCO</v>
      </c>
      <c r="P4422" s="14">
        <v>0</v>
      </c>
      <c r="Q4422" s="15">
        <v>0.3</v>
      </c>
      <c r="R4422" s="16" t="str">
        <f t="shared" si="375"/>
        <v>TECNOLITE</v>
      </c>
      <c r="S4422" s="17"/>
      <c r="T4422" s="10" t="s">
        <v>8880</v>
      </c>
    </row>
    <row r="4423" spans="1:20" ht="27" customHeight="1" x14ac:dyDescent="0.25">
      <c r="A4423" s="8" t="s">
        <v>8836</v>
      </c>
      <c r="B4423" s="9"/>
      <c r="C4423" s="9"/>
      <c r="D4423" s="8"/>
      <c r="E4423" s="8"/>
      <c r="F4423" s="8"/>
      <c r="G4423" s="10"/>
      <c r="H4423" s="8" t="s">
        <v>9190</v>
      </c>
      <c r="I4423" s="10" t="s">
        <v>9191</v>
      </c>
      <c r="J4423" s="11" t="s">
        <v>33</v>
      </c>
      <c r="K4423" s="18">
        <f>34000*0.9</f>
        <v>30600</v>
      </c>
      <c r="L4423" s="12">
        <f t="shared" si="376"/>
        <v>43800</v>
      </c>
      <c r="M4423" s="8">
        <v>1</v>
      </c>
      <c r="N4423" s="8" t="s">
        <v>27</v>
      </c>
      <c r="O4423" s="13">
        <f t="shared" si="377"/>
        <v>0</v>
      </c>
      <c r="P4423" s="14">
        <v>0</v>
      </c>
      <c r="Q4423" s="15">
        <v>0.3</v>
      </c>
      <c r="R4423" s="16" t="str">
        <f t="shared" si="375"/>
        <v>TECNOLITE</v>
      </c>
      <c r="S4423" s="17"/>
      <c r="T4423" s="10"/>
    </row>
    <row r="4424" spans="1:20" ht="27" customHeight="1" x14ac:dyDescent="0.25">
      <c r="A4424" s="8" t="s">
        <v>8836</v>
      </c>
      <c r="B4424" s="9"/>
      <c r="C4424" s="9"/>
      <c r="D4424" s="8"/>
      <c r="E4424" s="8"/>
      <c r="F4424" s="8"/>
      <c r="G4424" s="10"/>
      <c r="H4424" s="8" t="s">
        <v>9192</v>
      </c>
      <c r="I4424" s="10" t="s">
        <v>9193</v>
      </c>
      <c r="J4424" s="11" t="s">
        <v>33</v>
      </c>
      <c r="K4424" s="18">
        <f>79600*0.9</f>
        <v>71640</v>
      </c>
      <c r="L4424" s="12">
        <f t="shared" si="376"/>
        <v>102400</v>
      </c>
      <c r="M4424" s="8">
        <v>1</v>
      </c>
      <c r="N4424" s="8" t="s">
        <v>27</v>
      </c>
      <c r="O4424" s="13">
        <f t="shared" si="377"/>
        <v>0</v>
      </c>
      <c r="P4424" s="14">
        <v>0</v>
      </c>
      <c r="Q4424" s="15">
        <v>0.3</v>
      </c>
      <c r="R4424" s="16" t="str">
        <f t="shared" si="375"/>
        <v>TECNOLITE</v>
      </c>
      <c r="S4424" s="17"/>
      <c r="T4424" s="10"/>
    </row>
    <row r="4425" spans="1:20" ht="27" customHeight="1" x14ac:dyDescent="0.25">
      <c r="A4425" s="8" t="s">
        <v>8836</v>
      </c>
      <c r="B4425" s="9"/>
      <c r="C4425" s="9"/>
      <c r="D4425" s="8"/>
      <c r="E4425" s="8"/>
      <c r="F4425" s="8"/>
      <c r="G4425" s="10"/>
      <c r="H4425" s="8" t="s">
        <v>9194</v>
      </c>
      <c r="I4425" s="10" t="s">
        <v>9195</v>
      </c>
      <c r="J4425" s="11" t="s">
        <v>33</v>
      </c>
      <c r="K4425" s="18">
        <v>372487</v>
      </c>
      <c r="L4425" s="12">
        <f t="shared" si="376"/>
        <v>532200</v>
      </c>
      <c r="M4425" s="8">
        <v>1</v>
      </c>
      <c r="N4425" s="8" t="s">
        <v>27</v>
      </c>
      <c r="O4425" s="13">
        <f t="shared" si="377"/>
        <v>0</v>
      </c>
      <c r="P4425" s="14">
        <v>0</v>
      </c>
      <c r="Q4425" s="15">
        <v>0.3</v>
      </c>
      <c r="R4425" s="16" t="str">
        <f t="shared" si="375"/>
        <v>TECNOLITE</v>
      </c>
      <c r="S4425" s="17"/>
      <c r="T4425" s="10"/>
    </row>
    <row r="4426" spans="1:20" ht="27" customHeight="1" x14ac:dyDescent="0.25">
      <c r="A4426" s="8" t="s">
        <v>8836</v>
      </c>
      <c r="B4426" s="9"/>
      <c r="C4426" s="9"/>
      <c r="D4426" s="8"/>
      <c r="E4426" s="8"/>
      <c r="F4426" s="8"/>
      <c r="G4426" s="10"/>
      <c r="H4426" s="8" t="s">
        <v>9196</v>
      </c>
      <c r="I4426" s="10" t="s">
        <v>9197</v>
      </c>
      <c r="J4426" s="11" t="s">
        <v>33</v>
      </c>
      <c r="K4426" s="18">
        <v>92500</v>
      </c>
      <c r="L4426" s="12">
        <f>ROUNDUP(K4426*(1+P4426)/(1-Q4426),0)</f>
        <v>132143</v>
      </c>
      <c r="M4426" s="8">
        <v>1</v>
      </c>
      <c r="N4426" s="8" t="s">
        <v>27</v>
      </c>
      <c r="O4426" s="13"/>
      <c r="P4426" s="14">
        <v>0</v>
      </c>
      <c r="Q4426" s="15">
        <v>0.3</v>
      </c>
      <c r="R4426" s="16" t="str">
        <f t="shared" si="375"/>
        <v>TECNOLITE</v>
      </c>
      <c r="S4426" s="17"/>
      <c r="T4426" s="10"/>
    </row>
    <row r="4427" spans="1:20" ht="27" customHeight="1" x14ac:dyDescent="0.25">
      <c r="A4427" s="8" t="s">
        <v>8836</v>
      </c>
      <c r="B4427" s="9"/>
      <c r="C4427" s="9"/>
      <c r="D4427" s="8"/>
      <c r="E4427" s="8"/>
      <c r="F4427" s="8"/>
      <c r="G4427" s="10"/>
      <c r="H4427" s="8" t="s">
        <v>9198</v>
      </c>
      <c r="I4427" s="10" t="s">
        <v>9199</v>
      </c>
      <c r="J4427" s="11" t="s">
        <v>33</v>
      </c>
      <c r="K4427" s="18">
        <v>49100</v>
      </c>
      <c r="L4427" s="12">
        <f t="shared" ref="L4427:L4435" si="378">IF(J4427="P",ROUNDUP(K4427/(1-Q4427),-2),K4427*(1+P4427)/(1-Q4427))</f>
        <v>70200</v>
      </c>
      <c r="M4427" s="8">
        <v>1</v>
      </c>
      <c r="N4427" s="8" t="s">
        <v>27</v>
      </c>
      <c r="O4427" s="13">
        <f>F4427</f>
        <v>0</v>
      </c>
      <c r="P4427" s="14">
        <v>0</v>
      </c>
      <c r="Q4427" s="15">
        <v>0.3</v>
      </c>
      <c r="R4427" s="16" t="str">
        <f t="shared" si="375"/>
        <v>TECNOLITE</v>
      </c>
      <c r="S4427" s="17"/>
      <c r="T4427" s="10"/>
    </row>
    <row r="4428" spans="1:20" ht="27" customHeight="1" x14ac:dyDescent="0.25">
      <c r="A4428" s="8" t="s">
        <v>8836</v>
      </c>
      <c r="B4428" s="9"/>
      <c r="C4428" s="9"/>
      <c r="D4428" s="8"/>
      <c r="E4428" s="8"/>
      <c r="F4428" s="8" t="s">
        <v>22</v>
      </c>
      <c r="G4428" s="10" t="s">
        <v>8969</v>
      </c>
      <c r="H4428" s="8" t="s">
        <v>9200</v>
      </c>
      <c r="I4428" s="10" t="s">
        <v>8969</v>
      </c>
      <c r="J4428" s="11" t="s">
        <v>33</v>
      </c>
      <c r="K4428" s="18">
        <v>142390</v>
      </c>
      <c r="L4428" s="12">
        <f t="shared" si="378"/>
        <v>203500</v>
      </c>
      <c r="M4428" s="8">
        <v>1</v>
      </c>
      <c r="N4428" s="8" t="s">
        <v>27</v>
      </c>
      <c r="O4428" s="13"/>
      <c r="P4428" s="14">
        <v>0</v>
      </c>
      <c r="Q4428" s="15">
        <v>0.3</v>
      </c>
      <c r="R4428" s="16" t="str">
        <f t="shared" si="375"/>
        <v>TECNOLITE</v>
      </c>
      <c r="S4428" s="17"/>
      <c r="T4428" s="10" t="str">
        <f>G4428</f>
        <v>LUMINARIA CHIP ON BOARD DE 6.5 VATIOS. LUZ CÁLIDA. ESCUALIZABLE. EN COLOR NEGRO.</v>
      </c>
    </row>
    <row r="4429" spans="1:20" ht="27" customHeight="1" x14ac:dyDescent="0.25">
      <c r="A4429" s="8" t="s">
        <v>8836</v>
      </c>
      <c r="B4429" s="9"/>
      <c r="C4429" s="9"/>
      <c r="D4429" s="8"/>
      <c r="E4429" s="8"/>
      <c r="F4429" s="8"/>
      <c r="G4429" s="10"/>
      <c r="H4429" s="8" t="s">
        <v>9201</v>
      </c>
      <c r="I4429" s="10" t="s">
        <v>9202</v>
      </c>
      <c r="J4429" s="11" t="s">
        <v>33</v>
      </c>
      <c r="K4429" s="18">
        <v>239500</v>
      </c>
      <c r="L4429" s="12">
        <f t="shared" si="378"/>
        <v>299400</v>
      </c>
      <c r="M4429" s="8">
        <v>1</v>
      </c>
      <c r="N4429" s="8" t="s">
        <v>27</v>
      </c>
      <c r="O4429" s="13" t="s">
        <v>588</v>
      </c>
      <c r="P4429" s="14">
        <v>0</v>
      </c>
      <c r="Q4429" s="15">
        <v>0.2</v>
      </c>
      <c r="R4429" s="16" t="str">
        <f t="shared" si="375"/>
        <v>TECNOLITE</v>
      </c>
      <c r="S4429" s="17"/>
      <c r="T4429" s="10"/>
    </row>
    <row r="4430" spans="1:20" ht="27" customHeight="1" x14ac:dyDescent="0.25">
      <c r="A4430" s="8" t="s">
        <v>8836</v>
      </c>
      <c r="B4430" s="9"/>
      <c r="C4430" s="9"/>
      <c r="D4430" s="8"/>
      <c r="E4430" s="8"/>
      <c r="F4430" s="8"/>
      <c r="G4430" s="10"/>
      <c r="H4430" s="8" t="s">
        <v>9203</v>
      </c>
      <c r="I4430" s="10" t="s">
        <v>9204</v>
      </c>
      <c r="J4430" s="11" t="s">
        <v>33</v>
      </c>
      <c r="K4430" s="18">
        <v>33000</v>
      </c>
      <c r="L4430" s="12">
        <f t="shared" si="378"/>
        <v>41300</v>
      </c>
      <c r="M4430" s="8">
        <v>1</v>
      </c>
      <c r="N4430" s="8" t="s">
        <v>27</v>
      </c>
      <c r="O4430" s="13" t="s">
        <v>588</v>
      </c>
      <c r="P4430" s="14">
        <v>0</v>
      </c>
      <c r="Q4430" s="15">
        <v>0.2</v>
      </c>
      <c r="R4430" s="16" t="str">
        <f t="shared" si="375"/>
        <v>TECNOLITE</v>
      </c>
      <c r="S4430" s="17"/>
      <c r="T4430" s="10"/>
    </row>
    <row r="4431" spans="1:20" ht="27" customHeight="1" x14ac:dyDescent="0.25">
      <c r="A4431" s="8" t="s">
        <v>9205</v>
      </c>
      <c r="B4431" s="9"/>
      <c r="C4431" s="9"/>
      <c r="D4431" s="8"/>
      <c r="E4431" s="8"/>
      <c r="F4431" s="8" t="s">
        <v>22</v>
      </c>
      <c r="G4431" s="10" t="s">
        <v>9206</v>
      </c>
      <c r="H4431" s="8" t="s">
        <v>9207</v>
      </c>
      <c r="I4431" s="10" t="s">
        <v>9206</v>
      </c>
      <c r="J4431" s="11" t="s">
        <v>33</v>
      </c>
      <c r="K4431" s="18">
        <v>38000</v>
      </c>
      <c r="L4431" s="12">
        <f t="shared" si="378"/>
        <v>63400</v>
      </c>
      <c r="M4431" s="8">
        <v>1</v>
      </c>
      <c r="N4431" s="8" t="s">
        <v>27</v>
      </c>
      <c r="O4431" s="13"/>
      <c r="P4431" s="14">
        <v>0.2</v>
      </c>
      <c r="Q4431" s="15">
        <v>0.4</v>
      </c>
      <c r="R4431" s="16" t="str">
        <f t="shared" si="375"/>
        <v>TELEMECHANIC</v>
      </c>
      <c r="S4431" s="17"/>
      <c r="T4431" s="10" t="str">
        <f>G4431</f>
        <v>BREAKER ENCHUFABLE DE 3X63A</v>
      </c>
    </row>
    <row r="4432" spans="1:20" ht="27" customHeight="1" x14ac:dyDescent="0.25">
      <c r="A4432" s="8" t="s">
        <v>9208</v>
      </c>
      <c r="B4432" s="9"/>
      <c r="C4432" s="9"/>
      <c r="D4432" s="8"/>
      <c r="E4432" s="8"/>
      <c r="F4432" s="8" t="s">
        <v>22</v>
      </c>
      <c r="G4432" s="10" t="s">
        <v>9209</v>
      </c>
      <c r="H4432" s="8" t="s">
        <v>9210</v>
      </c>
      <c r="I4432" s="10" t="s">
        <v>9209</v>
      </c>
      <c r="J4432" s="11" t="s">
        <v>33</v>
      </c>
      <c r="K4432" s="18">
        <v>90000</v>
      </c>
      <c r="L4432" s="12">
        <f t="shared" si="378"/>
        <v>128600</v>
      </c>
      <c r="M4432" s="8">
        <v>1</v>
      </c>
      <c r="N4432" s="8" t="s">
        <v>27</v>
      </c>
      <c r="O4432" s="13"/>
      <c r="P4432" s="14">
        <v>0.2</v>
      </c>
      <c r="Q4432" s="15">
        <v>0.3</v>
      </c>
      <c r="R4432" s="16" t="str">
        <f t="shared" si="375"/>
        <v>TENDA</v>
      </c>
      <c r="S4432" s="17"/>
      <c r="T4432" s="10" t="str">
        <f>G4432</f>
        <v>ROUTER INALÁMBRICO</v>
      </c>
    </row>
    <row r="4433" spans="1:20" ht="27" customHeight="1" x14ac:dyDescent="0.25">
      <c r="A4433" s="8" t="s">
        <v>9208</v>
      </c>
      <c r="B4433" s="9"/>
      <c r="C4433" s="9"/>
      <c r="D4433" s="8"/>
      <c r="E4433" s="8"/>
      <c r="F4433" s="8" t="s">
        <v>22</v>
      </c>
      <c r="G4433" s="10" t="s">
        <v>9211</v>
      </c>
      <c r="H4433" s="8" t="s">
        <v>9212</v>
      </c>
      <c r="I4433" s="10" t="s">
        <v>9211</v>
      </c>
      <c r="J4433" s="11" t="s">
        <v>33</v>
      </c>
      <c r="K4433" s="18">
        <v>40500</v>
      </c>
      <c r="L4433" s="12">
        <f t="shared" si="378"/>
        <v>67500</v>
      </c>
      <c r="M4433" s="8">
        <v>1</v>
      </c>
      <c r="N4433" s="8" t="s">
        <v>27</v>
      </c>
      <c r="O4433" s="13"/>
      <c r="P4433" s="14">
        <v>0.2</v>
      </c>
      <c r="Q4433" s="15">
        <v>0.4</v>
      </c>
      <c r="R4433" s="16" t="str">
        <f t="shared" si="375"/>
        <v>TENDA</v>
      </c>
      <c r="S4433" s="17"/>
      <c r="T4433" s="10" t="str">
        <f>G4433</f>
        <v>SWITCH DE 8 PUERTOS 10/100</v>
      </c>
    </row>
    <row r="4434" spans="1:20" ht="27" customHeight="1" x14ac:dyDescent="0.25">
      <c r="A4434" s="8" t="s">
        <v>9208</v>
      </c>
      <c r="B4434" s="9"/>
      <c r="C4434" s="9"/>
      <c r="D4434" s="8"/>
      <c r="E4434" s="8"/>
      <c r="F4434" s="8" t="s">
        <v>22</v>
      </c>
      <c r="G4434" s="10" t="s">
        <v>9213</v>
      </c>
      <c r="H4434" s="8" t="s">
        <v>9214</v>
      </c>
      <c r="I4434" s="10" t="s">
        <v>9213</v>
      </c>
      <c r="J4434" s="11" t="s">
        <v>33</v>
      </c>
      <c r="K4434" s="18">
        <v>950000</v>
      </c>
      <c r="L4434" s="12">
        <f t="shared" si="378"/>
        <v>1187500</v>
      </c>
      <c r="M4434" s="8">
        <v>1</v>
      </c>
      <c r="N4434" s="8" t="s">
        <v>27</v>
      </c>
      <c r="O4434" s="13"/>
      <c r="P4434" s="14">
        <v>0.2</v>
      </c>
      <c r="Q4434" s="15">
        <v>0.2</v>
      </c>
      <c r="R4434" s="16" t="str">
        <f t="shared" si="375"/>
        <v>TENDA</v>
      </c>
      <c r="S4434" s="17"/>
      <c r="T4434" s="10" t="str">
        <f>G4434</f>
        <v>SWITCH POE GIGA ETHERNET DE 24 PUERTOS, 250 VATIOS.</v>
      </c>
    </row>
    <row r="4435" spans="1:20" ht="27" customHeight="1" x14ac:dyDescent="0.25">
      <c r="A4435" s="8" t="s">
        <v>9208</v>
      </c>
      <c r="B4435" s="9"/>
      <c r="C4435" s="9"/>
      <c r="D4435" s="8" t="s">
        <v>45</v>
      </c>
      <c r="E4435" s="8"/>
      <c r="F4435" s="8" t="s">
        <v>22</v>
      </c>
      <c r="G4435" s="10" t="s">
        <v>9215</v>
      </c>
      <c r="H4435" s="8" t="s">
        <v>9216</v>
      </c>
      <c r="I4435" s="10" t="s">
        <v>9215</v>
      </c>
      <c r="J4435" s="11" t="s">
        <v>33</v>
      </c>
      <c r="K4435" s="18">
        <v>306723</v>
      </c>
      <c r="L4435" s="12">
        <f t="shared" si="378"/>
        <v>438200</v>
      </c>
      <c r="M4435" s="8">
        <v>1</v>
      </c>
      <c r="N4435" s="8" t="s">
        <v>27</v>
      </c>
      <c r="O4435" s="13"/>
      <c r="P4435" s="14">
        <v>0</v>
      </c>
      <c r="Q4435" s="15">
        <v>0.3</v>
      </c>
      <c r="R4435" s="16" t="str">
        <f t="shared" si="375"/>
        <v>TENDA</v>
      </c>
      <c r="S4435" s="17"/>
      <c r="T4435" s="10" t="str">
        <f>G4435</f>
        <v>SWITCH DE DATOS 10/100/1000 DE 16 PUERTOS PARA MONTAJE EN RACK</v>
      </c>
    </row>
    <row r="4436" spans="1:20" ht="27" customHeight="1" x14ac:dyDescent="0.25">
      <c r="A4436" s="8" t="s">
        <v>9208</v>
      </c>
      <c r="B4436" s="9"/>
      <c r="C4436" s="9"/>
      <c r="D4436" s="8"/>
      <c r="E4436" s="8"/>
      <c r="F4436" s="8"/>
      <c r="G4436" s="10"/>
      <c r="H4436" s="8" t="s">
        <v>9217</v>
      </c>
      <c r="I4436" s="10" t="s">
        <v>9218</v>
      </c>
      <c r="J4436" s="11" t="s">
        <v>33</v>
      </c>
      <c r="K4436" s="18">
        <v>270588</v>
      </c>
      <c r="L4436" s="12">
        <f>ROUNDUP(K4436*(1+P4436)/(1-Q4436),0)</f>
        <v>386555</v>
      </c>
      <c r="M4436" s="8">
        <v>1</v>
      </c>
      <c r="N4436" s="8" t="s">
        <v>27</v>
      </c>
      <c r="O4436" s="13"/>
      <c r="P4436" s="14">
        <v>0</v>
      </c>
      <c r="Q4436" s="15">
        <v>0.3</v>
      </c>
      <c r="R4436" s="16" t="str">
        <f t="shared" si="375"/>
        <v>TENDA</v>
      </c>
      <c r="S4436" s="17"/>
      <c r="T4436" s="10"/>
    </row>
    <row r="4437" spans="1:20" ht="27" customHeight="1" x14ac:dyDescent="0.25">
      <c r="A4437" s="8" t="s">
        <v>9208</v>
      </c>
      <c r="B4437" s="9"/>
      <c r="C4437" s="9"/>
      <c r="D4437" s="8"/>
      <c r="E4437" s="8"/>
      <c r="F4437" s="8"/>
      <c r="G4437" s="10"/>
      <c r="H4437" s="8" t="s">
        <v>9219</v>
      </c>
      <c r="I4437" s="10" t="s">
        <v>9220</v>
      </c>
      <c r="J4437" s="11" t="s">
        <v>33</v>
      </c>
      <c r="K4437" s="18">
        <v>374000</v>
      </c>
      <c r="L4437" s="12">
        <f>ROUNDUP(K4437*(1+P4437)/(1-Q4437),0)</f>
        <v>467500</v>
      </c>
      <c r="M4437" s="8">
        <v>1</v>
      </c>
      <c r="N4437" s="8" t="s">
        <v>27</v>
      </c>
      <c r="O4437" s="13"/>
      <c r="P4437" s="14">
        <v>0</v>
      </c>
      <c r="Q4437" s="15">
        <v>0.2</v>
      </c>
      <c r="R4437" s="16" t="str">
        <f t="shared" si="375"/>
        <v>TENDA</v>
      </c>
      <c r="S4437" s="17"/>
      <c r="T4437" s="10"/>
    </row>
    <row r="4438" spans="1:20" ht="27" customHeight="1" x14ac:dyDescent="0.25">
      <c r="A4438" s="8" t="s">
        <v>9208</v>
      </c>
      <c r="B4438" s="9"/>
      <c r="C4438" s="9"/>
      <c r="D4438" s="8"/>
      <c r="E4438" s="8"/>
      <c r="F4438" s="8"/>
      <c r="G4438" s="10"/>
      <c r="H4438" s="8" t="s">
        <v>9221</v>
      </c>
      <c r="I4438" s="10" t="s">
        <v>9222</v>
      </c>
      <c r="J4438" s="11" t="s">
        <v>33</v>
      </c>
      <c r="K4438" s="18">
        <v>100000</v>
      </c>
      <c r="L4438" s="12">
        <f t="shared" ref="L4438:L4446" si="379">IF(J4438="P",ROUNDUP(K4438/(1-Q4438),-2),K4438*(1+P4438)/(1-Q4438))</f>
        <v>142900</v>
      </c>
      <c r="M4438" s="8">
        <v>1</v>
      </c>
      <c r="N4438" s="8" t="s">
        <v>27</v>
      </c>
      <c r="O4438" s="13">
        <f>F4438</f>
        <v>0</v>
      </c>
      <c r="P4438" s="14">
        <v>0</v>
      </c>
      <c r="Q4438" s="15">
        <v>0.3</v>
      </c>
      <c r="R4438" s="16" t="str">
        <f t="shared" si="375"/>
        <v>TENDA</v>
      </c>
      <c r="S4438" s="17"/>
      <c r="T4438" s="10"/>
    </row>
    <row r="4439" spans="1:20" ht="27" customHeight="1" x14ac:dyDescent="0.25">
      <c r="A4439" s="8" t="s">
        <v>9223</v>
      </c>
      <c r="B4439" s="9"/>
      <c r="C4439" s="9"/>
      <c r="D4439" s="8"/>
      <c r="E4439" s="8"/>
      <c r="F4439" s="8" t="s">
        <v>22</v>
      </c>
      <c r="G4439" s="10" t="s">
        <v>737</v>
      </c>
      <c r="H4439" s="8" t="s">
        <v>9224</v>
      </c>
      <c r="I4439" s="10" t="s">
        <v>737</v>
      </c>
      <c r="J4439" s="11" t="s">
        <v>33</v>
      </c>
      <c r="K4439" s="18">
        <v>1000000</v>
      </c>
      <c r="L4439" s="12">
        <f t="shared" si="379"/>
        <v>1666700</v>
      </c>
      <c r="M4439" s="8">
        <v>1</v>
      </c>
      <c r="N4439" s="8" t="s">
        <v>27</v>
      </c>
      <c r="O4439" s="13"/>
      <c r="P4439" s="14">
        <v>0.2</v>
      </c>
      <c r="Q4439" s="15">
        <v>0.4</v>
      </c>
      <c r="R4439" s="16" t="str">
        <f t="shared" si="375"/>
        <v>TENSOFLEX</v>
      </c>
      <c r="S4439" s="17"/>
      <c r="T4439" s="10" t="str">
        <f t="shared" ref="T4439:T4444" si="380">G4439</f>
        <v>SECCIÓN DE BARRISOL RECTANGULAR DE 9.65Mx3M. MIRAR ESPECIFICACIÓN TÉCNICA.</v>
      </c>
    </row>
    <row r="4440" spans="1:20" ht="27" customHeight="1" x14ac:dyDescent="0.25">
      <c r="A4440" s="8" t="s">
        <v>9223</v>
      </c>
      <c r="B4440" s="9"/>
      <c r="C4440" s="9"/>
      <c r="D4440" s="8"/>
      <c r="E4440" s="8"/>
      <c r="F4440" s="8" t="s">
        <v>22</v>
      </c>
      <c r="G4440" s="10" t="s">
        <v>739</v>
      </c>
      <c r="H4440" s="8" t="s">
        <v>9225</v>
      </c>
      <c r="I4440" s="10" t="s">
        <v>739</v>
      </c>
      <c r="J4440" s="11" t="s">
        <v>33</v>
      </c>
      <c r="K4440" s="18">
        <v>18000</v>
      </c>
      <c r="L4440" s="12">
        <f t="shared" si="379"/>
        <v>30000</v>
      </c>
      <c r="M4440" s="8">
        <v>1</v>
      </c>
      <c r="N4440" s="8" t="s">
        <v>27</v>
      </c>
      <c r="O4440" s="13"/>
      <c r="P4440" s="14">
        <v>0.2</v>
      </c>
      <c r="Q4440" s="15">
        <v>0.4</v>
      </c>
      <c r="R4440" s="16" t="str">
        <f t="shared" si="375"/>
        <v>TENSOFLEX</v>
      </c>
      <c r="S4440" s="17"/>
      <c r="T4440" s="10" t="str">
        <f t="shared" si="380"/>
        <v>METRO LINEAL DE SOPORTE PARA BARRISOL</v>
      </c>
    </row>
    <row r="4441" spans="1:20" ht="27" customHeight="1" x14ac:dyDescent="0.25">
      <c r="A4441" s="8" t="s">
        <v>9223</v>
      </c>
      <c r="B4441" s="9"/>
      <c r="C4441" s="9"/>
      <c r="D4441" s="8"/>
      <c r="E4441" s="8"/>
      <c r="F4441" s="8" t="s">
        <v>22</v>
      </c>
      <c r="G4441" s="10" t="s">
        <v>9226</v>
      </c>
      <c r="H4441" s="8" t="s">
        <v>9227</v>
      </c>
      <c r="I4441" s="10" t="s">
        <v>9226</v>
      </c>
      <c r="J4441" s="11" t="s">
        <v>33</v>
      </c>
      <c r="K4441" s="18">
        <f>(1620000-21*20000)/14</f>
        <v>85714.28571428571</v>
      </c>
      <c r="L4441" s="12">
        <f t="shared" si="379"/>
        <v>142900</v>
      </c>
      <c r="M4441" s="8" t="s">
        <v>2520</v>
      </c>
      <c r="N4441" s="8" t="s">
        <v>4588</v>
      </c>
      <c r="O4441" s="13"/>
      <c r="P4441" s="14">
        <v>0</v>
      </c>
      <c r="Q4441" s="15">
        <v>0.4</v>
      </c>
      <c r="R4441" s="16" t="str">
        <f t="shared" si="375"/>
        <v>TENSOFLEX</v>
      </c>
      <c r="S4441" s="17"/>
      <c r="T4441" s="10" t="str">
        <f t="shared" si="380"/>
        <v>METRO CUADRADO DE TENSOFLEX</v>
      </c>
    </row>
    <row r="4442" spans="1:20" ht="27" customHeight="1" x14ac:dyDescent="0.25">
      <c r="A4442" s="8" t="s">
        <v>9223</v>
      </c>
      <c r="B4442" s="9"/>
      <c r="C4442" s="9"/>
      <c r="D4442" s="8"/>
      <c r="E4442" s="8"/>
      <c r="F4442" s="8" t="s">
        <v>22</v>
      </c>
      <c r="G4442" s="10" t="s">
        <v>9226</v>
      </c>
      <c r="H4442" s="8" t="s">
        <v>9228</v>
      </c>
      <c r="I4442" s="10" t="s">
        <v>9226</v>
      </c>
      <c r="J4442" s="11" t="s">
        <v>33</v>
      </c>
      <c r="K4442" s="18">
        <f>(1620000-21*20000)/14</f>
        <v>85714.28571428571</v>
      </c>
      <c r="L4442" s="12">
        <f t="shared" si="379"/>
        <v>142900</v>
      </c>
      <c r="M4442" s="8" t="s">
        <v>2520</v>
      </c>
      <c r="N4442" s="8" t="s">
        <v>4588</v>
      </c>
      <c r="O4442" s="13"/>
      <c r="P4442" s="14">
        <v>0</v>
      </c>
      <c r="Q4442" s="15">
        <v>0.4</v>
      </c>
      <c r="R4442" s="16" t="str">
        <f t="shared" si="375"/>
        <v>TENSOFLEX</v>
      </c>
      <c r="S4442" s="17"/>
      <c r="T4442" s="10" t="str">
        <f t="shared" si="380"/>
        <v>METRO CUADRADO DE TENSOFLEX</v>
      </c>
    </row>
    <row r="4443" spans="1:20" ht="27" customHeight="1" x14ac:dyDescent="0.25">
      <c r="A4443" s="8" t="s">
        <v>9223</v>
      </c>
      <c r="B4443" s="9"/>
      <c r="C4443" s="9"/>
      <c r="D4443" s="8"/>
      <c r="E4443" s="8"/>
      <c r="F4443" s="8" t="s">
        <v>22</v>
      </c>
      <c r="G4443" s="10" t="s">
        <v>9229</v>
      </c>
      <c r="H4443" s="8" t="s">
        <v>9230</v>
      </c>
      <c r="I4443" s="10" t="s">
        <v>9229</v>
      </c>
      <c r="J4443" s="11" t="s">
        <v>33</v>
      </c>
      <c r="K4443" s="18">
        <v>1650000</v>
      </c>
      <c r="L4443" s="12">
        <f t="shared" si="379"/>
        <v>2062500</v>
      </c>
      <c r="M4443" s="8">
        <v>1</v>
      </c>
      <c r="N4443" s="8" t="s">
        <v>27</v>
      </c>
      <c r="O4443" s="13" t="s">
        <v>588</v>
      </c>
      <c r="P4443" s="14">
        <v>0</v>
      </c>
      <c r="Q4443" s="15">
        <v>0.2</v>
      </c>
      <c r="R4443" s="16" t="str">
        <f t="shared" si="375"/>
        <v>TENSOFLEX</v>
      </c>
      <c r="S4443" s="17"/>
      <c r="T4443" s="10" t="str">
        <f t="shared" si="380"/>
        <v>TELA DE TENSOFLEX INSTALADA DE TAMAÑO APROXIMADO DE 2X4 METROS.</v>
      </c>
    </row>
    <row r="4444" spans="1:20" ht="27" customHeight="1" x14ac:dyDescent="0.25">
      <c r="A4444" s="8" t="s">
        <v>9223</v>
      </c>
      <c r="B4444" s="9"/>
      <c r="C4444" s="9"/>
      <c r="D4444" s="8"/>
      <c r="E4444" s="8"/>
      <c r="F4444" s="8" t="s">
        <v>22</v>
      </c>
      <c r="G4444" s="10" t="s">
        <v>9231</v>
      </c>
      <c r="H4444" s="8" t="s">
        <v>9228</v>
      </c>
      <c r="I4444" s="10" t="s">
        <v>9231</v>
      </c>
      <c r="J4444" s="11" t="s">
        <v>33</v>
      </c>
      <c r="K4444" s="18">
        <v>2000000</v>
      </c>
      <c r="L4444" s="12">
        <f t="shared" si="379"/>
        <v>2500000</v>
      </c>
      <c r="M4444" s="8">
        <v>1</v>
      </c>
      <c r="N4444" s="8" t="s">
        <v>27</v>
      </c>
      <c r="O4444" s="13" t="s">
        <v>588</v>
      </c>
      <c r="P4444" s="14">
        <v>0</v>
      </c>
      <c r="Q4444" s="15">
        <v>0.2</v>
      </c>
      <c r="R4444" s="16" t="str">
        <f t="shared" si="375"/>
        <v>TENSOFLEX</v>
      </c>
      <c r="S4444" s="17"/>
      <c r="T4444" s="10" t="str">
        <f t="shared" si="380"/>
        <v>TELA DE TENSOFLEX INSTALADA DE TAMAÑO APROXIMADO DE 6.02 X 2.05 METROS.</v>
      </c>
    </row>
    <row r="4445" spans="1:20" ht="27" customHeight="1" x14ac:dyDescent="0.25">
      <c r="A4445" s="8" t="s">
        <v>9223</v>
      </c>
      <c r="B4445" s="9"/>
      <c r="C4445" s="9"/>
      <c r="D4445" s="8"/>
      <c r="E4445" s="8"/>
      <c r="F4445" s="8"/>
      <c r="G4445" s="10"/>
      <c r="H4445" s="8" t="s">
        <v>9232</v>
      </c>
      <c r="I4445" s="10" t="s">
        <v>9233</v>
      </c>
      <c r="J4445" s="11" t="s">
        <v>33</v>
      </c>
      <c r="K4445" s="18">
        <v>605000</v>
      </c>
      <c r="L4445" s="12">
        <f t="shared" si="379"/>
        <v>864300</v>
      </c>
      <c r="M4445" s="8">
        <v>1</v>
      </c>
      <c r="N4445" s="8" t="s">
        <v>27</v>
      </c>
      <c r="O4445" s="13">
        <f>F4445</f>
        <v>0</v>
      </c>
      <c r="P4445" s="14">
        <v>0</v>
      </c>
      <c r="Q4445" s="15">
        <v>0.3</v>
      </c>
      <c r="R4445" s="16" t="str">
        <f t="shared" si="375"/>
        <v>TENSOFLEX</v>
      </c>
      <c r="S4445" s="17"/>
      <c r="T4445" s="10"/>
    </row>
    <row r="4446" spans="1:20" ht="27" customHeight="1" x14ac:dyDescent="0.25">
      <c r="A4446" s="8" t="s">
        <v>9223</v>
      </c>
      <c r="B4446" s="9"/>
      <c r="C4446" s="9"/>
      <c r="D4446" s="8"/>
      <c r="E4446" s="8"/>
      <c r="F4446" s="8"/>
      <c r="G4446" s="10"/>
      <c r="H4446" s="8" t="s">
        <v>9234</v>
      </c>
      <c r="I4446" s="10" t="s">
        <v>9235</v>
      </c>
      <c r="J4446" s="11" t="s">
        <v>33</v>
      </c>
      <c r="K4446" s="18">
        <v>1480000</v>
      </c>
      <c r="L4446" s="12">
        <f t="shared" si="379"/>
        <v>2114300</v>
      </c>
      <c r="M4446" s="8">
        <v>1</v>
      </c>
      <c r="N4446" s="8" t="s">
        <v>27</v>
      </c>
      <c r="O4446" s="13" t="s">
        <v>588</v>
      </c>
      <c r="P4446" s="14">
        <v>0</v>
      </c>
      <c r="Q4446" s="15">
        <v>0.3</v>
      </c>
      <c r="R4446" s="16" t="str">
        <f t="shared" si="375"/>
        <v>TENSOFLEX</v>
      </c>
      <c r="S4446" s="17"/>
      <c r="T4446" s="10"/>
    </row>
    <row r="4447" spans="1:20" ht="27" customHeight="1" x14ac:dyDescent="0.25">
      <c r="A4447" s="8" t="s">
        <v>9236</v>
      </c>
      <c r="B4447" s="9"/>
      <c r="C4447" s="9"/>
      <c r="D4447" s="8" t="s">
        <v>45</v>
      </c>
      <c r="E4447" s="8"/>
      <c r="F4447" s="8" t="s">
        <v>22</v>
      </c>
      <c r="G4447" s="10" t="s">
        <v>9237</v>
      </c>
      <c r="H4447" s="8" t="s">
        <v>9238</v>
      </c>
      <c r="I4447" s="10" t="s">
        <v>9237</v>
      </c>
      <c r="J4447" s="11" t="s">
        <v>26</v>
      </c>
      <c r="K4447" s="18">
        <v>35</v>
      </c>
      <c r="L4447" s="12">
        <f>ROUNDUP(K4447*(1+P4447)/(1-Q4447),0)</f>
        <v>60</v>
      </c>
      <c r="M4447" s="8">
        <v>1</v>
      </c>
      <c r="N4447" s="8" t="s">
        <v>27</v>
      </c>
      <c r="O4447" s="13"/>
      <c r="P4447" s="14">
        <v>0.2</v>
      </c>
      <c r="Q4447" s="15">
        <v>0.3</v>
      </c>
      <c r="R4447" s="16" t="str">
        <f t="shared" si="375"/>
        <v>TERNDNET</v>
      </c>
      <c r="S4447" s="17"/>
      <c r="T4447" s="10" t="str">
        <f>G4447</f>
        <v>MODULO PARA TRANSMISIÓN SPF CON FIBRA MULTIMODO</v>
      </c>
    </row>
    <row r="4448" spans="1:20" ht="27" customHeight="1" x14ac:dyDescent="0.25">
      <c r="A4448" s="8" t="s">
        <v>9236</v>
      </c>
      <c r="B4448" s="9"/>
      <c r="C4448" s="9"/>
      <c r="D4448" s="8" t="s">
        <v>45</v>
      </c>
      <c r="E4448" s="8"/>
      <c r="F4448" s="8" t="s">
        <v>22</v>
      </c>
      <c r="G4448" s="10" t="s">
        <v>9239</v>
      </c>
      <c r="H4448" s="8" t="s">
        <v>9240</v>
      </c>
      <c r="I4448" s="10" t="s">
        <v>9239</v>
      </c>
      <c r="J4448" s="11" t="s">
        <v>26</v>
      </c>
      <c r="K4448" s="18">
        <v>33</v>
      </c>
      <c r="L4448" s="12">
        <f>ROUNDUP(K4448*(1+P4448)/(1-Q4448),0)</f>
        <v>57</v>
      </c>
      <c r="M4448" s="8">
        <v>1</v>
      </c>
      <c r="N4448" s="8" t="s">
        <v>27</v>
      </c>
      <c r="O4448" s="13"/>
      <c r="P4448" s="14">
        <v>0.2</v>
      </c>
      <c r="Q4448" s="15">
        <v>0.3</v>
      </c>
      <c r="R4448" s="16" t="str">
        <f t="shared" si="375"/>
        <v>TERNDNET</v>
      </c>
      <c r="S4448" s="17"/>
      <c r="T4448" s="10" t="str">
        <f>G4448</f>
        <v>TRANSMISOR ACTIVO POR FIBRA</v>
      </c>
    </row>
    <row r="4449" spans="1:20" ht="27" customHeight="1" x14ac:dyDescent="0.25">
      <c r="A4449" s="8" t="s">
        <v>9236</v>
      </c>
      <c r="B4449" s="9"/>
      <c r="C4449" s="9"/>
      <c r="D4449" s="8" t="s">
        <v>45</v>
      </c>
      <c r="E4449" s="8"/>
      <c r="F4449" s="8" t="s">
        <v>22</v>
      </c>
      <c r="G4449" s="10" t="s">
        <v>9241</v>
      </c>
      <c r="H4449" s="8" t="s">
        <v>9242</v>
      </c>
      <c r="I4449" s="10" t="s">
        <v>9241</v>
      </c>
      <c r="J4449" s="11" t="s">
        <v>26</v>
      </c>
      <c r="K4449" s="18">
        <v>255</v>
      </c>
      <c r="L4449" s="12">
        <f>ROUNDUP(K4449*(1+P4449)/(1-Q4449),0)</f>
        <v>438</v>
      </c>
      <c r="M4449" s="8">
        <v>1</v>
      </c>
      <c r="N4449" s="8" t="s">
        <v>27</v>
      </c>
      <c r="O4449" s="13"/>
      <c r="P4449" s="14">
        <v>0.2</v>
      </c>
      <c r="Q4449" s="15">
        <v>0.3</v>
      </c>
      <c r="R4449" s="16" t="str">
        <f t="shared" si="375"/>
        <v>TERNDNET</v>
      </c>
      <c r="S4449" s="17"/>
      <c r="T4449" s="10" t="str">
        <f>G4449</f>
        <v>CHASIS PARA ALOJAMIENTO DE TARJETAS</v>
      </c>
    </row>
    <row r="4450" spans="1:20" ht="27" customHeight="1" x14ac:dyDescent="0.25">
      <c r="A4450" s="8" t="s">
        <v>9243</v>
      </c>
      <c r="B4450" s="9"/>
      <c r="C4450" s="9"/>
      <c r="D4450" s="8"/>
      <c r="E4450" s="8"/>
      <c r="F4450" s="8" t="s">
        <v>22</v>
      </c>
      <c r="G4450" s="10" t="s">
        <v>9244</v>
      </c>
      <c r="H4450" s="8" t="s">
        <v>9245</v>
      </c>
      <c r="I4450" s="10" t="s">
        <v>9244</v>
      </c>
      <c r="J4450" s="11" t="s">
        <v>33</v>
      </c>
      <c r="K4450" s="18">
        <v>49000</v>
      </c>
      <c r="L4450" s="12">
        <f t="shared" ref="L4450:L4464" si="381">IF(J4450="P",ROUNDUP(K4450/(1-Q4450),-2),K4450*(1+P4450)/(1-Q4450))</f>
        <v>70000</v>
      </c>
      <c r="M4450" s="8">
        <v>1</v>
      </c>
      <c r="N4450" s="8" t="s">
        <v>27</v>
      </c>
      <c r="O4450" s="13"/>
      <c r="P4450" s="14">
        <v>0.2</v>
      </c>
      <c r="Q4450" s="15">
        <v>0.3</v>
      </c>
      <c r="R4450" s="16" t="str">
        <f t="shared" si="375"/>
        <v>TESA</v>
      </c>
      <c r="S4450" s="17"/>
      <c r="T4450" s="10" t="str">
        <f>G4450</f>
        <v>CINTA DUCTO TIPO INDUSTRIA POR 50 METROS</v>
      </c>
    </row>
    <row r="4451" spans="1:20" ht="27" customHeight="1" x14ac:dyDescent="0.25">
      <c r="A4451" s="8" t="s">
        <v>9246</v>
      </c>
      <c r="B4451" s="9"/>
      <c r="C4451" s="9"/>
      <c r="D4451" s="8"/>
      <c r="E4451" s="8"/>
      <c r="F4451" s="8"/>
      <c r="G4451" s="10"/>
      <c r="H4451" s="8" t="s">
        <v>9247</v>
      </c>
      <c r="I4451" s="10" t="s">
        <v>9248</v>
      </c>
      <c r="J4451" s="11" t="s">
        <v>26</v>
      </c>
      <c r="K4451" s="18">
        <v>3275</v>
      </c>
      <c r="L4451" s="12">
        <f t="shared" si="381"/>
        <v>5458.3333333333339</v>
      </c>
      <c r="M4451" s="8">
        <v>1</v>
      </c>
      <c r="N4451" s="8" t="s">
        <v>27</v>
      </c>
      <c r="O4451" s="13">
        <f>F4451</f>
        <v>0</v>
      </c>
      <c r="P4451" s="14">
        <v>0</v>
      </c>
      <c r="Q4451" s="15">
        <v>0.4</v>
      </c>
      <c r="R4451" s="16" t="str">
        <f t="shared" si="375"/>
        <v>TESIRA</v>
      </c>
      <c r="S4451" s="17"/>
      <c r="T4451" s="10"/>
    </row>
    <row r="4452" spans="1:20" ht="27" customHeight="1" x14ac:dyDescent="0.25">
      <c r="A4452" s="8" t="s">
        <v>9249</v>
      </c>
      <c r="B4452" s="9" t="s">
        <v>1328</v>
      </c>
      <c r="C4452" s="9"/>
      <c r="D4452" s="8" t="s">
        <v>1328</v>
      </c>
      <c r="E4452" s="8"/>
      <c r="F4452" s="8" t="s">
        <v>22</v>
      </c>
      <c r="G4452" s="10" t="s">
        <v>9250</v>
      </c>
      <c r="H4452" s="8" t="s">
        <v>9251</v>
      </c>
      <c r="I4452" s="10" t="s">
        <v>9250</v>
      </c>
      <c r="J4452" s="11" t="s">
        <v>33</v>
      </c>
      <c r="K4452" s="18">
        <v>100000</v>
      </c>
      <c r="L4452" s="12">
        <f t="shared" si="381"/>
        <v>166700</v>
      </c>
      <c r="M4452" s="8">
        <v>1</v>
      </c>
      <c r="N4452" s="8" t="s">
        <v>27</v>
      </c>
      <c r="O4452" s="13"/>
      <c r="P4452" s="14">
        <v>0.2</v>
      </c>
      <c r="Q4452" s="15">
        <v>0.4</v>
      </c>
      <c r="R4452" s="16" t="str">
        <f t="shared" si="375"/>
        <v>THERMALTEK</v>
      </c>
      <c r="S4452" s="17"/>
      <c r="T4452" s="10" t="str">
        <f>G4452</f>
        <v>VENTILADOR ULTRA SILENCIOSO CON ASPA DE 120mm.</v>
      </c>
    </row>
    <row r="4453" spans="1:20" ht="27" customHeight="1" x14ac:dyDescent="0.25">
      <c r="A4453" s="8" t="s">
        <v>9252</v>
      </c>
      <c r="B4453" s="9"/>
      <c r="C4453" s="9"/>
      <c r="D4453" s="8"/>
      <c r="E4453" s="8"/>
      <c r="F4453" s="8"/>
      <c r="G4453" s="10"/>
      <c r="H4453" s="8" t="s">
        <v>9253</v>
      </c>
      <c r="I4453" s="10" t="s">
        <v>9254</v>
      </c>
      <c r="J4453" s="11" t="s">
        <v>33</v>
      </c>
      <c r="K4453" s="18">
        <v>90000</v>
      </c>
      <c r="L4453" s="12">
        <f t="shared" si="381"/>
        <v>150000</v>
      </c>
      <c r="M4453" s="8">
        <v>1</v>
      </c>
      <c r="N4453" s="8" t="s">
        <v>27</v>
      </c>
      <c r="O4453" s="13"/>
      <c r="P4453" s="14">
        <v>0</v>
      </c>
      <c r="Q4453" s="15">
        <v>0.4</v>
      </c>
      <c r="R4453" s="16" t="str">
        <f t="shared" si="375"/>
        <v>TILL</v>
      </c>
      <c r="S4453" s="17"/>
      <c r="T4453" s="10"/>
    </row>
    <row r="4454" spans="1:20" ht="27" customHeight="1" x14ac:dyDescent="0.25">
      <c r="A4454" s="8" t="s">
        <v>9255</v>
      </c>
      <c r="B4454" s="9"/>
      <c r="C4454" s="9"/>
      <c r="D4454" s="8"/>
      <c r="E4454" s="8"/>
      <c r="F4454" s="8" t="s">
        <v>22</v>
      </c>
      <c r="G4454" s="10" t="s">
        <v>9256</v>
      </c>
      <c r="H4454" s="8" t="s">
        <v>9257</v>
      </c>
      <c r="I4454" s="10" t="s">
        <v>9256</v>
      </c>
      <c r="J4454" s="11" t="s">
        <v>33</v>
      </c>
      <c r="K4454" s="18">
        <v>350000</v>
      </c>
      <c r="L4454" s="12">
        <f t="shared" si="381"/>
        <v>583400</v>
      </c>
      <c r="M4454" s="8">
        <v>1</v>
      </c>
      <c r="N4454" s="8" t="s">
        <v>27</v>
      </c>
      <c r="O4454" s="13"/>
      <c r="P4454" s="14">
        <v>0.2</v>
      </c>
      <c r="Q4454" s="15">
        <v>0.4</v>
      </c>
      <c r="R4454" s="16" t="str">
        <f t="shared" si="375"/>
        <v>TOSHIBA</v>
      </c>
      <c r="S4454" s="17"/>
      <c r="T4454" s="10" t="str">
        <f t="shared" ref="T4454:T4465" si="382">G4454</f>
        <v>DISCO DURO DE 3 TERAS</v>
      </c>
    </row>
    <row r="4455" spans="1:20" ht="27" customHeight="1" x14ac:dyDescent="0.25">
      <c r="A4455" s="8" t="s">
        <v>9258</v>
      </c>
      <c r="B4455" s="9" t="s">
        <v>9259</v>
      </c>
      <c r="C4455" s="9"/>
      <c r="D4455" s="8" t="s">
        <v>614</v>
      </c>
      <c r="E4455" s="8">
        <v>1</v>
      </c>
      <c r="F4455" s="8" t="s">
        <v>22</v>
      </c>
      <c r="G4455" s="10" t="s">
        <v>9260</v>
      </c>
      <c r="H4455" s="8" t="s">
        <v>9261</v>
      </c>
      <c r="I4455" s="10" t="s">
        <v>9260</v>
      </c>
      <c r="J4455" s="11" t="s">
        <v>26</v>
      </c>
      <c r="K4455" s="18">
        <v>18.989999999999998</v>
      </c>
      <c r="L4455" s="12">
        <f t="shared" si="381"/>
        <v>32.554285714285712</v>
      </c>
      <c r="M4455" s="8">
        <v>1</v>
      </c>
      <c r="N4455" s="8" t="s">
        <v>27</v>
      </c>
      <c r="O4455" s="13"/>
      <c r="P4455" s="14">
        <v>0.2</v>
      </c>
      <c r="Q4455" s="15">
        <v>0.3</v>
      </c>
      <c r="R4455" s="16" t="str">
        <f t="shared" si="375"/>
        <v>TP_LINK</v>
      </c>
      <c r="S4455" s="17"/>
      <c r="T4455" s="10" t="str">
        <f t="shared" si="382"/>
        <v>ROUTER DOBLE ANTENA DE 300 MBPS, CANAL N, PROTOCOLO 802.11B/G.</v>
      </c>
    </row>
    <row r="4456" spans="1:20" ht="27" customHeight="1" x14ac:dyDescent="0.25">
      <c r="A4456" s="8" t="s">
        <v>9258</v>
      </c>
      <c r="B4456" s="9"/>
      <c r="C4456" s="9"/>
      <c r="D4456" s="8"/>
      <c r="E4456" s="8"/>
      <c r="F4456" s="8" t="s">
        <v>22</v>
      </c>
      <c r="G4456" s="10" t="s">
        <v>9262</v>
      </c>
      <c r="H4456" s="8" t="s">
        <v>9263</v>
      </c>
      <c r="I4456" s="10" t="s">
        <v>9262</v>
      </c>
      <c r="J4456" s="11" t="s">
        <v>33</v>
      </c>
      <c r="K4456" s="18">
        <v>87000</v>
      </c>
      <c r="L4456" s="12">
        <f t="shared" si="381"/>
        <v>124300</v>
      </c>
      <c r="M4456" s="8">
        <v>1</v>
      </c>
      <c r="N4456" s="8" t="s">
        <v>27</v>
      </c>
      <c r="O4456" s="13"/>
      <c r="P4456" s="14">
        <v>0.2</v>
      </c>
      <c r="Q4456" s="15">
        <v>0.3</v>
      </c>
      <c r="R4456" s="16" t="str">
        <f t="shared" si="375"/>
        <v>TP_LINK</v>
      </c>
      <c r="S4456" s="17"/>
      <c r="T4456" s="10" t="str">
        <f t="shared" si="382"/>
        <v xml:space="preserve">FUENTE DE ALIMENTACIÓN POE DE 15.4W, CON VELOCIDAD GIGABIT. </v>
      </c>
    </row>
    <row r="4457" spans="1:20" ht="27" customHeight="1" x14ac:dyDescent="0.25">
      <c r="A4457" s="8" t="s">
        <v>9258</v>
      </c>
      <c r="B4457" s="9"/>
      <c r="C4457" s="9"/>
      <c r="D4457" s="8"/>
      <c r="E4457" s="8"/>
      <c r="F4457" s="8" t="s">
        <v>22</v>
      </c>
      <c r="G4457" s="10" t="s">
        <v>9264</v>
      </c>
      <c r="H4457" s="8" t="s">
        <v>9265</v>
      </c>
      <c r="I4457" s="10" t="s">
        <v>9264</v>
      </c>
      <c r="J4457" s="11" t="s">
        <v>33</v>
      </c>
      <c r="K4457" s="18">
        <v>72000</v>
      </c>
      <c r="L4457" s="12">
        <f t="shared" si="381"/>
        <v>120000</v>
      </c>
      <c r="M4457" s="8">
        <v>1</v>
      </c>
      <c r="N4457" s="8" t="s">
        <v>27</v>
      </c>
      <c r="O4457" s="13"/>
      <c r="P4457" s="14">
        <v>0.2</v>
      </c>
      <c r="Q4457" s="15">
        <v>0.4</v>
      </c>
      <c r="R4457" s="16" t="str">
        <f t="shared" si="375"/>
        <v>TP_LINK</v>
      </c>
      <c r="S4457" s="17"/>
      <c r="T4457" s="10" t="str">
        <f t="shared" si="382"/>
        <v>ROUTER INALÁMBRICO 300MBPS, 4 PUERTOS ETHERNET</v>
      </c>
    </row>
    <row r="4458" spans="1:20" ht="27" customHeight="1" x14ac:dyDescent="0.25">
      <c r="A4458" s="8" t="s">
        <v>9258</v>
      </c>
      <c r="B4458" s="9"/>
      <c r="C4458" s="9"/>
      <c r="D4458" s="8"/>
      <c r="E4458" s="8"/>
      <c r="F4458" s="8" t="s">
        <v>22</v>
      </c>
      <c r="G4458" s="10" t="s">
        <v>9266</v>
      </c>
      <c r="H4458" s="8" t="s">
        <v>9267</v>
      </c>
      <c r="I4458" s="10" t="s">
        <v>9266</v>
      </c>
      <c r="J4458" s="11" t="s">
        <v>33</v>
      </c>
      <c r="K4458" s="18">
        <v>66000</v>
      </c>
      <c r="L4458" s="12">
        <f t="shared" si="381"/>
        <v>94300</v>
      </c>
      <c r="M4458" s="8">
        <v>1</v>
      </c>
      <c r="N4458" s="8" t="s">
        <v>27</v>
      </c>
      <c r="O4458" s="13"/>
      <c r="P4458" s="14">
        <v>0.2</v>
      </c>
      <c r="Q4458" s="15">
        <v>0.3</v>
      </c>
      <c r="R4458" s="16" t="str">
        <f t="shared" si="375"/>
        <v>TP_LINK</v>
      </c>
      <c r="S4458" s="17"/>
      <c r="T4458" s="10" t="str">
        <f t="shared" si="382"/>
        <v>ROUTER INALÁMBRICO DE 2 ANTENAS</v>
      </c>
    </row>
    <row r="4459" spans="1:20" ht="27" customHeight="1" x14ac:dyDescent="0.25">
      <c r="A4459" s="8" t="s">
        <v>9258</v>
      </c>
      <c r="B4459" s="9"/>
      <c r="C4459" s="9"/>
      <c r="D4459" s="8"/>
      <c r="E4459" s="8"/>
      <c r="F4459" s="8" t="s">
        <v>22</v>
      </c>
      <c r="G4459" s="10" t="s">
        <v>9268</v>
      </c>
      <c r="H4459" s="8" t="s">
        <v>9269</v>
      </c>
      <c r="I4459" s="10" t="s">
        <v>9268</v>
      </c>
      <c r="J4459" s="11" t="s">
        <v>33</v>
      </c>
      <c r="K4459" s="18">
        <v>100000</v>
      </c>
      <c r="L4459" s="12">
        <f t="shared" si="381"/>
        <v>142900</v>
      </c>
      <c r="M4459" s="8">
        <v>1</v>
      </c>
      <c r="N4459" s="8" t="s">
        <v>27</v>
      </c>
      <c r="O4459" s="13"/>
      <c r="P4459" s="14">
        <v>0.2</v>
      </c>
      <c r="Q4459" s="15">
        <v>0.3</v>
      </c>
      <c r="R4459" s="16" t="str">
        <f t="shared" si="375"/>
        <v>TP_LINK</v>
      </c>
      <c r="S4459" s="17"/>
      <c r="T4459" s="10" t="str">
        <f t="shared" si="382"/>
        <v>ROUTER INALÁMBRICO DE 3 ANTENAS</v>
      </c>
    </row>
    <row r="4460" spans="1:20" ht="27" customHeight="1" x14ac:dyDescent="0.25">
      <c r="A4460" s="8" t="s">
        <v>9258</v>
      </c>
      <c r="B4460" s="9"/>
      <c r="C4460" s="9"/>
      <c r="D4460" s="8"/>
      <c r="E4460" s="8"/>
      <c r="F4460" s="8" t="s">
        <v>22</v>
      </c>
      <c r="G4460" s="10" t="s">
        <v>9270</v>
      </c>
      <c r="H4460" s="8" t="s">
        <v>9271</v>
      </c>
      <c r="I4460" s="10" t="s">
        <v>9270</v>
      </c>
      <c r="J4460" s="11" t="s">
        <v>33</v>
      </c>
      <c r="K4460" s="18">
        <v>72000</v>
      </c>
      <c r="L4460" s="12">
        <f t="shared" si="381"/>
        <v>102900</v>
      </c>
      <c r="M4460" s="8">
        <v>1</v>
      </c>
      <c r="N4460" s="8" t="s">
        <v>27</v>
      </c>
      <c r="O4460" s="13"/>
      <c r="P4460" s="14">
        <v>0.2</v>
      </c>
      <c r="Q4460" s="15">
        <v>0.3</v>
      </c>
      <c r="R4460" s="16" t="str">
        <f t="shared" si="375"/>
        <v>TP_LINK</v>
      </c>
      <c r="S4460" s="17"/>
      <c r="T4460" s="10" t="str">
        <f t="shared" si="382"/>
        <v>SWITCH DE DATOS GIGA ETHERNET DE 8 PUERTOS</v>
      </c>
    </row>
    <row r="4461" spans="1:20" ht="27" customHeight="1" x14ac:dyDescent="0.25">
      <c r="A4461" s="8" t="s">
        <v>9258</v>
      </c>
      <c r="B4461" s="9"/>
      <c r="C4461" s="9"/>
      <c r="D4461" s="8"/>
      <c r="E4461" s="8"/>
      <c r="F4461" s="8" t="s">
        <v>22</v>
      </c>
      <c r="G4461" s="10" t="s">
        <v>9272</v>
      </c>
      <c r="H4461" s="8" t="s">
        <v>9273</v>
      </c>
      <c r="I4461" s="10" t="s">
        <v>9272</v>
      </c>
      <c r="J4461" s="11" t="s">
        <v>33</v>
      </c>
      <c r="K4461" s="18">
        <v>300000</v>
      </c>
      <c r="L4461" s="12">
        <f t="shared" si="381"/>
        <v>375000</v>
      </c>
      <c r="M4461" s="8">
        <v>1</v>
      </c>
      <c r="N4461" s="8" t="s">
        <v>27</v>
      </c>
      <c r="O4461" s="13"/>
      <c r="P4461" s="14">
        <v>0</v>
      </c>
      <c r="Q4461" s="15">
        <v>0.2</v>
      </c>
      <c r="R4461" s="16" t="str">
        <f t="shared" si="375"/>
        <v>TP_LINK</v>
      </c>
      <c r="S4461" s="17"/>
      <c r="T4461" s="10" t="str">
        <f t="shared" si="382"/>
        <v>ROUTER INALÁMBRICO DE LARGO ALCANCE</v>
      </c>
    </row>
    <row r="4462" spans="1:20" ht="27" customHeight="1" x14ac:dyDescent="0.25">
      <c r="A4462" s="8" t="s">
        <v>9258</v>
      </c>
      <c r="B4462" s="9"/>
      <c r="C4462" s="9"/>
      <c r="D4462" s="8"/>
      <c r="E4462" s="8"/>
      <c r="F4462" s="8" t="s">
        <v>22</v>
      </c>
      <c r="G4462" s="10" t="s">
        <v>9274</v>
      </c>
      <c r="H4462" s="8" t="s">
        <v>9210</v>
      </c>
      <c r="I4462" s="10" t="s">
        <v>9274</v>
      </c>
      <c r="J4462" s="11" t="s">
        <v>33</v>
      </c>
      <c r="K4462" s="18">
        <v>109900</v>
      </c>
      <c r="L4462" s="12">
        <f t="shared" si="381"/>
        <v>137400</v>
      </c>
      <c r="M4462" s="8">
        <v>1</v>
      </c>
      <c r="N4462" s="8" t="s">
        <v>27</v>
      </c>
      <c r="O4462" s="13" t="s">
        <v>588</v>
      </c>
      <c r="P4462" s="14">
        <v>0</v>
      </c>
      <c r="Q4462" s="15">
        <v>0.2</v>
      </c>
      <c r="R4462" s="16" t="str">
        <f t="shared" si="375"/>
        <v>TP_LINK</v>
      </c>
      <c r="S4462" s="17"/>
      <c r="T4462" s="10" t="str">
        <f t="shared" si="382"/>
        <v>ADAPTADOR USB WIRELESS</v>
      </c>
    </row>
    <row r="4463" spans="1:20" ht="27" customHeight="1" x14ac:dyDescent="0.25">
      <c r="A4463" s="8" t="s">
        <v>9258</v>
      </c>
      <c r="B4463" s="9"/>
      <c r="C4463" s="9"/>
      <c r="D4463" s="8"/>
      <c r="E4463" s="8"/>
      <c r="F4463" s="8" t="s">
        <v>22</v>
      </c>
      <c r="G4463" s="10" t="s">
        <v>9275</v>
      </c>
      <c r="H4463" s="8" t="s">
        <v>9276</v>
      </c>
      <c r="I4463" s="10" t="s">
        <v>9275</v>
      </c>
      <c r="J4463" s="11" t="s">
        <v>33</v>
      </c>
      <c r="K4463" s="18">
        <v>59000</v>
      </c>
      <c r="L4463" s="12">
        <f t="shared" si="381"/>
        <v>118000</v>
      </c>
      <c r="M4463" s="8">
        <v>1</v>
      </c>
      <c r="N4463" s="8" t="s">
        <v>27</v>
      </c>
      <c r="O4463" s="13" t="s">
        <v>588</v>
      </c>
      <c r="P4463" s="14">
        <v>0</v>
      </c>
      <c r="Q4463" s="15">
        <v>0.5</v>
      </c>
      <c r="R4463" s="16" t="str">
        <f t="shared" ref="R4463:R4526" si="383">A4463</f>
        <v>TP_LINK</v>
      </c>
      <c r="S4463" s="17"/>
      <c r="T4463" s="10" t="str">
        <f t="shared" si="382"/>
        <v>TRANSMISOR DE RED POR LÍNEA ELÉCTRICA</v>
      </c>
    </row>
    <row r="4464" spans="1:20" ht="27" customHeight="1" x14ac:dyDescent="0.25">
      <c r="A4464" s="8" t="s">
        <v>9258</v>
      </c>
      <c r="B4464" s="9"/>
      <c r="C4464" s="9"/>
      <c r="D4464" s="8" t="s">
        <v>45</v>
      </c>
      <c r="E4464" s="8"/>
      <c r="F4464" s="8" t="s">
        <v>22</v>
      </c>
      <c r="G4464" s="10" t="s">
        <v>9277</v>
      </c>
      <c r="H4464" s="8" t="s">
        <v>9278</v>
      </c>
      <c r="I4464" s="10" t="s">
        <v>9277</v>
      </c>
      <c r="J4464" s="11" t="s">
        <v>33</v>
      </c>
      <c r="K4464" s="18">
        <v>2761000</v>
      </c>
      <c r="L4464" s="12">
        <f t="shared" si="381"/>
        <v>3451300</v>
      </c>
      <c r="M4464" s="8">
        <v>1</v>
      </c>
      <c r="N4464" s="8" t="s">
        <v>27</v>
      </c>
      <c r="O4464" s="13"/>
      <c r="P4464" s="14">
        <v>0</v>
      </c>
      <c r="Q4464" s="15">
        <v>0.2</v>
      </c>
      <c r="R4464" s="16" t="str">
        <f t="shared" si="383"/>
        <v>TP_LINK</v>
      </c>
      <c r="S4464" s="17"/>
      <c r="T4464" s="10" t="str">
        <f t="shared" si="382"/>
        <v>SWITCH GIGA ETHERNET CON 48 PUERTOS PoE.</v>
      </c>
    </row>
    <row r="4465" spans="1:20" ht="27" customHeight="1" x14ac:dyDescent="0.25">
      <c r="A4465" s="8" t="s">
        <v>9258</v>
      </c>
      <c r="B4465" s="9"/>
      <c r="C4465" s="9"/>
      <c r="D4465" s="8" t="s">
        <v>45</v>
      </c>
      <c r="E4465" s="8"/>
      <c r="F4465" s="8" t="s">
        <v>22</v>
      </c>
      <c r="G4465" s="10" t="s">
        <v>9279</v>
      </c>
      <c r="H4465" s="8" t="s">
        <v>9280</v>
      </c>
      <c r="I4465" s="10" t="s">
        <v>9279</v>
      </c>
      <c r="J4465" s="11" t="s">
        <v>33</v>
      </c>
      <c r="K4465" s="18">
        <v>49900</v>
      </c>
      <c r="L4465" s="12">
        <f>ROUNDUP(K4465*(1+P4465)/(1-Q4465),0)</f>
        <v>90728</v>
      </c>
      <c r="M4465" s="8">
        <v>1</v>
      </c>
      <c r="N4465" s="8" t="s">
        <v>27</v>
      </c>
      <c r="O4465" s="13"/>
      <c r="P4465" s="14">
        <v>0</v>
      </c>
      <c r="Q4465" s="15">
        <v>0.45</v>
      </c>
      <c r="R4465" s="16" t="str">
        <f t="shared" si="383"/>
        <v>TP_LINK</v>
      </c>
      <c r="S4465" s="17"/>
      <c r="T4465" s="10" t="str">
        <f t="shared" si="382"/>
        <v>SWITCH DE DATOS DE 5 PUERTOS 10/100</v>
      </c>
    </row>
    <row r="4466" spans="1:20" ht="27" customHeight="1" x14ac:dyDescent="0.25">
      <c r="A4466" s="8" t="s">
        <v>9258</v>
      </c>
      <c r="B4466" s="9"/>
      <c r="C4466" s="9"/>
      <c r="D4466" s="8"/>
      <c r="E4466" s="8"/>
      <c r="F4466" s="8"/>
      <c r="G4466" s="10"/>
      <c r="H4466" s="8" t="s">
        <v>9281</v>
      </c>
      <c r="I4466" s="10" t="s">
        <v>9282</v>
      </c>
      <c r="J4466" s="11" t="s">
        <v>33</v>
      </c>
      <c r="K4466" s="18">
        <v>133000</v>
      </c>
      <c r="L4466" s="12">
        <f>IF(J4466="P",ROUNDUP(K4466/(1-Q4466),-2),K4466*(1+P4466)/(1-Q4466))</f>
        <v>190000</v>
      </c>
      <c r="M4466" s="8">
        <v>1</v>
      </c>
      <c r="N4466" s="8" t="s">
        <v>27</v>
      </c>
      <c r="O4466" s="13"/>
      <c r="P4466" s="14">
        <v>0</v>
      </c>
      <c r="Q4466" s="15">
        <v>0.3</v>
      </c>
      <c r="R4466" s="16" t="str">
        <f t="shared" si="383"/>
        <v>TP_LINK</v>
      </c>
      <c r="S4466" s="17"/>
      <c r="T4466" s="10"/>
    </row>
    <row r="4467" spans="1:20" ht="27" customHeight="1" x14ac:dyDescent="0.25">
      <c r="A4467" s="8" t="s">
        <v>9258</v>
      </c>
      <c r="B4467" s="9"/>
      <c r="C4467" s="9"/>
      <c r="D4467" s="8"/>
      <c r="E4467" s="8"/>
      <c r="F4467" s="8"/>
      <c r="G4467" s="10"/>
      <c r="H4467" s="8" t="s">
        <v>9283</v>
      </c>
      <c r="I4467" s="10" t="s">
        <v>9284</v>
      </c>
      <c r="J4467" s="11" t="s">
        <v>33</v>
      </c>
      <c r="K4467" s="18">
        <v>60900</v>
      </c>
      <c r="L4467" s="12">
        <f>IF(J4467="P",ROUNDUP(K4467/(1-Q4467),-2),K4467*(1+P4467)/(1-Q4467))</f>
        <v>81200</v>
      </c>
      <c r="M4467" s="8">
        <v>1</v>
      </c>
      <c r="N4467" s="8" t="s">
        <v>27</v>
      </c>
      <c r="O4467" s="13"/>
      <c r="P4467" s="14">
        <v>0</v>
      </c>
      <c r="Q4467" s="15">
        <v>0.25</v>
      </c>
      <c r="R4467" s="16" t="str">
        <f t="shared" si="383"/>
        <v>TP_LINK</v>
      </c>
      <c r="S4467" s="17"/>
      <c r="T4467" s="10"/>
    </row>
    <row r="4468" spans="1:20" ht="27" customHeight="1" x14ac:dyDescent="0.25">
      <c r="A4468" s="8" t="s">
        <v>9258</v>
      </c>
      <c r="B4468" s="9"/>
      <c r="C4468" s="9"/>
      <c r="D4468" s="8"/>
      <c r="E4468" s="8"/>
      <c r="F4468" s="8"/>
      <c r="G4468" s="10"/>
      <c r="H4468" s="8" t="s">
        <v>9285</v>
      </c>
      <c r="I4468" s="10" t="s">
        <v>9286</v>
      </c>
      <c r="J4468" s="11" t="s">
        <v>33</v>
      </c>
      <c r="K4468" s="18">
        <v>95000</v>
      </c>
      <c r="L4468" s="12">
        <f>IF(J4468="P",ROUNDUP(K4468/(1-Q4468),-2),K4468*(1+P4468)/(1-Q4468))</f>
        <v>126700</v>
      </c>
      <c r="M4468" s="8">
        <v>1</v>
      </c>
      <c r="N4468" s="8" t="s">
        <v>27</v>
      </c>
      <c r="O4468" s="13"/>
      <c r="P4468" s="14">
        <v>0</v>
      </c>
      <c r="Q4468" s="15">
        <v>0.25</v>
      </c>
      <c r="R4468" s="16" t="str">
        <f t="shared" si="383"/>
        <v>TP_LINK</v>
      </c>
      <c r="S4468" s="17"/>
      <c r="T4468" s="10"/>
    </row>
    <row r="4469" spans="1:20" ht="27" customHeight="1" x14ac:dyDescent="0.25">
      <c r="A4469" s="8" t="s">
        <v>9258</v>
      </c>
      <c r="B4469" s="9"/>
      <c r="C4469" s="9"/>
      <c r="D4469" s="8"/>
      <c r="E4469" s="8"/>
      <c r="F4469" s="8"/>
      <c r="G4469" s="10"/>
      <c r="H4469" s="8" t="s">
        <v>9287</v>
      </c>
      <c r="I4469" s="10" t="s">
        <v>9288</v>
      </c>
      <c r="J4469" s="11" t="s">
        <v>33</v>
      </c>
      <c r="K4469" s="18">
        <v>338000</v>
      </c>
      <c r="L4469" s="12">
        <f>IF(J4469="P",ROUNDUP(K4469/(1-Q4469),-2),K4469*(1+P4469)/(1-Q4469))</f>
        <v>450700</v>
      </c>
      <c r="M4469" s="8">
        <v>1</v>
      </c>
      <c r="N4469" s="8" t="s">
        <v>27</v>
      </c>
      <c r="O4469" s="13"/>
      <c r="P4469" s="14">
        <v>0</v>
      </c>
      <c r="Q4469" s="15">
        <v>0.25</v>
      </c>
      <c r="R4469" s="16" t="str">
        <f t="shared" si="383"/>
        <v>TP_LINK</v>
      </c>
      <c r="S4469" s="17"/>
      <c r="T4469" s="10"/>
    </row>
    <row r="4470" spans="1:20" ht="27" customHeight="1" x14ac:dyDescent="0.25">
      <c r="A4470" s="8" t="s">
        <v>9258</v>
      </c>
      <c r="B4470" s="9"/>
      <c r="C4470" s="9"/>
      <c r="D4470" s="8"/>
      <c r="E4470" s="8"/>
      <c r="F4470" s="8"/>
      <c r="G4470" s="10"/>
      <c r="H4470" s="8" t="s">
        <v>9289</v>
      </c>
      <c r="I4470" s="10" t="s">
        <v>9290</v>
      </c>
      <c r="J4470" s="11" t="s">
        <v>33</v>
      </c>
      <c r="K4470" s="18">
        <v>672500</v>
      </c>
      <c r="L4470" s="12">
        <f>K4470*(1+P4470)/(1-Q4470)</f>
        <v>1076000</v>
      </c>
      <c r="M4470" s="8">
        <v>1</v>
      </c>
      <c r="N4470" s="8" t="s">
        <v>27</v>
      </c>
      <c r="O4470" s="13"/>
      <c r="P4470" s="14">
        <v>0.2</v>
      </c>
      <c r="Q4470" s="15">
        <v>0.25</v>
      </c>
      <c r="R4470" s="16" t="str">
        <f t="shared" si="383"/>
        <v>TP_LINK</v>
      </c>
      <c r="S4470" s="17"/>
      <c r="T4470" s="10"/>
    </row>
    <row r="4471" spans="1:20" ht="27" customHeight="1" x14ac:dyDescent="0.25">
      <c r="A4471" s="8" t="s">
        <v>9258</v>
      </c>
      <c r="B4471" s="9"/>
      <c r="C4471" s="9"/>
      <c r="D4471" s="8"/>
      <c r="E4471" s="8"/>
      <c r="F4471" s="8"/>
      <c r="G4471" s="10"/>
      <c r="H4471" s="8" t="s">
        <v>9291</v>
      </c>
      <c r="I4471" s="10" t="s">
        <v>9292</v>
      </c>
      <c r="J4471" s="11" t="s">
        <v>33</v>
      </c>
      <c r="K4471" s="18">
        <v>39000</v>
      </c>
      <c r="L4471" s="12">
        <f>IF(J4471="P",ROUNDUP(K4471/(1-Q4471),-2),K4471*(1+P4471)/(1-Q4471))</f>
        <v>65000</v>
      </c>
      <c r="M4471" s="8">
        <v>1</v>
      </c>
      <c r="N4471" s="8" t="s">
        <v>27</v>
      </c>
      <c r="O4471" s="13"/>
      <c r="P4471" s="14">
        <v>0</v>
      </c>
      <c r="Q4471" s="15">
        <v>0.4</v>
      </c>
      <c r="R4471" s="16" t="str">
        <f t="shared" si="383"/>
        <v>TP_LINK</v>
      </c>
      <c r="S4471" s="17"/>
      <c r="T4471" s="10"/>
    </row>
    <row r="4472" spans="1:20" ht="27" customHeight="1" x14ac:dyDescent="0.25">
      <c r="A4472" s="8" t="s">
        <v>9258</v>
      </c>
      <c r="B4472" s="9"/>
      <c r="C4472" s="9"/>
      <c r="D4472" s="8"/>
      <c r="E4472" s="8"/>
      <c r="F4472" s="8"/>
      <c r="G4472" s="10"/>
      <c r="H4472" s="8" t="s">
        <v>9293</v>
      </c>
      <c r="I4472" s="10" t="s">
        <v>9294</v>
      </c>
      <c r="J4472" s="11" t="s">
        <v>33</v>
      </c>
      <c r="K4472" s="18">
        <v>161700</v>
      </c>
      <c r="L4472" s="12">
        <f>IF(J4472="P",ROUNDUP(K4472/(1-Q4472),-2),K4472*(1+P4472)/(1-Q4472))</f>
        <v>231000</v>
      </c>
      <c r="M4472" s="8">
        <v>1</v>
      </c>
      <c r="N4472" s="8" t="s">
        <v>27</v>
      </c>
      <c r="O4472" s="13"/>
      <c r="P4472" s="14">
        <v>0</v>
      </c>
      <c r="Q4472" s="15">
        <v>0.3</v>
      </c>
      <c r="R4472" s="16" t="str">
        <f t="shared" si="383"/>
        <v>TP_LINK</v>
      </c>
      <c r="S4472" s="17"/>
      <c r="T4472" s="10"/>
    </row>
    <row r="4473" spans="1:20" ht="27" customHeight="1" x14ac:dyDescent="0.25">
      <c r="A4473" s="8" t="s">
        <v>9258</v>
      </c>
      <c r="B4473" s="9"/>
      <c r="C4473" s="9"/>
      <c r="D4473" s="8"/>
      <c r="E4473" s="8"/>
      <c r="F4473" s="8"/>
      <c r="G4473" s="10"/>
      <c r="H4473" s="8" t="s">
        <v>9295</v>
      </c>
      <c r="I4473" s="10" t="s">
        <v>9296</v>
      </c>
      <c r="J4473" s="11" t="s">
        <v>33</v>
      </c>
      <c r="K4473" s="18">
        <v>144600</v>
      </c>
      <c r="L4473" s="12">
        <f>ROUNDUP(K4473*(1+P4473)/(1-Q4473),0)</f>
        <v>206572</v>
      </c>
      <c r="M4473" s="8">
        <v>1</v>
      </c>
      <c r="N4473" s="8" t="s">
        <v>27</v>
      </c>
      <c r="O4473" s="13"/>
      <c r="P4473" s="14">
        <v>0</v>
      </c>
      <c r="Q4473" s="15">
        <v>0.3</v>
      </c>
      <c r="R4473" s="16" t="str">
        <f t="shared" si="383"/>
        <v>TP_LINK</v>
      </c>
      <c r="S4473" s="17"/>
      <c r="T4473" s="10"/>
    </row>
    <row r="4474" spans="1:20" ht="27" customHeight="1" x14ac:dyDescent="0.25">
      <c r="A4474" s="8" t="s">
        <v>9258</v>
      </c>
      <c r="B4474" s="9"/>
      <c r="C4474" s="9"/>
      <c r="D4474" s="8"/>
      <c r="E4474" s="8"/>
      <c r="F4474" s="8"/>
      <c r="G4474" s="10"/>
      <c r="H4474" s="8" t="s">
        <v>9297</v>
      </c>
      <c r="I4474" s="10" t="s">
        <v>9298</v>
      </c>
      <c r="J4474" s="11" t="s">
        <v>33</v>
      </c>
      <c r="K4474" s="18">
        <v>750000</v>
      </c>
      <c r="L4474" s="12">
        <f>ROUNDUP(K4474*(1+P4474)/(1-Q4474),0)</f>
        <v>1071429</v>
      </c>
      <c r="M4474" s="8">
        <v>1</v>
      </c>
      <c r="N4474" s="8" t="s">
        <v>27</v>
      </c>
      <c r="O4474" s="13"/>
      <c r="P4474" s="14">
        <v>0</v>
      </c>
      <c r="Q4474" s="15">
        <v>0.3</v>
      </c>
      <c r="R4474" s="16" t="str">
        <f t="shared" si="383"/>
        <v>TP_LINK</v>
      </c>
      <c r="S4474" s="17"/>
      <c r="T4474" s="10"/>
    </row>
    <row r="4475" spans="1:20" ht="27" customHeight="1" x14ac:dyDescent="0.25">
      <c r="A4475" s="8" t="s">
        <v>9258</v>
      </c>
      <c r="B4475" s="9"/>
      <c r="C4475" s="9"/>
      <c r="D4475" s="8"/>
      <c r="E4475" s="8"/>
      <c r="F4475" s="8"/>
      <c r="G4475" s="10"/>
      <c r="H4475" s="8" t="s">
        <v>9299</v>
      </c>
      <c r="I4475" s="10" t="s">
        <v>9300</v>
      </c>
      <c r="J4475" s="11" t="s">
        <v>33</v>
      </c>
      <c r="K4475" s="18">
        <v>200000</v>
      </c>
      <c r="L4475" s="12">
        <f>ROUNDUP(K4475*(1+P4475)/(1-Q4475),0)</f>
        <v>285715</v>
      </c>
      <c r="M4475" s="8">
        <v>1</v>
      </c>
      <c r="N4475" s="8" t="s">
        <v>27</v>
      </c>
      <c r="O4475" s="13"/>
      <c r="P4475" s="14">
        <v>0</v>
      </c>
      <c r="Q4475" s="15">
        <v>0.3</v>
      </c>
      <c r="R4475" s="16" t="str">
        <f t="shared" si="383"/>
        <v>TP_LINK</v>
      </c>
      <c r="S4475" s="17"/>
      <c r="T4475" s="10"/>
    </row>
    <row r="4476" spans="1:20" ht="27" customHeight="1" x14ac:dyDescent="0.25">
      <c r="A4476" s="8" t="s">
        <v>9258</v>
      </c>
      <c r="B4476" s="9"/>
      <c r="C4476" s="9"/>
      <c r="D4476" s="8"/>
      <c r="E4476" s="8"/>
      <c r="F4476" s="8"/>
      <c r="G4476" s="10"/>
      <c r="H4476" s="8" t="s">
        <v>9301</v>
      </c>
      <c r="I4476" s="10" t="s">
        <v>9302</v>
      </c>
      <c r="J4476" s="11" t="s">
        <v>33</v>
      </c>
      <c r="K4476" s="18">
        <v>50000</v>
      </c>
      <c r="L4476" s="12">
        <f>ROUNDUP(K4476*(1+P4476)/(1-Q4476),0)</f>
        <v>71429</v>
      </c>
      <c r="M4476" s="8">
        <v>1</v>
      </c>
      <c r="N4476" s="8" t="s">
        <v>27</v>
      </c>
      <c r="O4476" s="13"/>
      <c r="P4476" s="14">
        <v>0</v>
      </c>
      <c r="Q4476" s="15">
        <v>0.3</v>
      </c>
      <c r="R4476" s="16" t="str">
        <f t="shared" si="383"/>
        <v>TP_LINK</v>
      </c>
      <c r="S4476" s="17"/>
      <c r="T4476" s="10"/>
    </row>
    <row r="4477" spans="1:20" ht="27" customHeight="1" x14ac:dyDescent="0.25">
      <c r="A4477" s="8" t="s">
        <v>9258</v>
      </c>
      <c r="B4477" s="9"/>
      <c r="C4477" s="9"/>
      <c r="D4477" s="8"/>
      <c r="E4477" s="8"/>
      <c r="F4477" s="8"/>
      <c r="G4477" s="10"/>
      <c r="H4477" s="8" t="s">
        <v>9287</v>
      </c>
      <c r="I4477" s="10" t="s">
        <v>9303</v>
      </c>
      <c r="J4477" s="11" t="s">
        <v>33</v>
      </c>
      <c r="K4477" s="18">
        <v>363000</v>
      </c>
      <c r="L4477" s="12">
        <f t="shared" ref="L4477:L4496" si="384">IF(J4477="P",ROUNDUP(K4477/(1-Q4477),-2),K4477*(1+P4477)/(1-Q4477))</f>
        <v>605000</v>
      </c>
      <c r="M4477" s="8">
        <v>1</v>
      </c>
      <c r="N4477" s="8" t="s">
        <v>27</v>
      </c>
      <c r="O4477" s="13"/>
      <c r="P4477" s="14">
        <v>0</v>
      </c>
      <c r="Q4477" s="15">
        <v>0.4</v>
      </c>
      <c r="R4477" s="16" t="str">
        <f t="shared" si="383"/>
        <v>TP_LINK</v>
      </c>
      <c r="S4477" s="17"/>
      <c r="T4477" s="10"/>
    </row>
    <row r="4478" spans="1:20" ht="27" customHeight="1" x14ac:dyDescent="0.25">
      <c r="A4478" s="8" t="s">
        <v>9258</v>
      </c>
      <c r="B4478" s="9"/>
      <c r="C4478" s="9"/>
      <c r="D4478" s="8"/>
      <c r="E4478" s="8"/>
      <c r="F4478" s="8"/>
      <c r="G4478" s="10"/>
      <c r="H4478" s="8" t="s">
        <v>9304</v>
      </c>
      <c r="I4478" s="10" t="s">
        <v>9305</v>
      </c>
      <c r="J4478" s="11" t="s">
        <v>33</v>
      </c>
      <c r="K4478" s="18">
        <v>75000</v>
      </c>
      <c r="L4478" s="12">
        <f t="shared" si="384"/>
        <v>107200</v>
      </c>
      <c r="M4478" s="8">
        <v>1</v>
      </c>
      <c r="N4478" s="8" t="s">
        <v>27</v>
      </c>
      <c r="O4478" s="13">
        <f>F4478</f>
        <v>0</v>
      </c>
      <c r="P4478" s="14">
        <v>0</v>
      </c>
      <c r="Q4478" s="15">
        <v>0.3</v>
      </c>
      <c r="R4478" s="16" t="str">
        <f t="shared" si="383"/>
        <v>TP_LINK</v>
      </c>
      <c r="S4478" s="17"/>
      <c r="T4478" s="10"/>
    </row>
    <row r="4479" spans="1:20" ht="27" customHeight="1" x14ac:dyDescent="0.25">
      <c r="A4479" s="8" t="s">
        <v>9258</v>
      </c>
      <c r="B4479" s="9"/>
      <c r="C4479" s="9"/>
      <c r="D4479" s="8"/>
      <c r="E4479" s="8"/>
      <c r="F4479" s="8"/>
      <c r="G4479" s="10"/>
      <c r="H4479" s="8" t="s">
        <v>9306</v>
      </c>
      <c r="I4479" s="10" t="s">
        <v>9307</v>
      </c>
      <c r="J4479" s="11" t="s">
        <v>33</v>
      </c>
      <c r="K4479" s="18">
        <v>896500</v>
      </c>
      <c r="L4479" s="12">
        <f t="shared" si="384"/>
        <v>1054800</v>
      </c>
      <c r="M4479" s="8">
        <v>1</v>
      </c>
      <c r="N4479" s="8" t="s">
        <v>27</v>
      </c>
      <c r="O4479" s="13">
        <f>F4479</f>
        <v>0</v>
      </c>
      <c r="P4479" s="14">
        <v>0</v>
      </c>
      <c r="Q4479" s="15">
        <v>0.15</v>
      </c>
      <c r="R4479" s="16" t="str">
        <f t="shared" si="383"/>
        <v>TP_LINK</v>
      </c>
      <c r="S4479" s="17"/>
      <c r="T4479" s="10"/>
    </row>
    <row r="4480" spans="1:20" ht="27" customHeight="1" x14ac:dyDescent="0.25">
      <c r="A4480" s="8" t="s">
        <v>9258</v>
      </c>
      <c r="B4480" s="9"/>
      <c r="C4480" s="9"/>
      <c r="D4480" s="8"/>
      <c r="E4480" s="8"/>
      <c r="F4480" s="8"/>
      <c r="G4480" s="10"/>
      <c r="H4480" s="8" t="s">
        <v>9308</v>
      </c>
      <c r="I4480" s="10" t="s">
        <v>9309</v>
      </c>
      <c r="J4480" s="11" t="s">
        <v>33</v>
      </c>
      <c r="K4480" s="18">
        <v>351050</v>
      </c>
      <c r="L4480" s="12">
        <f t="shared" si="384"/>
        <v>501500</v>
      </c>
      <c r="M4480" s="8">
        <v>1</v>
      </c>
      <c r="N4480" s="8" t="s">
        <v>27</v>
      </c>
      <c r="O4480" s="13">
        <f>F4480</f>
        <v>0</v>
      </c>
      <c r="P4480" s="14">
        <v>0</v>
      </c>
      <c r="Q4480" s="15">
        <v>0.3</v>
      </c>
      <c r="R4480" s="16" t="str">
        <f t="shared" si="383"/>
        <v>TP_LINK</v>
      </c>
      <c r="S4480" s="17"/>
      <c r="T4480" s="10"/>
    </row>
    <row r="4481" spans="1:20" ht="27" customHeight="1" x14ac:dyDescent="0.25">
      <c r="A4481" s="8" t="s">
        <v>9258</v>
      </c>
      <c r="B4481" s="9" t="s">
        <v>9310</v>
      </c>
      <c r="C4481" s="9"/>
      <c r="D4481" s="8" t="s">
        <v>6178</v>
      </c>
      <c r="E4481" s="8">
        <v>1</v>
      </c>
      <c r="F4481" s="8" t="s">
        <v>22</v>
      </c>
      <c r="G4481" s="10" t="s">
        <v>9311</v>
      </c>
      <c r="H4481" s="8" t="s">
        <v>9312</v>
      </c>
      <c r="I4481" s="10" t="s">
        <v>9311</v>
      </c>
      <c r="J4481" s="11" t="s">
        <v>26</v>
      </c>
      <c r="K4481" s="18">
        <v>468</v>
      </c>
      <c r="L4481" s="12">
        <f t="shared" si="384"/>
        <v>702</v>
      </c>
      <c r="M4481" s="8">
        <v>1</v>
      </c>
      <c r="N4481" s="8" t="s">
        <v>27</v>
      </c>
      <c r="O4481" s="13"/>
      <c r="P4481" s="14">
        <v>0.2</v>
      </c>
      <c r="Q4481" s="15">
        <v>0.2</v>
      </c>
      <c r="R4481" s="16" t="str">
        <f t="shared" si="383"/>
        <v>TP_LINK</v>
      </c>
      <c r="S4481" s="17"/>
      <c r="T4481" s="10" t="str">
        <f t="shared" ref="T4481:T4497" si="385">G4481</f>
        <v>SWITCH DE DATOS 10/100/1000 BASE T DE 24 PUERTOS, Y ALIMENTACIÓN PoE.</v>
      </c>
    </row>
    <row r="4482" spans="1:20" ht="27" customHeight="1" x14ac:dyDescent="0.25">
      <c r="A4482" s="8" t="s">
        <v>9258</v>
      </c>
      <c r="B4482" s="9" t="s">
        <v>9310</v>
      </c>
      <c r="C4482" s="9"/>
      <c r="D4482" s="8" t="s">
        <v>6178</v>
      </c>
      <c r="E4482" s="8">
        <v>2</v>
      </c>
      <c r="F4482" s="8" t="s">
        <v>22</v>
      </c>
      <c r="G4482" s="10" t="s">
        <v>9313</v>
      </c>
      <c r="H4482" s="8" t="s">
        <v>9314</v>
      </c>
      <c r="I4482" s="10" t="s">
        <v>9313</v>
      </c>
      <c r="J4482" s="11" t="s">
        <v>26</v>
      </c>
      <c r="K4482" s="18">
        <v>80</v>
      </c>
      <c r="L4482" s="12">
        <f t="shared" si="384"/>
        <v>137.14285714285714</v>
      </c>
      <c r="M4482" s="8">
        <v>1</v>
      </c>
      <c r="N4482" s="8" t="s">
        <v>27</v>
      </c>
      <c r="O4482" s="13"/>
      <c r="P4482" s="14">
        <v>0.2</v>
      </c>
      <c r="Q4482" s="15">
        <v>0.3</v>
      </c>
      <c r="R4482" s="16" t="str">
        <f t="shared" si="383"/>
        <v>TP_LINK</v>
      </c>
      <c r="S4482" s="17"/>
      <c r="T4482" s="10" t="str">
        <f t="shared" si="385"/>
        <v>SWITCH DE DATOS 10/100/1000 BASE T DE 16 PUERTOS.</v>
      </c>
    </row>
    <row r="4483" spans="1:20" ht="27" customHeight="1" x14ac:dyDescent="0.25">
      <c r="A4483" s="8" t="s">
        <v>9258</v>
      </c>
      <c r="B4483" s="9" t="s">
        <v>9310</v>
      </c>
      <c r="C4483" s="9"/>
      <c r="D4483" s="8" t="s">
        <v>6178</v>
      </c>
      <c r="E4483" s="8">
        <v>3</v>
      </c>
      <c r="F4483" s="8" t="s">
        <v>22</v>
      </c>
      <c r="G4483" s="10" t="s">
        <v>9315</v>
      </c>
      <c r="H4483" s="8" t="s">
        <v>9316</v>
      </c>
      <c r="I4483" s="10" t="s">
        <v>9315</v>
      </c>
      <c r="J4483" s="11" t="s">
        <v>33</v>
      </c>
      <c r="K4483" s="18">
        <v>359900</v>
      </c>
      <c r="L4483" s="12">
        <f t="shared" si="384"/>
        <v>514200</v>
      </c>
      <c r="M4483" s="8">
        <v>1</v>
      </c>
      <c r="N4483" s="8" t="s">
        <v>27</v>
      </c>
      <c r="O4483" s="13"/>
      <c r="P4483" s="14">
        <v>0.2</v>
      </c>
      <c r="Q4483" s="15">
        <v>0.3</v>
      </c>
      <c r="R4483" s="16" t="str">
        <f t="shared" si="383"/>
        <v>TP_LINK</v>
      </c>
      <c r="S4483" s="17"/>
      <c r="T4483" s="10" t="str">
        <f t="shared" si="385"/>
        <v>SWITCH DE DATOS 10/100 BASE T DE 8 PUERTOS, 4 PoE..</v>
      </c>
    </row>
    <row r="4484" spans="1:20" ht="27" customHeight="1" x14ac:dyDescent="0.25">
      <c r="A4484" s="8" t="s">
        <v>9258</v>
      </c>
      <c r="B4484" s="9" t="s">
        <v>9259</v>
      </c>
      <c r="C4484" s="9"/>
      <c r="D4484" s="8" t="s">
        <v>28</v>
      </c>
      <c r="E4484" s="8"/>
      <c r="F4484" s="8" t="s">
        <v>22</v>
      </c>
      <c r="G4484" s="10" t="s">
        <v>9317</v>
      </c>
      <c r="H4484" s="8" t="s">
        <v>9318</v>
      </c>
      <c r="I4484" s="10" t="s">
        <v>9317</v>
      </c>
      <c r="J4484" s="11" t="s">
        <v>33</v>
      </c>
      <c r="K4484" s="18">
        <v>8000</v>
      </c>
      <c r="L4484" s="12">
        <f t="shared" si="384"/>
        <v>13400</v>
      </c>
      <c r="M4484" s="8">
        <v>1</v>
      </c>
      <c r="N4484" s="8" t="s">
        <v>27</v>
      </c>
      <c r="O4484" s="13"/>
      <c r="P4484" s="14">
        <v>0.2</v>
      </c>
      <c r="Q4484" s="15">
        <v>0.4</v>
      </c>
      <c r="R4484" s="16" t="str">
        <f t="shared" si="383"/>
        <v>TP_LINK</v>
      </c>
      <c r="S4484" s="17"/>
      <c r="T4484" s="10" t="str">
        <f t="shared" si="385"/>
        <v>PATCH CORE DE 3 METROS CAT 5E.</v>
      </c>
    </row>
    <row r="4485" spans="1:20" ht="27" customHeight="1" x14ac:dyDescent="0.25">
      <c r="A4485" s="8" t="s">
        <v>9258</v>
      </c>
      <c r="B4485" s="9" t="s">
        <v>9259</v>
      </c>
      <c r="C4485" s="9"/>
      <c r="D4485" s="8" t="s">
        <v>28</v>
      </c>
      <c r="E4485" s="8"/>
      <c r="F4485" s="8" t="s">
        <v>22</v>
      </c>
      <c r="G4485" s="10" t="s">
        <v>9319</v>
      </c>
      <c r="H4485" s="8" t="s">
        <v>9320</v>
      </c>
      <c r="I4485" s="10" t="s">
        <v>9319</v>
      </c>
      <c r="J4485" s="11" t="s">
        <v>33</v>
      </c>
      <c r="K4485" s="18">
        <v>4000</v>
      </c>
      <c r="L4485" s="12">
        <f t="shared" si="384"/>
        <v>6700</v>
      </c>
      <c r="M4485" s="8">
        <v>1</v>
      </c>
      <c r="N4485" s="8" t="s">
        <v>27</v>
      </c>
      <c r="O4485" s="13"/>
      <c r="P4485" s="14">
        <v>0.2</v>
      </c>
      <c r="Q4485" s="15">
        <v>0.4</v>
      </c>
      <c r="R4485" s="16" t="str">
        <f t="shared" si="383"/>
        <v>TP_LINK</v>
      </c>
      <c r="S4485" s="17"/>
      <c r="T4485" s="10" t="str">
        <f t="shared" si="385"/>
        <v>UNIÓN RJ45 CATEGORÍA 5</v>
      </c>
    </row>
    <row r="4486" spans="1:20" ht="27" customHeight="1" x14ac:dyDescent="0.25">
      <c r="A4486" s="8" t="s">
        <v>9258</v>
      </c>
      <c r="B4486" s="9"/>
      <c r="C4486" s="9"/>
      <c r="D4486" s="8"/>
      <c r="E4486" s="8"/>
      <c r="F4486" s="8" t="s">
        <v>22</v>
      </c>
      <c r="G4486" s="10" t="s">
        <v>9321</v>
      </c>
      <c r="H4486" s="8" t="s">
        <v>9322</v>
      </c>
      <c r="I4486" s="10" t="s">
        <v>9321</v>
      </c>
      <c r="J4486" s="11" t="s">
        <v>33</v>
      </c>
      <c r="K4486" s="18">
        <v>15000</v>
      </c>
      <c r="L4486" s="12">
        <f t="shared" si="384"/>
        <v>21500</v>
      </c>
      <c r="M4486" s="8">
        <v>1</v>
      </c>
      <c r="N4486" s="8" t="s">
        <v>27</v>
      </c>
      <c r="O4486" s="13"/>
      <c r="P4486" s="14">
        <v>0</v>
      </c>
      <c r="Q4486" s="15">
        <v>0.3</v>
      </c>
      <c r="R4486" s="16" t="str">
        <f t="shared" si="383"/>
        <v>TP_LINK</v>
      </c>
      <c r="S4486" s="17"/>
      <c r="T4486" s="10" t="str">
        <f t="shared" si="385"/>
        <v>PATCHCORE DE 90 METROS CATEGORÍA 6</v>
      </c>
    </row>
    <row r="4487" spans="1:20" ht="27" customHeight="1" x14ac:dyDescent="0.25">
      <c r="A4487" s="8" t="s">
        <v>9258</v>
      </c>
      <c r="B4487" s="9"/>
      <c r="C4487" s="9"/>
      <c r="D4487" s="8"/>
      <c r="E4487" s="8"/>
      <c r="F4487" s="8" t="s">
        <v>22</v>
      </c>
      <c r="G4487" s="10" t="s">
        <v>9323</v>
      </c>
      <c r="H4487" s="8" t="s">
        <v>9324</v>
      </c>
      <c r="I4487" s="10" t="s">
        <v>9323</v>
      </c>
      <c r="J4487" s="11" t="s">
        <v>33</v>
      </c>
      <c r="K4487" s="18">
        <v>680000</v>
      </c>
      <c r="L4487" s="12">
        <f t="shared" si="384"/>
        <v>971500</v>
      </c>
      <c r="M4487" s="8">
        <v>1</v>
      </c>
      <c r="N4487" s="8" t="s">
        <v>27</v>
      </c>
      <c r="O4487" s="13"/>
      <c r="P4487" s="14">
        <v>0</v>
      </c>
      <c r="Q4487" s="15">
        <v>0.3</v>
      </c>
      <c r="R4487" s="16" t="str">
        <f t="shared" si="383"/>
        <v>TP_LINK</v>
      </c>
      <c r="S4487" s="17"/>
      <c r="T4487" s="10" t="str">
        <f t="shared" si="385"/>
        <v>SWITCH DE 8 PUERTOS DE ALTA VELOCIDAD 10/100/1000 PoE.</v>
      </c>
    </row>
    <row r="4488" spans="1:20" ht="27" customHeight="1" x14ac:dyDescent="0.25">
      <c r="A4488" s="8" t="s">
        <v>9325</v>
      </c>
      <c r="B4488" s="9"/>
      <c r="C4488" s="9"/>
      <c r="D4488" s="8"/>
      <c r="E4488" s="8"/>
      <c r="F4488" s="8" t="s">
        <v>22</v>
      </c>
      <c r="G4488" s="10" t="s">
        <v>9326</v>
      </c>
      <c r="H4488" s="8" t="s">
        <v>9327</v>
      </c>
      <c r="I4488" s="10" t="s">
        <v>9326</v>
      </c>
      <c r="J4488" s="11" t="s">
        <v>33</v>
      </c>
      <c r="K4488" s="18">
        <v>608000</v>
      </c>
      <c r="L4488" s="12">
        <f t="shared" si="384"/>
        <v>868600</v>
      </c>
      <c r="M4488" s="8">
        <v>1</v>
      </c>
      <c r="N4488" s="8" t="s">
        <v>27</v>
      </c>
      <c r="O4488" s="13"/>
      <c r="P4488" s="14">
        <v>0.2</v>
      </c>
      <c r="Q4488" s="15">
        <v>0.3</v>
      </c>
      <c r="R4488" s="16" t="str">
        <f t="shared" si="383"/>
        <v>TRAULUX</v>
      </c>
      <c r="S4488" s="17"/>
      <c r="T4488" s="10" t="str">
        <f t="shared" si="385"/>
        <v>TELÓN ELÉCTRICO CON CONTROL REMOTO EN FORMATO CUADRADO DE 2.38M.</v>
      </c>
    </row>
    <row r="4489" spans="1:20" ht="27" customHeight="1" x14ac:dyDescent="0.25">
      <c r="A4489" s="8" t="s">
        <v>9325</v>
      </c>
      <c r="B4489" s="9"/>
      <c r="C4489" s="9"/>
      <c r="D4489" s="8"/>
      <c r="E4489" s="8"/>
      <c r="F4489" s="8" t="s">
        <v>22</v>
      </c>
      <c r="G4489" s="10" t="s">
        <v>9328</v>
      </c>
      <c r="H4489" s="8" t="s">
        <v>9329</v>
      </c>
      <c r="I4489" s="10" t="s">
        <v>9328</v>
      </c>
      <c r="J4489" s="11" t="s">
        <v>33</v>
      </c>
      <c r="K4489" s="18">
        <v>138000</v>
      </c>
      <c r="L4489" s="12">
        <f t="shared" si="384"/>
        <v>230000</v>
      </c>
      <c r="M4489" s="8">
        <v>1</v>
      </c>
      <c r="N4489" s="8" t="s">
        <v>27</v>
      </c>
      <c r="O4489" s="13"/>
      <c r="P4489" s="14">
        <v>0.2</v>
      </c>
      <c r="Q4489" s="15">
        <v>0.4</v>
      </c>
      <c r="R4489" s="16" t="str">
        <f t="shared" si="383"/>
        <v>TRAULUX</v>
      </c>
      <c r="S4489" s="17"/>
      <c r="T4489" s="10" t="str">
        <f t="shared" si="385"/>
        <v>SOPORTE DE TECHO PARA TV HASTA 65", 50Kg DE PESO. EN COLOR NEGRO.</v>
      </c>
    </row>
    <row r="4490" spans="1:20" ht="27" customHeight="1" x14ac:dyDescent="0.25">
      <c r="A4490" s="8" t="s">
        <v>9325</v>
      </c>
      <c r="B4490" s="9"/>
      <c r="C4490" s="9"/>
      <c r="D4490" s="8"/>
      <c r="E4490" s="8"/>
      <c r="F4490" s="8" t="s">
        <v>22</v>
      </c>
      <c r="G4490" s="10" t="s">
        <v>9330</v>
      </c>
      <c r="H4490" s="8" t="s">
        <v>9331</v>
      </c>
      <c r="I4490" s="10" t="s">
        <v>9330</v>
      </c>
      <c r="J4490" s="11" t="s">
        <v>33</v>
      </c>
      <c r="K4490" s="18">
        <v>550000</v>
      </c>
      <c r="L4490" s="12">
        <f t="shared" si="384"/>
        <v>916700</v>
      </c>
      <c r="M4490" s="8">
        <v>1</v>
      </c>
      <c r="N4490" s="8" t="s">
        <v>27</v>
      </c>
      <c r="O4490" s="13"/>
      <c r="P4490" s="14">
        <v>0.2</v>
      </c>
      <c r="Q4490" s="15">
        <v>0.4</v>
      </c>
      <c r="R4490" s="16" t="str">
        <f t="shared" si="383"/>
        <v>TRAULUX</v>
      </c>
      <c r="S4490" s="17"/>
      <c r="T4490" s="10" t="str">
        <f t="shared" si="385"/>
        <v>SOPORTE DE PISO PARA TV HASTA 55</v>
      </c>
    </row>
    <row r="4491" spans="1:20" ht="27" customHeight="1" x14ac:dyDescent="0.25">
      <c r="A4491" s="8" t="s">
        <v>9325</v>
      </c>
      <c r="B4491" s="9"/>
      <c r="C4491" s="9"/>
      <c r="D4491" s="8"/>
      <c r="E4491" s="8"/>
      <c r="F4491" s="8" t="s">
        <v>22</v>
      </c>
      <c r="G4491" s="10" t="s">
        <v>9332</v>
      </c>
      <c r="H4491" s="8" t="s">
        <v>9333</v>
      </c>
      <c r="I4491" s="10" t="s">
        <v>9332</v>
      </c>
      <c r="J4491" s="11" t="s">
        <v>33</v>
      </c>
      <c r="K4491" s="18">
        <v>1250000</v>
      </c>
      <c r="L4491" s="12">
        <f t="shared" si="384"/>
        <v>1562500</v>
      </c>
      <c r="M4491" s="8">
        <v>1</v>
      </c>
      <c r="N4491" s="8" t="s">
        <v>27</v>
      </c>
      <c r="O4491" s="13"/>
      <c r="P4491" s="14">
        <v>0</v>
      </c>
      <c r="Q4491" s="15">
        <v>0.2</v>
      </c>
      <c r="R4491" s="16" t="str">
        <f t="shared" si="383"/>
        <v>TRAULUX</v>
      </c>
      <c r="S4491" s="17"/>
      <c r="T4491" s="10" t="str">
        <f t="shared" si="385"/>
        <v>TELÓN ELÉCTRICO MOTORIZADO EN FORMATO CUADRADO DE 3.2 METROS DE ANCHO.</v>
      </c>
    </row>
    <row r="4492" spans="1:20" ht="27" customHeight="1" x14ac:dyDescent="0.25">
      <c r="A4492" s="8" t="s">
        <v>9325</v>
      </c>
      <c r="B4492" s="9" t="s">
        <v>1215</v>
      </c>
      <c r="C4492" s="9"/>
      <c r="D4492" s="8" t="s">
        <v>1225</v>
      </c>
      <c r="E4492" s="8">
        <v>2</v>
      </c>
      <c r="F4492" s="8" t="s">
        <v>22</v>
      </c>
      <c r="G4492" s="10" t="s">
        <v>9334</v>
      </c>
      <c r="H4492" s="8" t="s">
        <v>929</v>
      </c>
      <c r="I4492" s="10" t="s">
        <v>9334</v>
      </c>
      <c r="J4492" s="11" t="s">
        <v>33</v>
      </c>
      <c r="K4492" s="18">
        <v>59400</v>
      </c>
      <c r="L4492" s="12">
        <f t="shared" si="384"/>
        <v>84900</v>
      </c>
      <c r="M4492" s="8">
        <v>1</v>
      </c>
      <c r="N4492" s="8" t="s">
        <v>27</v>
      </c>
      <c r="O4492" s="13"/>
      <c r="P4492" s="14">
        <v>0.2</v>
      </c>
      <c r="Q4492" s="15">
        <v>0.3</v>
      </c>
      <c r="R4492" s="16" t="str">
        <f t="shared" si="383"/>
        <v>TRAULUX</v>
      </c>
      <c r="S4492" s="17"/>
      <c r="T4492" s="10" t="str">
        <f t="shared" si="385"/>
        <v>SOPORTE FIJO PARA PROYECTOR EN COLOR PLATA. CAPACIDAD HASTA 10Kg</v>
      </c>
    </row>
    <row r="4493" spans="1:20" ht="27" customHeight="1" x14ac:dyDescent="0.25">
      <c r="A4493" s="8" t="s">
        <v>9325</v>
      </c>
      <c r="B4493" s="9" t="s">
        <v>1215</v>
      </c>
      <c r="C4493" s="9"/>
      <c r="D4493" s="8" t="s">
        <v>1225</v>
      </c>
      <c r="E4493" s="8">
        <v>2</v>
      </c>
      <c r="F4493" s="8" t="s">
        <v>22</v>
      </c>
      <c r="G4493" s="10" t="s">
        <v>9335</v>
      </c>
      <c r="H4493" s="8" t="s">
        <v>9336</v>
      </c>
      <c r="I4493" s="10" t="s">
        <v>9335</v>
      </c>
      <c r="J4493" s="11" t="s">
        <v>33</v>
      </c>
      <c r="K4493" s="18">
        <v>57050</v>
      </c>
      <c r="L4493" s="12">
        <f t="shared" si="384"/>
        <v>81500</v>
      </c>
      <c r="M4493" s="8">
        <v>1</v>
      </c>
      <c r="N4493" s="8" t="s">
        <v>27</v>
      </c>
      <c r="O4493" s="13"/>
      <c r="P4493" s="14">
        <v>0.2</v>
      </c>
      <c r="Q4493" s="15">
        <v>0.3</v>
      </c>
      <c r="R4493" s="16" t="str">
        <f t="shared" si="383"/>
        <v>TRAULUX</v>
      </c>
      <c r="S4493" s="17"/>
      <c r="T4493" s="10" t="str">
        <f t="shared" si="385"/>
        <v>SOPORTE PARA TV HASTA 70Kg. FIJO DE PARED.</v>
      </c>
    </row>
    <row r="4494" spans="1:20" ht="27" customHeight="1" x14ac:dyDescent="0.25">
      <c r="A4494" s="8" t="s">
        <v>9325</v>
      </c>
      <c r="B4494" s="9" t="s">
        <v>1215</v>
      </c>
      <c r="C4494" s="9"/>
      <c r="D4494" s="8" t="s">
        <v>1225</v>
      </c>
      <c r="E4494" s="8">
        <v>2</v>
      </c>
      <c r="F4494" s="8" t="s">
        <v>22</v>
      </c>
      <c r="G4494" s="10" t="s">
        <v>9337</v>
      </c>
      <c r="H4494" s="8" t="s">
        <v>9338</v>
      </c>
      <c r="I4494" s="10" t="s">
        <v>9339</v>
      </c>
      <c r="J4494" s="11" t="s">
        <v>33</v>
      </c>
      <c r="K4494" s="18">
        <v>1900000</v>
      </c>
      <c r="L4494" s="12">
        <f t="shared" si="384"/>
        <v>2714300</v>
      </c>
      <c r="M4494" s="8">
        <v>1</v>
      </c>
      <c r="N4494" s="8" t="e">
        <f>#REF!</f>
        <v>#REF!</v>
      </c>
      <c r="O4494" s="13"/>
      <c r="P4494" s="14">
        <v>0.2</v>
      </c>
      <c r="Q4494" s="15">
        <v>0.3</v>
      </c>
      <c r="R4494" s="16" t="str">
        <f t="shared" si="383"/>
        <v>TRAULUX</v>
      </c>
      <c r="S4494" s="17"/>
      <c r="T4494" s="10" t="str">
        <f t="shared" si="385"/>
        <v>SOPORTE DESPLEGABLE PARA PROYECTOR CON CAPACIDAD DE 17 KGR.</v>
      </c>
    </row>
    <row r="4495" spans="1:20" ht="27" customHeight="1" x14ac:dyDescent="0.25">
      <c r="A4495" s="8" t="s">
        <v>9325</v>
      </c>
      <c r="B4495" s="9"/>
      <c r="C4495" s="9"/>
      <c r="D4495" s="8" t="s">
        <v>45</v>
      </c>
      <c r="E4495" s="8"/>
      <c r="F4495" s="8" t="s">
        <v>22</v>
      </c>
      <c r="G4495" s="10" t="s">
        <v>9340</v>
      </c>
      <c r="H4495" s="8" t="s">
        <v>9341</v>
      </c>
      <c r="I4495" s="10" t="s">
        <v>9340</v>
      </c>
      <c r="J4495" s="11" t="s">
        <v>33</v>
      </c>
      <c r="K4495" s="18">
        <v>245000</v>
      </c>
      <c r="L4495" s="12">
        <f t="shared" si="384"/>
        <v>350000</v>
      </c>
      <c r="M4495" s="8">
        <v>1</v>
      </c>
      <c r="N4495" s="8" t="s">
        <v>27</v>
      </c>
      <c r="O4495" s="13"/>
      <c r="P4495" s="14">
        <v>0</v>
      </c>
      <c r="Q4495" s="15">
        <v>0.3</v>
      </c>
      <c r="R4495" s="16" t="str">
        <f t="shared" si="383"/>
        <v>TRAULUX</v>
      </c>
      <c r="S4495" s="17"/>
      <c r="T4495" s="10" t="str">
        <f t="shared" si="385"/>
        <v>SOPORTE PARA VIDEO WALL UNIVERSAL PARA PANTALLAS ENTRE 35" Y 70"</v>
      </c>
    </row>
    <row r="4496" spans="1:20" ht="27" customHeight="1" x14ac:dyDescent="0.25">
      <c r="A4496" s="8" t="s">
        <v>9325</v>
      </c>
      <c r="B4496" s="9"/>
      <c r="C4496" s="9"/>
      <c r="D4496" s="8" t="s">
        <v>45</v>
      </c>
      <c r="E4496" s="8"/>
      <c r="F4496" s="8" t="s">
        <v>22</v>
      </c>
      <c r="G4496" s="10" t="s">
        <v>9342</v>
      </c>
      <c r="H4496" s="8" t="s">
        <v>9343</v>
      </c>
      <c r="I4496" s="10" t="s">
        <v>9342</v>
      </c>
      <c r="J4496" s="11" t="s">
        <v>26</v>
      </c>
      <c r="K4496" s="18">
        <v>1559</v>
      </c>
      <c r="L4496" s="12">
        <f t="shared" si="384"/>
        <v>1948.75</v>
      </c>
      <c r="M4496" s="8">
        <v>1</v>
      </c>
      <c r="N4496" s="8" t="s">
        <v>27</v>
      </c>
      <c r="O4496" s="13"/>
      <c r="P4496" s="14">
        <v>0</v>
      </c>
      <c r="Q4496" s="15">
        <v>0.2</v>
      </c>
      <c r="R4496" s="16" t="str">
        <f t="shared" si="383"/>
        <v>TRAULUX</v>
      </c>
      <c r="S4496" s="17"/>
      <c r="T4496" s="10" t="str">
        <f t="shared" si="385"/>
        <v>MONITOR INDUSTRIAL DE 55 PULGADAS DE ESPESOR 5mm.</v>
      </c>
    </row>
    <row r="4497" spans="1:20" ht="27" customHeight="1" x14ac:dyDescent="0.25">
      <c r="A4497" s="8" t="s">
        <v>9325</v>
      </c>
      <c r="B4497" s="9"/>
      <c r="C4497" s="9"/>
      <c r="D4497" s="8" t="s">
        <v>45</v>
      </c>
      <c r="E4497" s="8"/>
      <c r="F4497" s="8" t="s">
        <v>22</v>
      </c>
      <c r="G4497" s="10" t="s">
        <v>9344</v>
      </c>
      <c r="H4497" s="8" t="s">
        <v>9345</v>
      </c>
      <c r="I4497" s="10" t="s">
        <v>9344</v>
      </c>
      <c r="J4497" s="11" t="s">
        <v>33</v>
      </c>
      <c r="K4497" s="18">
        <v>135000</v>
      </c>
      <c r="L4497" s="12">
        <f>ROUNDUP(K4497*(1+P4497)/(1-Q4497),0)</f>
        <v>192858</v>
      </c>
      <c r="M4497" s="8">
        <v>1</v>
      </c>
      <c r="N4497" s="8" t="s">
        <v>27</v>
      </c>
      <c r="O4497" s="13"/>
      <c r="P4497" s="14">
        <v>0</v>
      </c>
      <c r="Q4497" s="15">
        <v>0.3</v>
      </c>
      <c r="R4497" s="16" t="str">
        <f t="shared" si="383"/>
        <v>TRAULUX</v>
      </c>
      <c r="S4497" s="17"/>
      <c r="T4497" s="10" t="str">
        <f t="shared" si="385"/>
        <v xml:space="preserve">SOPORTE DE TECHO PARA TV DE HASTA 55" EN COLOR NEGRO. </v>
      </c>
    </row>
    <row r="4498" spans="1:20" ht="27" customHeight="1" x14ac:dyDescent="0.25">
      <c r="A4498" s="8" t="s">
        <v>9325</v>
      </c>
      <c r="B4498" s="9"/>
      <c r="C4498" s="9"/>
      <c r="D4498" s="8"/>
      <c r="E4498" s="8"/>
      <c r="F4498" s="8"/>
      <c r="G4498" s="10"/>
      <c r="H4498" s="8" t="s">
        <v>9346</v>
      </c>
      <c r="I4498" s="10" t="s">
        <v>9347</v>
      </c>
      <c r="J4498" s="11" t="s">
        <v>33</v>
      </c>
      <c r="K4498" s="18">
        <v>1100000</v>
      </c>
      <c r="L4498" s="12">
        <f>IF(J4498="P",ROUNDUP(K4498/(1-Q4498),-2),K4498*(1+P4498)/(1-Q4498))</f>
        <v>1692400</v>
      </c>
      <c r="M4498" s="8">
        <v>1</v>
      </c>
      <c r="N4498" s="8" t="s">
        <v>27</v>
      </c>
      <c r="O4498" s="13"/>
      <c r="P4498" s="14">
        <v>0</v>
      </c>
      <c r="Q4498" s="15">
        <v>0.35</v>
      </c>
      <c r="R4498" s="16" t="str">
        <f t="shared" si="383"/>
        <v>TRAULUX</v>
      </c>
      <c r="S4498" s="17"/>
      <c r="T4498" s="10"/>
    </row>
    <row r="4499" spans="1:20" ht="27" customHeight="1" x14ac:dyDescent="0.25">
      <c r="A4499" s="8" t="s">
        <v>9348</v>
      </c>
      <c r="B4499" s="9"/>
      <c r="C4499" s="9"/>
      <c r="D4499" s="8" t="s">
        <v>45</v>
      </c>
      <c r="E4499" s="8"/>
      <c r="F4499" s="8" t="s">
        <v>22</v>
      </c>
      <c r="G4499" s="10" t="s">
        <v>9349</v>
      </c>
      <c r="H4499" s="8" t="s">
        <v>9350</v>
      </c>
      <c r="I4499" s="10" t="s">
        <v>9349</v>
      </c>
      <c r="J4499" s="11" t="s">
        <v>33</v>
      </c>
      <c r="K4499" s="18">
        <v>165000</v>
      </c>
      <c r="L4499" s="12">
        <f>ROUNDUP(K4499*(1+P4499)/(1-Q4499),0)</f>
        <v>330000</v>
      </c>
      <c r="M4499" s="8">
        <v>1</v>
      </c>
      <c r="N4499" s="8" t="s">
        <v>27</v>
      </c>
      <c r="O4499" s="13"/>
      <c r="P4499" s="14">
        <v>0</v>
      </c>
      <c r="Q4499" s="15">
        <v>0.5</v>
      </c>
      <c r="R4499" s="16" t="str">
        <f t="shared" si="383"/>
        <v>TRAUTECH</v>
      </c>
      <c r="S4499" s="17"/>
      <c r="T4499" s="10" t="str">
        <f t="shared" ref="T4499:T4506" si="386">G4499</f>
        <v>SPLITTER ACTIVO 2K/4K HASTA 60 METROS DE DISTANCIA. GARANTÍA DE UN AÑO.</v>
      </c>
    </row>
    <row r="4500" spans="1:20" ht="27" customHeight="1" x14ac:dyDescent="0.25">
      <c r="A4500" s="8" t="s">
        <v>9348</v>
      </c>
      <c r="B4500" s="9"/>
      <c r="C4500" s="9"/>
      <c r="D4500" s="8" t="s">
        <v>45</v>
      </c>
      <c r="E4500" s="8"/>
      <c r="F4500" s="8" t="s">
        <v>22</v>
      </c>
      <c r="G4500" s="10" t="s">
        <v>9351</v>
      </c>
      <c r="H4500" s="8" t="s">
        <v>9352</v>
      </c>
      <c r="I4500" s="10" t="s">
        <v>9351</v>
      </c>
      <c r="J4500" s="11" t="s">
        <v>33</v>
      </c>
      <c r="K4500" s="18">
        <v>290000</v>
      </c>
      <c r="L4500" s="12">
        <f>ROUNDUP(K4500*(1+P4500)/(1-Q4500),0)</f>
        <v>580000</v>
      </c>
      <c r="M4500" s="8">
        <v>1</v>
      </c>
      <c r="N4500" s="8" t="s">
        <v>27</v>
      </c>
      <c r="O4500" s="13"/>
      <c r="P4500" s="14">
        <v>0</v>
      </c>
      <c r="Q4500" s="15">
        <v>0.5</v>
      </c>
      <c r="R4500" s="16" t="str">
        <f t="shared" si="383"/>
        <v>TRAUTECH</v>
      </c>
      <c r="S4500" s="17"/>
      <c r="T4500" s="10" t="str">
        <f t="shared" si="386"/>
        <v>SPLITTER 2K/4KHDMI DE 1X8, RESOLUCIÓN DE HASTA 1080P, GARANTÍA DE 1 AÑO.</v>
      </c>
    </row>
    <row r="4501" spans="1:20" ht="27" customHeight="1" x14ac:dyDescent="0.25">
      <c r="A4501" s="8" t="s">
        <v>9353</v>
      </c>
      <c r="B4501" s="9"/>
      <c r="C4501" s="9"/>
      <c r="D4501" s="8"/>
      <c r="E4501" s="8"/>
      <c r="F4501" s="8" t="s">
        <v>22</v>
      </c>
      <c r="G4501" s="10" t="s">
        <v>9354</v>
      </c>
      <c r="H4501" s="8" t="s">
        <v>9355</v>
      </c>
      <c r="I4501" s="10" t="s">
        <v>9354</v>
      </c>
      <c r="J4501" s="11" t="s">
        <v>33</v>
      </c>
      <c r="K4501" s="18">
        <v>110000</v>
      </c>
      <c r="L4501" s="12">
        <f>IF(J4501="P",ROUNDUP(K4501/(1-Q4501),-2),K4501*(1+P4501)/(1-Q4501))</f>
        <v>157200</v>
      </c>
      <c r="M4501" s="8">
        <v>1</v>
      </c>
      <c r="N4501" s="8" t="s">
        <v>27</v>
      </c>
      <c r="O4501" s="13"/>
      <c r="P4501" s="14">
        <v>0.2</v>
      </c>
      <c r="Q4501" s="15">
        <v>0.3</v>
      </c>
      <c r="R4501" s="16" t="str">
        <f t="shared" si="383"/>
        <v>TRENDNET</v>
      </c>
      <c r="S4501" s="17"/>
      <c r="T4501" s="10" t="str">
        <f t="shared" si="386"/>
        <v>SWITCH DE DATOS 10/100/1000 DE 8 PUERTOS.</v>
      </c>
    </row>
    <row r="4502" spans="1:20" ht="27" customHeight="1" x14ac:dyDescent="0.25">
      <c r="A4502" s="8" t="s">
        <v>9353</v>
      </c>
      <c r="B4502" s="9"/>
      <c r="C4502" s="9"/>
      <c r="D4502" s="8"/>
      <c r="E4502" s="8"/>
      <c r="F4502" s="8" t="s">
        <v>22</v>
      </c>
      <c r="G4502" s="10" t="s">
        <v>9356</v>
      </c>
      <c r="H4502" s="8" t="s">
        <v>9357</v>
      </c>
      <c r="I4502" s="10" t="s">
        <v>9356</v>
      </c>
      <c r="J4502" s="11" t="s">
        <v>33</v>
      </c>
      <c r="K4502" s="18">
        <v>1321000</v>
      </c>
      <c r="L4502" s="12">
        <f>IF(J4502="P",ROUNDUP(K4502/(1-Q4502),-2),K4502*(1+P4502)/(1-Q4502))</f>
        <v>1887200</v>
      </c>
      <c r="M4502" s="8">
        <v>1</v>
      </c>
      <c r="N4502" s="8" t="s">
        <v>27</v>
      </c>
      <c r="O4502" s="13"/>
      <c r="P4502" s="14">
        <v>0.2</v>
      </c>
      <c r="Q4502" s="15">
        <v>0.3</v>
      </c>
      <c r="R4502" s="16" t="str">
        <f t="shared" si="383"/>
        <v>TRENDNET</v>
      </c>
      <c r="S4502" s="17"/>
      <c r="T4502" s="10" t="str">
        <f t="shared" si="386"/>
        <v>SWITCH ETHERNET GIGA DE 24 PUERTOS</v>
      </c>
    </row>
    <row r="4503" spans="1:20" ht="27" customHeight="1" x14ac:dyDescent="0.25">
      <c r="A4503" s="8" t="s">
        <v>9353</v>
      </c>
      <c r="B4503" s="9"/>
      <c r="C4503" s="9"/>
      <c r="D4503" s="8"/>
      <c r="E4503" s="8"/>
      <c r="F4503" s="8" t="s">
        <v>22</v>
      </c>
      <c r="G4503" s="10" t="s">
        <v>9358</v>
      </c>
      <c r="H4503" s="8" t="s">
        <v>9359</v>
      </c>
      <c r="I4503" s="10" t="s">
        <v>9358</v>
      </c>
      <c r="J4503" s="11" t="s">
        <v>33</v>
      </c>
      <c r="K4503" s="18">
        <v>350000</v>
      </c>
      <c r="L4503" s="12">
        <f>IF(J4503="P",ROUNDUP(K4503/(1-Q4503),-2),K4503*(1+P4503)/(1-Q4503))</f>
        <v>437500</v>
      </c>
      <c r="M4503" s="8">
        <v>1</v>
      </c>
      <c r="N4503" s="8" t="s">
        <v>27</v>
      </c>
      <c r="O4503" s="13"/>
      <c r="P4503" s="14">
        <v>0.2</v>
      </c>
      <c r="Q4503" s="15">
        <v>0.2</v>
      </c>
      <c r="R4503" s="16" t="str">
        <f t="shared" si="383"/>
        <v>TRENDNET</v>
      </c>
      <c r="S4503" s="17"/>
      <c r="T4503" s="10" t="str">
        <f t="shared" si="386"/>
        <v>SWITCH DE DATOS ETHERNET CON VELOCIDAD GIGA ETHERNET, DE MONTAJE EN RACK</v>
      </c>
    </row>
    <row r="4504" spans="1:20" ht="27" customHeight="1" x14ac:dyDescent="0.25">
      <c r="A4504" s="8" t="s">
        <v>9353</v>
      </c>
      <c r="B4504" s="9"/>
      <c r="C4504" s="9"/>
      <c r="D4504" s="8"/>
      <c r="E4504" s="8"/>
      <c r="F4504" s="8" t="s">
        <v>22</v>
      </c>
      <c r="G4504" s="10" t="s">
        <v>9360</v>
      </c>
      <c r="H4504" s="8" t="s">
        <v>9361</v>
      </c>
      <c r="I4504" s="10" t="s">
        <v>9360</v>
      </c>
      <c r="J4504" s="11" t="s">
        <v>33</v>
      </c>
      <c r="K4504" s="18">
        <v>578000</v>
      </c>
      <c r="L4504" s="12">
        <f>IF(J4504="P",ROUNDUP(K4504/(1-Q4504),-2),K4504*(1+P4504)/(1-Q4504))</f>
        <v>825800</v>
      </c>
      <c r="M4504" s="8">
        <v>1</v>
      </c>
      <c r="N4504" s="8" t="s">
        <v>27</v>
      </c>
      <c r="O4504" s="13"/>
      <c r="P4504" s="14">
        <v>0</v>
      </c>
      <c r="Q4504" s="15">
        <v>0.3</v>
      </c>
      <c r="R4504" s="16" t="str">
        <f t="shared" si="383"/>
        <v>TRENDNET</v>
      </c>
      <c r="S4504" s="17"/>
      <c r="T4504" s="10" t="str">
        <f t="shared" si="386"/>
        <v>SWITCH POE GIGA ETHERNET DE 10 PUERTOS.</v>
      </c>
    </row>
    <row r="4505" spans="1:20" ht="27" customHeight="1" x14ac:dyDescent="0.25">
      <c r="A4505" s="8" t="s">
        <v>9353</v>
      </c>
      <c r="B4505" s="9"/>
      <c r="C4505" s="9"/>
      <c r="D4505" s="8" t="s">
        <v>45</v>
      </c>
      <c r="E4505" s="8"/>
      <c r="F4505" s="8" t="s">
        <v>22</v>
      </c>
      <c r="G4505" s="10" t="s">
        <v>9362</v>
      </c>
      <c r="H4505" s="8" t="s">
        <v>9363</v>
      </c>
      <c r="I4505" s="10" t="s">
        <v>9362</v>
      </c>
      <c r="J4505" s="11" t="s">
        <v>33</v>
      </c>
      <c r="K4505" s="18">
        <v>225990</v>
      </c>
      <c r="L4505" s="12">
        <f>IF(J4505="P",ROUNDUP(K4505/(1-Q4505),-2),K4505*(1+P4505)/(1-Q4505))</f>
        <v>282500</v>
      </c>
      <c r="M4505" s="8">
        <v>1</v>
      </c>
      <c r="N4505" s="8" t="s">
        <v>27</v>
      </c>
      <c r="O4505" s="13"/>
      <c r="P4505" s="14">
        <v>0</v>
      </c>
      <c r="Q4505" s="15">
        <v>0.2</v>
      </c>
      <c r="R4505" s="16" t="str">
        <f t="shared" si="383"/>
        <v>TRENDNET</v>
      </c>
      <c r="S4505" s="17"/>
      <c r="T4505" s="10" t="str">
        <f t="shared" si="386"/>
        <v>TRANSMISOR ETHERNET POR LÍNEA ELÉCTRICA.</v>
      </c>
    </row>
    <row r="4506" spans="1:20" ht="27" customHeight="1" x14ac:dyDescent="0.25">
      <c r="A4506" s="8" t="s">
        <v>9353</v>
      </c>
      <c r="B4506" s="9"/>
      <c r="C4506" s="9"/>
      <c r="D4506" s="8" t="s">
        <v>45</v>
      </c>
      <c r="E4506" s="8"/>
      <c r="F4506" s="8" t="s">
        <v>22</v>
      </c>
      <c r="G4506" s="10" t="s">
        <v>9364</v>
      </c>
      <c r="H4506" s="8" t="s">
        <v>9365</v>
      </c>
      <c r="I4506" s="10" t="s">
        <v>9364</v>
      </c>
      <c r="J4506" s="11" t="s">
        <v>33</v>
      </c>
      <c r="K4506" s="18">
        <v>60000</v>
      </c>
      <c r="L4506" s="12">
        <f>ROUNDUP(K4506*(1+P4506)/(1-Q4506),0)</f>
        <v>100000</v>
      </c>
      <c r="M4506" s="8">
        <v>1</v>
      </c>
      <c r="N4506" s="8" t="s">
        <v>27</v>
      </c>
      <c r="O4506" s="13"/>
      <c r="P4506" s="14">
        <v>0</v>
      </c>
      <c r="Q4506" s="15">
        <v>0.4</v>
      </c>
      <c r="R4506" s="16" t="str">
        <f t="shared" si="383"/>
        <v>TRENDNET</v>
      </c>
      <c r="S4506" s="17"/>
      <c r="T4506" s="10" t="str">
        <f t="shared" si="386"/>
        <v>CONVERSOR DE SERIAL A USB</v>
      </c>
    </row>
    <row r="4507" spans="1:20" ht="27" customHeight="1" x14ac:dyDescent="0.25">
      <c r="A4507" s="8" t="s">
        <v>9353</v>
      </c>
      <c r="B4507" s="9"/>
      <c r="C4507" s="9"/>
      <c r="D4507" s="8"/>
      <c r="E4507" s="8"/>
      <c r="F4507" s="8"/>
      <c r="G4507" s="10"/>
      <c r="H4507" s="8" t="s">
        <v>9366</v>
      </c>
      <c r="I4507" s="10" t="s">
        <v>9367</v>
      </c>
      <c r="J4507" s="11" t="s">
        <v>33</v>
      </c>
      <c r="K4507" s="18">
        <v>1566000</v>
      </c>
      <c r="L4507" s="12">
        <f>IF(J4507="P",ROUNDUP(K4507/(1-Q4507),-2),K4507*(1+P4507)/(1-Q4507))</f>
        <v>2237200</v>
      </c>
      <c r="M4507" s="8">
        <v>1</v>
      </c>
      <c r="N4507" s="8" t="s">
        <v>27</v>
      </c>
      <c r="O4507" s="13">
        <f>F4507</f>
        <v>0</v>
      </c>
      <c r="P4507" s="14">
        <v>0</v>
      </c>
      <c r="Q4507" s="15">
        <v>0.3</v>
      </c>
      <c r="R4507" s="16" t="str">
        <f t="shared" si="383"/>
        <v>TRENDNET</v>
      </c>
      <c r="S4507" s="17"/>
      <c r="T4507" s="10"/>
    </row>
    <row r="4508" spans="1:20" ht="27" customHeight="1" x14ac:dyDescent="0.25">
      <c r="A4508" s="8" t="s">
        <v>9368</v>
      </c>
      <c r="B4508" s="9"/>
      <c r="C4508" s="9"/>
      <c r="D4508" s="8"/>
      <c r="E4508" s="8"/>
      <c r="F4508" s="8"/>
      <c r="G4508" s="10"/>
      <c r="H4508" s="8" t="s">
        <v>9369</v>
      </c>
      <c r="I4508" s="10" t="s">
        <v>9370</v>
      </c>
      <c r="J4508" s="11" t="s">
        <v>26</v>
      </c>
      <c r="K4508" s="18">
        <v>65</v>
      </c>
      <c r="L4508" s="12">
        <f>IF(J4508="P",ROUNDUP(K4508/(1-Q4508),-2),K4508*(1+P4508)/(1-Q4508))</f>
        <v>130</v>
      </c>
      <c r="M4508" s="8">
        <v>1</v>
      </c>
      <c r="N4508" s="8" t="s">
        <v>27</v>
      </c>
      <c r="O4508" s="13"/>
      <c r="P4508" s="14">
        <v>0.2</v>
      </c>
      <c r="Q4508" s="15">
        <v>0.4</v>
      </c>
      <c r="R4508" s="16" t="str">
        <f t="shared" si="383"/>
        <v>TRIPP_LITE</v>
      </c>
      <c r="S4508" s="17"/>
      <c r="T4508" s="10"/>
    </row>
    <row r="4509" spans="1:20" ht="27" customHeight="1" x14ac:dyDescent="0.25">
      <c r="A4509" s="8" t="s">
        <v>9371</v>
      </c>
      <c r="B4509" s="9" t="s">
        <v>595</v>
      </c>
      <c r="C4509" s="9"/>
      <c r="D4509" s="8" t="s">
        <v>595</v>
      </c>
      <c r="E4509" s="8">
        <v>1</v>
      </c>
      <c r="F4509" s="8" t="s">
        <v>22</v>
      </c>
      <c r="G4509" s="10" t="s">
        <v>9372</v>
      </c>
      <c r="H4509" s="8" t="s">
        <v>9373</v>
      </c>
      <c r="I4509" s="10" t="s">
        <v>9372</v>
      </c>
      <c r="J4509" s="11" t="s">
        <v>26</v>
      </c>
      <c r="K4509" s="18">
        <v>170</v>
      </c>
      <c r="L4509" s="12">
        <f>IF(J4509="P",ROUNDUP(K4509/(1-Q4509),-2),K4509*(1+P4509)/(1-Q4509))</f>
        <v>291.42857142857144</v>
      </c>
      <c r="M4509" s="8">
        <v>1</v>
      </c>
      <c r="N4509" s="8" t="s">
        <v>27</v>
      </c>
      <c r="O4509" s="13"/>
      <c r="P4509" s="14">
        <v>0.2</v>
      </c>
      <c r="Q4509" s="15">
        <v>0.3</v>
      </c>
      <c r="R4509" s="16" t="str">
        <f t="shared" si="383"/>
        <v>TRIPPLITE</v>
      </c>
      <c r="S4509" s="17"/>
      <c r="T4509" s="10" t="str">
        <f>G4509</f>
        <v>UPS DE 500VA, PARA MONTAJE EN RACK.</v>
      </c>
    </row>
    <row r="4510" spans="1:20" ht="27" customHeight="1" x14ac:dyDescent="0.25">
      <c r="A4510" s="8" t="s">
        <v>9374</v>
      </c>
      <c r="B4510" s="9"/>
      <c r="C4510" s="9"/>
      <c r="D4510" s="8"/>
      <c r="E4510" s="8"/>
      <c r="F4510" s="8"/>
      <c r="G4510" s="10"/>
      <c r="H4510" s="8" t="s">
        <v>9375</v>
      </c>
      <c r="I4510" s="10" t="s">
        <v>9376</v>
      </c>
      <c r="J4510" s="11" t="s">
        <v>26</v>
      </c>
      <c r="K4510" s="18">
        <v>24</v>
      </c>
      <c r="L4510" s="12">
        <f>K4510*(1+P4510)/(1-Q4510)</f>
        <v>35.999999999999993</v>
      </c>
      <c r="M4510" s="8">
        <v>1</v>
      </c>
      <c r="N4510" s="8" t="s">
        <v>27</v>
      </c>
      <c r="O4510" s="13"/>
      <c r="P4510" s="14">
        <v>0.2</v>
      </c>
      <c r="Q4510" s="15">
        <v>0.2</v>
      </c>
      <c r="R4510" s="16" t="str">
        <f t="shared" si="383"/>
        <v>TRULINK</v>
      </c>
      <c r="S4510" s="17"/>
      <c r="T4510" s="10"/>
    </row>
    <row r="4511" spans="1:20" ht="27" customHeight="1" x14ac:dyDescent="0.25">
      <c r="A4511" s="8" t="s">
        <v>9374</v>
      </c>
      <c r="B4511" s="9"/>
      <c r="C4511" s="9"/>
      <c r="D4511" s="8"/>
      <c r="E4511" s="8"/>
      <c r="F4511" s="8"/>
      <c r="G4511" s="10"/>
      <c r="H4511" s="8" t="s">
        <v>9377</v>
      </c>
      <c r="I4511" s="10" t="s">
        <v>9378</v>
      </c>
      <c r="J4511" s="11" t="s">
        <v>26</v>
      </c>
      <c r="K4511" s="18">
        <v>13</v>
      </c>
      <c r="L4511" s="12">
        <f>K4511*(1+P4511)/(1-Q4511)</f>
        <v>14.444444444444445</v>
      </c>
      <c r="M4511" s="8">
        <v>1</v>
      </c>
      <c r="N4511" s="8" t="s">
        <v>27</v>
      </c>
      <c r="O4511" s="13"/>
      <c r="P4511" s="14">
        <v>0</v>
      </c>
      <c r="Q4511" s="15">
        <v>0.1</v>
      </c>
      <c r="R4511" s="16" t="str">
        <f t="shared" si="383"/>
        <v>TRULINK</v>
      </c>
      <c r="S4511" s="17"/>
      <c r="T4511" s="10"/>
    </row>
    <row r="4512" spans="1:20" ht="27" customHeight="1" x14ac:dyDescent="0.25">
      <c r="A4512" s="8" t="s">
        <v>9379</v>
      </c>
      <c r="B4512" s="9"/>
      <c r="C4512" s="9"/>
      <c r="D4512" s="8"/>
      <c r="E4512" s="8"/>
      <c r="F4512" s="8" t="s">
        <v>22</v>
      </c>
      <c r="G4512" s="10" t="s">
        <v>9380</v>
      </c>
      <c r="H4512" s="8" t="s">
        <v>9381</v>
      </c>
      <c r="I4512" s="10" t="s">
        <v>9382</v>
      </c>
      <c r="J4512" s="11" t="s">
        <v>33</v>
      </c>
      <c r="K4512" s="18">
        <v>380000</v>
      </c>
      <c r="L4512" s="12">
        <f t="shared" ref="L4512:L4520" si="387">IF(J4512="P",ROUNDUP(K4512/(1-Q4512),-2),K4512*(1+P4512)/(1-Q4512))</f>
        <v>506700</v>
      </c>
      <c r="M4512" s="8">
        <v>1</v>
      </c>
      <c r="N4512" s="8" t="s">
        <v>27</v>
      </c>
      <c r="O4512" s="13"/>
      <c r="P4512" s="14">
        <v>0</v>
      </c>
      <c r="Q4512" s="15">
        <v>0.25</v>
      </c>
      <c r="R4512" s="16" t="str">
        <f t="shared" si="383"/>
        <v>UBIQUITI</v>
      </c>
      <c r="S4512" s="17"/>
      <c r="T4512" s="10" t="str">
        <f>G4512</f>
        <v>ACCESS POINT DE LARGO ALCANCE EN DOS BANDAS.</v>
      </c>
    </row>
    <row r="4513" spans="1:20" ht="27" customHeight="1" x14ac:dyDescent="0.25">
      <c r="A4513" s="8" t="s">
        <v>9379</v>
      </c>
      <c r="B4513" s="9"/>
      <c r="C4513" s="9"/>
      <c r="D4513" s="8"/>
      <c r="E4513" s="8"/>
      <c r="F4513" s="8" t="s">
        <v>22</v>
      </c>
      <c r="G4513" s="10" t="s">
        <v>9383</v>
      </c>
      <c r="H4513" s="8" t="s">
        <v>9384</v>
      </c>
      <c r="I4513" s="10" t="s">
        <v>9383</v>
      </c>
      <c r="J4513" s="11" t="s">
        <v>33</v>
      </c>
      <c r="K4513" s="18">
        <v>445000</v>
      </c>
      <c r="L4513" s="12">
        <f t="shared" si="387"/>
        <v>635800</v>
      </c>
      <c r="M4513" s="8">
        <v>1</v>
      </c>
      <c r="N4513" s="8" t="s">
        <v>27</v>
      </c>
      <c r="O4513" s="13"/>
      <c r="P4513" s="14">
        <v>0.2</v>
      </c>
      <c r="Q4513" s="15">
        <v>0.3</v>
      </c>
      <c r="R4513" s="16" t="str">
        <f t="shared" si="383"/>
        <v>UBIQUITI</v>
      </c>
      <c r="S4513" s="17"/>
      <c r="T4513" s="10" t="str">
        <f>G4513</f>
        <v>ACCESS POINT OMNI DIRECCIONAL CON GESTOR DE COMUNICACIÓN.</v>
      </c>
    </row>
    <row r="4514" spans="1:20" ht="27" customHeight="1" x14ac:dyDescent="0.25">
      <c r="A4514" s="8" t="s">
        <v>9379</v>
      </c>
      <c r="B4514" s="9"/>
      <c r="C4514" s="9"/>
      <c r="D4514" s="8"/>
      <c r="E4514" s="8"/>
      <c r="F4514" s="8" t="s">
        <v>22</v>
      </c>
      <c r="G4514" s="10" t="s">
        <v>9385</v>
      </c>
      <c r="H4514" s="8" t="s">
        <v>9386</v>
      </c>
      <c r="I4514" s="10" t="s">
        <v>9385</v>
      </c>
      <c r="J4514" s="11" t="s">
        <v>33</v>
      </c>
      <c r="K4514" s="18">
        <v>529500</v>
      </c>
      <c r="L4514" s="12">
        <f t="shared" si="387"/>
        <v>661900</v>
      </c>
      <c r="M4514" s="8">
        <v>1</v>
      </c>
      <c r="N4514" s="8" t="s">
        <v>27</v>
      </c>
      <c r="O4514" s="13"/>
      <c r="P4514" s="14">
        <v>0.2</v>
      </c>
      <c r="Q4514" s="15">
        <v>0.2</v>
      </c>
      <c r="R4514" s="16" t="str">
        <f t="shared" si="383"/>
        <v>UBIQUITI</v>
      </c>
      <c r="S4514" s="17"/>
      <c r="T4514" s="10" t="str">
        <f>G4514</f>
        <v xml:space="preserve">ACCESS POINT DE DOBLE FRECUENCIA, DE LARGO ALCANCE Y ROAMING. </v>
      </c>
    </row>
    <row r="4515" spans="1:20" ht="27" customHeight="1" x14ac:dyDescent="0.25">
      <c r="A4515" s="8" t="s">
        <v>9379</v>
      </c>
      <c r="B4515" s="9"/>
      <c r="C4515" s="9"/>
      <c r="D4515" s="8"/>
      <c r="E4515" s="8"/>
      <c r="F4515" s="8" t="s">
        <v>22</v>
      </c>
      <c r="G4515" s="10" t="s">
        <v>9387</v>
      </c>
      <c r="H4515" s="8" t="s">
        <v>9388</v>
      </c>
      <c r="I4515" s="10" t="s">
        <v>9387</v>
      </c>
      <c r="J4515" s="11" t="s">
        <v>26</v>
      </c>
      <c r="K4515" s="18">
        <v>936</v>
      </c>
      <c r="L4515" s="12">
        <f t="shared" si="387"/>
        <v>1604.5714285714287</v>
      </c>
      <c r="M4515" s="8">
        <v>1</v>
      </c>
      <c r="N4515" s="8" t="s">
        <v>27</v>
      </c>
      <c r="O4515" s="13"/>
      <c r="P4515" s="14">
        <v>0.2</v>
      </c>
      <c r="Q4515" s="15">
        <v>0.3</v>
      </c>
      <c r="R4515" s="16" t="str">
        <f t="shared" si="383"/>
        <v>UBIQUITI</v>
      </c>
      <c r="S4515" s="17"/>
      <c r="T4515" s="10" t="str">
        <f>G4515</f>
        <v>SWITCH CON ALIMENTADORES PoE DE 48 PUERTOS.</v>
      </c>
    </row>
    <row r="4516" spans="1:20" ht="27" customHeight="1" x14ac:dyDescent="0.25">
      <c r="A4516" s="8" t="s">
        <v>9379</v>
      </c>
      <c r="B4516" s="9"/>
      <c r="C4516" s="9"/>
      <c r="D4516" s="8"/>
      <c r="E4516" s="8"/>
      <c r="F4516" s="8" t="s">
        <v>22</v>
      </c>
      <c r="G4516" s="10" t="s">
        <v>9389</v>
      </c>
      <c r="H4516" s="8" t="s">
        <v>9390</v>
      </c>
      <c r="I4516" s="10" t="s">
        <v>9389</v>
      </c>
      <c r="J4516" s="11" t="s">
        <v>33</v>
      </c>
      <c r="K4516" s="18">
        <v>55000</v>
      </c>
      <c r="L4516" s="12">
        <f t="shared" si="387"/>
        <v>91700</v>
      </c>
      <c r="M4516" s="8">
        <v>1</v>
      </c>
      <c r="N4516" s="8" t="s">
        <v>27</v>
      </c>
      <c r="O4516" s="13"/>
      <c r="P4516" s="14">
        <v>0.2</v>
      </c>
      <c r="Q4516" s="15">
        <v>0.4</v>
      </c>
      <c r="R4516" s="16" t="str">
        <f t="shared" si="383"/>
        <v>UBIQUITI</v>
      </c>
      <c r="S4516" s="17"/>
      <c r="T4516" s="10" t="str">
        <f>G4516</f>
        <v>INYECTOR PoE de 24 VATIOS</v>
      </c>
    </row>
    <row r="4517" spans="1:20" ht="27" customHeight="1" x14ac:dyDescent="0.25">
      <c r="A4517" s="8" t="s">
        <v>9379</v>
      </c>
      <c r="B4517" s="9"/>
      <c r="C4517" s="9"/>
      <c r="D4517" s="8"/>
      <c r="E4517" s="8"/>
      <c r="F4517" s="8"/>
      <c r="G4517" s="10"/>
      <c r="H4517" s="8" t="s">
        <v>9391</v>
      </c>
      <c r="I4517" s="10" t="s">
        <v>9392</v>
      </c>
      <c r="J4517" s="11" t="s">
        <v>33</v>
      </c>
      <c r="K4517" s="18">
        <f>650000/1.19</f>
        <v>546218.48739495804</v>
      </c>
      <c r="L4517" s="12">
        <f t="shared" si="387"/>
        <v>728300</v>
      </c>
      <c r="M4517" s="8">
        <v>1</v>
      </c>
      <c r="N4517" s="8" t="s">
        <v>27</v>
      </c>
      <c r="O4517" s="13"/>
      <c r="P4517" s="14">
        <v>0</v>
      </c>
      <c r="Q4517" s="15">
        <v>0.25</v>
      </c>
      <c r="R4517" s="16" t="str">
        <f t="shared" si="383"/>
        <v>UBIQUITI</v>
      </c>
      <c r="S4517" s="17"/>
      <c r="T4517" s="10"/>
    </row>
    <row r="4518" spans="1:20" ht="27" customHeight="1" x14ac:dyDescent="0.25">
      <c r="A4518" s="8" t="s">
        <v>9379</v>
      </c>
      <c r="B4518" s="9"/>
      <c r="C4518" s="9"/>
      <c r="D4518" s="8"/>
      <c r="E4518" s="8"/>
      <c r="F4518" s="8"/>
      <c r="G4518" s="10"/>
      <c r="H4518" s="8" t="s">
        <v>9393</v>
      </c>
      <c r="I4518" s="10" t="s">
        <v>9394</v>
      </c>
      <c r="J4518" s="11" t="s">
        <v>697</v>
      </c>
      <c r="K4518" s="18">
        <f>410000/1.19</f>
        <v>344537.81512605044</v>
      </c>
      <c r="L4518" s="12">
        <f t="shared" si="387"/>
        <v>492200</v>
      </c>
      <c r="M4518" s="8">
        <v>1</v>
      </c>
      <c r="N4518" s="8" t="s">
        <v>27</v>
      </c>
      <c r="O4518" s="13"/>
      <c r="P4518" s="14">
        <v>0</v>
      </c>
      <c r="Q4518" s="15">
        <v>0.3</v>
      </c>
      <c r="R4518" s="16" t="str">
        <f t="shared" si="383"/>
        <v>UBIQUITI</v>
      </c>
      <c r="S4518" s="17"/>
      <c r="T4518" s="10"/>
    </row>
    <row r="4519" spans="1:20" ht="27" customHeight="1" x14ac:dyDescent="0.25">
      <c r="A4519" s="8" t="s">
        <v>9379</v>
      </c>
      <c r="B4519" s="9"/>
      <c r="C4519" s="9"/>
      <c r="D4519" s="8"/>
      <c r="E4519" s="8"/>
      <c r="F4519" s="8"/>
      <c r="G4519" s="10"/>
      <c r="H4519" s="8" t="s">
        <v>9395</v>
      </c>
      <c r="I4519" s="10" t="s">
        <v>9396</v>
      </c>
      <c r="J4519" s="11" t="s">
        <v>33</v>
      </c>
      <c r="K4519" s="18">
        <v>738000</v>
      </c>
      <c r="L4519" s="12">
        <f t="shared" si="387"/>
        <v>1054300</v>
      </c>
      <c r="M4519" s="8">
        <v>1</v>
      </c>
      <c r="N4519" s="8" t="s">
        <v>27</v>
      </c>
      <c r="O4519" s="13"/>
      <c r="P4519" s="14">
        <v>0</v>
      </c>
      <c r="Q4519" s="15">
        <v>0.3</v>
      </c>
      <c r="R4519" s="16" t="str">
        <f t="shared" si="383"/>
        <v>UBIQUITI</v>
      </c>
      <c r="S4519" s="17"/>
      <c r="T4519" s="10"/>
    </row>
    <row r="4520" spans="1:20" ht="27" customHeight="1" x14ac:dyDescent="0.25">
      <c r="A4520" s="8" t="s">
        <v>9379</v>
      </c>
      <c r="B4520" s="9"/>
      <c r="C4520" s="9"/>
      <c r="D4520" s="8"/>
      <c r="E4520" s="8"/>
      <c r="F4520" s="8"/>
      <c r="G4520" s="10"/>
      <c r="H4520" s="8" t="s">
        <v>9397</v>
      </c>
      <c r="I4520" s="10" t="s">
        <v>9398</v>
      </c>
      <c r="J4520" s="11" t="s">
        <v>33</v>
      </c>
      <c r="K4520" s="18">
        <v>892000</v>
      </c>
      <c r="L4520" s="12">
        <f t="shared" si="387"/>
        <v>1274300</v>
      </c>
      <c r="M4520" s="8">
        <v>1</v>
      </c>
      <c r="N4520" s="8" t="s">
        <v>27</v>
      </c>
      <c r="O4520" s="13"/>
      <c r="P4520" s="14">
        <v>0</v>
      </c>
      <c r="Q4520" s="15">
        <v>0.3</v>
      </c>
      <c r="R4520" s="16" t="str">
        <f t="shared" si="383"/>
        <v>UBIQUITI</v>
      </c>
      <c r="S4520" s="17"/>
      <c r="T4520" s="10"/>
    </row>
    <row r="4521" spans="1:20" ht="27" customHeight="1" x14ac:dyDescent="0.25">
      <c r="A4521" s="8" t="s">
        <v>9379</v>
      </c>
      <c r="B4521" s="9"/>
      <c r="C4521" s="9"/>
      <c r="D4521" s="8"/>
      <c r="E4521" s="8"/>
      <c r="F4521" s="8"/>
      <c r="G4521" s="10"/>
      <c r="H4521" s="8" t="s">
        <v>9399</v>
      </c>
      <c r="I4521" s="10" t="s">
        <v>9400</v>
      </c>
      <c r="J4521" s="11" t="s">
        <v>33</v>
      </c>
      <c r="K4521" s="18">
        <v>414285.7</v>
      </c>
      <c r="L4521" s="12">
        <f>ROUNDUP(K4521*(1+P4521)/(1-Q4521),0)</f>
        <v>591837</v>
      </c>
      <c r="M4521" s="8">
        <v>1</v>
      </c>
      <c r="N4521" s="8" t="s">
        <v>27</v>
      </c>
      <c r="O4521" s="13"/>
      <c r="P4521" s="14">
        <v>0</v>
      </c>
      <c r="Q4521" s="15">
        <v>0.3</v>
      </c>
      <c r="R4521" s="16" t="str">
        <f t="shared" si="383"/>
        <v>UBIQUITI</v>
      </c>
      <c r="S4521" s="17"/>
      <c r="T4521" s="10"/>
    </row>
    <row r="4522" spans="1:20" ht="27" customHeight="1" x14ac:dyDescent="0.25">
      <c r="A4522" s="8" t="s">
        <v>9379</v>
      </c>
      <c r="B4522" s="9"/>
      <c r="C4522" s="9"/>
      <c r="D4522" s="8"/>
      <c r="E4522" s="8"/>
      <c r="F4522" s="8"/>
      <c r="G4522" s="10"/>
      <c r="H4522" s="8" t="s">
        <v>9401</v>
      </c>
      <c r="I4522" s="10" t="s">
        <v>9402</v>
      </c>
      <c r="J4522" s="11" t="s">
        <v>26</v>
      </c>
      <c r="K4522" s="18">
        <v>110</v>
      </c>
      <c r="L4522" s="12">
        <f>K4522*(1+P4522)/(1-Q4522)</f>
        <v>188.57142857142858</v>
      </c>
      <c r="M4522" s="8">
        <v>1</v>
      </c>
      <c r="N4522" s="8" t="s">
        <v>27</v>
      </c>
      <c r="O4522" s="13"/>
      <c r="P4522" s="14">
        <v>0.2</v>
      </c>
      <c r="Q4522" s="15">
        <v>0.3</v>
      </c>
      <c r="R4522" s="16" t="str">
        <f t="shared" si="383"/>
        <v>UBIQUITI</v>
      </c>
      <c r="S4522" s="17" t="s">
        <v>9403</v>
      </c>
      <c r="T4522" s="10"/>
    </row>
    <row r="4523" spans="1:20" ht="27" customHeight="1" x14ac:dyDescent="0.25">
      <c r="A4523" s="8" t="s">
        <v>9379</v>
      </c>
      <c r="B4523" s="9"/>
      <c r="C4523" s="9"/>
      <c r="D4523" s="8"/>
      <c r="E4523" s="8"/>
      <c r="F4523" s="8"/>
      <c r="G4523" s="10"/>
      <c r="H4523" s="8" t="s">
        <v>9404</v>
      </c>
      <c r="I4523" s="10" t="s">
        <v>9405</v>
      </c>
      <c r="J4523" s="11" t="s">
        <v>33</v>
      </c>
      <c r="K4523" s="18">
        <v>1197000</v>
      </c>
      <c r="L4523" s="12">
        <f>IF(J4523="P",ROUNDUP(K4523/(1-Q4523),-2),K4523*(1+P4523)/(1-Q4523))</f>
        <v>1710000</v>
      </c>
      <c r="M4523" s="8">
        <v>1</v>
      </c>
      <c r="N4523" s="8" t="s">
        <v>27</v>
      </c>
      <c r="O4523" s="13">
        <f>F4523</f>
        <v>0</v>
      </c>
      <c r="P4523" s="14">
        <v>0</v>
      </c>
      <c r="Q4523" s="15">
        <v>0.3</v>
      </c>
      <c r="R4523" s="16" t="str">
        <f t="shared" si="383"/>
        <v>UBIQUITI</v>
      </c>
      <c r="S4523" s="17"/>
      <c r="T4523" s="10"/>
    </row>
    <row r="4524" spans="1:20" ht="27" customHeight="1" x14ac:dyDescent="0.25">
      <c r="A4524" s="8" t="s">
        <v>9406</v>
      </c>
      <c r="B4524" s="9"/>
      <c r="C4524" s="9"/>
      <c r="D4524" s="8"/>
      <c r="E4524" s="8"/>
      <c r="F4524" s="8"/>
      <c r="G4524" s="10"/>
      <c r="H4524" s="8" t="s">
        <v>9407</v>
      </c>
      <c r="I4524" s="10" t="s">
        <v>9408</v>
      </c>
      <c r="J4524" s="11" t="s">
        <v>33</v>
      </c>
      <c r="K4524" s="18">
        <v>5600</v>
      </c>
      <c r="L4524" s="12">
        <f>ROUNDUP(K4524*(1+P4524)/(1-Q4524),0)</f>
        <v>9334</v>
      </c>
      <c r="M4524" s="8">
        <v>1</v>
      </c>
      <c r="N4524" s="8" t="s">
        <v>27</v>
      </c>
      <c r="O4524" s="13"/>
      <c r="P4524" s="14">
        <v>0</v>
      </c>
      <c r="Q4524" s="15">
        <v>0.4</v>
      </c>
      <c r="R4524" s="16" t="str">
        <f t="shared" si="383"/>
        <v>UDUKE</v>
      </c>
      <c r="S4524" s="17"/>
      <c r="T4524" s="10"/>
    </row>
    <row r="4525" spans="1:20" ht="27" customHeight="1" x14ac:dyDescent="0.25">
      <c r="A4525" s="8" t="s">
        <v>9409</v>
      </c>
      <c r="B4525" s="9"/>
      <c r="C4525" s="9"/>
      <c r="D4525" s="8"/>
      <c r="E4525" s="8"/>
      <c r="F4525" s="8" t="s">
        <v>22</v>
      </c>
      <c r="G4525" s="10" t="s">
        <v>9410</v>
      </c>
      <c r="H4525" s="8" t="s">
        <v>9411</v>
      </c>
      <c r="I4525" s="10" t="s">
        <v>9410</v>
      </c>
      <c r="J4525" s="11" t="s">
        <v>26</v>
      </c>
      <c r="K4525" s="18">
        <v>16</v>
      </c>
      <c r="L4525" s="12">
        <f>IF(J4525="P",ROUNDUP(K4525/(1-Q4525),-2),K4525*(1+P4525)/(1-Q4525))</f>
        <v>23.999999999999996</v>
      </c>
      <c r="M4525" s="8">
        <v>1</v>
      </c>
      <c r="N4525" s="8" t="s">
        <v>27</v>
      </c>
      <c r="O4525" s="13"/>
      <c r="P4525" s="14">
        <v>0.2</v>
      </c>
      <c r="Q4525" s="15">
        <v>0.2</v>
      </c>
      <c r="R4525" s="16" t="str">
        <f t="shared" si="383"/>
        <v>UGREEN</v>
      </c>
      <c r="S4525" s="17"/>
      <c r="T4525" s="10" t="str">
        <f t="shared" ref="T4525:T4530" si="388">G4525</f>
        <v>CONVERSOR DE HDMI A VGA</v>
      </c>
    </row>
    <row r="4526" spans="1:20" ht="27" customHeight="1" x14ac:dyDescent="0.25">
      <c r="A4526" s="8" t="s">
        <v>9412</v>
      </c>
      <c r="B4526" s="9"/>
      <c r="C4526" s="9"/>
      <c r="D4526" s="8"/>
      <c r="E4526" s="8"/>
      <c r="F4526" s="8" t="s">
        <v>22</v>
      </c>
      <c r="G4526" s="10" t="s">
        <v>9413</v>
      </c>
      <c r="H4526" s="8" t="s">
        <v>9414</v>
      </c>
      <c r="I4526" s="10" t="s">
        <v>9413</v>
      </c>
      <c r="J4526" s="11" t="s">
        <v>33</v>
      </c>
      <c r="K4526" s="18">
        <v>542400</v>
      </c>
      <c r="L4526" s="12">
        <f>IF(J4526="P",ROUNDUP(K4526/(1-Q4526),-2),K4526*(1+P4526)/(1-Q4526))</f>
        <v>904000</v>
      </c>
      <c r="M4526" s="8">
        <v>1</v>
      </c>
      <c r="N4526" s="8" t="s">
        <v>27</v>
      </c>
      <c r="O4526" s="13" t="s">
        <v>588</v>
      </c>
      <c r="P4526" s="14">
        <v>0</v>
      </c>
      <c r="Q4526" s="15">
        <v>0.4</v>
      </c>
      <c r="R4526" s="16" t="str">
        <f t="shared" si="383"/>
        <v>ULTRASYNC</v>
      </c>
      <c r="S4526" s="17"/>
      <c r="T4526" s="10" t="str">
        <f t="shared" si="388"/>
        <v>PANEL DE 64 ZONAS CON MONITOREO MEDIANTE APP.</v>
      </c>
    </row>
    <row r="4527" spans="1:20" ht="27" customHeight="1" x14ac:dyDescent="0.25">
      <c r="A4527" s="8" t="s">
        <v>9412</v>
      </c>
      <c r="B4527" s="9"/>
      <c r="C4527" s="9"/>
      <c r="D4527" s="8"/>
      <c r="E4527" s="8"/>
      <c r="F4527" s="8" t="s">
        <v>22</v>
      </c>
      <c r="G4527" s="10" t="s">
        <v>5023</v>
      </c>
      <c r="H4527" s="8" t="s">
        <v>9415</v>
      </c>
      <c r="I4527" s="10" t="s">
        <v>5023</v>
      </c>
      <c r="J4527" s="11" t="s">
        <v>33</v>
      </c>
      <c r="K4527" s="18">
        <v>40500</v>
      </c>
      <c r="L4527" s="12">
        <f>IF(J4527="P",ROUNDUP(K4527/(1-Q4527),-2),K4527*(1+P4527)/(1-Q4527))</f>
        <v>67500</v>
      </c>
      <c r="M4527" s="8">
        <v>1</v>
      </c>
      <c r="N4527" s="8" t="s">
        <v>27</v>
      </c>
      <c r="O4527" s="13" t="s">
        <v>588</v>
      </c>
      <c r="P4527" s="14">
        <v>0</v>
      </c>
      <c r="Q4527" s="15">
        <v>0.4</v>
      </c>
      <c r="R4527" s="16" t="str">
        <f t="shared" ref="R4527:R4590" si="389">A4527</f>
        <v>ULTRASYNC</v>
      </c>
      <c r="S4527" s="17"/>
      <c r="T4527" s="10" t="str">
        <f t="shared" si="388"/>
        <v>SENSOR MAGNÉTICO INALÁMBRICO PARA DETECCIÓN DE APERTURA.</v>
      </c>
    </row>
    <row r="4528" spans="1:20" ht="27" customHeight="1" x14ac:dyDescent="0.25">
      <c r="A4528" s="8" t="s">
        <v>9412</v>
      </c>
      <c r="B4528" s="9"/>
      <c r="C4528" s="9"/>
      <c r="D4528" s="8"/>
      <c r="E4528" s="8"/>
      <c r="F4528" s="8" t="s">
        <v>22</v>
      </c>
      <c r="G4528" s="10" t="s">
        <v>9416</v>
      </c>
      <c r="H4528" s="8" t="s">
        <v>9417</v>
      </c>
      <c r="I4528" s="10" t="s">
        <v>9416</v>
      </c>
      <c r="J4528" s="11" t="s">
        <v>33</v>
      </c>
      <c r="K4528" s="18">
        <v>71000</v>
      </c>
      <c r="L4528" s="12">
        <f>IF(J4528="P",ROUNDUP(K4528/(1-Q4528),-2),K4528*(1+P4528)/(1-Q4528))</f>
        <v>118400</v>
      </c>
      <c r="M4528" s="8">
        <v>1</v>
      </c>
      <c r="N4528" s="8" t="s">
        <v>27</v>
      </c>
      <c r="O4528" s="13" t="s">
        <v>588</v>
      </c>
      <c r="P4528" s="14">
        <v>0</v>
      </c>
      <c r="Q4528" s="15">
        <v>0.4</v>
      </c>
      <c r="R4528" s="16" t="str">
        <f t="shared" si="389"/>
        <v>ULTRASYNC</v>
      </c>
      <c r="S4528" s="17"/>
      <c r="T4528" s="10" t="str">
        <f t="shared" si="388"/>
        <v xml:space="preserve">SENSOR INALÁMBRICO DE PRESENCIA PIR. </v>
      </c>
    </row>
    <row r="4529" spans="1:20" ht="27" customHeight="1" x14ac:dyDescent="0.25">
      <c r="A4529" s="8" t="s">
        <v>9412</v>
      </c>
      <c r="B4529" s="9"/>
      <c r="C4529" s="9"/>
      <c r="D4529" s="8"/>
      <c r="E4529" s="8"/>
      <c r="F4529" s="8" t="s">
        <v>22</v>
      </c>
      <c r="G4529" s="10" t="s">
        <v>9418</v>
      </c>
      <c r="H4529" s="8" t="s">
        <v>9419</v>
      </c>
      <c r="I4529" s="10" t="s">
        <v>9418</v>
      </c>
      <c r="J4529" s="11" t="s">
        <v>33</v>
      </c>
      <c r="K4529" s="18">
        <v>320000</v>
      </c>
      <c r="L4529" s="12">
        <f>IF(J4529="P",ROUNDUP(K4529/(1-Q4529),-2),K4529*(1+P4529)/(1-Q4529))</f>
        <v>533400</v>
      </c>
      <c r="M4529" s="8">
        <v>1</v>
      </c>
      <c r="N4529" s="8" t="s">
        <v>27</v>
      </c>
      <c r="O4529" s="13" t="s">
        <v>588</v>
      </c>
      <c r="P4529" s="14">
        <v>0</v>
      </c>
      <c r="Q4529" s="15">
        <v>0.4</v>
      </c>
      <c r="R4529" s="16" t="str">
        <f t="shared" si="389"/>
        <v>ULTRASYNC</v>
      </c>
      <c r="S4529" s="17"/>
      <c r="T4529" s="10" t="str">
        <f t="shared" si="388"/>
        <v>CÁMARA IP DE ALTA RESOLUCIÓN (1280x960), ANTIVANDÁLICA, IP68.</v>
      </c>
    </row>
    <row r="4530" spans="1:20" ht="27" customHeight="1" x14ac:dyDescent="0.25">
      <c r="A4530" s="8" t="s">
        <v>9412</v>
      </c>
      <c r="B4530" s="9"/>
      <c r="C4530" s="9"/>
      <c r="D4530" s="8" t="s">
        <v>45</v>
      </c>
      <c r="E4530" s="8"/>
      <c r="F4530" s="8" t="s">
        <v>22</v>
      </c>
      <c r="G4530" s="10" t="s">
        <v>9420</v>
      </c>
      <c r="H4530" s="8" t="s">
        <v>9421</v>
      </c>
      <c r="I4530" s="10" t="s">
        <v>9420</v>
      </c>
      <c r="J4530" s="11" t="s">
        <v>33</v>
      </c>
      <c r="K4530" s="18">
        <v>53200</v>
      </c>
      <c r="L4530" s="12">
        <f>ROUNDUP(K4530*(1+P4530)/(1-Q4530),0)</f>
        <v>88667</v>
      </c>
      <c r="M4530" s="8">
        <v>1</v>
      </c>
      <c r="N4530" s="8" t="s">
        <v>27</v>
      </c>
      <c r="O4530" s="13"/>
      <c r="P4530" s="14">
        <v>0</v>
      </c>
      <c r="Q4530" s="15">
        <v>0.4</v>
      </c>
      <c r="R4530" s="16" t="str">
        <f t="shared" si="389"/>
        <v>ULTRASYNC</v>
      </c>
      <c r="S4530" s="17"/>
      <c r="T4530" s="10" t="str">
        <f t="shared" si="388"/>
        <v>SENSOR INALÁMBRICO DE VENTANA</v>
      </c>
    </row>
    <row r="4531" spans="1:20" ht="27" customHeight="1" x14ac:dyDescent="0.25">
      <c r="A4531" s="8" t="s">
        <v>9412</v>
      </c>
      <c r="B4531" s="9"/>
      <c r="C4531" s="9"/>
      <c r="D4531" s="8"/>
      <c r="E4531" s="8"/>
      <c r="F4531" s="8"/>
      <c r="G4531" s="10"/>
      <c r="H4531" s="8" t="s">
        <v>9422</v>
      </c>
      <c r="I4531" s="10" t="s">
        <v>9423</v>
      </c>
      <c r="J4531" s="11" t="s">
        <v>33</v>
      </c>
      <c r="K4531" s="18">
        <v>39000</v>
      </c>
      <c r="L4531" s="12">
        <f>IF(J4531="P",ROUNDUP(K4531/(1-Q4531),-2),K4531*(1+P4531)/(1-Q4531))</f>
        <v>65000</v>
      </c>
      <c r="M4531" s="8">
        <v>1</v>
      </c>
      <c r="N4531" s="8" t="s">
        <v>27</v>
      </c>
      <c r="O4531" s="13">
        <f>F4531</f>
        <v>0</v>
      </c>
      <c r="P4531" s="14">
        <v>0</v>
      </c>
      <c r="Q4531" s="15">
        <v>0.4</v>
      </c>
      <c r="R4531" s="16" t="str">
        <f t="shared" si="389"/>
        <v>ULTRASYNC</v>
      </c>
      <c r="S4531" s="17"/>
      <c r="T4531" s="10"/>
    </row>
    <row r="4532" spans="1:20" ht="27" customHeight="1" x14ac:dyDescent="0.25">
      <c r="A4532" s="8" t="s">
        <v>9412</v>
      </c>
      <c r="B4532" s="9"/>
      <c r="C4532" s="9"/>
      <c r="D4532" s="8"/>
      <c r="E4532" s="8"/>
      <c r="F4532" s="8"/>
      <c r="G4532" s="10"/>
      <c r="H4532" s="8" t="s">
        <v>9424</v>
      </c>
      <c r="I4532" s="10" t="s">
        <v>9425</v>
      </c>
      <c r="J4532" s="11" t="s">
        <v>33</v>
      </c>
      <c r="K4532" s="18">
        <v>174000</v>
      </c>
      <c r="L4532" s="12">
        <f>IF(J4532="P",ROUNDUP(K4532/(1-Q4532),-2),K4532*(1+P4532)/(1-Q4532))</f>
        <v>290000</v>
      </c>
      <c r="M4532" s="8">
        <v>1</v>
      </c>
      <c r="N4532" s="8" t="s">
        <v>27</v>
      </c>
      <c r="O4532" s="13">
        <f>F4532</f>
        <v>0</v>
      </c>
      <c r="P4532" s="14">
        <v>0</v>
      </c>
      <c r="Q4532" s="15">
        <v>0.4</v>
      </c>
      <c r="R4532" s="16" t="str">
        <f t="shared" si="389"/>
        <v>ULTRASYNC</v>
      </c>
      <c r="S4532" s="17"/>
      <c r="T4532" s="10"/>
    </row>
    <row r="4533" spans="1:20" ht="27" customHeight="1" x14ac:dyDescent="0.25">
      <c r="A4533" s="8" t="s">
        <v>9426</v>
      </c>
      <c r="B4533" s="9"/>
      <c r="C4533" s="9"/>
      <c r="D4533" s="8" t="s">
        <v>45</v>
      </c>
      <c r="E4533" s="8"/>
      <c r="F4533" s="8" t="s">
        <v>22</v>
      </c>
      <c r="G4533" s="10" t="s">
        <v>9427</v>
      </c>
      <c r="H4533" s="8" t="s">
        <v>9428</v>
      </c>
      <c r="I4533" s="10" t="s">
        <v>9427</v>
      </c>
      <c r="J4533" s="11" t="s">
        <v>33</v>
      </c>
      <c r="K4533" s="18">
        <v>12000</v>
      </c>
      <c r="L4533" s="12">
        <f>IF(J4533="P",ROUNDUP(K4533/(1-Q4533),-2),K4533*(1+P4533)/(1-Q4533))</f>
        <v>15000</v>
      </c>
      <c r="M4533" s="8">
        <v>1</v>
      </c>
      <c r="N4533" s="8" t="s">
        <v>27</v>
      </c>
      <c r="O4533" s="13"/>
      <c r="P4533" s="14">
        <v>0</v>
      </c>
      <c r="Q4533" s="15">
        <v>0.2</v>
      </c>
      <c r="R4533" s="16" t="str">
        <f t="shared" si="389"/>
        <v>UNIVERSAL</v>
      </c>
      <c r="S4533" s="17"/>
      <c r="T4533" s="10" t="str">
        <f t="shared" ref="T4533:T4538" si="390">G4533</f>
        <v>REGLETA LED DE 29CM, FLUJO LUMÍNICO DEPENDIENTE DE DRIVER DE 12W</v>
      </c>
    </row>
    <row r="4534" spans="1:20" ht="27" customHeight="1" x14ac:dyDescent="0.25">
      <c r="A4534" s="8" t="s">
        <v>9426</v>
      </c>
      <c r="B4534" s="9"/>
      <c r="C4534" s="9"/>
      <c r="D4534" s="8" t="s">
        <v>45</v>
      </c>
      <c r="E4534" s="8"/>
      <c r="F4534" s="8" t="s">
        <v>22</v>
      </c>
      <c r="G4534" s="10" t="s">
        <v>9429</v>
      </c>
      <c r="H4534" s="8" t="s">
        <v>9430</v>
      </c>
      <c r="I4534" s="10" t="s">
        <v>9429</v>
      </c>
      <c r="J4534" s="11" t="s">
        <v>33</v>
      </c>
      <c r="K4534" s="18">
        <v>8500</v>
      </c>
      <c r="L4534" s="12">
        <f>ROUNDUP(K4534*(1+P4534)/(1-Q4534),0)</f>
        <v>12143</v>
      </c>
      <c r="M4534" s="8">
        <v>1</v>
      </c>
      <c r="N4534" s="8" t="s">
        <v>27</v>
      </c>
      <c r="O4534" s="13"/>
      <c r="P4534" s="14">
        <v>0</v>
      </c>
      <c r="Q4534" s="15">
        <v>0.3</v>
      </c>
      <c r="R4534" s="16" t="str">
        <f t="shared" si="389"/>
        <v>UNIVERSAL</v>
      </c>
      <c r="S4534" s="17"/>
      <c r="T4534" s="10" t="str">
        <f t="shared" si="390"/>
        <v>FUENTE DE 12V PARA LED 500mA</v>
      </c>
    </row>
    <row r="4535" spans="1:20" ht="27" customHeight="1" x14ac:dyDescent="0.25">
      <c r="A4535" s="8" t="s">
        <v>9431</v>
      </c>
      <c r="B4535" s="9"/>
      <c r="C4535" s="9"/>
      <c r="D4535" s="8"/>
      <c r="E4535" s="8"/>
      <c r="F4535" s="8" t="s">
        <v>22</v>
      </c>
      <c r="G4535" s="10" t="s">
        <v>9432</v>
      </c>
      <c r="H4535" s="8" t="s">
        <v>9433</v>
      </c>
      <c r="I4535" s="10" t="s">
        <v>9434</v>
      </c>
      <c r="J4535" s="11" t="s">
        <v>26</v>
      </c>
      <c r="K4535" s="18">
        <v>307</v>
      </c>
      <c r="L4535" s="12">
        <f>IF(J4535="P",ROUNDUP(K4535/(1-Q4535),-2),K4535*(1+P4535)/(1-Q4535))</f>
        <v>598.99945856769796</v>
      </c>
      <c r="M4535" s="8" t="s">
        <v>2520</v>
      </c>
      <c r="N4535" s="8" t="s">
        <v>27</v>
      </c>
      <c r="O4535" s="13"/>
      <c r="P4535" s="14">
        <v>0.2</v>
      </c>
      <c r="Q4535" s="15">
        <v>0.38497440234603481</v>
      </c>
      <c r="R4535" s="16" t="str">
        <f t="shared" si="389"/>
        <v>URC</v>
      </c>
      <c r="S4535" s="17"/>
      <c r="T4535" s="10" t="str">
        <f t="shared" si="390"/>
        <v>PROCESADOR PARA CONTROL DE DISPOSITIVOS CON UN RELÉ.</v>
      </c>
    </row>
    <row r="4536" spans="1:20" ht="27" customHeight="1" x14ac:dyDescent="0.25">
      <c r="A4536" s="8" t="s">
        <v>9431</v>
      </c>
      <c r="B4536" s="9"/>
      <c r="C4536" s="9"/>
      <c r="D4536" s="8"/>
      <c r="E4536" s="8"/>
      <c r="F4536" s="8" t="s">
        <v>22</v>
      </c>
      <c r="G4536" s="10" t="s">
        <v>9435</v>
      </c>
      <c r="H4536" s="8" t="s">
        <v>9436</v>
      </c>
      <c r="I4536" s="10" t="s">
        <v>9435</v>
      </c>
      <c r="J4536" s="11" t="s">
        <v>26</v>
      </c>
      <c r="K4536" s="18">
        <v>334</v>
      </c>
      <c r="L4536" s="12">
        <f>IF(J4536="P",ROUNDUP(K4536/(1-Q4536),-2),K4536*(1+P4536)/(1-Q4536))</f>
        <v>599.00029998307002</v>
      </c>
      <c r="M4536" s="8" t="s">
        <v>2520</v>
      </c>
      <c r="N4536" s="8" t="s">
        <v>27</v>
      </c>
      <c r="O4536" s="13"/>
      <c r="P4536" s="14">
        <v>0.2</v>
      </c>
      <c r="Q4536" s="15">
        <v>0.33088514311039902</v>
      </c>
      <c r="R4536" s="16" t="str">
        <f t="shared" si="389"/>
        <v>URC</v>
      </c>
      <c r="S4536" s="17"/>
      <c r="T4536" s="10" t="str">
        <f t="shared" si="390"/>
        <v>PANTALLA TÁCTIL DE 7" CON INTERFAZ GRAFICA ESTÁNDAR,  Y BASE DE CARGA.</v>
      </c>
    </row>
    <row r="4537" spans="1:20" ht="27" customHeight="1" x14ac:dyDescent="0.25">
      <c r="A4537" s="8" t="s">
        <v>9431</v>
      </c>
      <c r="B4537" s="9"/>
      <c r="C4537" s="9"/>
      <c r="D4537" s="8"/>
      <c r="E4537" s="8"/>
      <c r="F4537" s="8" t="s">
        <v>22</v>
      </c>
      <c r="G4537" s="10" t="s">
        <v>9437</v>
      </c>
      <c r="H4537" s="8" t="s">
        <v>9438</v>
      </c>
      <c r="I4537" s="10" t="s">
        <v>9439</v>
      </c>
      <c r="J4537" s="11" t="s">
        <v>26</v>
      </c>
      <c r="K4537" s="18">
        <v>213</v>
      </c>
      <c r="L4537" s="12">
        <f>IF(J4537="P",ROUNDUP(K4537/(1-Q4537),-2),K4537*(1+P4537)/(1-Q4537))</f>
        <v>399.00029896095737</v>
      </c>
      <c r="M4537" s="8" t="s">
        <v>2520</v>
      </c>
      <c r="N4537" s="8" t="s">
        <v>27</v>
      </c>
      <c r="O4537" s="13"/>
      <c r="P4537" s="14">
        <v>0.2</v>
      </c>
      <c r="Q4537" s="15">
        <v>0.3593989762273066</v>
      </c>
      <c r="R4537" s="16" t="str">
        <f t="shared" si="389"/>
        <v>URC</v>
      </c>
      <c r="S4537" s="17"/>
      <c r="T4537" s="10" t="str">
        <f t="shared" si="390"/>
        <v>PANTALLA DE COLOR DE 2 PULGADAS. MARCACIONES PERSONALIZADAS.</v>
      </c>
    </row>
    <row r="4538" spans="1:20" ht="27" customHeight="1" x14ac:dyDescent="0.25">
      <c r="A4538" s="8" t="s">
        <v>9431</v>
      </c>
      <c r="B4538" s="9"/>
      <c r="C4538" s="9"/>
      <c r="D4538" s="8"/>
      <c r="E4538" s="8"/>
      <c r="F4538" s="8" t="s">
        <v>22</v>
      </c>
      <c r="G4538" s="10" t="s">
        <v>9440</v>
      </c>
      <c r="H4538" s="8" t="s">
        <v>9441</v>
      </c>
      <c r="I4538" s="10" t="s">
        <v>9440</v>
      </c>
      <c r="J4538" s="11" t="s">
        <v>26</v>
      </c>
      <c r="K4538" s="18">
        <v>35</v>
      </c>
      <c r="L4538" s="12">
        <f>IF(J4538="P",ROUNDUP(K4538/(1-Q4538),-2),K4538*(1+P4538)/(1-Q4538))</f>
        <v>65.56342940673008</v>
      </c>
      <c r="M4538" s="8" t="s">
        <v>2520</v>
      </c>
      <c r="N4538" s="8" t="s">
        <v>27</v>
      </c>
      <c r="O4538" s="13"/>
      <c r="P4538" s="14">
        <v>0.2</v>
      </c>
      <c r="Q4538" s="15">
        <v>0.3593989762273066</v>
      </c>
      <c r="R4538" s="16" t="str">
        <f t="shared" si="389"/>
        <v>URC</v>
      </c>
      <c r="S4538" s="17"/>
      <c r="T4538" s="10" t="str">
        <f t="shared" si="390"/>
        <v>SENSOR DE AUDIO</v>
      </c>
    </row>
    <row r="4539" spans="1:20" ht="27" customHeight="1" x14ac:dyDescent="0.25">
      <c r="A4539" s="8" t="s">
        <v>9431</v>
      </c>
      <c r="B4539" s="9"/>
      <c r="C4539" s="9"/>
      <c r="D4539" s="8"/>
      <c r="E4539" s="8"/>
      <c r="F4539" s="8"/>
      <c r="G4539" s="10"/>
      <c r="H4539" s="8" t="s">
        <v>9442</v>
      </c>
      <c r="I4539" s="10" t="s">
        <v>9443</v>
      </c>
      <c r="J4539" s="11" t="s">
        <v>33</v>
      </c>
      <c r="K4539" s="18">
        <v>98000</v>
      </c>
      <c r="L4539" s="12">
        <f>K4539*(1+P4539)/(1-Q4539)</f>
        <v>168000</v>
      </c>
      <c r="M4539" s="8">
        <v>1</v>
      </c>
      <c r="N4539" s="8" t="s">
        <v>27</v>
      </c>
      <c r="O4539" s="13"/>
      <c r="P4539" s="14">
        <v>0.2</v>
      </c>
      <c r="Q4539" s="15">
        <v>0.3</v>
      </c>
      <c r="R4539" s="16" t="str">
        <f t="shared" si="389"/>
        <v>URC</v>
      </c>
      <c r="S4539" s="17"/>
      <c r="T4539" s="10"/>
    </row>
    <row r="4540" spans="1:20" ht="27" customHeight="1" x14ac:dyDescent="0.25">
      <c r="A4540" s="8" t="s">
        <v>9444</v>
      </c>
      <c r="B4540" s="9"/>
      <c r="C4540" s="9"/>
      <c r="D4540" s="8"/>
      <c r="E4540" s="8"/>
      <c r="F4540" s="8"/>
      <c r="G4540" s="10"/>
      <c r="H4540" s="8" t="s">
        <v>9445</v>
      </c>
      <c r="I4540" s="10" t="s">
        <v>631</v>
      </c>
      <c r="J4540" s="11" t="s">
        <v>33</v>
      </c>
      <c r="K4540" s="18">
        <v>10000</v>
      </c>
      <c r="L4540" s="12">
        <f>K4540*(1+P4540)/(1-Q4540)</f>
        <v>17142.857142857145</v>
      </c>
      <c r="M4540" s="8">
        <v>1</v>
      </c>
      <c r="N4540" s="8" t="s">
        <v>27</v>
      </c>
      <c r="O4540" s="13"/>
      <c r="P4540" s="14">
        <v>0.2</v>
      </c>
      <c r="Q4540" s="15">
        <v>0.3</v>
      </c>
      <c r="R4540" s="16" t="str">
        <f t="shared" si="389"/>
        <v>VANCO</v>
      </c>
      <c r="S4540" s="17"/>
      <c r="T4540" s="10"/>
    </row>
    <row r="4541" spans="1:20" ht="27" customHeight="1" x14ac:dyDescent="0.25">
      <c r="A4541" s="8" t="s">
        <v>9446</v>
      </c>
      <c r="B4541" s="9"/>
      <c r="C4541" s="9"/>
      <c r="D4541" s="8"/>
      <c r="E4541" s="8"/>
      <c r="F4541" s="8" t="s">
        <v>22</v>
      </c>
      <c r="G4541" s="10" t="s">
        <v>9447</v>
      </c>
      <c r="H4541" s="8" t="s">
        <v>9448</v>
      </c>
      <c r="I4541" s="10" t="s">
        <v>9447</v>
      </c>
      <c r="J4541" s="11" t="s">
        <v>33</v>
      </c>
      <c r="K4541" s="18">
        <v>200000</v>
      </c>
      <c r="L4541" s="12">
        <f>IF(J4541="P",ROUNDUP(K4541/(1-Q4541),-2),K4541*(1+P4541)/(1-Q4541))</f>
        <v>250000</v>
      </c>
      <c r="M4541" s="8">
        <v>1</v>
      </c>
      <c r="N4541" s="8" t="s">
        <v>27</v>
      </c>
      <c r="O4541" s="13"/>
      <c r="P4541" s="14">
        <v>0.2</v>
      </c>
      <c r="Q4541" s="15">
        <v>0.2</v>
      </c>
      <c r="R4541" s="16" t="str">
        <f t="shared" si="389"/>
        <v>VARIOS</v>
      </c>
      <c r="S4541" s="17"/>
      <c r="T4541" s="10" t="str">
        <f>G4541</f>
        <v>MATERIALES PARA INSTALACIÓN</v>
      </c>
    </row>
    <row r="4542" spans="1:20" ht="27" customHeight="1" x14ac:dyDescent="0.25">
      <c r="A4542" s="8" t="s">
        <v>9449</v>
      </c>
      <c r="B4542" s="9" t="s">
        <v>8139</v>
      </c>
      <c r="C4542" s="9"/>
      <c r="D4542" s="8"/>
      <c r="E4542" s="8">
        <v>8</v>
      </c>
      <c r="F4542" s="8" t="s">
        <v>22</v>
      </c>
      <c r="G4542" s="10" t="s">
        <v>9450</v>
      </c>
      <c r="H4542" s="8" t="s">
        <v>9451</v>
      </c>
      <c r="I4542" s="10" t="s">
        <v>9450</v>
      </c>
      <c r="J4542" s="11" t="s">
        <v>33</v>
      </c>
      <c r="K4542" s="18">
        <v>13708</v>
      </c>
      <c r="L4542" s="12">
        <f>IF(J4542="P",ROUNDUP(K4542/(1-Q4542),-2),K4542*(1+P4542)/(1-Q4542))</f>
        <v>22900</v>
      </c>
      <c r="M4542" s="8">
        <v>1</v>
      </c>
      <c r="N4542" s="8" t="s">
        <v>27</v>
      </c>
      <c r="O4542" s="13"/>
      <c r="P4542" s="14">
        <v>0.2</v>
      </c>
      <c r="Q4542" s="15">
        <v>0.4</v>
      </c>
      <c r="R4542" s="16" t="str">
        <f t="shared" si="389"/>
        <v>VCP</v>
      </c>
      <c r="S4542" s="17"/>
      <c r="T4542" s="10" t="str">
        <f>G4542</f>
        <v>RELEVOS  DE 11 PINES 24 VDC VRPL11-24VDC</v>
      </c>
    </row>
    <row r="4543" spans="1:20" ht="27" customHeight="1" x14ac:dyDescent="0.25">
      <c r="A4543" s="8" t="s">
        <v>9452</v>
      </c>
      <c r="B4543" s="9"/>
      <c r="C4543" s="9"/>
      <c r="D4543" s="8"/>
      <c r="E4543" s="8"/>
      <c r="F4543" s="8"/>
      <c r="G4543" s="10"/>
      <c r="H4543" s="8" t="s">
        <v>9453</v>
      </c>
      <c r="I4543" s="10" t="s">
        <v>9454</v>
      </c>
      <c r="J4543" s="11" t="s">
        <v>26</v>
      </c>
      <c r="K4543" s="18">
        <v>805</v>
      </c>
      <c r="L4543" s="12">
        <f>IF(J4543="P",ROUNDUP(K4543/(1-Q4543),-2),K4543*(1+P4543)/(1-Q4543))</f>
        <v>974.00082906412763</v>
      </c>
      <c r="M4543" s="8">
        <v>1</v>
      </c>
      <c r="N4543" s="8" t="s">
        <v>27</v>
      </c>
      <c r="O4543" s="13"/>
      <c r="P4543" s="14">
        <v>0</v>
      </c>
      <c r="Q4543" s="15">
        <v>0.17351199713712021</v>
      </c>
      <c r="R4543" s="16" t="str">
        <f t="shared" si="389"/>
        <v>VIBIA</v>
      </c>
      <c r="S4543" s="17"/>
      <c r="T4543" s="10"/>
    </row>
    <row r="4544" spans="1:20" ht="27" customHeight="1" x14ac:dyDescent="0.25">
      <c r="A4544" s="8" t="s">
        <v>9452</v>
      </c>
      <c r="B4544" s="9"/>
      <c r="C4544" s="9"/>
      <c r="D4544" s="8"/>
      <c r="E4544" s="8"/>
      <c r="F4544" s="8"/>
      <c r="G4544" s="10"/>
      <c r="H4544" s="8" t="s">
        <v>9455</v>
      </c>
      <c r="I4544" s="10" t="s">
        <v>9456</v>
      </c>
      <c r="J4544" s="11" t="s">
        <v>26</v>
      </c>
      <c r="K4544" s="18">
        <v>2943</v>
      </c>
      <c r="L4544" s="12">
        <f>IF(J4544="P",ROUNDUP(K4544/(1-Q4544),-2),K4544*(1+P4544)/(1-Q4544))</f>
        <v>3561.0000005594998</v>
      </c>
      <c r="M4544" s="8">
        <v>1</v>
      </c>
      <c r="N4544" s="8" t="s">
        <v>27</v>
      </c>
      <c r="O4544" s="13"/>
      <c r="P4544" s="14">
        <v>0</v>
      </c>
      <c r="Q4544" s="15">
        <v>0.17354675665891611</v>
      </c>
      <c r="R4544" s="16" t="str">
        <f t="shared" si="389"/>
        <v>VIBIA</v>
      </c>
      <c r="S4544" s="17"/>
      <c r="T4544" s="10"/>
    </row>
    <row r="4545" spans="1:20" ht="27" customHeight="1" x14ac:dyDescent="0.25">
      <c r="A4545" s="8" t="s">
        <v>9452</v>
      </c>
      <c r="B4545" s="9"/>
      <c r="C4545" s="9"/>
      <c r="D4545" s="8"/>
      <c r="E4545" s="8"/>
      <c r="F4545" s="8"/>
      <c r="G4545" s="10"/>
      <c r="H4545" s="8" t="s">
        <v>9457</v>
      </c>
      <c r="I4545" s="10" t="s">
        <v>9458</v>
      </c>
      <c r="J4545" s="11" t="s">
        <v>26</v>
      </c>
      <c r="K4545" s="18">
        <f>1531*0.8</f>
        <v>1224.8</v>
      </c>
      <c r="L4545" s="12">
        <f>IF(J4545="P",ROUNDUP(K4545/(1-Q4545),-2),K4545*(1+P4545)/(1-Q4545))</f>
        <v>1531.0000131573931</v>
      </c>
      <c r="M4545" s="8">
        <v>1</v>
      </c>
      <c r="N4545" s="8" t="s">
        <v>27</v>
      </c>
      <c r="O4545" s="13"/>
      <c r="P4545" s="14">
        <v>0.2</v>
      </c>
      <c r="Q4545" s="15">
        <v>4.0000008250226843E-2</v>
      </c>
      <c r="R4545" s="16" t="str">
        <f t="shared" si="389"/>
        <v>VIBIA</v>
      </c>
      <c r="S4545" s="17"/>
      <c r="T4545" s="10"/>
    </row>
    <row r="4546" spans="1:20" ht="27" customHeight="1" x14ac:dyDescent="0.25">
      <c r="A4546" s="8" t="s">
        <v>9452</v>
      </c>
      <c r="B4546" s="9"/>
      <c r="C4546" s="9"/>
      <c r="D4546" s="8"/>
      <c r="E4546" s="8"/>
      <c r="F4546" s="8"/>
      <c r="G4546" s="10"/>
      <c r="H4546" s="8">
        <v>5940</v>
      </c>
      <c r="I4546" s="10" t="s">
        <v>9459</v>
      </c>
      <c r="J4546" s="11" t="s">
        <v>26</v>
      </c>
      <c r="K4546" s="18">
        <v>345</v>
      </c>
      <c r="L4546" s="12">
        <f>ROUNDUP(K4546*(1+P4546)/(1-Q4546),0)</f>
        <v>592</v>
      </c>
      <c r="M4546" s="8">
        <v>1</v>
      </c>
      <c r="N4546" s="8" t="s">
        <v>27</v>
      </c>
      <c r="O4546" s="13"/>
      <c r="P4546" s="14">
        <v>0.2</v>
      </c>
      <c r="Q4546" s="15">
        <v>0.3</v>
      </c>
      <c r="R4546" s="16" t="str">
        <f t="shared" si="389"/>
        <v>VIBIA</v>
      </c>
      <c r="S4546" s="17"/>
      <c r="T4546" s="10"/>
    </row>
    <row r="4547" spans="1:20" ht="27" customHeight="1" x14ac:dyDescent="0.25">
      <c r="A4547" s="8" t="s">
        <v>9460</v>
      </c>
      <c r="B4547" s="9"/>
      <c r="C4547" s="9"/>
      <c r="D4547" s="8"/>
      <c r="E4547" s="8"/>
      <c r="F4547" s="8" t="s">
        <v>22</v>
      </c>
      <c r="G4547" s="10" t="s">
        <v>8488</v>
      </c>
      <c r="H4547" s="8" t="s">
        <v>9461</v>
      </c>
      <c r="I4547" s="10" t="s">
        <v>8488</v>
      </c>
      <c r="J4547" s="11" t="s">
        <v>26</v>
      </c>
      <c r="K4547" s="18">
        <v>11</v>
      </c>
      <c r="L4547" s="12">
        <f t="shared" ref="L4547:L4569" si="391">IF(J4547="P",ROUNDUP(K4547/(1-Q4547),-2),K4547*(1+P4547)/(1-Q4547))</f>
        <v>22</v>
      </c>
      <c r="M4547" s="8">
        <v>1</v>
      </c>
      <c r="N4547" s="8" t="s">
        <v>27</v>
      </c>
      <c r="O4547" s="13"/>
      <c r="P4547" s="14">
        <v>0.2</v>
      </c>
      <c r="Q4547" s="15">
        <v>0.4</v>
      </c>
      <c r="R4547" s="16" t="str">
        <f t="shared" si="389"/>
        <v>VIC TSING</v>
      </c>
      <c r="S4547" s="17"/>
      <c r="T4547" s="10" t="str">
        <f>G4547</f>
        <v>CONVERSOR VGA A HDMI. SOPORTA RESOLUCIONES 1080P.</v>
      </c>
    </row>
    <row r="4548" spans="1:20" ht="27" customHeight="1" x14ac:dyDescent="0.25">
      <c r="A4548" s="8" t="s">
        <v>9462</v>
      </c>
      <c r="B4548" s="9"/>
      <c r="C4548" s="9"/>
      <c r="D4548" s="8"/>
      <c r="E4548" s="8"/>
      <c r="F4548" s="8"/>
      <c r="G4548" s="10"/>
      <c r="H4548" s="8" t="s">
        <v>9463</v>
      </c>
      <c r="I4548" s="10" t="s">
        <v>9464</v>
      </c>
      <c r="J4548" s="11" t="s">
        <v>26</v>
      </c>
      <c r="K4548" s="18">
        <v>40</v>
      </c>
      <c r="L4548" s="12">
        <f t="shared" si="391"/>
        <v>66.666666666666671</v>
      </c>
      <c r="M4548" s="8">
        <v>1</v>
      </c>
      <c r="N4548" s="8" t="s">
        <v>27</v>
      </c>
      <c r="O4548" s="13"/>
      <c r="P4548" s="14">
        <v>0</v>
      </c>
      <c r="Q4548" s="15">
        <v>0.4</v>
      </c>
      <c r="R4548" s="16" t="str">
        <f t="shared" si="389"/>
        <v>VICTURE</v>
      </c>
      <c r="S4548" s="17"/>
      <c r="T4548" s="10"/>
    </row>
    <row r="4549" spans="1:20" ht="27" customHeight="1" x14ac:dyDescent="0.25">
      <c r="A4549" s="32" t="s">
        <v>9465</v>
      </c>
      <c r="B4549" s="9"/>
      <c r="C4549" s="9"/>
      <c r="D4549" s="8"/>
      <c r="E4549" s="8"/>
      <c r="F4549" s="8" t="s">
        <v>22</v>
      </c>
      <c r="G4549" s="10" t="s">
        <v>9466</v>
      </c>
      <c r="H4549" s="8" t="s">
        <v>9467</v>
      </c>
      <c r="I4549" s="10" t="s">
        <v>9466</v>
      </c>
      <c r="J4549" s="11" t="s">
        <v>33</v>
      </c>
      <c r="K4549" s="18">
        <v>1115000</v>
      </c>
      <c r="L4549" s="12">
        <f t="shared" si="391"/>
        <v>1592900</v>
      </c>
      <c r="M4549" s="8">
        <v>1</v>
      </c>
      <c r="N4549" s="8" t="s">
        <v>27</v>
      </c>
      <c r="O4549" s="13"/>
      <c r="P4549" s="14">
        <v>0</v>
      </c>
      <c r="Q4549" s="15">
        <v>0.3</v>
      </c>
      <c r="R4549" s="16" t="str">
        <f t="shared" si="389"/>
        <v>VIDA_UTIL</v>
      </c>
      <c r="S4549" s="17"/>
      <c r="T4549" s="10" t="str">
        <f>G4549</f>
        <v>LUMINARIA OBOIDE DE 90cm DE DIÁMETRO CON BOMBILLA PAR 38 CÁLIDA DIMERIZABLE.</v>
      </c>
    </row>
    <row r="4550" spans="1:20" ht="27" customHeight="1" x14ac:dyDescent="0.25">
      <c r="A4550" s="32" t="s">
        <v>9465</v>
      </c>
      <c r="B4550" s="9"/>
      <c r="C4550" s="9"/>
      <c r="D4550" s="8"/>
      <c r="E4550" s="8"/>
      <c r="F4550" s="8" t="s">
        <v>22</v>
      </c>
      <c r="G4550" s="10" t="s">
        <v>9468</v>
      </c>
      <c r="H4550" s="8" t="s">
        <v>9469</v>
      </c>
      <c r="I4550" s="10" t="s">
        <v>9468</v>
      </c>
      <c r="J4550" s="11" t="s">
        <v>33</v>
      </c>
      <c r="K4550" s="18">
        <v>800000</v>
      </c>
      <c r="L4550" s="12">
        <f t="shared" si="391"/>
        <v>1142900</v>
      </c>
      <c r="M4550" s="8">
        <v>1</v>
      </c>
      <c r="N4550" s="8" t="s">
        <v>27</v>
      </c>
      <c r="O4550" s="13"/>
      <c r="P4550" s="14">
        <v>0</v>
      </c>
      <c r="Q4550" s="15">
        <v>0.3</v>
      </c>
      <c r="R4550" s="16" t="str">
        <f t="shared" si="389"/>
        <v>VIDA_UTIL</v>
      </c>
      <c r="S4550" s="17"/>
      <c r="T4550" s="10" t="str">
        <f>G4550</f>
        <v>LUMINARIA OVOIDE DE 60cm DE DIÁMETRO CON BOMBILLA PAR 38 CÁLIDA DIMERIZABLE.</v>
      </c>
    </row>
    <row r="4551" spans="1:20" ht="27" customHeight="1" x14ac:dyDescent="0.25">
      <c r="A4551" s="32" t="s">
        <v>9465</v>
      </c>
      <c r="B4551" s="9"/>
      <c r="C4551" s="9"/>
      <c r="D4551" s="8"/>
      <c r="E4551" s="8"/>
      <c r="F4551" s="8"/>
      <c r="G4551" s="10"/>
      <c r="H4551" s="8" t="s">
        <v>9470</v>
      </c>
      <c r="I4551" s="10" t="s">
        <v>9471</v>
      </c>
      <c r="J4551" s="11" t="s">
        <v>33</v>
      </c>
      <c r="K4551" s="18">
        <v>700000</v>
      </c>
      <c r="L4551" s="12">
        <f t="shared" si="391"/>
        <v>1000000</v>
      </c>
      <c r="M4551" s="8">
        <v>1</v>
      </c>
      <c r="N4551" s="8" t="s">
        <v>27</v>
      </c>
      <c r="O4551" s="13" t="s">
        <v>588</v>
      </c>
      <c r="P4551" s="14">
        <v>0</v>
      </c>
      <c r="Q4551" s="15">
        <v>0.3</v>
      </c>
      <c r="R4551" s="16" t="str">
        <f t="shared" si="389"/>
        <v>VIDA_UTIL</v>
      </c>
      <c r="S4551" s="17"/>
      <c r="T4551" s="10"/>
    </row>
    <row r="4552" spans="1:20" ht="27" customHeight="1" x14ac:dyDescent="0.25">
      <c r="A4552" s="32" t="s">
        <v>9465</v>
      </c>
      <c r="B4552" s="9"/>
      <c r="C4552" s="9"/>
      <c r="D4552" s="8"/>
      <c r="E4552" s="8"/>
      <c r="F4552" s="8"/>
      <c r="G4552" s="10"/>
      <c r="H4552" s="8" t="s">
        <v>9472</v>
      </c>
      <c r="I4552" s="10" t="s">
        <v>9473</v>
      </c>
      <c r="J4552" s="11" t="s">
        <v>33</v>
      </c>
      <c r="K4552" s="18">
        <f>319000+24000</f>
        <v>343000</v>
      </c>
      <c r="L4552" s="12">
        <f t="shared" si="391"/>
        <v>490000</v>
      </c>
      <c r="M4552" s="8">
        <v>1</v>
      </c>
      <c r="N4552" s="8" t="s">
        <v>27</v>
      </c>
      <c r="O4552" s="13" t="s">
        <v>588</v>
      </c>
      <c r="P4552" s="14">
        <v>0</v>
      </c>
      <c r="Q4552" s="15">
        <v>0.3</v>
      </c>
      <c r="R4552" s="16" t="str">
        <f t="shared" si="389"/>
        <v>VIDA_UTIL</v>
      </c>
      <c r="S4552" s="17"/>
      <c r="T4552" s="10"/>
    </row>
    <row r="4553" spans="1:20" ht="27" customHeight="1" x14ac:dyDescent="0.25">
      <c r="A4553" s="32" t="s">
        <v>9465</v>
      </c>
      <c r="B4553" s="9"/>
      <c r="C4553" s="9"/>
      <c r="D4553" s="8"/>
      <c r="E4553" s="8"/>
      <c r="F4553" s="8"/>
      <c r="G4553" s="10"/>
      <c r="H4553" s="8" t="s">
        <v>9474</v>
      </c>
      <c r="I4553" s="10" t="s">
        <v>9475</v>
      </c>
      <c r="J4553" s="11" t="s">
        <v>33</v>
      </c>
      <c r="K4553" s="18">
        <v>359000</v>
      </c>
      <c r="L4553" s="12">
        <f t="shared" si="391"/>
        <v>512900</v>
      </c>
      <c r="M4553" s="8">
        <v>1</v>
      </c>
      <c r="N4553" s="8" t="s">
        <v>27</v>
      </c>
      <c r="O4553" s="13" t="s">
        <v>588</v>
      </c>
      <c r="P4553" s="14">
        <v>0</v>
      </c>
      <c r="Q4553" s="15">
        <v>0.3</v>
      </c>
      <c r="R4553" s="16" t="str">
        <f t="shared" si="389"/>
        <v>VIDA_UTIL</v>
      </c>
      <c r="S4553" s="17"/>
      <c r="T4553" s="10"/>
    </row>
    <row r="4554" spans="1:20" ht="27" customHeight="1" x14ac:dyDescent="0.25">
      <c r="A4554" s="8" t="s">
        <v>9476</v>
      </c>
      <c r="B4554" s="9"/>
      <c r="C4554" s="9"/>
      <c r="D4554" s="8"/>
      <c r="E4554" s="8"/>
      <c r="F4554" s="8" t="s">
        <v>22</v>
      </c>
      <c r="G4554" s="10" t="s">
        <v>9477</v>
      </c>
      <c r="H4554" s="8" t="s">
        <v>9478</v>
      </c>
      <c r="I4554" s="10" t="s">
        <v>9477</v>
      </c>
      <c r="J4554" s="11" t="s">
        <v>26</v>
      </c>
      <c r="K4554" s="18">
        <v>60</v>
      </c>
      <c r="L4554" s="12">
        <f t="shared" si="391"/>
        <v>102.85714285714286</v>
      </c>
      <c r="M4554" s="8">
        <v>1</v>
      </c>
      <c r="N4554" s="8" t="s">
        <v>27</v>
      </c>
      <c r="O4554" s="13"/>
      <c r="P4554" s="14">
        <v>0.2</v>
      </c>
      <c r="Q4554" s="15">
        <v>0.3</v>
      </c>
      <c r="R4554" s="16" t="str">
        <f t="shared" si="389"/>
        <v>VIEWHD</v>
      </c>
      <c r="S4554" s="17"/>
      <c r="T4554" s="10" t="str">
        <f t="shared" ref="T4554:T4574" si="392">G4554</f>
        <v>SPLITTER SELECTOR HDMI DE 4 ENTRADAS POR 2 SALIDAS.</v>
      </c>
    </row>
    <row r="4555" spans="1:20" ht="27" customHeight="1" x14ac:dyDescent="0.25">
      <c r="A4555" s="8" t="s">
        <v>9479</v>
      </c>
      <c r="B4555" s="9" t="s">
        <v>9480</v>
      </c>
      <c r="C4555" s="9"/>
      <c r="D4555" s="8" t="s">
        <v>1216</v>
      </c>
      <c r="E4555" s="8">
        <v>1</v>
      </c>
      <c r="F4555" s="8" t="s">
        <v>22</v>
      </c>
      <c r="G4555" s="10" t="s">
        <v>9481</v>
      </c>
      <c r="H4555" s="8" t="s">
        <v>9482</v>
      </c>
      <c r="I4555" s="10" t="s">
        <v>9481</v>
      </c>
      <c r="J4555" s="11" t="s">
        <v>26</v>
      </c>
      <c r="K4555" s="18">
        <v>237</v>
      </c>
      <c r="L4555" s="12">
        <f t="shared" si="391"/>
        <v>406.28571428571428</v>
      </c>
      <c r="M4555" s="8">
        <v>1</v>
      </c>
      <c r="N4555" s="8" t="s">
        <v>27</v>
      </c>
      <c r="O4555" s="13"/>
      <c r="P4555" s="14">
        <v>0.2</v>
      </c>
      <c r="Q4555" s="15">
        <v>0.3</v>
      </c>
      <c r="R4555" s="16" t="str">
        <f t="shared" si="389"/>
        <v>VIEWSONIC</v>
      </c>
      <c r="S4555" s="17"/>
      <c r="T4555" s="10" t="str">
        <f t="shared" si="392"/>
        <v>TV DE 22 PULGADAS CON ENTRADAS HDMI, USB Y ANALÓGICAS. DIMENSIONES: 16cm x 43cm.</v>
      </c>
    </row>
    <row r="4556" spans="1:20" ht="27" customHeight="1" x14ac:dyDescent="0.25">
      <c r="A4556" s="8" t="s">
        <v>9483</v>
      </c>
      <c r="B4556" s="9"/>
      <c r="C4556" s="9"/>
      <c r="D4556" s="8"/>
      <c r="E4556" s="8"/>
      <c r="F4556" s="8" t="s">
        <v>22</v>
      </c>
      <c r="G4556" s="10" t="s">
        <v>9484</v>
      </c>
      <c r="H4556" s="8" t="s">
        <v>9485</v>
      </c>
      <c r="I4556" s="10" t="s">
        <v>9484</v>
      </c>
      <c r="J4556" s="11" t="s">
        <v>33</v>
      </c>
      <c r="K4556" s="18">
        <v>6000</v>
      </c>
      <c r="L4556" s="12">
        <f t="shared" si="391"/>
        <v>10000</v>
      </c>
      <c r="M4556" s="8">
        <v>1</v>
      </c>
      <c r="N4556" s="8" t="s">
        <v>27</v>
      </c>
      <c r="O4556" s="13"/>
      <c r="P4556" s="14">
        <v>0.2</v>
      </c>
      <c r="Q4556" s="15">
        <v>0.4</v>
      </c>
      <c r="R4556" s="16" t="str">
        <f t="shared" si="389"/>
        <v>VINTAGE</v>
      </c>
      <c r="S4556" s="17"/>
      <c r="T4556" s="10" t="str">
        <f t="shared" si="392"/>
        <v>SOCKET NEGRO PARA BOMBILLA E27 VINTAGE</v>
      </c>
    </row>
    <row r="4557" spans="1:20" ht="27" customHeight="1" x14ac:dyDescent="0.25">
      <c r="A4557" s="8" t="s">
        <v>9486</v>
      </c>
      <c r="B4557" s="9" t="s">
        <v>1215</v>
      </c>
      <c r="C4557" s="9"/>
      <c r="D4557" s="8" t="s">
        <v>1225</v>
      </c>
      <c r="E4557" s="8">
        <v>2</v>
      </c>
      <c r="F4557" s="8" t="s">
        <v>22</v>
      </c>
      <c r="G4557" s="10" t="s">
        <v>9487</v>
      </c>
      <c r="H4557" s="8" t="s">
        <v>9488</v>
      </c>
      <c r="I4557" s="10" t="s">
        <v>9487</v>
      </c>
      <c r="J4557" s="11" t="s">
        <v>26</v>
      </c>
      <c r="K4557" s="18">
        <v>1850</v>
      </c>
      <c r="L4557" s="12">
        <f t="shared" si="391"/>
        <v>2775</v>
      </c>
      <c r="M4557" s="8">
        <v>1</v>
      </c>
      <c r="N4557" s="8" t="s">
        <v>27</v>
      </c>
      <c r="O4557" s="13"/>
      <c r="P4557" s="14">
        <v>0.2</v>
      </c>
      <c r="Q4557" s="15">
        <v>0.2</v>
      </c>
      <c r="R4557" s="16" t="str">
        <f t="shared" si="389"/>
        <v>VIVITEK</v>
      </c>
      <c r="S4557" s="17"/>
      <c r="T4557" s="10" t="str">
        <f t="shared" si="392"/>
        <v>PROYECTOR FULL HD DE 4700 LUMENS, FORMATO 16:9.</v>
      </c>
    </row>
    <row r="4558" spans="1:20" ht="27" customHeight="1" x14ac:dyDescent="0.25">
      <c r="A4558" s="8" t="s">
        <v>9486</v>
      </c>
      <c r="B4558" s="9" t="s">
        <v>1215</v>
      </c>
      <c r="C4558" s="9"/>
      <c r="D4558" s="8" t="s">
        <v>1225</v>
      </c>
      <c r="E4558" s="8">
        <v>2</v>
      </c>
      <c r="F4558" s="8" t="s">
        <v>22</v>
      </c>
      <c r="G4558" s="10" t="s">
        <v>9489</v>
      </c>
      <c r="H4558" s="8" t="s">
        <v>9490</v>
      </c>
      <c r="I4558" s="10" t="s">
        <v>9489</v>
      </c>
      <c r="J4558" s="11" t="s">
        <v>26</v>
      </c>
      <c r="K4558" s="18">
        <v>750</v>
      </c>
      <c r="L4558" s="12">
        <f t="shared" si="391"/>
        <v>1125</v>
      </c>
      <c r="M4558" s="8">
        <v>1</v>
      </c>
      <c r="N4558" s="8" t="s">
        <v>27</v>
      </c>
      <c r="O4558" s="13"/>
      <c r="P4558" s="14">
        <v>0.2</v>
      </c>
      <c r="Q4558" s="15">
        <v>0.2</v>
      </c>
      <c r="R4558" s="16" t="str">
        <f t="shared" si="389"/>
        <v>VIVITEK</v>
      </c>
      <c r="S4558" s="17"/>
      <c r="T4558" s="10" t="str">
        <f t="shared" si="392"/>
        <v>PROYECTOR WXGA (1280X800), 4500 LUMENS, ENTRADAS HDMI Y VGA.</v>
      </c>
    </row>
    <row r="4559" spans="1:20" ht="27" customHeight="1" x14ac:dyDescent="0.25">
      <c r="A4559" s="8" t="s">
        <v>9486</v>
      </c>
      <c r="B4559" s="9" t="s">
        <v>1215</v>
      </c>
      <c r="C4559" s="9"/>
      <c r="D4559" s="8" t="s">
        <v>1225</v>
      </c>
      <c r="E4559" s="8">
        <v>2</v>
      </c>
      <c r="F4559" s="8" t="s">
        <v>22</v>
      </c>
      <c r="G4559" s="10" t="s">
        <v>9491</v>
      </c>
      <c r="H4559" s="8" t="s">
        <v>9492</v>
      </c>
      <c r="I4559" s="10" t="s">
        <v>9493</v>
      </c>
      <c r="J4559" s="11" t="s">
        <v>26</v>
      </c>
      <c r="K4559" s="18">
        <v>1460</v>
      </c>
      <c r="L4559" s="12">
        <f t="shared" si="391"/>
        <v>2190</v>
      </c>
      <c r="M4559" s="8">
        <v>1</v>
      </c>
      <c r="N4559" s="8" t="s">
        <v>27</v>
      </c>
      <c r="O4559" s="13"/>
      <c r="P4559" s="14">
        <v>0.2</v>
      </c>
      <c r="Q4559" s="15">
        <v>0.2</v>
      </c>
      <c r="R4559" s="16" t="str">
        <f t="shared" si="389"/>
        <v>VIVITEK</v>
      </c>
      <c r="S4559" s="17"/>
      <c r="T4559" s="10" t="str">
        <f t="shared" si="392"/>
        <v>PROYECTOR FULL HD EN FORMATO 16:9, 4200 LUMENS. ENTRADAS VGA Y HDMI.</v>
      </c>
    </row>
    <row r="4560" spans="1:20" ht="27" customHeight="1" x14ac:dyDescent="0.25">
      <c r="A4560" s="8" t="s">
        <v>9486</v>
      </c>
      <c r="B4560" s="9" t="s">
        <v>1215</v>
      </c>
      <c r="C4560" s="9"/>
      <c r="D4560" s="8" t="s">
        <v>1225</v>
      </c>
      <c r="E4560" s="8">
        <v>2</v>
      </c>
      <c r="F4560" s="8" t="s">
        <v>22</v>
      </c>
      <c r="G4560" s="10" t="s">
        <v>9494</v>
      </c>
      <c r="H4560" s="8" t="s">
        <v>9495</v>
      </c>
      <c r="I4560" s="10" t="s">
        <v>9496</v>
      </c>
      <c r="J4560" s="11" t="s">
        <v>26</v>
      </c>
      <c r="K4560" s="18">
        <v>1100</v>
      </c>
      <c r="L4560" s="12">
        <f t="shared" si="391"/>
        <v>1650</v>
      </c>
      <c r="M4560" s="8">
        <v>1</v>
      </c>
      <c r="N4560" s="8" t="s">
        <v>27</v>
      </c>
      <c r="O4560" s="13"/>
      <c r="P4560" s="14">
        <v>0.2</v>
      </c>
      <c r="Q4560" s="15">
        <v>0.2</v>
      </c>
      <c r="R4560" s="16" t="str">
        <f t="shared" si="389"/>
        <v>VIVITEK</v>
      </c>
      <c r="S4560" s="17"/>
      <c r="T4560" s="10" t="str">
        <f t="shared" si="392"/>
        <v>PROYECTOR WUXGA FULL HD DE 4500 LUMENS, ENTRADAS HDMI Y VGA.</v>
      </c>
    </row>
    <row r="4561" spans="1:20" ht="27" customHeight="1" x14ac:dyDescent="0.25">
      <c r="A4561" s="8" t="s">
        <v>9486</v>
      </c>
      <c r="B4561" s="9" t="s">
        <v>9497</v>
      </c>
      <c r="C4561" s="9"/>
      <c r="D4561" s="8" t="s">
        <v>2470</v>
      </c>
      <c r="E4561" s="8">
        <v>1</v>
      </c>
      <c r="F4561" s="8" t="s">
        <v>22</v>
      </c>
      <c r="G4561" s="10" t="s">
        <v>9498</v>
      </c>
      <c r="H4561" s="8" t="s">
        <v>9492</v>
      </c>
      <c r="I4561" s="10" t="s">
        <v>9499</v>
      </c>
      <c r="J4561" s="11" t="s">
        <v>26</v>
      </c>
      <c r="K4561" s="18">
        <v>1320</v>
      </c>
      <c r="L4561" s="12">
        <f t="shared" si="391"/>
        <v>2262.8571428571431</v>
      </c>
      <c r="M4561" s="8">
        <v>1</v>
      </c>
      <c r="N4561" s="8" t="s">
        <v>27</v>
      </c>
      <c r="O4561" s="13" t="s">
        <v>587</v>
      </c>
      <c r="P4561" s="14">
        <v>0.2</v>
      </c>
      <c r="Q4561" s="15">
        <v>0.3</v>
      </c>
      <c r="R4561" s="16" t="str">
        <f t="shared" si="389"/>
        <v>VIVITEK</v>
      </c>
      <c r="S4561" s="17"/>
      <c r="T4561" s="10" t="str">
        <f t="shared" si="392"/>
        <v>PROYECTOR DE ALTA DEFINICIÓN 1080P.4500 LUMENS, TECNOLOGÍA DLP.</v>
      </c>
    </row>
    <row r="4562" spans="1:20" ht="27" customHeight="1" x14ac:dyDescent="0.25">
      <c r="A4562" s="8" t="s">
        <v>9486</v>
      </c>
      <c r="B4562" s="9" t="s">
        <v>9497</v>
      </c>
      <c r="C4562" s="9"/>
      <c r="D4562" s="8" t="s">
        <v>2470</v>
      </c>
      <c r="E4562" s="8">
        <v>2</v>
      </c>
      <c r="F4562" s="8" t="s">
        <v>22</v>
      </c>
      <c r="G4562" s="10" t="s">
        <v>9500</v>
      </c>
      <c r="H4562" s="8" t="s">
        <v>9501</v>
      </c>
      <c r="I4562" s="10" t="s">
        <v>9502</v>
      </c>
      <c r="J4562" s="11" t="s">
        <v>26</v>
      </c>
      <c r="K4562" s="18">
        <v>2396</v>
      </c>
      <c r="L4562" s="12">
        <f t="shared" si="391"/>
        <v>4107.4285714285716</v>
      </c>
      <c r="M4562" s="8">
        <v>1</v>
      </c>
      <c r="N4562" s="8" t="s">
        <v>27</v>
      </c>
      <c r="O4562" s="13" t="s">
        <v>588</v>
      </c>
      <c r="P4562" s="14">
        <v>0.2</v>
      </c>
      <c r="Q4562" s="15">
        <v>0.3</v>
      </c>
      <c r="R4562" s="16" t="str">
        <f t="shared" si="389"/>
        <v>VIVITEK</v>
      </c>
      <c r="S4562" s="17"/>
      <c r="T4562" s="10" t="str">
        <f t="shared" si="392"/>
        <v>PROYECTOR DE ALTA DEFINICIÓN, CONTRASTE 3000:1, FORMATO 16:10.</v>
      </c>
    </row>
    <row r="4563" spans="1:20" ht="27" customHeight="1" x14ac:dyDescent="0.25">
      <c r="A4563" s="8" t="s">
        <v>9486</v>
      </c>
      <c r="B4563" s="9" t="s">
        <v>9497</v>
      </c>
      <c r="C4563" s="9"/>
      <c r="D4563" s="8" t="s">
        <v>2470</v>
      </c>
      <c r="E4563" s="8">
        <v>3</v>
      </c>
      <c r="F4563" s="8" t="s">
        <v>22</v>
      </c>
      <c r="G4563" s="10" t="s">
        <v>9503</v>
      </c>
      <c r="H4563" s="8" t="s">
        <v>9504</v>
      </c>
      <c r="I4563" s="10" t="s">
        <v>9505</v>
      </c>
      <c r="J4563" s="11" t="s">
        <v>33</v>
      </c>
      <c r="K4563" s="18">
        <v>12942700</v>
      </c>
      <c r="L4563" s="12">
        <f t="shared" si="391"/>
        <v>17257000</v>
      </c>
      <c r="M4563" s="8">
        <v>1</v>
      </c>
      <c r="N4563" s="8" t="s">
        <v>27</v>
      </c>
      <c r="O4563" s="13" t="s">
        <v>587</v>
      </c>
      <c r="P4563" s="14">
        <v>0.2</v>
      </c>
      <c r="Q4563" s="15">
        <v>0.25</v>
      </c>
      <c r="R4563" s="16" t="str">
        <f t="shared" si="389"/>
        <v>VIVITEK</v>
      </c>
      <c r="S4563" s="17"/>
      <c r="T4563" s="10" t="str">
        <f t="shared" si="392"/>
        <v>PROYECTOR DE ALTA DEFINICIÓN, CONTRASTE 3000:1, FORMATO 4:3.</v>
      </c>
    </row>
    <row r="4564" spans="1:20" ht="27" customHeight="1" x14ac:dyDescent="0.25">
      <c r="A4564" s="8" t="s">
        <v>9486</v>
      </c>
      <c r="B4564" s="9" t="s">
        <v>9497</v>
      </c>
      <c r="C4564" s="9"/>
      <c r="D4564" s="8" t="s">
        <v>9506</v>
      </c>
      <c r="E4564" s="8">
        <v>1</v>
      </c>
      <c r="F4564" s="8" t="s">
        <v>22</v>
      </c>
      <c r="G4564" s="10" t="s">
        <v>9507</v>
      </c>
      <c r="H4564" s="8" t="s">
        <v>9508</v>
      </c>
      <c r="I4564" s="10" t="s">
        <v>9507</v>
      </c>
      <c r="J4564" s="11" t="s">
        <v>33</v>
      </c>
      <c r="K4564" s="18">
        <v>2958000</v>
      </c>
      <c r="L4564" s="12">
        <f t="shared" si="391"/>
        <v>3944000</v>
      </c>
      <c r="M4564" s="8">
        <v>1</v>
      </c>
      <c r="N4564" s="8" t="s">
        <v>27</v>
      </c>
      <c r="O4564" s="13" t="s">
        <v>588</v>
      </c>
      <c r="P4564" s="14">
        <v>0.2</v>
      </c>
      <c r="Q4564" s="15">
        <v>0.25</v>
      </c>
      <c r="R4564" s="16" t="str">
        <f t="shared" si="389"/>
        <v>VIVITEK</v>
      </c>
      <c r="S4564" s="17"/>
      <c r="T4564" s="10" t="str">
        <f t="shared" si="392"/>
        <v>LENTE PARA REPRODUCCIÓN ULTRA CORTA.</v>
      </c>
    </row>
    <row r="4565" spans="1:20" ht="27" customHeight="1" x14ac:dyDescent="0.25">
      <c r="A4565" s="8" t="s">
        <v>9486</v>
      </c>
      <c r="B4565" s="9" t="s">
        <v>9497</v>
      </c>
      <c r="C4565" s="9"/>
      <c r="D4565" s="8" t="s">
        <v>4994</v>
      </c>
      <c r="E4565" s="8">
        <v>1</v>
      </c>
      <c r="F4565" s="8" t="s">
        <v>22</v>
      </c>
      <c r="G4565" s="10" t="s">
        <v>9509</v>
      </c>
      <c r="H4565" s="8" t="s">
        <v>9510</v>
      </c>
      <c r="I4565" s="10" t="s">
        <v>9509</v>
      </c>
      <c r="J4565" s="11" t="s">
        <v>26</v>
      </c>
      <c r="K4565" s="18">
        <v>665</v>
      </c>
      <c r="L4565" s="12">
        <f t="shared" si="391"/>
        <v>1023.0769230769231</v>
      </c>
      <c r="M4565" s="8">
        <v>1</v>
      </c>
      <c r="N4565" s="8" t="s">
        <v>27</v>
      </c>
      <c r="O4565" s="13" t="s">
        <v>587</v>
      </c>
      <c r="P4565" s="14">
        <v>0.2</v>
      </c>
      <c r="Q4565" s="15">
        <v>0.22</v>
      </c>
      <c r="R4565" s="16" t="str">
        <f t="shared" si="389"/>
        <v>VIVITEK</v>
      </c>
      <c r="S4565" s="17"/>
      <c r="T4565" s="10" t="str">
        <f t="shared" si="392"/>
        <v>LAMPARA DE REEMPLAZO PARA PROYECTOR DX6831, 2000 HORAS DE DURACIÓN ESTIMADA</v>
      </c>
    </row>
    <row r="4566" spans="1:20" ht="27" customHeight="1" x14ac:dyDescent="0.25">
      <c r="A4566" s="8" t="s">
        <v>9486</v>
      </c>
      <c r="B4566" s="9" t="s">
        <v>9497</v>
      </c>
      <c r="C4566" s="9"/>
      <c r="D4566" s="8" t="s">
        <v>4994</v>
      </c>
      <c r="E4566" s="8">
        <v>1</v>
      </c>
      <c r="F4566" s="8" t="s">
        <v>22</v>
      </c>
      <c r="G4566" s="10" t="s">
        <v>9511</v>
      </c>
      <c r="H4566" s="8" t="s">
        <v>9512</v>
      </c>
      <c r="I4566" s="10" t="s">
        <v>9513</v>
      </c>
      <c r="J4566" s="11" t="s">
        <v>26</v>
      </c>
      <c r="K4566" s="18">
        <v>1450</v>
      </c>
      <c r="L4566" s="12">
        <f t="shared" si="391"/>
        <v>2175</v>
      </c>
      <c r="M4566" s="8">
        <v>1</v>
      </c>
      <c r="N4566" s="8" t="s">
        <v>27</v>
      </c>
      <c r="O4566" s="13" t="s">
        <v>588</v>
      </c>
      <c r="P4566" s="14">
        <v>0.2</v>
      </c>
      <c r="Q4566" s="15">
        <v>0.2</v>
      </c>
      <c r="R4566" s="16" t="str">
        <f t="shared" si="389"/>
        <v>VIVITEK</v>
      </c>
      <c r="S4566" s="17"/>
      <c r="T4566" s="10" t="str">
        <f t="shared" si="392"/>
        <v>PROYECTOR DE 5100 LUMENS ANSI, CON ENTRADAS HDMI, VGA Y DVI.</v>
      </c>
    </row>
    <row r="4567" spans="1:20" ht="27" customHeight="1" x14ac:dyDescent="0.25">
      <c r="A4567" s="8" t="s">
        <v>9486</v>
      </c>
      <c r="B4567" s="9" t="s">
        <v>9497</v>
      </c>
      <c r="C4567" s="9"/>
      <c r="D4567" s="8" t="s">
        <v>4994</v>
      </c>
      <c r="E4567" s="8">
        <v>1</v>
      </c>
      <c r="F4567" s="8" t="s">
        <v>22</v>
      </c>
      <c r="G4567" s="10" t="s">
        <v>9514</v>
      </c>
      <c r="H4567" s="8" t="s">
        <v>9515</v>
      </c>
      <c r="I4567" s="10" t="s">
        <v>9516</v>
      </c>
      <c r="J4567" s="11" t="s">
        <v>26</v>
      </c>
      <c r="K4567" s="18">
        <v>5125</v>
      </c>
      <c r="L4567" s="12">
        <f t="shared" si="391"/>
        <v>7235.2941176470595</v>
      </c>
      <c r="M4567" s="8">
        <v>1</v>
      </c>
      <c r="N4567" s="8" t="s">
        <v>27</v>
      </c>
      <c r="O4567" s="13" t="s">
        <v>587</v>
      </c>
      <c r="P4567" s="14">
        <v>0.2</v>
      </c>
      <c r="Q4567" s="15">
        <v>0.15</v>
      </c>
      <c r="R4567" s="16" t="str">
        <f t="shared" si="389"/>
        <v>VIVITEK</v>
      </c>
      <c r="S4567" s="17"/>
      <c r="T4567" s="10" t="str">
        <f t="shared" si="392"/>
        <v>PROYECTOR DE 7000 LUMENS ANSI, CON ENTRADAS HDMI, VGA Y DVI.</v>
      </c>
    </row>
    <row r="4568" spans="1:20" ht="27" customHeight="1" x14ac:dyDescent="0.25">
      <c r="A4568" s="8" t="s">
        <v>9486</v>
      </c>
      <c r="B4568" s="9" t="s">
        <v>9497</v>
      </c>
      <c r="C4568" s="9"/>
      <c r="D4568" s="8" t="s">
        <v>4994</v>
      </c>
      <c r="E4568" s="8">
        <v>1</v>
      </c>
      <c r="F4568" s="8" t="s">
        <v>22</v>
      </c>
      <c r="G4568" s="10" t="s">
        <v>9517</v>
      </c>
      <c r="H4568" s="8" t="s">
        <v>9518</v>
      </c>
      <c r="I4568" s="10" t="s">
        <v>9517</v>
      </c>
      <c r="J4568" s="11" t="s">
        <v>26</v>
      </c>
      <c r="K4568" s="18">
        <v>1100</v>
      </c>
      <c r="L4568" s="12">
        <f t="shared" si="391"/>
        <v>1552.9411764705883</v>
      </c>
      <c r="M4568" s="8">
        <v>1</v>
      </c>
      <c r="N4568" s="8" t="s">
        <v>27</v>
      </c>
      <c r="O4568" s="13" t="s">
        <v>588</v>
      </c>
      <c r="P4568" s="14">
        <v>0.2</v>
      </c>
      <c r="Q4568" s="15">
        <v>0.15</v>
      </c>
      <c r="R4568" s="16" t="str">
        <f t="shared" si="389"/>
        <v>VIVITEK</v>
      </c>
      <c r="S4568" s="17"/>
      <c r="T4568" s="10" t="str">
        <f t="shared" si="392"/>
        <v>PROYECTOR FULL HD DE 3500 LUMENS, CONTROL RS-232 Y CONTRASTE 15.000:1.</v>
      </c>
    </row>
    <row r="4569" spans="1:20" ht="27" customHeight="1" x14ac:dyDescent="0.25">
      <c r="A4569" s="8" t="s">
        <v>9486</v>
      </c>
      <c r="B4569" s="9" t="s">
        <v>9497</v>
      </c>
      <c r="C4569" s="9"/>
      <c r="D4569" s="8" t="s">
        <v>4994</v>
      </c>
      <c r="E4569" s="8">
        <v>1</v>
      </c>
      <c r="F4569" s="8" t="s">
        <v>22</v>
      </c>
      <c r="G4569" s="10" t="s">
        <v>9519</v>
      </c>
      <c r="H4569" s="8" t="s">
        <v>9520</v>
      </c>
      <c r="I4569" s="10" t="s">
        <v>9519</v>
      </c>
      <c r="J4569" s="11" t="s">
        <v>33</v>
      </c>
      <c r="K4569" s="18">
        <v>1950</v>
      </c>
      <c r="L4569" s="12">
        <f t="shared" si="391"/>
        <v>2800</v>
      </c>
      <c r="M4569" s="8">
        <v>1</v>
      </c>
      <c r="N4569" s="8" t="s">
        <v>27</v>
      </c>
      <c r="O4569" s="13" t="s">
        <v>587</v>
      </c>
      <c r="P4569" s="14">
        <v>0.2</v>
      </c>
      <c r="Q4569" s="15">
        <v>0.3</v>
      </c>
      <c r="R4569" s="16" t="str">
        <f t="shared" si="389"/>
        <v>VIVITEK</v>
      </c>
      <c r="S4569" s="17"/>
      <c r="T4569" s="10" t="str">
        <f t="shared" si="392"/>
        <v>PROYECTOR DE 3500 LUMENS, RESOLUCIÓN XGA, ENTRADA HDMI Y VGA.</v>
      </c>
    </row>
    <row r="4570" spans="1:20" ht="27" customHeight="1" x14ac:dyDescent="0.25">
      <c r="A4570" s="8" t="s">
        <v>9486</v>
      </c>
      <c r="B4570" s="9"/>
      <c r="C4570" s="9"/>
      <c r="D4570" s="8" t="s">
        <v>45</v>
      </c>
      <c r="E4570" s="8"/>
      <c r="F4570" s="8" t="s">
        <v>22</v>
      </c>
      <c r="G4570" s="10" t="str">
        <f>B4570&amp;"-"&amp;D4570&amp;"-"&amp;E4570&amp;F4570</f>
        <v>-PROG_-BLANCO</v>
      </c>
      <c r="H4570" s="8" t="s">
        <v>9521</v>
      </c>
      <c r="I4570" s="10" t="s">
        <v>9522</v>
      </c>
      <c r="J4570" s="11" t="s">
        <v>33</v>
      </c>
      <c r="K4570" s="18">
        <v>2700000</v>
      </c>
      <c r="L4570" s="12">
        <f>K4570*(1+P4570)/(1-Q4570)</f>
        <v>4500000</v>
      </c>
      <c r="M4570" s="8">
        <v>1</v>
      </c>
      <c r="N4570" s="8" t="s">
        <v>27</v>
      </c>
      <c r="O4570" s="13"/>
      <c r="P4570" s="14">
        <v>0</v>
      </c>
      <c r="Q4570" s="15">
        <v>0.4</v>
      </c>
      <c r="R4570" s="16" t="str">
        <f t="shared" si="389"/>
        <v>VIVITEK</v>
      </c>
      <c r="S4570" s="17"/>
      <c r="T4570" s="10" t="str">
        <f t="shared" si="392"/>
        <v>-PROG_-BLANCO</v>
      </c>
    </row>
    <row r="4571" spans="1:20" ht="27" customHeight="1" x14ac:dyDescent="0.25">
      <c r="A4571" s="8" t="s">
        <v>9523</v>
      </c>
      <c r="B4571" s="9"/>
      <c r="C4571" s="9"/>
      <c r="D4571" s="8"/>
      <c r="E4571" s="8"/>
      <c r="F4571" s="8" t="s">
        <v>22</v>
      </c>
      <c r="G4571" s="10" t="s">
        <v>9524</v>
      </c>
      <c r="H4571" s="8" t="s">
        <v>9525</v>
      </c>
      <c r="I4571" s="10" t="s">
        <v>9524</v>
      </c>
      <c r="J4571" s="11" t="s">
        <v>26</v>
      </c>
      <c r="K4571" s="18">
        <v>185</v>
      </c>
      <c r="L4571" s="12">
        <f t="shared" ref="L4571:L4580" si="393">IF(J4571="P",ROUNDUP(K4571/(1-Q4571),-2),K4571*(1+P4571)/(1-Q4571))</f>
        <v>370</v>
      </c>
      <c r="M4571" s="8">
        <v>1</v>
      </c>
      <c r="N4571" s="8" t="s">
        <v>27</v>
      </c>
      <c r="O4571" s="13"/>
      <c r="P4571" s="14">
        <v>0.2</v>
      </c>
      <c r="Q4571" s="15">
        <v>0.4</v>
      </c>
      <c r="R4571" s="16" t="str">
        <f t="shared" si="389"/>
        <v>VIVO</v>
      </c>
      <c r="S4571" s="17"/>
      <c r="T4571" s="10" t="str">
        <f t="shared" si="392"/>
        <v>SOPORTE MOTORIZADO ANGULAR PARA MONTAJE ENTECHO, PARA TV DE HASTA 55".</v>
      </c>
    </row>
    <row r="4572" spans="1:20" ht="27" customHeight="1" x14ac:dyDescent="0.25">
      <c r="A4572" s="8" t="s">
        <v>9523</v>
      </c>
      <c r="B4572" s="9"/>
      <c r="C4572" s="9"/>
      <c r="D4572" s="8" t="s">
        <v>45</v>
      </c>
      <c r="E4572" s="8"/>
      <c r="F4572" s="8" t="s">
        <v>22</v>
      </c>
      <c r="G4572" s="10" t="s">
        <v>9526</v>
      </c>
      <c r="H4572" s="8" t="s">
        <v>9527</v>
      </c>
      <c r="I4572" s="10" t="s">
        <v>9526</v>
      </c>
      <c r="J4572" s="11" t="s">
        <v>26</v>
      </c>
      <c r="K4572" s="18">
        <v>50</v>
      </c>
      <c r="L4572" s="12">
        <f t="shared" si="393"/>
        <v>100</v>
      </c>
      <c r="M4572" s="8">
        <v>1</v>
      </c>
      <c r="N4572" s="8" t="s">
        <v>27</v>
      </c>
      <c r="O4572" s="13"/>
      <c r="P4572" s="14">
        <v>0</v>
      </c>
      <c r="Q4572" s="15">
        <v>0.5</v>
      </c>
      <c r="R4572" s="16" t="str">
        <f t="shared" si="389"/>
        <v>VIVO</v>
      </c>
      <c r="S4572" s="17"/>
      <c r="T4572" s="10" t="str">
        <f t="shared" si="392"/>
        <v>SOPORTE DE PIE PARA AMPLIFICADORES PLAY 1 O PLAY 3</v>
      </c>
    </row>
    <row r="4573" spans="1:20" ht="27" customHeight="1" x14ac:dyDescent="0.25">
      <c r="A4573" s="8" t="s">
        <v>9528</v>
      </c>
      <c r="B4573" s="9"/>
      <c r="C4573" s="9"/>
      <c r="D4573" s="8"/>
      <c r="E4573" s="8"/>
      <c r="F4573" s="8"/>
      <c r="G4573" s="10"/>
      <c r="H4573" s="8" t="s">
        <v>9529</v>
      </c>
      <c r="I4573" s="10" t="s">
        <v>9530</v>
      </c>
      <c r="J4573" s="11" t="s">
        <v>33</v>
      </c>
      <c r="K4573" s="18">
        <v>127000</v>
      </c>
      <c r="L4573" s="12">
        <f t="shared" si="393"/>
        <v>211700</v>
      </c>
      <c r="M4573" s="8">
        <v>1</v>
      </c>
      <c r="N4573" s="8" t="s">
        <v>27</v>
      </c>
      <c r="O4573" s="13"/>
      <c r="P4573" s="14">
        <v>0</v>
      </c>
      <c r="Q4573" s="15">
        <v>0.4</v>
      </c>
      <c r="R4573" s="16" t="str">
        <f t="shared" si="389"/>
        <v>VOIPRED</v>
      </c>
      <c r="S4573" s="17"/>
      <c r="T4573" s="10">
        <f t="shared" si="392"/>
        <v>0</v>
      </c>
    </row>
    <row r="4574" spans="1:20" ht="27" customHeight="1" x14ac:dyDescent="0.25">
      <c r="A4574" s="8" t="s">
        <v>9528</v>
      </c>
      <c r="B4574" s="9"/>
      <c r="C4574" s="9"/>
      <c r="D4574" s="8"/>
      <c r="E4574" s="8"/>
      <c r="F4574" s="8"/>
      <c r="G4574" s="10"/>
      <c r="H4574" s="8" t="s">
        <v>9531</v>
      </c>
      <c r="I4574" s="10" t="s">
        <v>9532</v>
      </c>
      <c r="J4574" s="11" t="s">
        <v>33</v>
      </c>
      <c r="K4574" s="18">
        <v>333000</v>
      </c>
      <c r="L4574" s="12">
        <f t="shared" si="393"/>
        <v>555000</v>
      </c>
      <c r="M4574" s="8">
        <v>1</v>
      </c>
      <c r="N4574" s="8" t="s">
        <v>27</v>
      </c>
      <c r="O4574" s="13"/>
      <c r="P4574" s="14">
        <v>0</v>
      </c>
      <c r="Q4574" s="15">
        <v>0.4</v>
      </c>
      <c r="R4574" s="16" t="str">
        <f t="shared" si="389"/>
        <v>VOIPRED</v>
      </c>
      <c r="S4574" s="17"/>
      <c r="T4574" s="10">
        <f t="shared" si="392"/>
        <v>0</v>
      </c>
    </row>
    <row r="4575" spans="1:20" ht="27" customHeight="1" x14ac:dyDescent="0.25">
      <c r="A4575" s="8" t="s">
        <v>9533</v>
      </c>
      <c r="B4575" s="9"/>
      <c r="C4575" s="9"/>
      <c r="D4575" s="8"/>
      <c r="E4575" s="8"/>
      <c r="F4575" s="8"/>
      <c r="G4575" s="10"/>
      <c r="H4575" s="8" t="s">
        <v>9534</v>
      </c>
      <c r="I4575" s="10" t="s">
        <v>9535</v>
      </c>
      <c r="J4575" s="11" t="s">
        <v>33</v>
      </c>
      <c r="K4575" s="18">
        <f>509000*0.9</f>
        <v>458100</v>
      </c>
      <c r="L4575" s="12">
        <f t="shared" si="393"/>
        <v>572700</v>
      </c>
      <c r="M4575" s="8">
        <v>1</v>
      </c>
      <c r="N4575" s="8" t="s">
        <v>27</v>
      </c>
      <c r="O4575" s="13"/>
      <c r="P4575" s="14">
        <v>0</v>
      </c>
      <c r="Q4575" s="15">
        <v>0.2</v>
      </c>
      <c r="R4575" s="16" t="str">
        <f t="shared" si="389"/>
        <v>VU</v>
      </c>
      <c r="S4575" s="17"/>
      <c r="T4575" s="10"/>
    </row>
    <row r="4576" spans="1:20" ht="27" customHeight="1" x14ac:dyDescent="0.25">
      <c r="A4576" s="8" t="s">
        <v>9533</v>
      </c>
      <c r="B4576" s="9"/>
      <c r="C4576" s="9"/>
      <c r="D4576" s="8"/>
      <c r="E4576" s="8"/>
      <c r="F4576" s="8"/>
      <c r="G4576" s="10"/>
      <c r="H4576" s="8" t="s">
        <v>9536</v>
      </c>
      <c r="I4576" s="10" t="str">
        <f>UPPER("Lámpara de piso. Estructura en hierro + 2 mts de cable tejido con enchufe + sistema escualizable. Socket para E27. . Medidas totales de la lámpara en cms : 31 de ancho x 157 de altura .")</f>
        <v>LÁMPARA DE PISO. ESTRUCTURA EN HIERRO + 2 MTS DE CABLE TEJIDO CON ENCHUFE + SISTEMA ESCUALIZABLE. SOCKET PARA E27. . MEDIDAS TOTALES DE LA LÁMPARA EN CMS : 31 DE ANCHO X 157 DE ALTURA .</v>
      </c>
      <c r="J4576" s="11" t="s">
        <v>33</v>
      </c>
      <c r="K4576" s="18">
        <f>589000</f>
        <v>589000</v>
      </c>
      <c r="L4576" s="12">
        <f t="shared" si="393"/>
        <v>736300</v>
      </c>
      <c r="M4576" s="8">
        <v>1</v>
      </c>
      <c r="N4576" s="8" t="s">
        <v>27</v>
      </c>
      <c r="O4576" s="13"/>
      <c r="P4576" s="14">
        <v>0</v>
      </c>
      <c r="Q4576" s="15">
        <v>0.2</v>
      </c>
      <c r="R4576" s="16" t="str">
        <f t="shared" si="389"/>
        <v>VU</v>
      </c>
      <c r="S4576" s="17"/>
      <c r="T4576" s="10"/>
    </row>
    <row r="4577" spans="1:20" ht="27" customHeight="1" x14ac:dyDescent="0.25">
      <c r="A4577" s="8" t="s">
        <v>9537</v>
      </c>
      <c r="B4577" s="9"/>
      <c r="C4577" s="9"/>
      <c r="D4577" s="8"/>
      <c r="E4577" s="8"/>
      <c r="F4577" s="8"/>
      <c r="G4577" s="10"/>
      <c r="H4577" s="8" t="s">
        <v>9538</v>
      </c>
      <c r="I4577" s="10" t="s">
        <v>9539</v>
      </c>
      <c r="J4577" s="11" t="s">
        <v>33</v>
      </c>
      <c r="K4577" s="18">
        <f>189000+30000</f>
        <v>219000</v>
      </c>
      <c r="L4577" s="12">
        <f t="shared" si="393"/>
        <v>273800</v>
      </c>
      <c r="M4577" s="8">
        <v>1</v>
      </c>
      <c r="N4577" s="8" t="s">
        <v>27</v>
      </c>
      <c r="O4577" s="13"/>
      <c r="P4577" s="14">
        <v>0</v>
      </c>
      <c r="Q4577" s="15">
        <v>0.2</v>
      </c>
      <c r="R4577" s="16" t="str">
        <f t="shared" si="389"/>
        <v>vu</v>
      </c>
      <c r="S4577" s="17"/>
      <c r="T4577" s="10"/>
    </row>
    <row r="4578" spans="1:20" ht="27" customHeight="1" x14ac:dyDescent="0.25">
      <c r="A4578" s="8" t="s">
        <v>9540</v>
      </c>
      <c r="B4578" s="9"/>
      <c r="C4578" s="9"/>
      <c r="D4578" s="8"/>
      <c r="E4578" s="8"/>
      <c r="F4578" s="8"/>
      <c r="G4578" s="10"/>
      <c r="H4578" s="8" t="s">
        <v>9541</v>
      </c>
      <c r="I4578" s="10" t="s">
        <v>2554</v>
      </c>
      <c r="J4578" s="11" t="s">
        <v>33</v>
      </c>
      <c r="K4578" s="18">
        <v>91085</v>
      </c>
      <c r="L4578" s="12">
        <f t="shared" si="393"/>
        <v>130200</v>
      </c>
      <c r="M4578" s="8">
        <v>1</v>
      </c>
      <c r="N4578" s="8" t="s">
        <v>27</v>
      </c>
      <c r="O4578" s="13"/>
      <c r="P4578" s="14">
        <v>0</v>
      </c>
      <c r="Q4578" s="15">
        <v>0.3</v>
      </c>
      <c r="R4578" s="16" t="str">
        <f t="shared" si="389"/>
        <v>VULOVA</v>
      </c>
      <c r="S4578" s="17"/>
      <c r="T4578" s="10"/>
    </row>
    <row r="4579" spans="1:20" ht="27" customHeight="1" x14ac:dyDescent="0.25">
      <c r="A4579" s="8" t="s">
        <v>9542</v>
      </c>
      <c r="B4579" s="9" t="s">
        <v>9543</v>
      </c>
      <c r="C4579" s="9"/>
      <c r="D4579" s="8" t="s">
        <v>2057</v>
      </c>
      <c r="E4579" s="8">
        <v>1</v>
      </c>
      <c r="F4579" s="8" t="s">
        <v>22</v>
      </c>
      <c r="G4579" s="10" t="s">
        <v>9544</v>
      </c>
      <c r="H4579" s="8" t="s">
        <v>9545</v>
      </c>
      <c r="I4579" s="10" t="s">
        <v>9544</v>
      </c>
      <c r="J4579" s="11" t="s">
        <v>26</v>
      </c>
      <c r="K4579" s="18">
        <v>46</v>
      </c>
      <c r="L4579" s="12">
        <f t="shared" si="393"/>
        <v>92</v>
      </c>
      <c r="M4579" s="8">
        <v>1</v>
      </c>
      <c r="N4579" s="8" t="s">
        <v>27</v>
      </c>
      <c r="O4579" s="13"/>
      <c r="P4579" s="14">
        <v>0.2</v>
      </c>
      <c r="Q4579" s="15">
        <v>0.4</v>
      </c>
      <c r="R4579" s="16" t="str">
        <f t="shared" si="389"/>
        <v>WATTSTOPER</v>
      </c>
      <c r="S4579" s="17"/>
      <c r="T4579" s="10" t="str">
        <f>G4579</f>
        <v>SENSOR DE PRESENCIA INFRA ROJO CON RELÉ A 120V.</v>
      </c>
    </row>
    <row r="4580" spans="1:20" ht="27" customHeight="1" x14ac:dyDescent="0.25">
      <c r="A4580" s="8" t="s">
        <v>9546</v>
      </c>
      <c r="B4580" s="9" t="s">
        <v>9546</v>
      </c>
      <c r="C4580" s="9"/>
      <c r="D4580" s="8" t="s">
        <v>9547</v>
      </c>
      <c r="E4580" s="8"/>
      <c r="F4580" s="8" t="s">
        <v>22</v>
      </c>
      <c r="G4580" s="10" t="s">
        <v>9548</v>
      </c>
      <c r="H4580" s="8" t="s">
        <v>9549</v>
      </c>
      <c r="I4580" s="10" t="s">
        <v>9548</v>
      </c>
      <c r="J4580" s="11" t="s">
        <v>26</v>
      </c>
      <c r="K4580" s="18">
        <v>150</v>
      </c>
      <c r="L4580" s="12">
        <f t="shared" si="393"/>
        <v>225</v>
      </c>
      <c r="M4580" s="8">
        <v>1</v>
      </c>
      <c r="N4580" s="8" t="s">
        <v>27</v>
      </c>
      <c r="O4580" s="13"/>
      <c r="P4580" s="14">
        <v>0.2</v>
      </c>
      <c r="Q4580" s="15">
        <v>0.2</v>
      </c>
      <c r="R4580" s="16" t="str">
        <f t="shared" si="389"/>
        <v>WD</v>
      </c>
      <c r="S4580" s="17"/>
      <c r="T4580" s="10" t="str">
        <f>G4580</f>
        <v>DISCO DURO TIPO SATA DE 4GB MARCA WESTERN DIGITAL</v>
      </c>
    </row>
    <row r="4581" spans="1:20" ht="27" customHeight="1" x14ac:dyDescent="0.25">
      <c r="A4581" s="8" t="s">
        <v>9546</v>
      </c>
      <c r="B4581" s="9"/>
      <c r="C4581" s="9"/>
      <c r="D4581" s="8" t="s">
        <v>45</v>
      </c>
      <c r="E4581" s="8"/>
      <c r="F4581" s="8" t="s">
        <v>22</v>
      </c>
      <c r="G4581" s="10" t="s">
        <v>9550</v>
      </c>
      <c r="H4581" s="8" t="s">
        <v>9551</v>
      </c>
      <c r="I4581" s="10" t="s">
        <v>9552</v>
      </c>
      <c r="J4581" s="11" t="s">
        <v>33</v>
      </c>
      <c r="K4581" s="18">
        <v>239090</v>
      </c>
      <c r="L4581" s="12">
        <f>ROUNDUP(K4581*(1+P4581)/(1-Q4581),0)</f>
        <v>398484</v>
      </c>
      <c r="M4581" s="8">
        <v>1</v>
      </c>
      <c r="N4581" s="8" t="s">
        <v>27</v>
      </c>
      <c r="O4581" s="13"/>
      <c r="P4581" s="14">
        <v>0</v>
      </c>
      <c r="Q4581" s="15">
        <v>0.4</v>
      </c>
      <c r="R4581" s="16" t="str">
        <f t="shared" si="389"/>
        <v>WD</v>
      </c>
      <c r="S4581" s="17"/>
      <c r="T4581" s="10" t="str">
        <f>G4581</f>
        <v>DISCO DURO DE 2TB.</v>
      </c>
    </row>
    <row r="4582" spans="1:20" ht="27" customHeight="1" x14ac:dyDescent="0.25">
      <c r="A4582" s="8" t="s">
        <v>9553</v>
      </c>
      <c r="B4582" s="9"/>
      <c r="C4582" s="9"/>
      <c r="D4582" s="8"/>
      <c r="E4582" s="8"/>
      <c r="F4582" s="8" t="s">
        <v>22</v>
      </c>
      <c r="G4582" s="10" t="s">
        <v>9554</v>
      </c>
      <c r="H4582" s="8" t="s">
        <v>9555</v>
      </c>
      <c r="I4582" s="10" t="s">
        <v>9554</v>
      </c>
      <c r="J4582" s="11" t="s">
        <v>26</v>
      </c>
      <c r="K4582" s="18">
        <v>320</v>
      </c>
      <c r="L4582" s="12">
        <f>IF(J4582="P",ROUNDUP(K4582/(1-Q4582),-2),K4582*(1+P4582)/(1-Q4582))</f>
        <v>480</v>
      </c>
      <c r="M4582" s="8">
        <v>1</v>
      </c>
      <c r="N4582" s="8" t="s">
        <v>27</v>
      </c>
      <c r="O4582" s="13"/>
      <c r="P4582" s="14">
        <v>0.2</v>
      </c>
      <c r="Q4582" s="15">
        <v>0.2</v>
      </c>
      <c r="R4582" s="16" t="str">
        <f t="shared" si="389"/>
        <v>WE PRESENT</v>
      </c>
      <c r="S4582" s="17"/>
      <c r="T4582" s="10" t="str">
        <f>G4582</f>
        <v>BOTONERA DE SELECCIÓN PARA EQUIPO WE PRESENT</v>
      </c>
    </row>
    <row r="4583" spans="1:20" ht="27" customHeight="1" x14ac:dyDescent="0.25">
      <c r="A4583" s="8" t="s">
        <v>9556</v>
      </c>
      <c r="B4583" s="9"/>
      <c r="C4583" s="9"/>
      <c r="D4583" s="8"/>
      <c r="E4583" s="8"/>
      <c r="F4583" s="8"/>
      <c r="G4583" s="10"/>
      <c r="H4583" s="8" t="s">
        <v>9557</v>
      </c>
      <c r="I4583" s="10" t="s">
        <v>9558</v>
      </c>
      <c r="J4583" s="11" t="s">
        <v>26</v>
      </c>
      <c r="K4583" s="18">
        <v>50</v>
      </c>
      <c r="L4583" s="12">
        <f>K4583*(1+P4583)/(1-Q4583)</f>
        <v>75</v>
      </c>
      <c r="M4583" s="8">
        <v>1</v>
      </c>
      <c r="N4583" s="8" t="s">
        <v>27</v>
      </c>
      <c r="O4583" s="13"/>
      <c r="P4583" s="14">
        <v>0.2</v>
      </c>
      <c r="Q4583" s="15">
        <v>0.2</v>
      </c>
      <c r="R4583" s="16" t="str">
        <f t="shared" si="389"/>
        <v>WELLONG</v>
      </c>
      <c r="S4583" s="17"/>
      <c r="T4583" s="10"/>
    </row>
    <row r="4584" spans="1:20" ht="27" customHeight="1" x14ac:dyDescent="0.25">
      <c r="A4584" s="8" t="s">
        <v>9559</v>
      </c>
      <c r="B4584" s="9" t="s">
        <v>9560</v>
      </c>
      <c r="C4584" s="9"/>
      <c r="D4584" s="8" t="s">
        <v>211</v>
      </c>
      <c r="E4584" s="8">
        <v>1</v>
      </c>
      <c r="F4584" s="8" t="s">
        <v>22</v>
      </c>
      <c r="G4584" s="10" t="s">
        <v>9561</v>
      </c>
      <c r="H4584" s="8" t="s">
        <v>9562</v>
      </c>
      <c r="I4584" s="10" t="s">
        <v>9563</v>
      </c>
      <c r="J4584" s="11" t="s">
        <v>26</v>
      </c>
      <c r="K4584" s="18">
        <v>799</v>
      </c>
      <c r="L4584" s="12">
        <f t="shared" ref="L4584:L4592" si="394">IF(J4584="P",ROUNDUP(K4584/(1-Q4584),-2),K4584*(1+P4584)/(1-Q4584))</f>
        <v>1369.7142857142858</v>
      </c>
      <c r="M4584" s="8">
        <v>1</v>
      </c>
      <c r="N4584" s="8" t="s">
        <v>27</v>
      </c>
      <c r="O4584" s="13"/>
      <c r="P4584" s="14">
        <v>0.2</v>
      </c>
      <c r="Q4584" s="15">
        <v>0.3</v>
      </c>
      <c r="R4584" s="16" t="str">
        <f t="shared" si="389"/>
        <v>WEPRESENT</v>
      </c>
      <c r="S4584" s="17"/>
      <c r="T4584" s="10" t="str">
        <f>G4584</f>
        <v>PROCESADOR PARA TRANSMISIÓN INALÁMBRICA DE VIDEO STREAMING HD.</v>
      </c>
    </row>
    <row r="4585" spans="1:20" ht="27" customHeight="1" x14ac:dyDescent="0.25">
      <c r="A4585" s="8" t="s">
        <v>9559</v>
      </c>
      <c r="B4585" s="9" t="s">
        <v>9560</v>
      </c>
      <c r="C4585" s="9"/>
      <c r="D4585" s="8" t="s">
        <v>211</v>
      </c>
      <c r="E4585" s="8">
        <v>2</v>
      </c>
      <c r="F4585" s="8" t="s">
        <v>22</v>
      </c>
      <c r="G4585" s="10" t="s">
        <v>9564</v>
      </c>
      <c r="H4585" s="8" t="s">
        <v>9565</v>
      </c>
      <c r="I4585" s="10" t="s">
        <v>9566</v>
      </c>
      <c r="J4585" s="11" t="s">
        <v>26</v>
      </c>
      <c r="K4585" s="18">
        <v>559</v>
      </c>
      <c r="L4585" s="12">
        <f t="shared" si="394"/>
        <v>958.28571428571433</v>
      </c>
      <c r="M4585" s="8">
        <v>1</v>
      </c>
      <c r="N4585" s="8" t="s">
        <v>27</v>
      </c>
      <c r="O4585" s="13"/>
      <c r="P4585" s="14">
        <v>0.2</v>
      </c>
      <c r="Q4585" s="15">
        <v>0.3</v>
      </c>
      <c r="R4585" s="16" t="str">
        <f t="shared" si="389"/>
        <v>WEPRESENT</v>
      </c>
      <c r="S4585" s="17"/>
      <c r="T4585" s="10" t="str">
        <f>G4585</f>
        <v>PROCESADOR PARA TRANSMISIÓN INALÁMBRICA DE SEÑALES.</v>
      </c>
    </row>
    <row r="4586" spans="1:20" ht="27" customHeight="1" x14ac:dyDescent="0.25">
      <c r="A4586" s="8" t="s">
        <v>9559</v>
      </c>
      <c r="B4586" s="9"/>
      <c r="C4586" s="9"/>
      <c r="D4586" s="8"/>
      <c r="E4586" s="8"/>
      <c r="F4586" s="8" t="s">
        <v>22</v>
      </c>
      <c r="G4586" s="10" t="s">
        <v>9564</v>
      </c>
      <c r="H4586" s="8" t="s">
        <v>9567</v>
      </c>
      <c r="I4586" s="10" t="s">
        <v>9566</v>
      </c>
      <c r="J4586" s="11" t="s">
        <v>26</v>
      </c>
      <c r="K4586" s="18">
        <v>461</v>
      </c>
      <c r="L4586" s="12">
        <f t="shared" si="394"/>
        <v>691.49999999999989</v>
      </c>
      <c r="M4586" s="8">
        <v>1</v>
      </c>
      <c r="N4586" s="8" t="s">
        <v>27</v>
      </c>
      <c r="O4586" s="13"/>
      <c r="P4586" s="14">
        <v>0.2</v>
      </c>
      <c r="Q4586" s="15">
        <v>0.2</v>
      </c>
      <c r="R4586" s="16" t="str">
        <f t="shared" si="389"/>
        <v>WEPRESENT</v>
      </c>
      <c r="S4586" s="17"/>
      <c r="T4586" s="10" t="str">
        <f>G4586</f>
        <v>PROCESADOR PARA TRANSMISIÓN INALÁMBRICA DE SEÑALES.</v>
      </c>
    </row>
    <row r="4587" spans="1:20" ht="27" customHeight="1" x14ac:dyDescent="0.25">
      <c r="A4587" s="8" t="s">
        <v>9568</v>
      </c>
      <c r="B4587" s="9"/>
      <c r="C4587" s="9"/>
      <c r="D4587" s="8"/>
      <c r="E4587" s="8"/>
      <c r="F4587" s="8"/>
      <c r="G4587" s="10"/>
      <c r="H4587" s="8" t="s">
        <v>9551</v>
      </c>
      <c r="I4587" s="10" t="s">
        <v>1625</v>
      </c>
      <c r="J4587" s="11" t="s">
        <v>33</v>
      </c>
      <c r="K4587" s="18">
        <v>224000</v>
      </c>
      <c r="L4587" s="12">
        <f t="shared" si="394"/>
        <v>448000</v>
      </c>
      <c r="M4587" s="8">
        <v>1</v>
      </c>
      <c r="N4587" s="8" t="s">
        <v>27</v>
      </c>
      <c r="O4587" s="13">
        <f>F4587</f>
        <v>0</v>
      </c>
      <c r="P4587" s="14">
        <v>0</v>
      </c>
      <c r="Q4587" s="15">
        <v>0.5</v>
      </c>
      <c r="R4587" s="16" t="str">
        <f t="shared" si="389"/>
        <v>WESTERN DIGITAL</v>
      </c>
      <c r="S4587" s="17"/>
      <c r="T4587" s="10"/>
    </row>
    <row r="4588" spans="1:20" ht="27" customHeight="1" x14ac:dyDescent="0.25">
      <c r="A4588" s="8" t="s">
        <v>9569</v>
      </c>
      <c r="B4588" s="9"/>
      <c r="C4588" s="9"/>
      <c r="D4588" s="8"/>
      <c r="E4588" s="8"/>
      <c r="F4588" s="8" t="s">
        <v>22</v>
      </c>
      <c r="G4588" s="10" t="s">
        <v>9570</v>
      </c>
      <c r="H4588" s="8" t="s">
        <v>9571</v>
      </c>
      <c r="I4588" s="10" t="s">
        <v>9570</v>
      </c>
      <c r="J4588" s="11" t="s">
        <v>33</v>
      </c>
      <c r="K4588" s="18">
        <v>200000</v>
      </c>
      <c r="L4588" s="12">
        <f t="shared" si="394"/>
        <v>333400</v>
      </c>
      <c r="M4588" s="8">
        <v>1</v>
      </c>
      <c r="N4588" s="8" t="s">
        <v>27</v>
      </c>
      <c r="O4588" s="13"/>
      <c r="P4588" s="14">
        <v>0.2</v>
      </c>
      <c r="Q4588" s="15">
        <v>0.4</v>
      </c>
      <c r="R4588" s="16" t="str">
        <f t="shared" si="389"/>
        <v>WINDOWS</v>
      </c>
      <c r="S4588" s="17"/>
      <c r="T4588" s="10" t="str">
        <f>G4588</f>
        <v>LICENCIA DE WINDOWS 10 PRO, PARA PC.</v>
      </c>
    </row>
    <row r="4589" spans="1:20" ht="27" customHeight="1" x14ac:dyDescent="0.25">
      <c r="A4589" s="8" t="s">
        <v>9569</v>
      </c>
      <c r="B4589" s="9"/>
      <c r="C4589" s="9"/>
      <c r="D4589" s="8"/>
      <c r="E4589" s="8"/>
      <c r="F4589" s="8" t="s">
        <v>22</v>
      </c>
      <c r="G4589" s="10" t="s">
        <v>9570</v>
      </c>
      <c r="H4589" s="8" t="s">
        <v>9572</v>
      </c>
      <c r="I4589" s="10" t="s">
        <v>9570</v>
      </c>
      <c r="J4589" s="11" t="s">
        <v>33</v>
      </c>
      <c r="K4589" s="18">
        <v>700000</v>
      </c>
      <c r="L4589" s="12">
        <f t="shared" si="394"/>
        <v>1000000</v>
      </c>
      <c r="M4589" s="8">
        <v>1</v>
      </c>
      <c r="N4589" s="8" t="s">
        <v>27</v>
      </c>
      <c r="O4589" s="13"/>
      <c r="P4589" s="14">
        <v>0</v>
      </c>
      <c r="Q4589" s="15">
        <v>0.3</v>
      </c>
      <c r="R4589" s="16" t="str">
        <f t="shared" si="389"/>
        <v>WINDOWS</v>
      </c>
      <c r="S4589" s="17"/>
      <c r="T4589" s="10" t="str">
        <f>G4589</f>
        <v>LICENCIA DE WINDOWS 10 PRO, PARA PC.</v>
      </c>
    </row>
    <row r="4590" spans="1:20" ht="27" customHeight="1" x14ac:dyDescent="0.25">
      <c r="A4590" s="8" t="s">
        <v>9569</v>
      </c>
      <c r="B4590" s="9"/>
      <c r="C4590" s="9"/>
      <c r="D4590" s="8"/>
      <c r="E4590" s="8"/>
      <c r="F4590" s="8"/>
      <c r="G4590" s="10"/>
      <c r="H4590" s="8" t="s">
        <v>9573</v>
      </c>
      <c r="I4590" s="10" t="s">
        <v>9574</v>
      </c>
      <c r="J4590" s="11" t="s">
        <v>33</v>
      </c>
      <c r="K4590" s="18">
        <v>2480000</v>
      </c>
      <c r="L4590" s="12">
        <f t="shared" si="394"/>
        <v>4133400</v>
      </c>
      <c r="M4590" s="8">
        <v>1</v>
      </c>
      <c r="N4590" s="8" t="s">
        <v>27</v>
      </c>
      <c r="O4590" s="13"/>
      <c r="P4590" s="14">
        <v>0</v>
      </c>
      <c r="Q4590" s="15">
        <v>0.4</v>
      </c>
      <c r="R4590" s="16" t="str">
        <f t="shared" si="389"/>
        <v>WINDOWS</v>
      </c>
      <c r="S4590" s="17"/>
      <c r="T4590" s="10"/>
    </row>
    <row r="4591" spans="1:20" ht="27" customHeight="1" x14ac:dyDescent="0.25">
      <c r="A4591" s="8" t="s">
        <v>9575</v>
      </c>
      <c r="B4591" s="9"/>
      <c r="C4591" s="9"/>
      <c r="D4591" s="8"/>
      <c r="E4591" s="8"/>
      <c r="F4591" s="8" t="s">
        <v>22</v>
      </c>
      <c r="G4591" s="10" t="s">
        <v>9576</v>
      </c>
      <c r="H4591" s="8" t="s">
        <v>9577</v>
      </c>
      <c r="I4591" s="10" t="s">
        <v>9576</v>
      </c>
      <c r="J4591" s="11" t="s">
        <v>33</v>
      </c>
      <c r="K4591" s="18">
        <v>207000</v>
      </c>
      <c r="L4591" s="12">
        <f t="shared" si="394"/>
        <v>295800</v>
      </c>
      <c r="M4591" s="8">
        <v>1</v>
      </c>
      <c r="N4591" s="8" t="s">
        <v>27</v>
      </c>
      <c r="O4591" s="13"/>
      <c r="P4591" s="14">
        <v>0.2</v>
      </c>
      <c r="Q4591" s="15">
        <v>0.3</v>
      </c>
      <c r="R4591" s="16" t="str">
        <f t="shared" ref="R4591:R4654" si="395">A4591</f>
        <v>WIREMOLD</v>
      </c>
      <c r="S4591" s="17"/>
      <c r="T4591" s="10" t="str">
        <f>G4591</f>
        <v>CAJA DE ACERO PARA PISO</v>
      </c>
    </row>
    <row r="4592" spans="1:20" ht="27" customHeight="1" x14ac:dyDescent="0.25">
      <c r="A4592" s="8" t="s">
        <v>9575</v>
      </c>
      <c r="B4592" s="9"/>
      <c r="C4592" s="9"/>
      <c r="D4592" s="8"/>
      <c r="E4592" s="8"/>
      <c r="F4592" s="8" t="s">
        <v>22</v>
      </c>
      <c r="G4592" s="10" t="s">
        <v>9578</v>
      </c>
      <c r="H4592" s="8" t="s">
        <v>9579</v>
      </c>
      <c r="I4592" s="10" t="s">
        <v>9578</v>
      </c>
      <c r="J4592" s="11" t="s">
        <v>33</v>
      </c>
      <c r="K4592" s="18">
        <v>207000</v>
      </c>
      <c r="L4592" s="12">
        <f t="shared" si="394"/>
        <v>295800</v>
      </c>
      <c r="M4592" s="8">
        <v>1</v>
      </c>
      <c r="N4592" s="8" t="s">
        <v>27</v>
      </c>
      <c r="O4592" s="13"/>
      <c r="P4592" s="14">
        <v>0.2</v>
      </c>
      <c r="Q4592" s="15">
        <v>0.3</v>
      </c>
      <c r="R4592" s="16" t="str">
        <f t="shared" si="395"/>
        <v>WIREMOLD</v>
      </c>
      <c r="S4592" s="17"/>
      <c r="T4592" s="10" t="str">
        <f>G4592</f>
        <v>TAPA PARA CAJA RFB4</v>
      </c>
    </row>
    <row r="4593" spans="1:20" ht="27" customHeight="1" x14ac:dyDescent="0.25">
      <c r="A4593" s="8" t="s">
        <v>9575</v>
      </c>
      <c r="B4593" s="9"/>
      <c r="C4593" s="9"/>
      <c r="D4593" s="8"/>
      <c r="E4593" s="8"/>
      <c r="F4593" s="8"/>
      <c r="G4593" s="10"/>
      <c r="H4593" s="8" t="s">
        <v>9580</v>
      </c>
      <c r="I4593" s="10" t="s">
        <v>9581</v>
      </c>
      <c r="J4593" s="11" t="s">
        <v>33</v>
      </c>
      <c r="K4593" s="18">
        <v>63756</v>
      </c>
      <c r="L4593" s="12">
        <f>K4593*(1+P4593)/(1-Q4593)</f>
        <v>91080</v>
      </c>
      <c r="M4593" s="8">
        <v>1</v>
      </c>
      <c r="N4593" s="8" t="s">
        <v>27</v>
      </c>
      <c r="O4593" s="13"/>
      <c r="P4593" s="14">
        <v>0</v>
      </c>
      <c r="Q4593" s="15">
        <v>0.3</v>
      </c>
      <c r="R4593" s="16" t="str">
        <f t="shared" si="395"/>
        <v>WIREMOLD</v>
      </c>
      <c r="S4593" s="17"/>
      <c r="T4593" s="10"/>
    </row>
    <row r="4594" spans="1:20" ht="27" customHeight="1" x14ac:dyDescent="0.25">
      <c r="A4594" s="8" t="s">
        <v>9575</v>
      </c>
      <c r="B4594" s="9"/>
      <c r="C4594" s="9"/>
      <c r="D4594" s="8"/>
      <c r="E4594" s="8"/>
      <c r="F4594" s="8"/>
      <c r="G4594" s="10"/>
      <c r="H4594" s="8" t="s">
        <v>9582</v>
      </c>
      <c r="I4594" s="10" t="s">
        <v>9583</v>
      </c>
      <c r="J4594" s="11" t="s">
        <v>33</v>
      </c>
      <c r="K4594" s="18">
        <v>29799</v>
      </c>
      <c r="L4594" s="12">
        <f>K4594*(1+P4594)/(1-Q4594)</f>
        <v>42570</v>
      </c>
      <c r="M4594" s="8">
        <v>1</v>
      </c>
      <c r="N4594" s="8" t="s">
        <v>27</v>
      </c>
      <c r="O4594" s="13"/>
      <c r="P4594" s="14">
        <v>0</v>
      </c>
      <c r="Q4594" s="15">
        <v>0.3</v>
      </c>
      <c r="R4594" s="16" t="str">
        <f t="shared" si="395"/>
        <v>WIREMOLD</v>
      </c>
      <c r="S4594" s="17"/>
      <c r="T4594" s="10"/>
    </row>
    <row r="4595" spans="1:20" ht="27" customHeight="1" x14ac:dyDescent="0.25">
      <c r="A4595" s="8" t="s">
        <v>9584</v>
      </c>
      <c r="B4595" s="9"/>
      <c r="C4595" s="9"/>
      <c r="D4595" s="8" t="s">
        <v>45</v>
      </c>
      <c r="E4595" s="8"/>
      <c r="F4595" s="8" t="s">
        <v>22</v>
      </c>
      <c r="G4595" s="10" t="s">
        <v>9585</v>
      </c>
      <c r="H4595" s="8" t="s">
        <v>9586</v>
      </c>
      <c r="I4595" s="10" t="s">
        <v>9585</v>
      </c>
      <c r="J4595" s="11" t="s">
        <v>33</v>
      </c>
      <c r="K4595" s="18">
        <v>780000</v>
      </c>
      <c r="L4595" s="12">
        <f t="shared" ref="L4595:L4608" si="396">IF(J4595="P",ROUNDUP(K4595/(1-Q4595),-2),K4595*(1+P4595)/(1-Q4595))</f>
        <v>1300000</v>
      </c>
      <c r="M4595" s="8">
        <v>1</v>
      </c>
      <c r="N4595" s="8" t="s">
        <v>27</v>
      </c>
      <c r="O4595" s="13"/>
      <c r="P4595" s="14">
        <v>0</v>
      </c>
      <c r="Q4595" s="15">
        <v>0.4</v>
      </c>
      <c r="R4595" s="16" t="str">
        <f t="shared" si="395"/>
        <v>XENON</v>
      </c>
      <c r="S4595" s="17"/>
      <c r="T4595" s="10" t="str">
        <f t="shared" ref="T4595:T4610" si="397">G4595</f>
        <v>LECTOR DE CÓDIGO DE BARRAS DE DOS DIMENSIONES</v>
      </c>
    </row>
    <row r="4596" spans="1:20" ht="27" customHeight="1" x14ac:dyDescent="0.25">
      <c r="A4596" s="8" t="s">
        <v>9587</v>
      </c>
      <c r="B4596" s="9" t="s">
        <v>9587</v>
      </c>
      <c r="C4596" s="9"/>
      <c r="D4596" s="8" t="s">
        <v>712</v>
      </c>
      <c r="E4596" s="8">
        <v>1</v>
      </c>
      <c r="F4596" s="8" t="s">
        <v>22</v>
      </c>
      <c r="G4596" s="10" t="s">
        <v>9588</v>
      </c>
      <c r="H4596" s="8" t="s">
        <v>9589</v>
      </c>
      <c r="I4596" s="10" t="s">
        <v>9588</v>
      </c>
      <c r="J4596" s="11" t="s">
        <v>33</v>
      </c>
      <c r="K4596" s="18">
        <v>73000</v>
      </c>
      <c r="L4596" s="12">
        <f t="shared" si="396"/>
        <v>121700</v>
      </c>
      <c r="M4596" s="8">
        <v>1</v>
      </c>
      <c r="N4596" s="8" t="s">
        <v>27</v>
      </c>
      <c r="O4596" s="13" t="s">
        <v>588</v>
      </c>
      <c r="P4596" s="14">
        <v>0.2</v>
      </c>
      <c r="Q4596" s="15">
        <v>0.4</v>
      </c>
      <c r="R4596" s="16" t="str">
        <f t="shared" si="395"/>
        <v>XTS</v>
      </c>
      <c r="S4596" s="17"/>
      <c r="T4596" s="10" t="str">
        <f t="shared" si="397"/>
        <v>CÁMARA TIPO DOMO IR DE 600TVL, ANÁLOGA.</v>
      </c>
    </row>
    <row r="4597" spans="1:20" ht="27" customHeight="1" x14ac:dyDescent="0.25">
      <c r="A4597" s="8" t="s">
        <v>9587</v>
      </c>
      <c r="B4597" s="9" t="s">
        <v>9587</v>
      </c>
      <c r="C4597" s="9"/>
      <c r="D4597" s="8" t="s">
        <v>184</v>
      </c>
      <c r="E4597" s="8">
        <v>2</v>
      </c>
      <c r="F4597" s="8" t="s">
        <v>22</v>
      </c>
      <c r="G4597" s="10" t="s">
        <v>9590</v>
      </c>
      <c r="H4597" s="8" t="s">
        <v>9591</v>
      </c>
      <c r="I4597" s="10" t="s">
        <v>9590</v>
      </c>
      <c r="J4597" s="11" t="s">
        <v>33</v>
      </c>
      <c r="K4597" s="18">
        <v>9500</v>
      </c>
      <c r="L4597" s="12">
        <f t="shared" si="396"/>
        <v>15900</v>
      </c>
      <c r="M4597" s="8">
        <v>1</v>
      </c>
      <c r="N4597" s="8" t="s">
        <v>27</v>
      </c>
      <c r="O4597" s="13" t="s">
        <v>587</v>
      </c>
      <c r="P4597" s="14">
        <v>0.2</v>
      </c>
      <c r="Q4597" s="15">
        <v>0.4</v>
      </c>
      <c r="R4597" s="16" t="str">
        <f t="shared" si="395"/>
        <v>XTS</v>
      </c>
      <c r="S4597" s="17"/>
      <c r="T4597" s="10" t="str">
        <f t="shared" si="397"/>
        <v>ADAPTADOR PARA TRANSMISIÓN POR BNC</v>
      </c>
    </row>
    <row r="4598" spans="1:20" ht="27" customHeight="1" x14ac:dyDescent="0.25">
      <c r="A4598" s="8" t="s">
        <v>9592</v>
      </c>
      <c r="B4598" s="9" t="s">
        <v>9593</v>
      </c>
      <c r="C4598" s="9"/>
      <c r="D4598" s="8" t="s">
        <v>9594</v>
      </c>
      <c r="E4598" s="8">
        <v>1</v>
      </c>
      <c r="F4598" s="8" t="s">
        <v>22</v>
      </c>
      <c r="G4598" s="10" t="s">
        <v>9595</v>
      </c>
      <c r="H4598" s="8" t="s">
        <v>9596</v>
      </c>
      <c r="I4598" s="10" t="s">
        <v>9595</v>
      </c>
      <c r="J4598" s="11" t="s">
        <v>26</v>
      </c>
      <c r="K4598" s="18">
        <v>150</v>
      </c>
      <c r="L4598" s="12">
        <f t="shared" si="396"/>
        <v>257.14285714285717</v>
      </c>
      <c r="M4598" s="8">
        <v>1</v>
      </c>
      <c r="N4598" s="8" t="s">
        <v>27</v>
      </c>
      <c r="O4598" s="13" t="s">
        <v>588</v>
      </c>
      <c r="P4598" s="14">
        <v>0.2</v>
      </c>
      <c r="Q4598" s="15">
        <v>0.3</v>
      </c>
      <c r="R4598" s="16" t="str">
        <f t="shared" si="395"/>
        <v>YALE</v>
      </c>
      <c r="S4598" s="17"/>
      <c r="T4598" s="10" t="str">
        <f t="shared" si="397"/>
        <v>CHAPA CON MANIJA Y PANTALLA NUMÉRICA RETRO ILUMINADA.</v>
      </c>
    </row>
    <row r="4599" spans="1:20" ht="27" customHeight="1" x14ac:dyDescent="0.25">
      <c r="A4599" s="8" t="s">
        <v>9592</v>
      </c>
      <c r="B4599" s="9" t="s">
        <v>9593</v>
      </c>
      <c r="C4599" s="9"/>
      <c r="D4599" s="8" t="s">
        <v>9594</v>
      </c>
      <c r="E4599" s="8">
        <v>2</v>
      </c>
      <c r="F4599" s="8" t="s">
        <v>22</v>
      </c>
      <c r="G4599" s="10" t="s">
        <v>9595</v>
      </c>
      <c r="H4599" s="8" t="s">
        <v>9597</v>
      </c>
      <c r="I4599" s="10" t="s">
        <v>9598</v>
      </c>
      <c r="J4599" s="11" t="s">
        <v>26</v>
      </c>
      <c r="K4599" s="18">
        <v>341</v>
      </c>
      <c r="L4599" s="12">
        <f t="shared" si="396"/>
        <v>584.57142857142856</v>
      </c>
      <c r="M4599" s="8">
        <v>1</v>
      </c>
      <c r="N4599" s="8" t="s">
        <v>27</v>
      </c>
      <c r="O4599" s="13" t="s">
        <v>587</v>
      </c>
      <c r="P4599" s="14">
        <v>0.2</v>
      </c>
      <c r="Q4599" s="15">
        <v>0.3</v>
      </c>
      <c r="R4599" s="16" t="str">
        <f t="shared" si="395"/>
        <v>YALE</v>
      </c>
      <c r="S4599" s="17"/>
      <c r="T4599" s="10" t="str">
        <f t="shared" si="397"/>
        <v>CHAPA CON MANIJA Y PANTALLA NUMÉRICA RETRO ILUMINADA.</v>
      </c>
    </row>
    <row r="4600" spans="1:20" ht="27" customHeight="1" x14ac:dyDescent="0.25">
      <c r="A4600" s="8" t="s">
        <v>9592</v>
      </c>
      <c r="B4600" s="9" t="s">
        <v>9593</v>
      </c>
      <c r="C4600" s="9"/>
      <c r="D4600" s="8" t="s">
        <v>9594</v>
      </c>
      <c r="E4600" s="8">
        <v>3</v>
      </c>
      <c r="F4600" s="8" t="s">
        <v>22</v>
      </c>
      <c r="G4600" s="10" t="s">
        <v>9599</v>
      </c>
      <c r="H4600" s="8" t="s">
        <v>9600</v>
      </c>
      <c r="I4600" s="10" t="s">
        <v>9599</v>
      </c>
      <c r="J4600" s="11" t="s">
        <v>26</v>
      </c>
      <c r="K4600" s="18">
        <v>33.5</v>
      </c>
      <c r="L4600" s="12">
        <f t="shared" si="396"/>
        <v>57.428571428571423</v>
      </c>
      <c r="M4600" s="8">
        <v>1</v>
      </c>
      <c r="N4600" s="8" t="s">
        <v>27</v>
      </c>
      <c r="O4600" s="13" t="s">
        <v>588</v>
      </c>
      <c r="P4600" s="14">
        <v>0.2</v>
      </c>
      <c r="Q4600" s="15">
        <v>0.3</v>
      </c>
      <c r="R4600" s="16" t="str">
        <f t="shared" si="395"/>
        <v>YALE</v>
      </c>
      <c r="S4600" s="17"/>
      <c r="T4600" s="10" t="str">
        <f t="shared" si="397"/>
        <v>MODULO PARA INTEGRACIÓN POR RADIOFRECUENCIA A CONTROL REMOTO.</v>
      </c>
    </row>
    <row r="4601" spans="1:20" ht="27" customHeight="1" x14ac:dyDescent="0.25">
      <c r="A4601" s="8" t="s">
        <v>9592</v>
      </c>
      <c r="B4601" s="9" t="s">
        <v>9593</v>
      </c>
      <c r="C4601" s="9"/>
      <c r="D4601" s="8" t="s">
        <v>9594</v>
      </c>
      <c r="E4601" s="8">
        <v>4</v>
      </c>
      <c r="F4601" s="8" t="s">
        <v>22</v>
      </c>
      <c r="G4601" s="10" t="s">
        <v>9601</v>
      </c>
      <c r="H4601" s="8" t="s">
        <v>9602</v>
      </c>
      <c r="I4601" s="10" t="s">
        <v>9601</v>
      </c>
      <c r="J4601" s="11" t="s">
        <v>26</v>
      </c>
      <c r="K4601" s="18">
        <v>43.51</v>
      </c>
      <c r="L4601" s="12">
        <f t="shared" si="396"/>
        <v>74.588571428571427</v>
      </c>
      <c r="M4601" s="8">
        <v>1</v>
      </c>
      <c r="N4601" s="8" t="s">
        <v>27</v>
      </c>
      <c r="O4601" s="13" t="s">
        <v>587</v>
      </c>
      <c r="P4601" s="14">
        <v>0.2</v>
      </c>
      <c r="Q4601" s="15">
        <v>0.3</v>
      </c>
      <c r="R4601" s="16" t="str">
        <f t="shared" si="395"/>
        <v>YALE</v>
      </c>
      <c r="S4601" s="17"/>
      <c r="T4601" s="10" t="str">
        <f t="shared" si="397"/>
        <v>CONTROL POR RADIO FRECUENCIA PARA CHAPA YALE.</v>
      </c>
    </row>
    <row r="4602" spans="1:20" ht="27" customHeight="1" x14ac:dyDescent="0.25">
      <c r="A4602" s="8" t="s">
        <v>9592</v>
      </c>
      <c r="B4602" s="9" t="s">
        <v>9593</v>
      </c>
      <c r="C4602" s="9"/>
      <c r="D4602" s="8" t="s">
        <v>9594</v>
      </c>
      <c r="E4602" s="8">
        <v>5</v>
      </c>
      <c r="F4602" s="8" t="s">
        <v>22</v>
      </c>
      <c r="G4602" s="10" t="s">
        <v>9603</v>
      </c>
      <c r="H4602" s="8" t="s">
        <v>9604</v>
      </c>
      <c r="I4602" s="10" t="s">
        <v>9605</v>
      </c>
      <c r="J4602" s="11" t="s">
        <v>26</v>
      </c>
      <c r="K4602" s="18">
        <v>437</v>
      </c>
      <c r="L4602" s="12">
        <f t="shared" si="396"/>
        <v>749.14285714285711</v>
      </c>
      <c r="M4602" s="8">
        <v>1</v>
      </c>
      <c r="N4602" s="8" t="s">
        <v>27</v>
      </c>
      <c r="O4602" s="13" t="s">
        <v>588</v>
      </c>
      <c r="P4602" s="14">
        <v>0.2</v>
      </c>
      <c r="Q4602" s="15">
        <v>0.3</v>
      </c>
      <c r="R4602" s="16" t="str">
        <f t="shared" si="395"/>
        <v>YALE</v>
      </c>
      <c r="S4602" s="17"/>
      <c r="T4602" s="10" t="str">
        <f t="shared" si="397"/>
        <v>CHAPA CON APERTURA DE HASTA 20 HUELLAS.</v>
      </c>
    </row>
    <row r="4603" spans="1:20" ht="27" customHeight="1" x14ac:dyDescent="0.25">
      <c r="A4603" s="8" t="s">
        <v>9592</v>
      </c>
      <c r="B4603" s="9" t="s">
        <v>9593</v>
      </c>
      <c r="C4603" s="9"/>
      <c r="D4603" s="8" t="s">
        <v>9594</v>
      </c>
      <c r="E4603" s="8">
        <v>6</v>
      </c>
      <c r="F4603" s="8" t="s">
        <v>22</v>
      </c>
      <c r="G4603" s="10" t="s">
        <v>9606</v>
      </c>
      <c r="H4603" s="8" t="s">
        <v>9607</v>
      </c>
      <c r="I4603" s="10" t="s">
        <v>9606</v>
      </c>
      <c r="J4603" s="11" t="s">
        <v>26</v>
      </c>
      <c r="K4603" s="18">
        <v>145.66999999999999</v>
      </c>
      <c r="L4603" s="12">
        <f t="shared" si="396"/>
        <v>249.71999999999997</v>
      </c>
      <c r="M4603" s="8">
        <v>1</v>
      </c>
      <c r="N4603" s="8" t="s">
        <v>27</v>
      </c>
      <c r="O4603" s="13" t="s">
        <v>587</v>
      </c>
      <c r="P4603" s="14">
        <v>0.2</v>
      </c>
      <c r="Q4603" s="15">
        <v>0.3</v>
      </c>
      <c r="R4603" s="16" t="str">
        <f t="shared" si="395"/>
        <v>YALE</v>
      </c>
      <c r="S4603" s="17"/>
      <c r="T4603" s="10" t="str">
        <f t="shared" si="397"/>
        <v>CHAPA CON 25 CÓDIGOS DE USUARIO Y OPCIÓN DE APERTURA CON LLAVE.</v>
      </c>
    </row>
    <row r="4604" spans="1:20" ht="27" customHeight="1" x14ac:dyDescent="0.25">
      <c r="A4604" s="8" t="s">
        <v>9592</v>
      </c>
      <c r="B4604" s="9" t="s">
        <v>9593</v>
      </c>
      <c r="C4604" s="9"/>
      <c r="D4604" s="8" t="s">
        <v>9594</v>
      </c>
      <c r="E4604" s="8">
        <v>7</v>
      </c>
      <c r="F4604" s="8" t="s">
        <v>22</v>
      </c>
      <c r="G4604" s="10" t="s">
        <v>9608</v>
      </c>
      <c r="H4604" s="8" t="s">
        <v>9609</v>
      </c>
      <c r="I4604" s="10" t="s">
        <v>9610</v>
      </c>
      <c r="J4604" s="11" t="s">
        <v>26</v>
      </c>
      <c r="K4604" s="18">
        <v>57.84</v>
      </c>
      <c r="L4604" s="12">
        <f t="shared" si="396"/>
        <v>99.15428571428572</v>
      </c>
      <c r="M4604" s="8">
        <v>1</v>
      </c>
      <c r="N4604" s="8" t="s">
        <v>27</v>
      </c>
      <c r="O4604" s="13" t="s">
        <v>588</v>
      </c>
      <c r="P4604" s="14">
        <v>0.2</v>
      </c>
      <c r="Q4604" s="15">
        <v>0.3</v>
      </c>
      <c r="R4604" s="16" t="str">
        <f t="shared" si="395"/>
        <v>YALE</v>
      </c>
      <c r="S4604" s="17"/>
      <c r="T4604" s="10" t="str">
        <f t="shared" si="397"/>
        <v>CHAPA CON TECLADO ILUMINADO PARA MANEJO DE 10 CLAVES.</v>
      </c>
    </row>
    <row r="4605" spans="1:20" ht="27" customHeight="1" x14ac:dyDescent="0.25">
      <c r="A4605" s="8" t="s">
        <v>9592</v>
      </c>
      <c r="B4605" s="9" t="s">
        <v>9593</v>
      </c>
      <c r="C4605" s="9"/>
      <c r="D4605" s="8" t="s">
        <v>9594</v>
      </c>
      <c r="E4605" s="8">
        <v>8</v>
      </c>
      <c r="F4605" s="8" t="s">
        <v>22</v>
      </c>
      <c r="G4605" s="10" t="s">
        <v>9611</v>
      </c>
      <c r="H4605" s="8" t="s">
        <v>9612</v>
      </c>
      <c r="I4605" s="10" t="s">
        <v>9613</v>
      </c>
      <c r="J4605" s="11" t="s">
        <v>26</v>
      </c>
      <c r="K4605" s="18">
        <v>273</v>
      </c>
      <c r="L4605" s="12">
        <f t="shared" si="396"/>
        <v>468</v>
      </c>
      <c r="M4605" s="8">
        <v>1</v>
      </c>
      <c r="N4605" s="8" t="s">
        <v>27</v>
      </c>
      <c r="O4605" s="13" t="s">
        <v>587</v>
      </c>
      <c r="P4605" s="14">
        <v>0.2</v>
      </c>
      <c r="Q4605" s="15">
        <v>0.3</v>
      </c>
      <c r="R4605" s="16" t="str">
        <f t="shared" si="395"/>
        <v>YALE</v>
      </c>
      <c r="S4605" s="17"/>
      <c r="T4605" s="10" t="str">
        <f t="shared" si="397"/>
        <v>CHAPA DE CLAVE DIGITAL, CAPACIDAD HASTA 20 TARJETAS RF.</v>
      </c>
    </row>
    <row r="4606" spans="1:20" ht="27" customHeight="1" x14ac:dyDescent="0.25">
      <c r="A4606" s="8" t="s">
        <v>9592</v>
      </c>
      <c r="B4606" s="9" t="s">
        <v>9593</v>
      </c>
      <c r="C4606" s="9"/>
      <c r="D4606" s="8" t="s">
        <v>9594</v>
      </c>
      <c r="E4606" s="8">
        <v>9</v>
      </c>
      <c r="F4606" s="8" t="s">
        <v>22</v>
      </c>
      <c r="G4606" s="10" t="s">
        <v>9614</v>
      </c>
      <c r="H4606" s="8" t="s">
        <v>9615</v>
      </c>
      <c r="I4606" s="10" t="s">
        <v>9616</v>
      </c>
      <c r="J4606" s="11" t="s">
        <v>33</v>
      </c>
      <c r="K4606" s="18">
        <v>92586</v>
      </c>
      <c r="L4606" s="12">
        <f t="shared" si="396"/>
        <v>154400</v>
      </c>
      <c r="M4606" s="8">
        <v>1</v>
      </c>
      <c r="N4606" s="8" t="s">
        <v>27</v>
      </c>
      <c r="O4606" s="13" t="s">
        <v>587</v>
      </c>
      <c r="P4606" s="14">
        <v>0.2</v>
      </c>
      <c r="Q4606" s="15">
        <v>0.4</v>
      </c>
      <c r="R4606" s="16" t="str">
        <f t="shared" si="395"/>
        <v>YALE</v>
      </c>
      <c r="S4606" s="17"/>
      <c r="T4606" s="10" t="str">
        <f t="shared" si="397"/>
        <v>CAJA DE SEGURIDAD CON TECLADO DIGITAL DE FÁCIL PROGRAMACIÓN, CIERRE ELECTRÓNICO.</v>
      </c>
    </row>
    <row r="4607" spans="1:20" ht="27" customHeight="1" x14ac:dyDescent="0.25">
      <c r="A4607" s="8" t="s">
        <v>9592</v>
      </c>
      <c r="B4607" s="9"/>
      <c r="C4607" s="9"/>
      <c r="D4607" s="8" t="s">
        <v>45</v>
      </c>
      <c r="E4607" s="8"/>
      <c r="F4607" s="8" t="s">
        <v>22</v>
      </c>
      <c r="G4607" s="10" t="s">
        <v>9617</v>
      </c>
      <c r="H4607" s="8" t="s">
        <v>9618</v>
      </c>
      <c r="I4607" s="10" t="s">
        <v>9619</v>
      </c>
      <c r="J4607" s="11" t="s">
        <v>33</v>
      </c>
      <c r="K4607" s="18">
        <v>1520500</v>
      </c>
      <c r="L4607" s="12">
        <f t="shared" si="396"/>
        <v>1900700</v>
      </c>
      <c r="M4607" s="8">
        <v>1</v>
      </c>
      <c r="N4607" s="8" t="s">
        <v>27</v>
      </c>
      <c r="O4607" s="13"/>
      <c r="P4607" s="14">
        <v>0</v>
      </c>
      <c r="Q4607" s="15">
        <v>0.2</v>
      </c>
      <c r="R4607" s="16" t="str">
        <f t="shared" si="395"/>
        <v>YALE</v>
      </c>
      <c r="S4607" s="17"/>
      <c r="T4607" s="10" t="str">
        <f t="shared" si="397"/>
        <v>CHAPA BIOMÉTRICA CON 20 HUELLAS DACTILARES.</v>
      </c>
    </row>
    <row r="4608" spans="1:20" ht="27" customHeight="1" x14ac:dyDescent="0.25">
      <c r="A4608" s="8" t="s">
        <v>9592</v>
      </c>
      <c r="B4608" s="9"/>
      <c r="C4608" s="9"/>
      <c r="D4608" s="8" t="s">
        <v>45</v>
      </c>
      <c r="E4608" s="8"/>
      <c r="F4608" s="8" t="s">
        <v>22</v>
      </c>
      <c r="G4608" s="10" t="s">
        <v>9619</v>
      </c>
      <c r="H4608" s="8" t="s">
        <v>9620</v>
      </c>
      <c r="I4608" s="10" t="s">
        <v>9621</v>
      </c>
      <c r="J4608" s="11" t="s">
        <v>33</v>
      </c>
      <c r="K4608" s="18">
        <v>1604000</v>
      </c>
      <c r="L4608" s="12">
        <f t="shared" si="396"/>
        <v>2005000</v>
      </c>
      <c r="M4608" s="8">
        <v>1</v>
      </c>
      <c r="N4608" s="8" t="s">
        <v>27</v>
      </c>
      <c r="O4608" s="13"/>
      <c r="P4608" s="14">
        <v>0</v>
      </c>
      <c r="Q4608" s="15">
        <v>0.2</v>
      </c>
      <c r="R4608" s="16" t="str">
        <f t="shared" si="395"/>
        <v>YALE</v>
      </c>
      <c r="S4608" s="17"/>
      <c r="T4608" s="10" t="str">
        <f t="shared" si="397"/>
        <v>CHAPA BIOMÉTRICA CON 20 HUELLAS DACTILARES, 30 CÓDIGOS DE ACCESO Y 2 LLAVES DE EMERGENCIA.</v>
      </c>
    </row>
    <row r="4609" spans="1:20" ht="27" customHeight="1" x14ac:dyDescent="0.25">
      <c r="A4609" s="8" t="s">
        <v>9592</v>
      </c>
      <c r="B4609" s="9"/>
      <c r="C4609" s="9"/>
      <c r="D4609" s="8" t="s">
        <v>45</v>
      </c>
      <c r="E4609" s="8"/>
      <c r="F4609" s="8" t="s">
        <v>22</v>
      </c>
      <c r="G4609" s="10" t="s">
        <v>9622</v>
      </c>
      <c r="H4609" s="8" t="s">
        <v>9623</v>
      </c>
      <c r="I4609" s="10" t="s">
        <v>9622</v>
      </c>
      <c r="J4609" s="11" t="s">
        <v>33</v>
      </c>
      <c r="K4609" s="18">
        <v>193000</v>
      </c>
      <c r="L4609" s="12">
        <f>ROUNDUP(K4609*(1+P4609)/(1-Q4609),0)</f>
        <v>330858</v>
      </c>
      <c r="M4609" s="8">
        <v>1</v>
      </c>
      <c r="N4609" s="8" t="s">
        <v>27</v>
      </c>
      <c r="O4609" s="13"/>
      <c r="P4609" s="14">
        <v>0.2</v>
      </c>
      <c r="Q4609" s="15">
        <v>0.3</v>
      </c>
      <c r="R4609" s="16" t="str">
        <f t="shared" si="395"/>
        <v>YALE</v>
      </c>
      <c r="S4609" s="17"/>
      <c r="T4609" s="10" t="str">
        <f t="shared" si="397"/>
        <v>MODULO DE INTEGRACIÓN ZIGBEE PARA CERRADURA YMF</v>
      </c>
    </row>
    <row r="4610" spans="1:20" ht="27" customHeight="1" x14ac:dyDescent="0.25">
      <c r="A4610" s="8" t="s">
        <v>9624</v>
      </c>
      <c r="B4610" s="9"/>
      <c r="C4610" s="9"/>
      <c r="D4610" s="8" t="s">
        <v>45</v>
      </c>
      <c r="E4610" s="8"/>
      <c r="F4610" s="8" t="s">
        <v>22</v>
      </c>
      <c r="G4610" s="10" t="s">
        <v>9625</v>
      </c>
      <c r="H4610" s="8" t="s">
        <v>9626</v>
      </c>
      <c r="I4610" s="10" t="s">
        <v>9627</v>
      </c>
      <c r="J4610" s="11" t="s">
        <v>33</v>
      </c>
      <c r="K4610" s="18">
        <v>870000</v>
      </c>
      <c r="L4610" s="12">
        <f>IF(J4610="P",ROUNDUP(K4610/(1-Q4610),-2),K4610*(1+P4610)/(1-Q4610))</f>
        <v>1242900</v>
      </c>
      <c r="M4610" s="8">
        <v>1</v>
      </c>
      <c r="N4610" s="8" t="s">
        <v>27</v>
      </c>
      <c r="O4610" s="13"/>
      <c r="P4610" s="14">
        <v>0</v>
      </c>
      <c r="Q4610" s="15">
        <v>0.3</v>
      </c>
      <c r="R4610" s="16" t="str">
        <f t="shared" si="395"/>
        <v>YAMAHA</v>
      </c>
      <c r="S4610" s="17"/>
      <c r="T4610" s="10" t="str">
        <f t="shared" si="397"/>
        <v>AMPLIFICADOR DE DOS CANALES CON CONTROL REMOTO Y BLUETOOTH.</v>
      </c>
    </row>
    <row r="4611" spans="1:20" ht="27" customHeight="1" x14ac:dyDescent="0.25">
      <c r="A4611" s="8" t="s">
        <v>9624</v>
      </c>
      <c r="B4611" s="9"/>
      <c r="C4611" s="9"/>
      <c r="D4611" s="8"/>
      <c r="E4611" s="8"/>
      <c r="F4611" s="8"/>
      <c r="G4611" s="10"/>
      <c r="H4611" s="8" t="s">
        <v>9628</v>
      </c>
      <c r="I4611" s="10" t="s">
        <v>9629</v>
      </c>
      <c r="J4611" s="11" t="s">
        <v>33</v>
      </c>
      <c r="K4611" s="18">
        <v>1900000</v>
      </c>
      <c r="L4611" s="12">
        <f>K4611*(1+P4611)/(1-Q4611)</f>
        <v>3166666.666666667</v>
      </c>
      <c r="M4611" s="8">
        <v>1</v>
      </c>
      <c r="N4611" s="8" t="s">
        <v>27</v>
      </c>
      <c r="O4611" s="13"/>
      <c r="P4611" s="14">
        <v>0</v>
      </c>
      <c r="Q4611" s="15">
        <v>0.4</v>
      </c>
      <c r="R4611" s="16" t="str">
        <f t="shared" si="395"/>
        <v>YAMAHA</v>
      </c>
      <c r="S4611" s="17"/>
      <c r="T4611" s="10"/>
    </row>
    <row r="4612" spans="1:20" ht="27" customHeight="1" x14ac:dyDescent="0.25">
      <c r="A4612" s="8" t="s">
        <v>9630</v>
      </c>
      <c r="B4612" s="9"/>
      <c r="C4612" s="9"/>
      <c r="D4612" s="8"/>
      <c r="E4612" s="8"/>
      <c r="F4612" s="8"/>
      <c r="G4612" s="10"/>
      <c r="H4612" s="8" t="s">
        <v>9631</v>
      </c>
      <c r="I4612" s="10" t="s">
        <v>9632</v>
      </c>
      <c r="J4612" s="11" t="s">
        <v>26</v>
      </c>
      <c r="K4612" s="18">
        <v>4150</v>
      </c>
      <c r="L4612" s="12">
        <f t="shared" ref="L4612:L4636" si="398">IF(J4612="P",ROUNDUP(K4612/(1-Q4612),-2),K4612*(1+P4612)/(1-Q4612))</f>
        <v>5928.5714285714294</v>
      </c>
      <c r="M4612" s="8">
        <v>1</v>
      </c>
      <c r="N4612" s="8" t="s">
        <v>27</v>
      </c>
      <c r="O4612" s="13">
        <f>F4612</f>
        <v>0</v>
      </c>
      <c r="P4612" s="14">
        <v>0</v>
      </c>
      <c r="Q4612" s="15">
        <v>0.3</v>
      </c>
      <c r="R4612" s="16" t="str">
        <f t="shared" si="395"/>
        <v>YANGDONG</v>
      </c>
      <c r="S4612" s="17"/>
      <c r="T4612" s="10"/>
    </row>
    <row r="4613" spans="1:20" ht="27" customHeight="1" x14ac:dyDescent="0.25">
      <c r="A4613" s="8" t="s">
        <v>9633</v>
      </c>
      <c r="B4613" s="9"/>
      <c r="C4613" s="9"/>
      <c r="D4613" s="8"/>
      <c r="E4613" s="8"/>
      <c r="F4613" s="8" t="s">
        <v>22</v>
      </c>
      <c r="G4613" s="10" t="s">
        <v>9634</v>
      </c>
      <c r="H4613" s="8" t="s">
        <v>9635</v>
      </c>
      <c r="I4613" s="10" t="s">
        <v>9634</v>
      </c>
      <c r="J4613" s="11" t="s">
        <v>26</v>
      </c>
      <c r="K4613" s="18">
        <v>920</v>
      </c>
      <c r="L4613" s="12">
        <f t="shared" si="398"/>
        <v>1380</v>
      </c>
      <c r="M4613" s="8">
        <v>1</v>
      </c>
      <c r="N4613" s="8" t="s">
        <v>27</v>
      </c>
      <c r="O4613" s="13"/>
      <c r="P4613" s="14">
        <v>0.2</v>
      </c>
      <c r="Q4613" s="15">
        <v>0.2</v>
      </c>
      <c r="R4613" s="16" t="str">
        <f t="shared" si="395"/>
        <v>YUP</v>
      </c>
      <c r="S4613" s="17" t="s">
        <v>9636</v>
      </c>
      <c r="T4613" s="10" t="str">
        <f t="shared" ref="T4613:T4652" si="399">G4613</f>
        <v>MATRIZ HDMI 8X8 RESOLUCIÓN 4K. CONTROL RS-232.</v>
      </c>
    </row>
    <row r="4614" spans="1:20" ht="27" customHeight="1" x14ac:dyDescent="0.25">
      <c r="A4614" s="8" t="s">
        <v>9633</v>
      </c>
      <c r="B4614" s="9"/>
      <c r="C4614" s="9"/>
      <c r="D4614" s="8"/>
      <c r="E4614" s="8"/>
      <c r="F4614" s="8" t="s">
        <v>22</v>
      </c>
      <c r="G4614" s="10" t="s">
        <v>9637</v>
      </c>
      <c r="H4614" s="8" t="s">
        <v>9638</v>
      </c>
      <c r="I4614" s="10" t="s">
        <v>9637</v>
      </c>
      <c r="J4614" s="11" t="s">
        <v>26</v>
      </c>
      <c r="K4614" s="18">
        <v>175</v>
      </c>
      <c r="L4614" s="12">
        <f t="shared" si="398"/>
        <v>420</v>
      </c>
      <c r="M4614" s="8">
        <v>1</v>
      </c>
      <c r="N4614" s="8" t="s">
        <v>27</v>
      </c>
      <c r="O4614" s="13"/>
      <c r="P4614" s="14">
        <v>0.2</v>
      </c>
      <c r="Q4614" s="15">
        <v>0.5</v>
      </c>
      <c r="R4614" s="16" t="str">
        <f t="shared" si="395"/>
        <v>YUP</v>
      </c>
      <c r="S4614" s="17"/>
      <c r="T4614" s="10" t="str">
        <f t="shared" si="399"/>
        <v>MATRIZ HDMI 4X4 RESOLUCIÓN 4K. CONTROL RS-232.</v>
      </c>
    </row>
    <row r="4615" spans="1:20" ht="27" customHeight="1" x14ac:dyDescent="0.25">
      <c r="A4615" s="8" t="s">
        <v>9639</v>
      </c>
      <c r="B4615" s="9" t="s">
        <v>9640</v>
      </c>
      <c r="C4615" s="9"/>
      <c r="D4615" s="8" t="s">
        <v>9641</v>
      </c>
      <c r="E4615" s="8"/>
      <c r="F4615" s="8" t="s">
        <v>22</v>
      </c>
      <c r="G4615" s="10" t="s">
        <v>9642</v>
      </c>
      <c r="H4615" s="8" t="s">
        <v>9643</v>
      </c>
      <c r="I4615" s="10" t="s">
        <v>9642</v>
      </c>
      <c r="J4615" s="11" t="s">
        <v>26</v>
      </c>
      <c r="K4615" s="18">
        <v>1299</v>
      </c>
      <c r="L4615" s="12">
        <f t="shared" si="398"/>
        <v>1948.4999999999998</v>
      </c>
      <c r="M4615" s="8">
        <v>1</v>
      </c>
      <c r="N4615" s="8" t="s">
        <v>27</v>
      </c>
      <c r="O4615" s="13"/>
      <c r="P4615" s="14">
        <v>0.2</v>
      </c>
      <c r="Q4615" s="15">
        <v>0.2</v>
      </c>
      <c r="R4615" s="16" t="str">
        <f t="shared" si="395"/>
        <v>ZEBRA</v>
      </c>
      <c r="S4615" s="17"/>
      <c r="T4615" s="10" t="str">
        <f t="shared" si="399"/>
        <v>BARRERA VEHICULAR DE 3 METROS</v>
      </c>
    </row>
    <row r="4616" spans="1:20" ht="27" customHeight="1" x14ac:dyDescent="0.25">
      <c r="A4616" s="8" t="s">
        <v>9644</v>
      </c>
      <c r="B4616" s="9" t="s">
        <v>812</v>
      </c>
      <c r="C4616" s="9"/>
      <c r="D4616" s="8"/>
      <c r="E4616" s="8"/>
      <c r="F4616" s="8" t="s">
        <v>22</v>
      </c>
      <c r="G4616" s="10" t="s">
        <v>9645</v>
      </c>
      <c r="H4616" s="8" t="s">
        <v>9646</v>
      </c>
      <c r="I4616" s="10" t="s">
        <v>9645</v>
      </c>
      <c r="J4616" s="11" t="s">
        <v>33</v>
      </c>
      <c r="K4616" s="18">
        <v>56000</v>
      </c>
      <c r="L4616" s="12">
        <f t="shared" si="398"/>
        <v>80000</v>
      </c>
      <c r="M4616" s="8">
        <v>1</v>
      </c>
      <c r="N4616" s="8" t="s">
        <v>27</v>
      </c>
      <c r="O4616" s="13"/>
      <c r="P4616" s="14">
        <v>0.2</v>
      </c>
      <c r="Q4616" s="15">
        <v>0.3</v>
      </c>
      <c r="R4616" s="16" t="str">
        <f t="shared" si="395"/>
        <v>ZKTECO</v>
      </c>
      <c r="S4616" s="17"/>
      <c r="T4616" s="10" t="str">
        <f t="shared" si="399"/>
        <v>BOTÓN DE SALIDA NO TOUCH PARA CONTROL DE ACCESO</v>
      </c>
    </row>
    <row r="4617" spans="1:20" ht="27" customHeight="1" x14ac:dyDescent="0.25">
      <c r="A4617" s="8" t="s">
        <v>9644</v>
      </c>
      <c r="B4617" s="9"/>
      <c r="C4617" s="9"/>
      <c r="D4617" s="8"/>
      <c r="E4617" s="8"/>
      <c r="F4617" s="8" t="s">
        <v>22</v>
      </c>
      <c r="G4617" s="10" t="s">
        <v>9647</v>
      </c>
      <c r="H4617" s="8" t="s">
        <v>9648</v>
      </c>
      <c r="I4617" s="10" t="s">
        <v>9647</v>
      </c>
      <c r="J4617" s="11" t="s">
        <v>33</v>
      </c>
      <c r="K4617" s="18">
        <v>230000</v>
      </c>
      <c r="L4617" s="12">
        <f t="shared" si="398"/>
        <v>383400</v>
      </c>
      <c r="M4617" s="8">
        <v>1</v>
      </c>
      <c r="N4617" s="8" t="s">
        <v>27</v>
      </c>
      <c r="O4617" s="13" t="s">
        <v>588</v>
      </c>
      <c r="P4617" s="14">
        <v>0.2</v>
      </c>
      <c r="Q4617" s="15">
        <v>0.4</v>
      </c>
      <c r="R4617" s="16" t="str">
        <f t="shared" si="395"/>
        <v>ZKTECO</v>
      </c>
      <c r="S4617" s="17"/>
      <c r="T4617" s="10" t="str">
        <f t="shared" si="399"/>
        <v>ENROLLADOR USB</v>
      </c>
    </row>
    <row r="4618" spans="1:20" ht="27" customHeight="1" x14ac:dyDescent="0.25">
      <c r="A4618" s="8" t="s">
        <v>9644</v>
      </c>
      <c r="B4618" s="9"/>
      <c r="C4618" s="9"/>
      <c r="D4618" s="8"/>
      <c r="E4618" s="8"/>
      <c r="F4618" s="8" t="s">
        <v>22</v>
      </c>
      <c r="G4618" s="10" t="s">
        <v>9649</v>
      </c>
      <c r="H4618" s="8" t="s">
        <v>9650</v>
      </c>
      <c r="I4618" s="10" t="s">
        <v>9651</v>
      </c>
      <c r="J4618" s="11" t="s">
        <v>33</v>
      </c>
      <c r="K4618" s="18">
        <v>750000</v>
      </c>
      <c r="L4618" s="12">
        <f t="shared" si="398"/>
        <v>1250000</v>
      </c>
      <c r="M4618" s="8">
        <v>1</v>
      </c>
      <c r="N4618" s="8" t="s">
        <v>27</v>
      </c>
      <c r="O4618" s="13" t="s">
        <v>587</v>
      </c>
      <c r="P4618" s="14">
        <v>0.2</v>
      </c>
      <c r="Q4618" s="15">
        <v>0.4</v>
      </c>
      <c r="R4618" s="16" t="str">
        <f t="shared" si="395"/>
        <v>ZKTECO</v>
      </c>
      <c r="S4618" s="17"/>
      <c r="T4618" s="10" t="str">
        <f t="shared" si="399"/>
        <v>PANEL CENTRAL PARA CUATRO PUERTAS TCP/IP O RS 485, 3000 HUELLAS.</v>
      </c>
    </row>
    <row r="4619" spans="1:20" ht="27" customHeight="1" x14ac:dyDescent="0.25">
      <c r="A4619" s="8" t="s">
        <v>9644</v>
      </c>
      <c r="B4619" s="9"/>
      <c r="C4619" s="9"/>
      <c r="D4619" s="8"/>
      <c r="E4619" s="8"/>
      <c r="F4619" s="8" t="s">
        <v>22</v>
      </c>
      <c r="G4619" s="10" t="s">
        <v>9652</v>
      </c>
      <c r="H4619" s="8" t="s">
        <v>9653</v>
      </c>
      <c r="I4619" s="10" t="s">
        <v>9652</v>
      </c>
      <c r="J4619" s="11" t="s">
        <v>33</v>
      </c>
      <c r="K4619" s="18">
        <v>180000</v>
      </c>
      <c r="L4619" s="12">
        <f t="shared" si="398"/>
        <v>300000</v>
      </c>
      <c r="M4619" s="8">
        <v>1</v>
      </c>
      <c r="N4619" s="8" t="s">
        <v>27</v>
      </c>
      <c r="O4619" s="13" t="s">
        <v>588</v>
      </c>
      <c r="P4619" s="14">
        <v>0.2</v>
      </c>
      <c r="Q4619" s="15">
        <v>0.4</v>
      </c>
      <c r="R4619" s="16" t="str">
        <f t="shared" si="395"/>
        <v>ZKTECO</v>
      </c>
      <c r="S4619" s="17"/>
      <c r="T4619" s="10" t="str">
        <f t="shared" si="399"/>
        <v>KIT FUENTE ALIMENTACIÓN 3 AMPERIOS CON BATERÍA 12V 7 AMP-TRANSFORMADOR-CAJA</v>
      </c>
    </row>
    <row r="4620" spans="1:20" ht="27" customHeight="1" x14ac:dyDescent="0.25">
      <c r="A4620" s="8" t="s">
        <v>9644</v>
      </c>
      <c r="B4620" s="9"/>
      <c r="C4620" s="9"/>
      <c r="D4620" s="8"/>
      <c r="E4620" s="8"/>
      <c r="F4620" s="8" t="s">
        <v>22</v>
      </c>
      <c r="G4620" s="10" t="s">
        <v>9654</v>
      </c>
      <c r="H4620" s="8" t="s">
        <v>9655</v>
      </c>
      <c r="I4620" s="10" t="s">
        <v>9654</v>
      </c>
      <c r="J4620" s="11" t="s">
        <v>33</v>
      </c>
      <c r="K4620" s="18">
        <v>35000</v>
      </c>
      <c r="L4620" s="12">
        <f t="shared" si="398"/>
        <v>58400</v>
      </c>
      <c r="M4620" s="8">
        <v>1</v>
      </c>
      <c r="N4620" s="8" t="s">
        <v>27</v>
      </c>
      <c r="O4620" s="13" t="s">
        <v>587</v>
      </c>
      <c r="P4620" s="14">
        <v>0.2</v>
      </c>
      <c r="Q4620" s="15">
        <v>0.4</v>
      </c>
      <c r="R4620" s="16" t="str">
        <f t="shared" si="395"/>
        <v>ZKTECO</v>
      </c>
      <c r="S4620" s="17"/>
      <c r="T4620" s="10" t="str">
        <f t="shared" si="399"/>
        <v>CAJA METÁLICA DE 30 X 25 CMS</v>
      </c>
    </row>
    <row r="4621" spans="1:20" ht="27" customHeight="1" x14ac:dyDescent="0.25">
      <c r="A4621" s="8" t="s">
        <v>9644</v>
      </c>
      <c r="B4621" s="9"/>
      <c r="C4621" s="9"/>
      <c r="D4621" s="8"/>
      <c r="E4621" s="8"/>
      <c r="F4621" s="8" t="s">
        <v>22</v>
      </c>
      <c r="G4621" s="10" t="s">
        <v>9656</v>
      </c>
      <c r="H4621" s="8" t="s">
        <v>9657</v>
      </c>
      <c r="I4621" s="10" t="s">
        <v>9656</v>
      </c>
      <c r="J4621" s="11" t="s">
        <v>33</v>
      </c>
      <c r="K4621" s="18">
        <v>198000</v>
      </c>
      <c r="L4621" s="12">
        <f t="shared" si="398"/>
        <v>330000</v>
      </c>
      <c r="M4621" s="8">
        <v>1</v>
      </c>
      <c r="N4621" s="8" t="s">
        <v>27</v>
      </c>
      <c r="O4621" s="13" t="s">
        <v>588</v>
      </c>
      <c r="P4621" s="14">
        <v>0.2</v>
      </c>
      <c r="Q4621" s="15">
        <v>0.4</v>
      </c>
      <c r="R4621" s="16" t="str">
        <f t="shared" si="395"/>
        <v>ZKTECO</v>
      </c>
      <c r="S4621" s="17"/>
      <c r="T4621" s="10" t="str">
        <f t="shared" si="399"/>
        <v xml:space="preserve">LECTOR ESCLAVO POR HUELLA O TARJETA </v>
      </c>
    </row>
    <row r="4622" spans="1:20" ht="27" customHeight="1" x14ac:dyDescent="0.25">
      <c r="A4622" s="8" t="s">
        <v>9644</v>
      </c>
      <c r="B4622" s="9"/>
      <c r="C4622" s="9"/>
      <c r="D4622" s="8"/>
      <c r="E4622" s="8"/>
      <c r="F4622" s="8" t="s">
        <v>22</v>
      </c>
      <c r="G4622" s="10" t="s">
        <v>9658</v>
      </c>
      <c r="H4622" s="8" t="s">
        <v>9659</v>
      </c>
      <c r="I4622" s="10" t="s">
        <v>9658</v>
      </c>
      <c r="J4622" s="11" t="s">
        <v>33</v>
      </c>
      <c r="K4622" s="18">
        <v>60000</v>
      </c>
      <c r="L4622" s="12">
        <f t="shared" si="398"/>
        <v>100000</v>
      </c>
      <c r="M4622" s="8">
        <v>1</v>
      </c>
      <c r="N4622" s="8" t="s">
        <v>27</v>
      </c>
      <c r="O4622" s="13" t="s">
        <v>587</v>
      </c>
      <c r="P4622" s="14">
        <v>0.2</v>
      </c>
      <c r="Q4622" s="15">
        <v>0.4</v>
      </c>
      <c r="R4622" s="16" t="str">
        <f t="shared" si="395"/>
        <v>ZKTECO</v>
      </c>
      <c r="S4622" s="17"/>
      <c r="T4622" s="10" t="str">
        <f t="shared" si="399"/>
        <v>BOTÓN DE EMERGENCIA</v>
      </c>
    </row>
    <row r="4623" spans="1:20" ht="27" customHeight="1" x14ac:dyDescent="0.25">
      <c r="A4623" s="8" t="s">
        <v>9644</v>
      </c>
      <c r="B4623" s="9"/>
      <c r="C4623" s="9"/>
      <c r="D4623" s="8"/>
      <c r="E4623" s="8"/>
      <c r="F4623" s="8" t="s">
        <v>22</v>
      </c>
      <c r="G4623" s="10" t="s">
        <v>9660</v>
      </c>
      <c r="H4623" s="8" t="s">
        <v>9661</v>
      </c>
      <c r="I4623" s="10" t="s">
        <v>9660</v>
      </c>
      <c r="J4623" s="11" t="s">
        <v>33</v>
      </c>
      <c r="K4623" s="18">
        <v>160000</v>
      </c>
      <c r="L4623" s="12">
        <f t="shared" si="398"/>
        <v>266700</v>
      </c>
      <c r="M4623" s="8">
        <v>1</v>
      </c>
      <c r="N4623" s="8" t="s">
        <v>27</v>
      </c>
      <c r="O4623" s="13" t="s">
        <v>588</v>
      </c>
      <c r="P4623" s="14">
        <v>0.2</v>
      </c>
      <c r="Q4623" s="15">
        <v>0.4</v>
      </c>
      <c r="R4623" s="16" t="str">
        <f t="shared" si="395"/>
        <v>ZKTECO</v>
      </c>
      <c r="S4623" s="17"/>
      <c r="T4623" s="10" t="str">
        <f t="shared" si="399"/>
        <v>KIT DE ELECTROIMÁN DE 600 LIBRAS CON SOPORTE, BUZZER, ANTI REMANENTE</v>
      </c>
    </row>
    <row r="4624" spans="1:20" ht="27" customHeight="1" x14ac:dyDescent="0.25">
      <c r="A4624" s="8" t="s">
        <v>9644</v>
      </c>
      <c r="B4624" s="9"/>
      <c r="C4624" s="9"/>
      <c r="D4624" s="8"/>
      <c r="E4624" s="8"/>
      <c r="F4624" s="8" t="s">
        <v>22</v>
      </c>
      <c r="G4624" s="10" t="s">
        <v>9662</v>
      </c>
      <c r="H4624" s="8" t="s">
        <v>9663</v>
      </c>
      <c r="I4624" s="10" t="s">
        <v>9662</v>
      </c>
      <c r="J4624" s="11" t="s">
        <v>33</v>
      </c>
      <c r="K4624" s="18">
        <v>1500</v>
      </c>
      <c r="L4624" s="12">
        <f t="shared" si="398"/>
        <v>2500</v>
      </c>
      <c r="M4624" s="8">
        <v>1</v>
      </c>
      <c r="N4624" s="8" t="s">
        <v>27</v>
      </c>
      <c r="O4624" s="13" t="s">
        <v>587</v>
      </c>
      <c r="P4624" s="14">
        <v>0.2</v>
      </c>
      <c r="Q4624" s="15">
        <v>0.4</v>
      </c>
      <c r="R4624" s="16" t="str">
        <f t="shared" si="395"/>
        <v>ZKTECO</v>
      </c>
      <c r="S4624" s="17"/>
      <c r="T4624" s="10" t="str">
        <f t="shared" si="399"/>
        <v>TARJETA DE PROXIMIDAD ID O TAG DE RADIOFRECUENCIA</v>
      </c>
    </row>
    <row r="4625" spans="1:20" ht="27" customHeight="1" x14ac:dyDescent="0.25">
      <c r="A4625" s="8" t="s">
        <v>9644</v>
      </c>
      <c r="B4625" s="9"/>
      <c r="C4625" s="9"/>
      <c r="D4625" s="8"/>
      <c r="E4625" s="8"/>
      <c r="F4625" s="8" t="s">
        <v>22</v>
      </c>
      <c r="G4625" s="10" t="s">
        <v>9664</v>
      </c>
      <c r="H4625" s="8" t="s">
        <v>9592</v>
      </c>
      <c r="I4625" s="10" t="s">
        <v>9664</v>
      </c>
      <c r="J4625" s="11" t="s">
        <v>33</v>
      </c>
      <c r="K4625" s="18">
        <v>99000</v>
      </c>
      <c r="L4625" s="12">
        <f t="shared" si="398"/>
        <v>165000</v>
      </c>
      <c r="M4625" s="8">
        <v>1</v>
      </c>
      <c r="N4625" s="8" t="s">
        <v>27</v>
      </c>
      <c r="O4625" s="13" t="s">
        <v>588</v>
      </c>
      <c r="P4625" s="14">
        <v>0.2</v>
      </c>
      <c r="Q4625" s="15">
        <v>0.4</v>
      </c>
      <c r="R4625" s="16" t="str">
        <f t="shared" si="395"/>
        <v>ZKTECO</v>
      </c>
      <c r="S4625" s="17"/>
      <c r="T4625" s="10" t="str">
        <f t="shared" si="399"/>
        <v>BRAZO HIDRÁULICO PARA MÁXIMO 90 KILOS</v>
      </c>
    </row>
    <row r="4626" spans="1:20" ht="27" customHeight="1" x14ac:dyDescent="0.25">
      <c r="A4626" s="8" t="s">
        <v>9644</v>
      </c>
      <c r="B4626" s="9"/>
      <c r="C4626" s="9"/>
      <c r="D4626" s="8"/>
      <c r="E4626" s="8"/>
      <c r="F4626" s="8" t="s">
        <v>22</v>
      </c>
      <c r="G4626" s="10" t="s">
        <v>9665</v>
      </c>
      <c r="H4626" s="8" t="s">
        <v>9666</v>
      </c>
      <c r="I4626" s="10" t="s">
        <v>9665</v>
      </c>
      <c r="J4626" s="11" t="s">
        <v>33</v>
      </c>
      <c r="K4626" s="18">
        <v>4000</v>
      </c>
      <c r="L4626" s="12">
        <f t="shared" si="398"/>
        <v>6700</v>
      </c>
      <c r="M4626" s="8">
        <v>1</v>
      </c>
      <c r="N4626" s="8" t="s">
        <v>27</v>
      </c>
      <c r="O4626" s="13" t="s">
        <v>587</v>
      </c>
      <c r="P4626" s="14">
        <v>0.2</v>
      </c>
      <c r="Q4626" s="15">
        <v>0.4</v>
      </c>
      <c r="R4626" s="16" t="str">
        <f t="shared" si="395"/>
        <v>ZKTECO</v>
      </c>
      <c r="S4626" s="17"/>
      <c r="T4626" s="10" t="str">
        <f t="shared" si="399"/>
        <v>CONTACTO MAGNÉTICO SENCILLO</v>
      </c>
    </row>
    <row r="4627" spans="1:20" ht="27" customHeight="1" x14ac:dyDescent="0.25">
      <c r="A4627" s="8" t="s">
        <v>9644</v>
      </c>
      <c r="B4627" s="9"/>
      <c r="C4627" s="9"/>
      <c r="D4627" s="8"/>
      <c r="E4627" s="8" t="e">
        <f>UPPER(#REF!)</f>
        <v>#REF!</v>
      </c>
      <c r="F4627" s="8" t="s">
        <v>22</v>
      </c>
      <c r="G4627" s="10" t="s">
        <v>9667</v>
      </c>
      <c r="H4627" s="8" t="s">
        <v>9668</v>
      </c>
      <c r="I4627" s="10" t="s">
        <v>9669</v>
      </c>
      <c r="J4627" s="11" t="s">
        <v>33</v>
      </c>
      <c r="K4627" s="18">
        <v>770000</v>
      </c>
      <c r="L4627" s="12">
        <f t="shared" si="398"/>
        <v>1283400</v>
      </c>
      <c r="M4627" s="8">
        <v>1</v>
      </c>
      <c r="N4627" s="8" t="s">
        <v>27</v>
      </c>
      <c r="O4627" s="13"/>
      <c r="P4627" s="14">
        <v>0.2</v>
      </c>
      <c r="Q4627" s="15">
        <v>0.4</v>
      </c>
      <c r="R4627" s="16" t="str">
        <f t="shared" si="395"/>
        <v>ZKTECO</v>
      </c>
      <c r="S4627" s="17"/>
      <c r="T4627" s="10" t="str">
        <f t="shared" si="399"/>
        <v>CONTROLADORA PARA CONTROL DE ACCESO DE HASTA 2 PUESTAS.</v>
      </c>
    </row>
    <row r="4628" spans="1:20" ht="27" customHeight="1" x14ac:dyDescent="0.25">
      <c r="A4628" s="8" t="s">
        <v>9644</v>
      </c>
      <c r="B4628" s="9"/>
      <c r="C4628" s="9"/>
      <c r="D4628" s="8"/>
      <c r="E4628" s="8" t="e">
        <f>UPPER(#REF!)</f>
        <v>#REF!</v>
      </c>
      <c r="F4628" s="8" t="s">
        <v>22</v>
      </c>
      <c r="G4628" s="10" t="s">
        <v>9670</v>
      </c>
      <c r="H4628" s="8" t="s">
        <v>9671</v>
      </c>
      <c r="I4628" s="10" t="s">
        <v>9670</v>
      </c>
      <c r="J4628" s="11" t="s">
        <v>33</v>
      </c>
      <c r="K4628" s="18">
        <v>160000</v>
      </c>
      <c r="L4628" s="12">
        <f t="shared" si="398"/>
        <v>266700</v>
      </c>
      <c r="M4628" s="8">
        <v>1</v>
      </c>
      <c r="N4628" s="8" t="s">
        <v>27</v>
      </c>
      <c r="O4628" s="13"/>
      <c r="P4628" s="14">
        <v>0.2</v>
      </c>
      <c r="Q4628" s="15">
        <v>0.4</v>
      </c>
      <c r="R4628" s="16" t="str">
        <f t="shared" si="395"/>
        <v>ZKTECO</v>
      </c>
      <c r="S4628" s="17"/>
      <c r="T4628" s="10" t="str">
        <f t="shared" si="399"/>
        <v>GABINETE PARA CONTROLADORA INBIO</v>
      </c>
    </row>
    <row r="4629" spans="1:20" ht="27" customHeight="1" x14ac:dyDescent="0.25">
      <c r="A4629" s="8" t="s">
        <v>9644</v>
      </c>
      <c r="B4629" s="9"/>
      <c r="C4629" s="9"/>
      <c r="D4629" s="8"/>
      <c r="E4629" s="8"/>
      <c r="F4629" s="8" t="s">
        <v>22</v>
      </c>
      <c r="G4629" s="10" t="s">
        <v>9672</v>
      </c>
      <c r="H4629" s="8" t="s">
        <v>9673</v>
      </c>
      <c r="I4629" s="10" t="s">
        <v>9672</v>
      </c>
      <c r="J4629" s="11" t="s">
        <v>26</v>
      </c>
      <c r="K4629" s="18">
        <v>60</v>
      </c>
      <c r="L4629" s="12">
        <f t="shared" si="398"/>
        <v>120</v>
      </c>
      <c r="M4629" s="8">
        <v>1</v>
      </c>
      <c r="N4629" s="8" t="s">
        <v>27</v>
      </c>
      <c r="O4629" s="13"/>
      <c r="P4629" s="14">
        <v>0.2</v>
      </c>
      <c r="Q4629" s="15">
        <v>0.4</v>
      </c>
      <c r="R4629" s="16" t="str">
        <f t="shared" si="395"/>
        <v>ZKTECO</v>
      </c>
      <c r="S4629" s="17"/>
      <c r="T4629" s="10" t="str">
        <f t="shared" si="399"/>
        <v>SOFTWARE PARA GESTIÓN DE CONTROL DE ACCESO.</v>
      </c>
    </row>
    <row r="4630" spans="1:20" ht="27" customHeight="1" x14ac:dyDescent="0.25">
      <c r="A4630" s="8" t="s">
        <v>9644</v>
      </c>
      <c r="B4630" s="9"/>
      <c r="C4630" s="9"/>
      <c r="D4630" s="8"/>
      <c r="E4630" s="8" t="e">
        <f>UPPER(#REF!)</f>
        <v>#REF!</v>
      </c>
      <c r="F4630" s="8" t="s">
        <v>22</v>
      </c>
      <c r="G4630" s="10" t="s">
        <v>9674</v>
      </c>
      <c r="H4630" s="8" t="s">
        <v>9675</v>
      </c>
      <c r="I4630" s="10" t="s">
        <v>9674</v>
      </c>
      <c r="J4630" s="11" t="s">
        <v>26</v>
      </c>
      <c r="K4630" s="18">
        <v>5</v>
      </c>
      <c r="L4630" s="12">
        <f t="shared" si="398"/>
        <v>10</v>
      </c>
      <c r="M4630" s="8">
        <v>1</v>
      </c>
      <c r="N4630" s="8" t="s">
        <v>27</v>
      </c>
      <c r="O4630" s="13"/>
      <c r="P4630" s="14">
        <v>0.2</v>
      </c>
      <c r="Q4630" s="15">
        <v>0.4</v>
      </c>
      <c r="R4630" s="16" t="str">
        <f t="shared" si="395"/>
        <v>ZKTECO</v>
      </c>
      <c r="S4630" s="17"/>
      <c r="T4630" s="10" t="str">
        <f t="shared" si="399"/>
        <v>STICKER PARA INSTALACIÓN EN TARJETA RF EXISTENTE</v>
      </c>
    </row>
    <row r="4631" spans="1:20" ht="27" customHeight="1" x14ac:dyDescent="0.25">
      <c r="A4631" s="8" t="s">
        <v>9644</v>
      </c>
      <c r="B4631" s="9"/>
      <c r="C4631" s="9"/>
      <c r="D4631" s="8"/>
      <c r="E4631" s="8" t="e">
        <f>UPPER(#REF!)</f>
        <v>#REF!</v>
      </c>
      <c r="F4631" s="8" t="s">
        <v>22</v>
      </c>
      <c r="G4631" s="10" t="s">
        <v>9676</v>
      </c>
      <c r="H4631" s="8" t="s">
        <v>9677</v>
      </c>
      <c r="I4631" s="10" t="s">
        <v>9678</v>
      </c>
      <c r="J4631" s="11" t="s">
        <v>33</v>
      </c>
      <c r="K4631" s="18">
        <v>808000</v>
      </c>
      <c r="L4631" s="12">
        <f t="shared" si="398"/>
        <v>1346700</v>
      </c>
      <c r="M4631" s="8">
        <v>1</v>
      </c>
      <c r="N4631" s="8" t="s">
        <v>27</v>
      </c>
      <c r="O4631" s="13"/>
      <c r="P4631" s="14">
        <v>0</v>
      </c>
      <c r="Q4631" s="15">
        <v>0.4</v>
      </c>
      <c r="R4631" s="16" t="str">
        <f t="shared" si="395"/>
        <v>ZKTECO</v>
      </c>
      <c r="S4631" s="17"/>
      <c r="T4631" s="10" t="str">
        <f t="shared" si="399"/>
        <v>CONTROLADORA PARA 4 PUERTAS, SISTEMA DE GESTIÓN DE ACCESO DE 20.000 HUELLAS.</v>
      </c>
    </row>
    <row r="4632" spans="1:20" ht="27" customHeight="1" x14ac:dyDescent="0.25">
      <c r="A4632" s="8" t="s">
        <v>9644</v>
      </c>
      <c r="B4632" s="9"/>
      <c r="C4632" s="9"/>
      <c r="D4632" s="8"/>
      <c r="E4632" s="8" t="e">
        <f>UPPER(#REF!)</f>
        <v>#REF!</v>
      </c>
      <c r="F4632" s="8" t="s">
        <v>22</v>
      </c>
      <c r="G4632" s="10" t="s">
        <v>9679</v>
      </c>
      <c r="H4632" s="8" t="s">
        <v>9680</v>
      </c>
      <c r="I4632" s="10" t="s">
        <v>9679</v>
      </c>
      <c r="J4632" s="11" t="s">
        <v>33</v>
      </c>
      <c r="K4632" s="18">
        <v>71000</v>
      </c>
      <c r="L4632" s="12">
        <f t="shared" si="398"/>
        <v>118400</v>
      </c>
      <c r="M4632" s="8">
        <v>1</v>
      </c>
      <c r="N4632" s="8" t="s">
        <v>27</v>
      </c>
      <c r="O4632" s="13"/>
      <c r="P4632" s="14">
        <v>0</v>
      </c>
      <c r="Q4632" s="15">
        <v>0.4</v>
      </c>
      <c r="R4632" s="16" t="str">
        <f t="shared" si="395"/>
        <v>ZKTECO</v>
      </c>
      <c r="S4632" s="17"/>
      <c r="T4632" s="10" t="str">
        <f t="shared" si="399"/>
        <v>ELECTROIMÁN DE 270Kg DE PRESIÓN</v>
      </c>
    </row>
    <row r="4633" spans="1:20" ht="27" customHeight="1" x14ac:dyDescent="0.25">
      <c r="A4633" s="8" t="s">
        <v>9644</v>
      </c>
      <c r="B4633" s="9"/>
      <c r="C4633" s="9"/>
      <c r="D4633" s="8"/>
      <c r="E4633" s="8" t="e">
        <f>UPPER(#REF!)</f>
        <v>#REF!</v>
      </c>
      <c r="F4633" s="8" t="s">
        <v>22</v>
      </c>
      <c r="G4633" s="10" t="s">
        <v>9681</v>
      </c>
      <c r="H4633" s="8" t="s">
        <v>9682</v>
      </c>
      <c r="I4633" s="10" t="s">
        <v>9681</v>
      </c>
      <c r="J4633" s="11" t="s">
        <v>33</v>
      </c>
      <c r="K4633" s="18">
        <v>14000</v>
      </c>
      <c r="L4633" s="12">
        <f t="shared" si="398"/>
        <v>23400</v>
      </c>
      <c r="M4633" s="8">
        <v>1</v>
      </c>
      <c r="N4633" s="8" t="s">
        <v>27</v>
      </c>
      <c r="O4633" s="13"/>
      <c r="P4633" s="14">
        <v>0</v>
      </c>
      <c r="Q4633" s="15">
        <v>0.4</v>
      </c>
      <c r="R4633" s="16" t="str">
        <f t="shared" si="395"/>
        <v>ZKTECO</v>
      </c>
      <c r="S4633" s="17"/>
      <c r="T4633" s="10" t="str">
        <f t="shared" si="399"/>
        <v>SOPORTE EN UN METÁLICO PARA CANTO DE PUERTA DE VIDRIO.</v>
      </c>
    </row>
    <row r="4634" spans="1:20" ht="27" customHeight="1" x14ac:dyDescent="0.25">
      <c r="A4634" s="8" t="s">
        <v>9644</v>
      </c>
      <c r="B4634" s="9"/>
      <c r="C4634" s="9"/>
      <c r="D4634" s="8"/>
      <c r="E4634" s="8" t="e">
        <f>UPPER(#REF!)</f>
        <v>#REF!</v>
      </c>
      <c r="F4634" s="8" t="s">
        <v>22</v>
      </c>
      <c r="G4634" s="10" t="s">
        <v>9683</v>
      </c>
      <c r="H4634" s="8" t="s">
        <v>9684</v>
      </c>
      <c r="I4634" s="10" t="s">
        <v>9683</v>
      </c>
      <c r="J4634" s="11" t="s">
        <v>33</v>
      </c>
      <c r="K4634" s="18">
        <v>14000</v>
      </c>
      <c r="L4634" s="12">
        <f t="shared" si="398"/>
        <v>23400</v>
      </c>
      <c r="M4634" s="8">
        <v>1</v>
      </c>
      <c r="N4634" s="8" t="s">
        <v>27</v>
      </c>
      <c r="O4634" s="13"/>
      <c r="P4634" s="14">
        <v>0</v>
      </c>
      <c r="Q4634" s="15">
        <v>0.4</v>
      </c>
      <c r="R4634" s="16" t="str">
        <f t="shared" si="395"/>
        <v>ZKTECO</v>
      </c>
      <c r="S4634" s="17"/>
      <c r="T4634" s="10" t="str">
        <f t="shared" si="399"/>
        <v>SOPORTE EN L METÁLICO PARA SUJECIÓN DE ELECTROIMÁN</v>
      </c>
    </row>
    <row r="4635" spans="1:20" ht="27" customHeight="1" x14ac:dyDescent="0.25">
      <c r="A4635" s="8" t="s">
        <v>9644</v>
      </c>
      <c r="B4635" s="9"/>
      <c r="C4635" s="9"/>
      <c r="D4635" s="8" t="s">
        <v>45</v>
      </c>
      <c r="E4635" s="8"/>
      <c r="F4635" s="8" t="s">
        <v>22</v>
      </c>
      <c r="G4635" s="10" t="s">
        <v>9685</v>
      </c>
      <c r="H4635" s="8" t="s">
        <v>9686</v>
      </c>
      <c r="I4635" s="10" t="s">
        <v>9685</v>
      </c>
      <c r="J4635" s="11" t="s">
        <v>33</v>
      </c>
      <c r="K4635" s="18">
        <v>536000</v>
      </c>
      <c r="L4635" s="12">
        <f t="shared" si="398"/>
        <v>765800</v>
      </c>
      <c r="M4635" s="8">
        <v>1</v>
      </c>
      <c r="N4635" s="8" t="s">
        <v>27</v>
      </c>
      <c r="O4635" s="13"/>
      <c r="P4635" s="14">
        <v>0</v>
      </c>
      <c r="Q4635" s="15">
        <v>0.3</v>
      </c>
      <c r="R4635" s="16" t="str">
        <f t="shared" si="395"/>
        <v>ZKTECO</v>
      </c>
      <c r="S4635" s="17"/>
      <c r="T4635" s="10" t="str">
        <f t="shared" si="399"/>
        <v>ENROLLADOR DE HUELLA POR USB</v>
      </c>
    </row>
    <row r="4636" spans="1:20" ht="27" customHeight="1" x14ac:dyDescent="0.25">
      <c r="A4636" s="8" t="s">
        <v>9644</v>
      </c>
      <c r="B4636" s="9"/>
      <c r="C4636" s="9"/>
      <c r="D4636" s="8" t="s">
        <v>45</v>
      </c>
      <c r="E4636" s="8"/>
      <c r="F4636" s="8" t="s">
        <v>22</v>
      </c>
      <c r="G4636" s="10" t="s">
        <v>9687</v>
      </c>
      <c r="H4636" s="8" t="s">
        <v>9688</v>
      </c>
      <c r="I4636" s="10" t="s">
        <v>9687</v>
      </c>
      <c r="J4636" s="11" t="s">
        <v>33</v>
      </c>
      <c r="K4636" s="18">
        <v>1480758</v>
      </c>
      <c r="L4636" s="12">
        <f t="shared" si="398"/>
        <v>2115400</v>
      </c>
      <c r="M4636" s="8">
        <v>1</v>
      </c>
      <c r="N4636" s="8" t="s">
        <v>27</v>
      </c>
      <c r="O4636" s="13"/>
      <c r="P4636" s="14">
        <v>0</v>
      </c>
      <c r="Q4636" s="15">
        <v>0.3</v>
      </c>
      <c r="R4636" s="16" t="str">
        <f t="shared" si="395"/>
        <v>ZKTECO</v>
      </c>
      <c r="S4636" s="17"/>
      <c r="T4636" s="10" t="str">
        <f t="shared" si="399"/>
        <v>CONTROLADOR DE ACCESO DE 2 PUERTAS CON GABINETE</v>
      </c>
    </row>
    <row r="4637" spans="1:20" ht="27" customHeight="1" x14ac:dyDescent="0.25">
      <c r="A4637" s="8" t="s">
        <v>9644</v>
      </c>
      <c r="B4637" s="9"/>
      <c r="C4637" s="9"/>
      <c r="D4637" s="8" t="s">
        <v>45</v>
      </c>
      <c r="E4637" s="8"/>
      <c r="F4637" s="8" t="s">
        <v>22</v>
      </c>
      <c r="G4637" s="10" t="s">
        <v>9689</v>
      </c>
      <c r="H4637" s="8" t="s">
        <v>9688</v>
      </c>
      <c r="I4637" s="10" t="s">
        <v>9689</v>
      </c>
      <c r="J4637" s="11" t="s">
        <v>33</v>
      </c>
      <c r="K4637" s="18">
        <v>740400</v>
      </c>
      <c r="L4637" s="12">
        <v>539.07692307692298</v>
      </c>
      <c r="M4637" s="8">
        <v>3</v>
      </c>
      <c r="N4637" s="8" t="s">
        <v>27</v>
      </c>
      <c r="O4637" s="13"/>
      <c r="P4637" s="14">
        <v>0.2</v>
      </c>
      <c r="Q4637" s="15">
        <v>0.35</v>
      </c>
      <c r="R4637" s="16" t="str">
        <f t="shared" si="395"/>
        <v>ZKTECO</v>
      </c>
      <c r="S4637" s="17"/>
      <c r="T4637" s="10" t="str">
        <f t="shared" si="399"/>
        <v>CONTROLADOR DE 2 PUERTAS CON PANEL Y FUENTE DE ALIMENTACIÓN.</v>
      </c>
    </row>
    <row r="4638" spans="1:20" ht="27" customHeight="1" x14ac:dyDescent="0.25">
      <c r="A4638" s="8" t="s">
        <v>9644</v>
      </c>
      <c r="B4638" s="9"/>
      <c r="C4638" s="9"/>
      <c r="D4638" s="8"/>
      <c r="E4638" s="8"/>
      <c r="F4638" s="8" t="s">
        <v>22</v>
      </c>
      <c r="G4638" s="10" t="s">
        <v>9656</v>
      </c>
      <c r="H4638" s="8" t="s">
        <v>9690</v>
      </c>
      <c r="I4638" s="10" t="s">
        <v>9656</v>
      </c>
      <c r="J4638" s="11" t="s">
        <v>33</v>
      </c>
      <c r="K4638" s="18">
        <v>195000</v>
      </c>
      <c r="L4638" s="12">
        <f>IF(J4638="P",ROUNDUP(K4638/(1-Q4638),-2),K4638*(1+P4638)/(1-Q4638))</f>
        <v>325000</v>
      </c>
      <c r="M4638" s="8">
        <v>1</v>
      </c>
      <c r="N4638" s="8" t="s">
        <v>27</v>
      </c>
      <c r="O4638" s="13" t="s">
        <v>588</v>
      </c>
      <c r="P4638" s="14">
        <v>0</v>
      </c>
      <c r="Q4638" s="15">
        <v>0.4</v>
      </c>
      <c r="R4638" s="16" t="str">
        <f t="shared" si="395"/>
        <v>ZKTECO</v>
      </c>
      <c r="S4638" s="17"/>
      <c r="T4638" s="10" t="str">
        <f t="shared" si="399"/>
        <v xml:space="preserve">LECTOR ESCLAVO POR HUELLA O TARJETA </v>
      </c>
    </row>
    <row r="4639" spans="1:20" ht="27" customHeight="1" x14ac:dyDescent="0.25">
      <c r="A4639" s="8" t="s">
        <v>9644</v>
      </c>
      <c r="B4639" s="9"/>
      <c r="C4639" s="9"/>
      <c r="D4639" s="8"/>
      <c r="E4639" s="8"/>
      <c r="F4639" s="8" t="s">
        <v>22</v>
      </c>
      <c r="G4639" s="10" t="s">
        <v>9691</v>
      </c>
      <c r="H4639" s="8" t="s">
        <v>9692</v>
      </c>
      <c r="I4639" s="10" t="s">
        <v>9691</v>
      </c>
      <c r="J4639" s="11" t="s">
        <v>33</v>
      </c>
      <c r="K4639" s="18">
        <f>216*3500</f>
        <v>756000</v>
      </c>
      <c r="L4639" s="12">
        <f>IF(J4639="P",ROUNDUP(K4639/(1-Q4639),-2),K4639*(1+P4639)/(1-Q4639))</f>
        <v>1260000</v>
      </c>
      <c r="M4639" s="8">
        <v>1</v>
      </c>
      <c r="N4639" s="8" t="s">
        <v>27</v>
      </c>
      <c r="O4639" s="13" t="s">
        <v>588</v>
      </c>
      <c r="P4639" s="14">
        <v>0</v>
      </c>
      <c r="Q4639" s="15">
        <v>0.4</v>
      </c>
      <c r="R4639" s="16" t="str">
        <f t="shared" si="395"/>
        <v>ZKTECO</v>
      </c>
      <c r="S4639" s="17"/>
      <c r="T4639" s="10" t="str">
        <f t="shared" si="399"/>
        <v>LECTOR ESCLAVO POR HUELLA O TARJETA HID ICLASS</v>
      </c>
    </row>
    <row r="4640" spans="1:20" ht="27" customHeight="1" x14ac:dyDescent="0.25">
      <c r="A4640" s="8" t="s">
        <v>9644</v>
      </c>
      <c r="B4640" s="9"/>
      <c r="C4640" s="9"/>
      <c r="D4640" s="8" t="s">
        <v>45</v>
      </c>
      <c r="E4640" s="8"/>
      <c r="F4640" s="8" t="s">
        <v>22</v>
      </c>
      <c r="G4640" s="10" t="s">
        <v>9693</v>
      </c>
      <c r="H4640" s="8" t="s">
        <v>9692</v>
      </c>
      <c r="I4640" s="10" t="s">
        <v>9693</v>
      </c>
      <c r="J4640" s="11" t="s">
        <v>33</v>
      </c>
      <c r="K4640" s="18">
        <v>381316</v>
      </c>
      <c r="L4640" s="12">
        <f>ROUNDUP(K4640*(1+P4640)/(1-Q4640),0)</f>
        <v>635527</v>
      </c>
      <c r="M4640" s="8">
        <v>1</v>
      </c>
      <c r="N4640" s="8" t="s">
        <v>27</v>
      </c>
      <c r="O4640" s="13"/>
      <c r="P4640" s="14">
        <v>0</v>
      </c>
      <c r="Q4640" s="15">
        <v>0.4</v>
      </c>
      <c r="R4640" s="16" t="str">
        <f t="shared" si="395"/>
        <v>ZKTECO</v>
      </c>
      <c r="S4640" s="17"/>
      <c r="T4640" s="10" t="str">
        <f t="shared" si="399"/>
        <v>LECTOR MIXTO DE HUELLA Y TARJETA ICLASS</v>
      </c>
    </row>
    <row r="4641" spans="1:20" ht="27" customHeight="1" x14ac:dyDescent="0.25">
      <c r="A4641" s="8" t="s">
        <v>9644</v>
      </c>
      <c r="B4641" s="9"/>
      <c r="C4641" s="9"/>
      <c r="D4641" s="8" t="s">
        <v>45</v>
      </c>
      <c r="E4641" s="8"/>
      <c r="F4641" s="8" t="s">
        <v>22</v>
      </c>
      <c r="G4641" s="10" t="s">
        <v>9694</v>
      </c>
      <c r="H4641" s="8" t="s">
        <v>9695</v>
      </c>
      <c r="I4641" s="10" t="s">
        <v>9694</v>
      </c>
      <c r="J4641" s="11" t="s">
        <v>33</v>
      </c>
      <c r="K4641" s="18">
        <v>890000</v>
      </c>
      <c r="L4641" s="12">
        <f>ROUNDUP(K4641*(1+P4641)/(1-Q4641),0)</f>
        <v>1271429</v>
      </c>
      <c r="M4641" s="8">
        <v>1</v>
      </c>
      <c r="N4641" s="8" t="s">
        <v>27</v>
      </c>
      <c r="O4641" s="13"/>
      <c r="P4641" s="14">
        <v>0</v>
      </c>
      <c r="Q4641" s="15">
        <v>0.3</v>
      </c>
      <c r="R4641" s="16" t="str">
        <f t="shared" si="395"/>
        <v>ZKTECO</v>
      </c>
      <c r="S4641" s="17"/>
      <c r="T4641" s="10" t="str">
        <f t="shared" si="399"/>
        <v>LICENCIA MODULO DE VISITAS SOFTWARE ZKTeco</v>
      </c>
    </row>
    <row r="4642" spans="1:20" ht="27" customHeight="1" x14ac:dyDescent="0.25">
      <c r="A4642" s="8" t="s">
        <v>9644</v>
      </c>
      <c r="B4642" s="9"/>
      <c r="C4642" s="9"/>
      <c r="D4642" s="8" t="s">
        <v>45</v>
      </c>
      <c r="E4642" s="8"/>
      <c r="F4642" s="8" t="s">
        <v>22</v>
      </c>
      <c r="G4642" s="10" t="s">
        <v>9696</v>
      </c>
      <c r="H4642" s="8" t="s">
        <v>9697</v>
      </c>
      <c r="I4642" s="10" t="s">
        <v>9696</v>
      </c>
      <c r="J4642" s="11" t="s">
        <v>33</v>
      </c>
      <c r="K4642" s="18">
        <f>K4641-K4640</f>
        <v>508684</v>
      </c>
      <c r="L4642" s="12">
        <f>ROUNDUP(K4642*(1+P4642)/(1-Q4642),0)</f>
        <v>726692</v>
      </c>
      <c r="M4642" s="8">
        <v>1</v>
      </c>
      <c r="N4642" s="8" t="s">
        <v>27</v>
      </c>
      <c r="O4642" s="13"/>
      <c r="P4642" s="14">
        <v>0</v>
      </c>
      <c r="Q4642" s="15">
        <v>0.3</v>
      </c>
      <c r="R4642" s="16" t="str">
        <f t="shared" si="395"/>
        <v>ZKTECO</v>
      </c>
      <c r="S4642" s="17"/>
      <c r="T4642" s="10" t="str">
        <f t="shared" si="399"/>
        <v>LECTOR DE CEDULAS COLOMBIANAS PARA MONTAJE EN TORNIQUETE O SOBREPUESTA</v>
      </c>
    </row>
    <row r="4643" spans="1:20" ht="27" customHeight="1" x14ac:dyDescent="0.25">
      <c r="A4643" s="8" t="s">
        <v>9644</v>
      </c>
      <c r="B4643" s="9"/>
      <c r="C4643" s="9"/>
      <c r="D4643" s="8" t="s">
        <v>45</v>
      </c>
      <c r="E4643" s="8"/>
      <c r="F4643" s="8" t="s">
        <v>22</v>
      </c>
      <c r="G4643" s="10" t="s">
        <v>9698</v>
      </c>
      <c r="H4643" s="8" t="s">
        <v>9699</v>
      </c>
      <c r="I4643" s="10" t="s">
        <v>9698</v>
      </c>
      <c r="J4643" s="11" t="s">
        <v>26</v>
      </c>
      <c r="K4643" s="18">
        <v>24</v>
      </c>
      <c r="L4643" s="12">
        <f>ROUNDUP(K4643*(1+P4643)/(1-Q4643),0)</f>
        <v>48</v>
      </c>
      <c r="M4643" s="8">
        <v>1</v>
      </c>
      <c r="N4643" s="8" t="s">
        <v>27</v>
      </c>
      <c r="O4643" s="13"/>
      <c r="P4643" s="14">
        <v>0.2</v>
      </c>
      <c r="Q4643" s="15">
        <v>0.4</v>
      </c>
      <c r="R4643" s="16" t="str">
        <f t="shared" si="395"/>
        <v>ZKTECO</v>
      </c>
      <c r="S4643" s="17"/>
      <c r="T4643" s="10" t="str">
        <f t="shared" si="399"/>
        <v>CONVERSOR DE RS232 A WIEGAND</v>
      </c>
    </row>
    <row r="4644" spans="1:20" ht="27" customHeight="1" x14ac:dyDescent="0.25">
      <c r="A4644" s="8" t="s">
        <v>9644</v>
      </c>
      <c r="B4644" s="9"/>
      <c r="C4644" s="9"/>
      <c r="D4644" s="8" t="s">
        <v>45</v>
      </c>
      <c r="E4644" s="8"/>
      <c r="F4644" s="8" t="s">
        <v>22</v>
      </c>
      <c r="G4644" s="10" t="s">
        <v>9700</v>
      </c>
      <c r="H4644" s="8" t="s">
        <v>9701</v>
      </c>
      <c r="I4644" s="10" t="s">
        <v>9702</v>
      </c>
      <c r="J4644" s="11" t="s">
        <v>26</v>
      </c>
      <c r="K4644" s="18">
        <v>500000</v>
      </c>
      <c r="L4644" s="12">
        <f>ROUNDUP(K4644*(1+P4644)/(1-Q4644),0)</f>
        <v>714286</v>
      </c>
      <c r="M4644" s="8">
        <v>1</v>
      </c>
      <c r="N4644" s="8" t="s">
        <v>27</v>
      </c>
      <c r="O4644" s="13"/>
      <c r="P4644" s="14">
        <v>0</v>
      </c>
      <c r="Q4644" s="15">
        <v>0.3</v>
      </c>
      <c r="R4644" s="16" t="str">
        <f t="shared" si="395"/>
        <v>ZKTECO</v>
      </c>
      <c r="S4644" s="17"/>
      <c r="T4644" s="10" t="str">
        <f t="shared" si="399"/>
        <v>TERMINAL DE CONTROL DE TIEMPO CON CONEXIÓN WIFI, INGRESO POR HUELLA O TECLADO.</v>
      </c>
    </row>
    <row r="4645" spans="1:20" ht="27" customHeight="1" x14ac:dyDescent="0.25">
      <c r="A4645" s="8" t="s">
        <v>9644</v>
      </c>
      <c r="B4645" s="9"/>
      <c r="C4645" s="9"/>
      <c r="D4645" s="8" t="s">
        <v>45</v>
      </c>
      <c r="E4645" s="8"/>
      <c r="F4645" s="8" t="s">
        <v>22</v>
      </c>
      <c r="G4645" s="10" t="str">
        <f t="shared" ref="G4645:G4652" si="400">B4645&amp;"-"&amp;D4645&amp;"-"&amp;E4645&amp;F4645</f>
        <v>-PROG_-BLANCO</v>
      </c>
      <c r="H4645" s="8" t="s">
        <v>9703</v>
      </c>
      <c r="I4645" s="10" t="s">
        <v>9704</v>
      </c>
      <c r="J4645" s="11" t="s">
        <v>33</v>
      </c>
      <c r="K4645" s="18">
        <v>2200000</v>
      </c>
      <c r="L4645" s="12">
        <f t="shared" ref="L4645:L4652" si="401">K4645*(1+P4645)/(1-Q4645)</f>
        <v>3666666.666666667</v>
      </c>
      <c r="M4645" s="8">
        <v>1</v>
      </c>
      <c r="N4645" s="8" t="s">
        <v>27</v>
      </c>
      <c r="O4645" s="13"/>
      <c r="P4645" s="14">
        <v>0</v>
      </c>
      <c r="Q4645" s="15">
        <v>0.4</v>
      </c>
      <c r="R4645" s="16" t="str">
        <f t="shared" si="395"/>
        <v>ZKTECO</v>
      </c>
      <c r="S4645" s="17"/>
      <c r="T4645" s="10" t="str">
        <f t="shared" si="399"/>
        <v>-PROG_-BLANCO</v>
      </c>
    </row>
    <row r="4646" spans="1:20" ht="27" customHeight="1" x14ac:dyDescent="0.25">
      <c r="A4646" s="8" t="s">
        <v>9644</v>
      </c>
      <c r="B4646" s="9"/>
      <c r="C4646" s="9"/>
      <c r="D4646" s="8" t="s">
        <v>45</v>
      </c>
      <c r="E4646" s="8"/>
      <c r="F4646" s="8" t="s">
        <v>22</v>
      </c>
      <c r="G4646" s="10" t="str">
        <f t="shared" si="400"/>
        <v>-PROG_-BLANCO</v>
      </c>
      <c r="H4646" s="8" t="s">
        <v>9705</v>
      </c>
      <c r="I4646" s="10" t="s">
        <v>9706</v>
      </c>
      <c r="J4646" s="11" t="s">
        <v>33</v>
      </c>
      <c r="K4646" s="18">
        <v>364000</v>
      </c>
      <c r="L4646" s="12">
        <f t="shared" si="401"/>
        <v>606666.66666666674</v>
      </c>
      <c r="M4646" s="8">
        <v>1</v>
      </c>
      <c r="N4646" s="8" t="s">
        <v>27</v>
      </c>
      <c r="O4646" s="13"/>
      <c r="P4646" s="14">
        <v>0</v>
      </c>
      <c r="Q4646" s="15">
        <v>0.4</v>
      </c>
      <c r="R4646" s="16" t="str">
        <f t="shared" si="395"/>
        <v>ZKTECO</v>
      </c>
      <c r="S4646" s="17"/>
      <c r="T4646" s="10" t="str">
        <f t="shared" si="399"/>
        <v>-PROG_-BLANCO</v>
      </c>
    </row>
    <row r="4647" spans="1:20" ht="27" customHeight="1" x14ac:dyDescent="0.25">
      <c r="A4647" s="8" t="s">
        <v>9644</v>
      </c>
      <c r="B4647" s="9"/>
      <c r="C4647" s="9"/>
      <c r="D4647" s="8" t="s">
        <v>45</v>
      </c>
      <c r="E4647" s="8"/>
      <c r="F4647" s="8" t="s">
        <v>22</v>
      </c>
      <c r="G4647" s="10" t="str">
        <f t="shared" si="400"/>
        <v>-PROG_-BLANCO</v>
      </c>
      <c r="H4647" s="8" t="s">
        <v>9707</v>
      </c>
      <c r="I4647" s="10" t="s">
        <v>9708</v>
      </c>
      <c r="J4647" s="11" t="s">
        <v>33</v>
      </c>
      <c r="K4647" s="18">
        <v>55600</v>
      </c>
      <c r="L4647" s="12">
        <f t="shared" si="401"/>
        <v>92666.666666666672</v>
      </c>
      <c r="M4647" s="8">
        <v>1</v>
      </c>
      <c r="N4647" s="8" t="s">
        <v>27</v>
      </c>
      <c r="O4647" s="13"/>
      <c r="P4647" s="14">
        <v>0</v>
      </c>
      <c r="Q4647" s="15">
        <v>0.4</v>
      </c>
      <c r="R4647" s="16" t="str">
        <f t="shared" si="395"/>
        <v>ZKTECO</v>
      </c>
      <c r="S4647" s="17"/>
      <c r="T4647" s="10" t="str">
        <f t="shared" si="399"/>
        <v>-PROG_-BLANCO</v>
      </c>
    </row>
    <row r="4648" spans="1:20" ht="27" customHeight="1" x14ac:dyDescent="0.25">
      <c r="A4648" s="8" t="s">
        <v>9644</v>
      </c>
      <c r="B4648" s="9"/>
      <c r="C4648" s="9"/>
      <c r="D4648" s="8" t="s">
        <v>45</v>
      </c>
      <c r="E4648" s="8"/>
      <c r="F4648" s="8" t="s">
        <v>22</v>
      </c>
      <c r="G4648" s="10" t="str">
        <f t="shared" si="400"/>
        <v>-PROG_-BLANCO</v>
      </c>
      <c r="H4648" s="8" t="s">
        <v>9709</v>
      </c>
      <c r="I4648" s="10" t="s">
        <v>9710</v>
      </c>
      <c r="J4648" s="11" t="s">
        <v>33</v>
      </c>
      <c r="K4648" s="18">
        <v>27000</v>
      </c>
      <c r="L4648" s="12">
        <f t="shared" si="401"/>
        <v>45000</v>
      </c>
      <c r="M4648" s="8">
        <v>1</v>
      </c>
      <c r="N4648" s="8" t="s">
        <v>27</v>
      </c>
      <c r="O4648" s="13"/>
      <c r="P4648" s="14">
        <v>0</v>
      </c>
      <c r="Q4648" s="15">
        <v>0.4</v>
      </c>
      <c r="R4648" s="16" t="str">
        <f t="shared" si="395"/>
        <v>ZKTECO</v>
      </c>
      <c r="S4648" s="17"/>
      <c r="T4648" s="10" t="str">
        <f t="shared" si="399"/>
        <v>-PROG_-BLANCO</v>
      </c>
    </row>
    <row r="4649" spans="1:20" ht="27" customHeight="1" x14ac:dyDescent="0.25">
      <c r="A4649" s="8" t="s">
        <v>9644</v>
      </c>
      <c r="B4649" s="9"/>
      <c r="C4649" s="9"/>
      <c r="D4649" s="8" t="s">
        <v>45</v>
      </c>
      <c r="E4649" s="8"/>
      <c r="F4649" s="8" t="s">
        <v>22</v>
      </c>
      <c r="G4649" s="10" t="str">
        <f t="shared" si="400"/>
        <v>-PROG_-BLANCO</v>
      </c>
      <c r="H4649" s="8" t="s">
        <v>4816</v>
      </c>
      <c r="I4649" s="10" t="s">
        <v>9711</v>
      </c>
      <c r="J4649" s="11" t="s">
        <v>33</v>
      </c>
      <c r="K4649" s="18">
        <v>375000</v>
      </c>
      <c r="L4649" s="12">
        <f t="shared" si="401"/>
        <v>625000</v>
      </c>
      <c r="M4649" s="8">
        <v>1</v>
      </c>
      <c r="N4649" s="8" t="s">
        <v>27</v>
      </c>
      <c r="O4649" s="13"/>
      <c r="P4649" s="14">
        <v>0</v>
      </c>
      <c r="Q4649" s="15">
        <v>0.4</v>
      </c>
      <c r="R4649" s="16" t="str">
        <f t="shared" si="395"/>
        <v>ZKTECO</v>
      </c>
      <c r="S4649" s="17"/>
      <c r="T4649" s="10" t="str">
        <f t="shared" si="399"/>
        <v>-PROG_-BLANCO</v>
      </c>
    </row>
    <row r="4650" spans="1:20" ht="27" customHeight="1" x14ac:dyDescent="0.25">
      <c r="A4650" s="8" t="s">
        <v>9644</v>
      </c>
      <c r="B4650" s="9"/>
      <c r="C4650" s="9"/>
      <c r="D4650" s="8" t="s">
        <v>45</v>
      </c>
      <c r="E4650" s="8"/>
      <c r="F4650" s="8" t="s">
        <v>22</v>
      </c>
      <c r="G4650" s="10" t="str">
        <f t="shared" si="400"/>
        <v>-PROG_-BLANCO</v>
      </c>
      <c r="H4650" s="8" t="s">
        <v>4820</v>
      </c>
      <c r="I4650" s="10" t="s">
        <v>4821</v>
      </c>
      <c r="J4650" s="11" t="s">
        <v>33</v>
      </c>
      <c r="K4650" s="18">
        <v>193000</v>
      </c>
      <c r="L4650" s="12">
        <f t="shared" si="401"/>
        <v>321666.66666666669</v>
      </c>
      <c r="M4650" s="8">
        <v>1</v>
      </c>
      <c r="N4650" s="8" t="s">
        <v>27</v>
      </c>
      <c r="O4650" s="13"/>
      <c r="P4650" s="14">
        <v>0</v>
      </c>
      <c r="Q4650" s="15">
        <v>0.4</v>
      </c>
      <c r="R4650" s="16" t="str">
        <f t="shared" si="395"/>
        <v>ZKTECO</v>
      </c>
      <c r="S4650" s="17"/>
      <c r="T4650" s="10" t="str">
        <f t="shared" si="399"/>
        <v>-PROG_-BLANCO</v>
      </c>
    </row>
    <row r="4651" spans="1:20" ht="27" customHeight="1" x14ac:dyDescent="0.25">
      <c r="A4651" s="8" t="s">
        <v>9644</v>
      </c>
      <c r="B4651" s="9"/>
      <c r="C4651" s="9"/>
      <c r="D4651" s="8" t="s">
        <v>45</v>
      </c>
      <c r="E4651" s="8"/>
      <c r="F4651" s="8" t="s">
        <v>22</v>
      </c>
      <c r="G4651" s="10" t="str">
        <f t="shared" si="400"/>
        <v>-PROG_-BLANCO</v>
      </c>
      <c r="H4651" s="8" t="s">
        <v>9712</v>
      </c>
      <c r="I4651" s="10" t="s">
        <v>9713</v>
      </c>
      <c r="J4651" s="11" t="s">
        <v>33</v>
      </c>
      <c r="K4651" s="18">
        <v>128000</v>
      </c>
      <c r="L4651" s="12">
        <f t="shared" si="401"/>
        <v>213333.33333333334</v>
      </c>
      <c r="M4651" s="8">
        <v>1</v>
      </c>
      <c r="N4651" s="8" t="s">
        <v>27</v>
      </c>
      <c r="O4651" s="13"/>
      <c r="P4651" s="14">
        <v>0</v>
      </c>
      <c r="Q4651" s="15">
        <v>0.4</v>
      </c>
      <c r="R4651" s="16" t="str">
        <f t="shared" si="395"/>
        <v>ZKTECO</v>
      </c>
      <c r="S4651" s="17"/>
      <c r="T4651" s="10" t="str">
        <f t="shared" si="399"/>
        <v>-PROG_-BLANCO</v>
      </c>
    </row>
    <row r="4652" spans="1:20" ht="27" customHeight="1" x14ac:dyDescent="0.25">
      <c r="A4652" s="8" t="s">
        <v>9644</v>
      </c>
      <c r="B4652" s="9"/>
      <c r="C4652" s="9"/>
      <c r="D4652" s="8" t="s">
        <v>45</v>
      </c>
      <c r="E4652" s="8"/>
      <c r="F4652" s="8" t="s">
        <v>22</v>
      </c>
      <c r="G4652" s="10" t="str">
        <f t="shared" si="400"/>
        <v>-PROG_-BLANCO</v>
      </c>
      <c r="H4652" s="8" t="s">
        <v>9714</v>
      </c>
      <c r="I4652" s="10" t="s">
        <v>9715</v>
      </c>
      <c r="J4652" s="11" t="s">
        <v>33</v>
      </c>
      <c r="K4652" s="18">
        <v>1823000</v>
      </c>
      <c r="L4652" s="12">
        <f t="shared" si="401"/>
        <v>3038333.3333333335</v>
      </c>
      <c r="M4652" s="8">
        <v>1</v>
      </c>
      <c r="N4652" s="8" t="s">
        <v>27</v>
      </c>
      <c r="O4652" s="13"/>
      <c r="P4652" s="14">
        <v>0</v>
      </c>
      <c r="Q4652" s="15">
        <v>0.4</v>
      </c>
      <c r="R4652" s="16" t="str">
        <f t="shared" si="395"/>
        <v>ZKTECO</v>
      </c>
      <c r="S4652" s="17"/>
      <c r="T4652" s="10" t="str">
        <f t="shared" si="399"/>
        <v>-PROG_-BLANCO</v>
      </c>
    </row>
    <row r="4653" spans="1:20" ht="27" customHeight="1" x14ac:dyDescent="0.25">
      <c r="A4653" s="8" t="s">
        <v>9644</v>
      </c>
      <c r="B4653" s="9"/>
      <c r="C4653" s="9"/>
      <c r="D4653" s="8"/>
      <c r="E4653" s="8"/>
      <c r="F4653" s="8"/>
      <c r="G4653" s="10"/>
      <c r="H4653" s="8" t="s">
        <v>9712</v>
      </c>
      <c r="I4653" s="10" t="s">
        <v>9716</v>
      </c>
      <c r="J4653" s="11" t="s">
        <v>33</v>
      </c>
      <c r="K4653" s="18">
        <v>127400</v>
      </c>
      <c r="L4653" s="12">
        <f>IF(J4653="P",ROUNDUP(K4653/(1-Q4653),-2),K4653*(1+P4653)/(1-Q4653))</f>
        <v>212400</v>
      </c>
      <c r="M4653" s="8">
        <v>1</v>
      </c>
      <c r="N4653" s="8" t="s">
        <v>27</v>
      </c>
      <c r="O4653" s="13"/>
      <c r="P4653" s="14">
        <v>0</v>
      </c>
      <c r="Q4653" s="15">
        <v>0.4</v>
      </c>
      <c r="R4653" s="16" t="str">
        <f t="shared" si="395"/>
        <v>ZKTECO</v>
      </c>
      <c r="S4653" s="17"/>
      <c r="T4653" s="10"/>
    </row>
    <row r="4654" spans="1:20" ht="27" customHeight="1" x14ac:dyDescent="0.25">
      <c r="A4654" s="8" t="s">
        <v>9644</v>
      </c>
      <c r="B4654" s="9"/>
      <c r="C4654" s="9"/>
      <c r="D4654" s="8"/>
      <c r="E4654" s="8"/>
      <c r="F4654" s="8"/>
      <c r="G4654" s="10"/>
      <c r="H4654" s="8" t="s">
        <v>9717</v>
      </c>
      <c r="I4654" s="10" t="s">
        <v>9718</v>
      </c>
      <c r="J4654" s="11" t="s">
        <v>33</v>
      </c>
      <c r="K4654" s="18">
        <v>679000</v>
      </c>
      <c r="L4654" s="12">
        <f>K4654*(1+P4654)/(1-Q4654)</f>
        <v>905333.33333333337</v>
      </c>
      <c r="M4654" s="8">
        <v>1</v>
      </c>
      <c r="N4654" s="8" t="s">
        <v>27</v>
      </c>
      <c r="O4654" s="13"/>
      <c r="P4654" s="14">
        <v>0</v>
      </c>
      <c r="Q4654" s="15">
        <v>0.25</v>
      </c>
      <c r="R4654" s="16" t="str">
        <f t="shared" si="395"/>
        <v>ZKTECO</v>
      </c>
      <c r="S4654" s="17"/>
      <c r="T4654" s="10"/>
    </row>
    <row r="4655" spans="1:20" ht="27" customHeight="1" x14ac:dyDescent="0.25">
      <c r="A4655" s="8" t="s">
        <v>9644</v>
      </c>
      <c r="B4655" s="9"/>
      <c r="C4655" s="9"/>
      <c r="D4655" s="8"/>
      <c r="E4655" s="8"/>
      <c r="F4655" s="8"/>
      <c r="G4655" s="10"/>
      <c r="H4655" s="8" t="s">
        <v>9719</v>
      </c>
      <c r="I4655" s="10" t="s">
        <v>9720</v>
      </c>
      <c r="J4655" s="11" t="s">
        <v>33</v>
      </c>
      <c r="K4655" s="18">
        <v>112400</v>
      </c>
      <c r="L4655" s="12">
        <f>K4655*(1+P4655)/(1-Q4655)</f>
        <v>187333.33333333334</v>
      </c>
      <c r="M4655" s="8">
        <v>1</v>
      </c>
      <c r="N4655" s="8" t="s">
        <v>27</v>
      </c>
      <c r="O4655" s="13"/>
      <c r="P4655" s="14">
        <v>0</v>
      </c>
      <c r="Q4655" s="15">
        <v>0.4</v>
      </c>
      <c r="R4655" s="16" t="str">
        <f t="shared" ref="R4655:R4718" si="402">A4655</f>
        <v>ZKTECO</v>
      </c>
      <c r="S4655" s="17"/>
      <c r="T4655" s="10"/>
    </row>
    <row r="4656" spans="1:20" ht="27" customHeight="1" x14ac:dyDescent="0.25">
      <c r="A4656" s="8" t="s">
        <v>9644</v>
      </c>
      <c r="B4656" s="9"/>
      <c r="C4656" s="9"/>
      <c r="D4656" s="8"/>
      <c r="E4656" s="8"/>
      <c r="F4656" s="8"/>
      <c r="G4656" s="10"/>
      <c r="H4656" s="8" t="s">
        <v>9721</v>
      </c>
      <c r="I4656" s="10" t="s">
        <v>9722</v>
      </c>
      <c r="J4656" s="11" t="s">
        <v>33</v>
      </c>
      <c r="K4656" s="18">
        <v>1300100</v>
      </c>
      <c r="L4656" s="12">
        <f>K4656*(1+P4656)/(1-Q4656)</f>
        <v>2166833.3333333335</v>
      </c>
      <c r="M4656" s="8">
        <v>1</v>
      </c>
      <c r="N4656" s="8" t="s">
        <v>27</v>
      </c>
      <c r="O4656" s="13"/>
      <c r="P4656" s="14">
        <v>0</v>
      </c>
      <c r="Q4656" s="15">
        <v>0.4</v>
      </c>
      <c r="R4656" s="16" t="str">
        <f t="shared" si="402"/>
        <v>ZKTECO</v>
      </c>
      <c r="S4656" s="17"/>
      <c r="T4656" s="10"/>
    </row>
    <row r="4657" spans="1:20" ht="27" customHeight="1" x14ac:dyDescent="0.25">
      <c r="A4657" s="8" t="s">
        <v>9644</v>
      </c>
      <c r="B4657" s="9"/>
      <c r="C4657" s="9"/>
      <c r="D4657" s="8"/>
      <c r="E4657" s="8"/>
      <c r="F4657" s="8"/>
      <c r="G4657" s="10"/>
      <c r="H4657" s="8" t="s">
        <v>9723</v>
      </c>
      <c r="I4657" s="10" t="s">
        <v>9724</v>
      </c>
      <c r="J4657" s="11" t="s">
        <v>33</v>
      </c>
      <c r="K4657" s="18">
        <v>1986000</v>
      </c>
      <c r="L4657" s="12">
        <f>K4657*(1+P4657)/(1-Q4657)</f>
        <v>3310000</v>
      </c>
      <c r="M4657" s="8">
        <v>1</v>
      </c>
      <c r="N4657" s="8" t="s">
        <v>27</v>
      </c>
      <c r="O4657" s="13"/>
      <c r="P4657" s="14">
        <v>0</v>
      </c>
      <c r="Q4657" s="15">
        <v>0.4</v>
      </c>
      <c r="R4657" s="16" t="str">
        <f t="shared" si="402"/>
        <v>ZKTECO</v>
      </c>
      <c r="S4657" s="17"/>
      <c r="T4657" s="10"/>
    </row>
    <row r="4658" spans="1:20" ht="27" customHeight="1" x14ac:dyDescent="0.25">
      <c r="A4658" s="8" t="s">
        <v>9644</v>
      </c>
      <c r="B4658" s="9"/>
      <c r="C4658" s="9"/>
      <c r="D4658" s="8"/>
      <c r="E4658" s="8"/>
      <c r="F4658" s="8"/>
      <c r="G4658" s="10"/>
      <c r="H4658" s="8" t="s">
        <v>9725</v>
      </c>
      <c r="I4658" s="10" t="s">
        <v>9726</v>
      </c>
      <c r="J4658" s="11" t="s">
        <v>33</v>
      </c>
      <c r="K4658" s="18">
        <v>581950</v>
      </c>
      <c r="L4658" s="12">
        <f>K4658*(1+P4658)/(1-Q4658)</f>
        <v>775933.33333333337</v>
      </c>
      <c r="M4658" s="8">
        <v>1</v>
      </c>
      <c r="N4658" s="8" t="s">
        <v>27</v>
      </c>
      <c r="O4658" s="13"/>
      <c r="P4658" s="14">
        <v>0</v>
      </c>
      <c r="Q4658" s="15">
        <v>0.25</v>
      </c>
      <c r="R4658" s="16" t="str">
        <f t="shared" si="402"/>
        <v>ZKTECO</v>
      </c>
      <c r="S4658" s="17"/>
      <c r="T4658" s="10" t="e">
        <f>1600000*1.19/V4658</f>
        <v>#DIV/0!</v>
      </c>
    </row>
    <row r="4659" spans="1:20" ht="27" customHeight="1" x14ac:dyDescent="0.25">
      <c r="A4659" s="8" t="s">
        <v>9644</v>
      </c>
      <c r="B4659" s="9"/>
      <c r="C4659" s="9"/>
      <c r="D4659" s="8"/>
      <c r="E4659" s="8"/>
      <c r="F4659" s="8"/>
      <c r="G4659" s="10"/>
      <c r="H4659" s="8" t="s">
        <v>9727</v>
      </c>
      <c r="I4659" s="10" t="s">
        <v>9728</v>
      </c>
      <c r="J4659" s="11" t="s">
        <v>33</v>
      </c>
      <c r="K4659" s="18">
        <v>592000</v>
      </c>
      <c r="L4659" s="12">
        <f>ROUNDUP(K4659*(1+P4659)/(1-Q4659),0)</f>
        <v>986667</v>
      </c>
      <c r="M4659" s="8">
        <v>1</v>
      </c>
      <c r="N4659" s="8" t="s">
        <v>27</v>
      </c>
      <c r="O4659" s="13"/>
      <c r="P4659" s="14">
        <v>0</v>
      </c>
      <c r="Q4659" s="15">
        <v>0.4</v>
      </c>
      <c r="R4659" s="16" t="str">
        <f t="shared" si="402"/>
        <v>ZKTECO</v>
      </c>
      <c r="S4659" s="17"/>
      <c r="T4659" s="10"/>
    </row>
    <row r="4660" spans="1:20" ht="27" customHeight="1" x14ac:dyDescent="0.25">
      <c r="A4660" s="8" t="s">
        <v>9644</v>
      </c>
      <c r="B4660" s="9"/>
      <c r="C4660" s="9"/>
      <c r="D4660" s="8"/>
      <c r="E4660" s="8"/>
      <c r="F4660" s="8"/>
      <c r="G4660" s="10"/>
      <c r="H4660" s="8" t="s">
        <v>9729</v>
      </c>
      <c r="I4660" s="10" t="s">
        <v>9730</v>
      </c>
      <c r="J4660" s="11" t="s">
        <v>26</v>
      </c>
      <c r="K4660" s="18">
        <v>92</v>
      </c>
      <c r="L4660" s="12">
        <f t="shared" ref="L4660:L4693" si="403">IF(J4660="P",ROUNDUP(K4660/(1-Q4660),-2),K4660*(1+P4660)/(1-Q4660))</f>
        <v>220.79999999999998</v>
      </c>
      <c r="M4660" s="8">
        <v>1</v>
      </c>
      <c r="N4660" s="8" t="s">
        <v>27</v>
      </c>
      <c r="O4660" s="13">
        <f>F4660</f>
        <v>0</v>
      </c>
      <c r="P4660" s="14">
        <v>0.2</v>
      </c>
      <c r="Q4660" s="15">
        <v>0.5</v>
      </c>
      <c r="R4660" s="16" t="str">
        <f t="shared" si="402"/>
        <v>ZKTECO</v>
      </c>
      <c r="S4660" s="17"/>
      <c r="T4660" s="10"/>
    </row>
    <row r="4661" spans="1:20" ht="27" customHeight="1" x14ac:dyDescent="0.25">
      <c r="A4661" s="8" t="s">
        <v>9731</v>
      </c>
      <c r="B4661" s="9"/>
      <c r="C4661" s="9"/>
      <c r="D4661" s="8"/>
      <c r="E4661" s="8"/>
      <c r="F4661" s="8"/>
      <c r="G4661" s="10"/>
      <c r="H4661" s="8" t="s">
        <v>9732</v>
      </c>
      <c r="I4661" s="10" t="s">
        <v>9733</v>
      </c>
      <c r="J4661" s="11" t="s">
        <v>33</v>
      </c>
      <c r="K4661" s="18">
        <v>380000</v>
      </c>
      <c r="L4661" s="12">
        <f t="shared" si="403"/>
        <v>760000</v>
      </c>
      <c r="M4661" s="8">
        <v>1</v>
      </c>
      <c r="N4661" s="8" t="s">
        <v>27</v>
      </c>
      <c r="O4661" s="13">
        <f>F4661</f>
        <v>0</v>
      </c>
      <c r="P4661" s="14">
        <v>0.2</v>
      </c>
      <c r="Q4661" s="15">
        <v>0.5</v>
      </c>
      <c r="R4661" s="16" t="str">
        <f t="shared" si="402"/>
        <v>SOMFY</v>
      </c>
      <c r="S4661" s="17"/>
      <c r="T4661" s="10"/>
    </row>
    <row r="4662" spans="1:20" ht="27" customHeight="1" x14ac:dyDescent="0.25">
      <c r="A4662" s="8" t="s">
        <v>2512</v>
      </c>
      <c r="B4662" s="9"/>
      <c r="C4662" s="9"/>
      <c r="D4662" s="8"/>
      <c r="E4662" s="8"/>
      <c r="F4662" s="8"/>
      <c r="G4662" s="10"/>
      <c r="H4662" s="8" t="s">
        <v>9734</v>
      </c>
      <c r="I4662" s="10" t="s">
        <v>9735</v>
      </c>
      <c r="J4662" s="11" t="s">
        <v>33</v>
      </c>
      <c r="K4662" s="18">
        <v>250000</v>
      </c>
      <c r="L4662" s="12">
        <f t="shared" si="403"/>
        <v>500000</v>
      </c>
      <c r="M4662" s="8">
        <v>1</v>
      </c>
      <c r="N4662" s="8" t="s">
        <v>27</v>
      </c>
      <c r="O4662" s="13">
        <f>F4662</f>
        <v>0</v>
      </c>
      <c r="P4662" s="14">
        <v>0.2</v>
      </c>
      <c r="Q4662" s="15">
        <v>0.5</v>
      </c>
      <c r="R4662" s="16" t="str">
        <f t="shared" si="402"/>
        <v>GENERAL</v>
      </c>
      <c r="S4662" s="17"/>
      <c r="T4662" s="10"/>
    </row>
    <row r="4663" spans="1:20" ht="27" customHeight="1" x14ac:dyDescent="0.25">
      <c r="A4663" s="8" t="s">
        <v>6853</v>
      </c>
      <c r="B4663" s="9"/>
      <c r="C4663" s="9"/>
      <c r="D4663" s="8"/>
      <c r="E4663" s="8"/>
      <c r="F4663" s="8"/>
      <c r="G4663" s="10"/>
      <c r="H4663" s="8" t="s">
        <v>9736</v>
      </c>
      <c r="I4663" s="10" t="s">
        <v>6870</v>
      </c>
      <c r="J4663" s="11" t="s">
        <v>33</v>
      </c>
      <c r="K4663" s="18">
        <v>3346200</v>
      </c>
      <c r="L4663" s="12">
        <f t="shared" si="403"/>
        <v>4780300</v>
      </c>
      <c r="M4663" s="8">
        <v>1</v>
      </c>
      <c r="N4663" s="8" t="s">
        <v>110</v>
      </c>
      <c r="O4663" s="13"/>
      <c r="P4663" s="14">
        <v>0</v>
      </c>
      <c r="Q4663" s="15">
        <v>0.3</v>
      </c>
      <c r="R4663" s="16" t="str">
        <f t="shared" si="402"/>
        <v>MAXHUB</v>
      </c>
      <c r="S4663" s="17"/>
      <c r="T4663" s="10" t="s">
        <v>37</v>
      </c>
    </row>
    <row r="4664" spans="1:20" ht="27" customHeight="1" x14ac:dyDescent="0.25">
      <c r="A4664" s="8" t="s">
        <v>8308</v>
      </c>
      <c r="B4664" s="9"/>
      <c r="C4664" s="9"/>
      <c r="D4664" s="8"/>
      <c r="E4664" s="8"/>
      <c r="F4664" s="8"/>
      <c r="G4664" s="10"/>
      <c r="H4664" s="8" t="s">
        <v>9737</v>
      </c>
      <c r="I4664" s="10" t="s">
        <v>9738</v>
      </c>
      <c r="J4664" s="11" t="s">
        <v>33</v>
      </c>
      <c r="K4664" s="18">
        <v>289000</v>
      </c>
      <c r="L4664" s="12">
        <f t="shared" si="403"/>
        <v>412900</v>
      </c>
      <c r="M4664" s="8">
        <v>1</v>
      </c>
      <c r="N4664" s="8" t="s">
        <v>110</v>
      </c>
      <c r="O4664" s="13"/>
      <c r="P4664" s="14">
        <v>0</v>
      </c>
      <c r="Q4664" s="15">
        <v>0.3</v>
      </c>
      <c r="R4664" s="16" t="str">
        <f t="shared" si="402"/>
        <v>SOLIDVIEW</v>
      </c>
      <c r="S4664" s="17"/>
      <c r="T4664" s="10"/>
    </row>
    <row r="4665" spans="1:20" ht="27" customHeight="1" x14ac:dyDescent="0.25">
      <c r="A4665" s="8" t="s">
        <v>1824</v>
      </c>
      <c r="B4665" s="9"/>
      <c r="C4665" s="9"/>
      <c r="D4665" s="8"/>
      <c r="E4665" s="8"/>
      <c r="F4665" s="8"/>
      <c r="G4665" s="10"/>
      <c r="H4665" s="8" t="s">
        <v>9739</v>
      </c>
      <c r="I4665" s="10" t="s">
        <v>9740</v>
      </c>
      <c r="J4665" s="11" t="s">
        <v>33</v>
      </c>
      <c r="K4665" s="18">
        <v>260000</v>
      </c>
      <c r="L4665" s="12">
        <f t="shared" si="403"/>
        <v>371500</v>
      </c>
      <c r="M4665" s="8">
        <v>1</v>
      </c>
      <c r="N4665" s="8" t="s">
        <v>110</v>
      </c>
      <c r="O4665" s="13"/>
      <c r="P4665" s="14">
        <v>0</v>
      </c>
      <c r="Q4665" s="15">
        <v>0.3</v>
      </c>
      <c r="R4665" s="16" t="str">
        <f t="shared" si="402"/>
        <v>DBX</v>
      </c>
      <c r="S4665" s="17"/>
      <c r="T4665" s="10"/>
    </row>
    <row r="4666" spans="1:20" ht="27" customHeight="1" x14ac:dyDescent="0.25">
      <c r="A4666" s="8" t="s">
        <v>3977</v>
      </c>
      <c r="B4666" s="9"/>
      <c r="C4666" s="9"/>
      <c r="D4666" s="8"/>
      <c r="E4666" s="8"/>
      <c r="F4666" s="8"/>
      <c r="G4666" s="10"/>
      <c r="H4666" s="8" t="s">
        <v>9741</v>
      </c>
      <c r="I4666" s="10" t="s">
        <v>9742</v>
      </c>
      <c r="J4666" s="11" t="s">
        <v>33</v>
      </c>
      <c r="K4666" s="18">
        <v>250000</v>
      </c>
      <c r="L4666" s="12">
        <f t="shared" si="403"/>
        <v>357200</v>
      </c>
      <c r="M4666" s="8">
        <v>1</v>
      </c>
      <c r="N4666" s="8" t="s">
        <v>110</v>
      </c>
      <c r="O4666" s="13"/>
      <c r="P4666" s="14">
        <v>0</v>
      </c>
      <c r="Q4666" s="15">
        <v>0.3</v>
      </c>
      <c r="R4666" s="16" t="str">
        <f t="shared" si="402"/>
        <v>KOMODO</v>
      </c>
      <c r="S4666" s="17"/>
      <c r="T4666" s="10"/>
    </row>
    <row r="4667" spans="1:20" ht="27" customHeight="1" x14ac:dyDescent="0.25">
      <c r="A4667" s="8" t="s">
        <v>3977</v>
      </c>
      <c r="B4667" s="9"/>
      <c r="C4667" s="9"/>
      <c r="D4667" s="8"/>
      <c r="E4667" s="8"/>
      <c r="F4667" s="8"/>
      <c r="G4667" s="10"/>
      <c r="H4667" s="8" t="s">
        <v>9743</v>
      </c>
      <c r="I4667" s="10" t="s">
        <v>9744</v>
      </c>
      <c r="J4667" s="11" t="s">
        <v>33</v>
      </c>
      <c r="K4667" s="18">
        <v>650000</v>
      </c>
      <c r="L4667" s="12">
        <f t="shared" si="403"/>
        <v>928600</v>
      </c>
      <c r="M4667" s="8">
        <v>1</v>
      </c>
      <c r="N4667" s="8" t="s">
        <v>110</v>
      </c>
      <c r="O4667" s="13"/>
      <c r="P4667" s="14">
        <v>0</v>
      </c>
      <c r="Q4667" s="15">
        <v>0.3</v>
      </c>
      <c r="R4667" s="16" t="str">
        <f t="shared" si="402"/>
        <v>KOMODO</v>
      </c>
      <c r="S4667" s="17"/>
      <c r="T4667" s="10"/>
    </row>
    <row r="4668" spans="1:20" ht="27" customHeight="1" x14ac:dyDescent="0.25">
      <c r="A4668" s="8" t="s">
        <v>3977</v>
      </c>
      <c r="B4668" s="9"/>
      <c r="C4668" s="9"/>
      <c r="D4668" s="8"/>
      <c r="E4668" s="8"/>
      <c r="F4668" s="8"/>
      <c r="G4668" s="10"/>
      <c r="H4668" s="8" t="s">
        <v>9745</v>
      </c>
      <c r="I4668" s="10" t="s">
        <v>9746</v>
      </c>
      <c r="J4668" s="11" t="s">
        <v>26</v>
      </c>
      <c r="K4668" s="18">
        <v>112</v>
      </c>
      <c r="L4668" s="12">
        <f t="shared" si="403"/>
        <v>160</v>
      </c>
      <c r="M4668" s="8">
        <v>1</v>
      </c>
      <c r="N4668" s="8" t="s">
        <v>110</v>
      </c>
      <c r="O4668" s="13"/>
      <c r="P4668" s="14">
        <v>0</v>
      </c>
      <c r="Q4668" s="15">
        <v>0.3</v>
      </c>
      <c r="R4668" s="16" t="str">
        <f t="shared" si="402"/>
        <v>KOMODO</v>
      </c>
      <c r="S4668" s="17"/>
      <c r="T4668" s="10"/>
    </row>
    <row r="4669" spans="1:20" ht="27" customHeight="1" x14ac:dyDescent="0.25">
      <c r="A4669" s="8" t="s">
        <v>9747</v>
      </c>
      <c r="B4669" s="9"/>
      <c r="C4669" s="9"/>
      <c r="D4669" s="8"/>
      <c r="E4669" s="8"/>
      <c r="F4669" s="8"/>
      <c r="G4669" s="10"/>
      <c r="H4669" s="8" t="s">
        <v>9748</v>
      </c>
      <c r="I4669" s="10" t="s">
        <v>9749</v>
      </c>
      <c r="J4669" s="11" t="s">
        <v>26</v>
      </c>
      <c r="K4669" s="18">
        <v>600</v>
      </c>
      <c r="L4669" s="12">
        <f t="shared" si="403"/>
        <v>857.14285714285722</v>
      </c>
      <c r="M4669" s="8">
        <v>1</v>
      </c>
      <c r="N4669" s="8" t="s">
        <v>110</v>
      </c>
      <c r="O4669" s="13"/>
      <c r="P4669" s="14">
        <v>0</v>
      </c>
      <c r="Q4669" s="15">
        <v>0.3</v>
      </c>
      <c r="R4669" s="16" t="str">
        <f t="shared" si="402"/>
        <v>FOCAL</v>
      </c>
      <c r="S4669" s="17"/>
      <c r="T4669" s="10"/>
    </row>
    <row r="4670" spans="1:20" ht="27" customHeight="1" x14ac:dyDescent="0.25">
      <c r="A4670" s="8" t="s">
        <v>9747</v>
      </c>
      <c r="B4670" s="9"/>
      <c r="C4670" s="9"/>
      <c r="D4670" s="8"/>
      <c r="E4670" s="8"/>
      <c r="F4670" s="8"/>
      <c r="G4670" s="10"/>
      <c r="H4670" s="8" t="s">
        <v>9750</v>
      </c>
      <c r="I4670" s="10" t="s">
        <v>9751</v>
      </c>
      <c r="J4670" s="11" t="s">
        <v>26</v>
      </c>
      <c r="K4670" s="18">
        <v>540</v>
      </c>
      <c r="L4670" s="12">
        <f t="shared" si="403"/>
        <v>771.42857142857144</v>
      </c>
      <c r="M4670" s="8">
        <v>1</v>
      </c>
      <c r="N4670" s="8" t="s">
        <v>110</v>
      </c>
      <c r="O4670" s="13"/>
      <c r="P4670" s="14">
        <v>0</v>
      </c>
      <c r="Q4670" s="15">
        <v>0.3</v>
      </c>
      <c r="R4670" s="16" t="str">
        <f t="shared" si="402"/>
        <v>FOCAL</v>
      </c>
      <c r="S4670" s="17"/>
      <c r="T4670" s="10"/>
    </row>
    <row r="4671" spans="1:20" ht="27" customHeight="1" x14ac:dyDescent="0.25">
      <c r="A4671" s="8" t="s">
        <v>3977</v>
      </c>
      <c r="B4671" s="9"/>
      <c r="C4671" s="9"/>
      <c r="D4671" s="8"/>
      <c r="E4671" s="8"/>
      <c r="F4671" s="8"/>
      <c r="G4671" s="10"/>
      <c r="H4671" s="8" t="s">
        <v>9752</v>
      </c>
      <c r="I4671" s="10" t="s">
        <v>9753</v>
      </c>
      <c r="J4671" s="11" t="s">
        <v>33</v>
      </c>
      <c r="K4671" s="18">
        <v>100000</v>
      </c>
      <c r="L4671" s="12">
        <f t="shared" si="403"/>
        <v>142900</v>
      </c>
      <c r="M4671" s="8">
        <v>1</v>
      </c>
      <c r="N4671" s="8" t="s">
        <v>110</v>
      </c>
      <c r="O4671" s="13"/>
      <c r="P4671" s="14">
        <v>0</v>
      </c>
      <c r="Q4671" s="15">
        <v>0.3</v>
      </c>
      <c r="R4671" s="16" t="str">
        <f t="shared" si="402"/>
        <v>KOMODO</v>
      </c>
      <c r="S4671" s="17"/>
      <c r="T4671" s="10"/>
    </row>
    <row r="4672" spans="1:20" ht="27" customHeight="1" x14ac:dyDescent="0.25">
      <c r="A4672" s="8" t="s">
        <v>591</v>
      </c>
      <c r="B4672" s="9"/>
      <c r="C4672" s="9"/>
      <c r="D4672" s="8"/>
      <c r="E4672" s="8"/>
      <c r="F4672" s="8"/>
      <c r="G4672" s="10"/>
      <c r="H4672" s="8" t="s">
        <v>9754</v>
      </c>
      <c r="I4672" s="10" t="s">
        <v>9755</v>
      </c>
      <c r="J4672" s="11" t="s">
        <v>26</v>
      </c>
      <c r="K4672" s="18">
        <v>207</v>
      </c>
      <c r="L4672" s="12">
        <f t="shared" si="403"/>
        <v>295.71428571428572</v>
      </c>
      <c r="M4672" s="8">
        <v>1</v>
      </c>
      <c r="N4672" s="8" t="s">
        <v>110</v>
      </c>
      <c r="O4672" s="13"/>
      <c r="P4672" s="14">
        <v>0</v>
      </c>
      <c r="Q4672" s="15">
        <v>0.3</v>
      </c>
      <c r="R4672" s="16" t="str">
        <f t="shared" si="402"/>
        <v>APART</v>
      </c>
      <c r="S4672" s="17"/>
      <c r="T4672" s="10"/>
    </row>
    <row r="4673" spans="1:20" ht="27" customHeight="1" x14ac:dyDescent="0.25">
      <c r="A4673" s="8" t="s">
        <v>7989</v>
      </c>
      <c r="B4673" s="9"/>
      <c r="C4673" s="9"/>
      <c r="D4673" s="8"/>
      <c r="E4673" s="8"/>
      <c r="F4673" s="8"/>
      <c r="G4673" s="10"/>
      <c r="H4673" s="8" t="s">
        <v>8031</v>
      </c>
      <c r="I4673" s="10" t="s">
        <v>9756</v>
      </c>
      <c r="J4673" s="11" t="s">
        <v>26</v>
      </c>
      <c r="K4673" s="18">
        <v>207</v>
      </c>
      <c r="L4673" s="12">
        <f t="shared" si="403"/>
        <v>295.71428571428572</v>
      </c>
      <c r="M4673" s="8">
        <v>1</v>
      </c>
      <c r="N4673" s="8" t="s">
        <v>110</v>
      </c>
      <c r="O4673" s="13"/>
      <c r="P4673" s="14">
        <v>0</v>
      </c>
      <c r="Q4673" s="15">
        <v>0.3</v>
      </c>
      <c r="R4673" s="16" t="str">
        <f t="shared" si="402"/>
        <v>RUSSOUND</v>
      </c>
      <c r="S4673" s="17"/>
      <c r="T4673" s="10"/>
    </row>
    <row r="4674" spans="1:20" ht="27" customHeight="1" x14ac:dyDescent="0.25">
      <c r="A4674" s="8" t="s">
        <v>8404</v>
      </c>
      <c r="B4674" s="9"/>
      <c r="C4674" s="9"/>
      <c r="D4674" s="8"/>
      <c r="E4674" s="8"/>
      <c r="F4674" s="8"/>
      <c r="G4674" s="10"/>
      <c r="H4674" s="8" t="s">
        <v>9757</v>
      </c>
      <c r="I4674" s="10" t="s">
        <v>9758</v>
      </c>
      <c r="J4674" s="11" t="s">
        <v>26</v>
      </c>
      <c r="K4674" s="18">
        <v>649</v>
      </c>
      <c r="L4674" s="12">
        <f t="shared" si="403"/>
        <v>927.14285714285722</v>
      </c>
      <c r="M4674" s="8">
        <v>1</v>
      </c>
      <c r="N4674" s="8" t="s">
        <v>110</v>
      </c>
      <c r="O4674" s="13"/>
      <c r="P4674" s="14">
        <v>0</v>
      </c>
      <c r="Q4674" s="15">
        <v>0.3</v>
      </c>
      <c r="R4674" s="16" t="str">
        <f t="shared" si="402"/>
        <v>SONOS</v>
      </c>
      <c r="S4674" s="17"/>
      <c r="T4674" s="10"/>
    </row>
    <row r="4675" spans="1:20" ht="27" customHeight="1" x14ac:dyDescent="0.25">
      <c r="A4675" s="8" t="s">
        <v>1561</v>
      </c>
      <c r="B4675" s="9"/>
      <c r="C4675" s="9"/>
      <c r="D4675" s="8"/>
      <c r="E4675" s="8"/>
      <c r="F4675" s="8"/>
      <c r="G4675" s="10"/>
      <c r="H4675" s="8" t="s">
        <v>9759</v>
      </c>
      <c r="I4675" s="10" t="s">
        <v>9760</v>
      </c>
      <c r="J4675" s="11" t="s">
        <v>33</v>
      </c>
      <c r="K4675" s="18">
        <v>1496880</v>
      </c>
      <c r="L4675" s="12">
        <f t="shared" si="403"/>
        <v>2138400</v>
      </c>
      <c r="M4675" s="8">
        <v>1</v>
      </c>
      <c r="N4675" s="8" t="s">
        <v>110</v>
      </c>
      <c r="O4675" s="13"/>
      <c r="P4675" s="14">
        <v>0</v>
      </c>
      <c r="Q4675" s="15">
        <v>0.3</v>
      </c>
      <c r="R4675" s="16" t="str">
        <f t="shared" si="402"/>
        <v>DAHUA</v>
      </c>
      <c r="S4675" s="17"/>
      <c r="T4675" s="10"/>
    </row>
    <row r="4676" spans="1:20" ht="27" customHeight="1" x14ac:dyDescent="0.25">
      <c r="A4676" s="8" t="s">
        <v>1561</v>
      </c>
      <c r="B4676" s="9"/>
      <c r="C4676" s="9"/>
      <c r="D4676" s="8"/>
      <c r="E4676" s="8"/>
      <c r="F4676" s="8"/>
      <c r="G4676" s="10"/>
      <c r="H4676" s="8" t="s">
        <v>9761</v>
      </c>
      <c r="I4676" s="10" t="s">
        <v>9762</v>
      </c>
      <c r="J4676" s="11" t="s">
        <v>33</v>
      </c>
      <c r="K4676" s="18">
        <v>566000</v>
      </c>
      <c r="L4676" s="12">
        <f t="shared" si="403"/>
        <v>808600</v>
      </c>
      <c r="M4676" s="8">
        <v>1</v>
      </c>
      <c r="N4676" s="8" t="s">
        <v>110</v>
      </c>
      <c r="O4676" s="13"/>
      <c r="P4676" s="14">
        <v>0</v>
      </c>
      <c r="Q4676" s="15">
        <v>0.3</v>
      </c>
      <c r="R4676" s="16" t="str">
        <f t="shared" si="402"/>
        <v>DAHUA</v>
      </c>
      <c r="S4676" s="17"/>
      <c r="T4676" s="10"/>
    </row>
    <row r="4677" spans="1:20" ht="27" customHeight="1" x14ac:dyDescent="0.25">
      <c r="A4677" s="8" t="s">
        <v>3977</v>
      </c>
      <c r="B4677" s="9"/>
      <c r="C4677" s="9"/>
      <c r="D4677" s="8"/>
      <c r="E4677" s="8"/>
      <c r="F4677" s="8"/>
      <c r="G4677" s="10"/>
      <c r="H4677" s="8" t="s">
        <v>9763</v>
      </c>
      <c r="I4677" s="10" t="s">
        <v>9764</v>
      </c>
      <c r="J4677" s="11" t="s">
        <v>33</v>
      </c>
      <c r="K4677" s="18">
        <v>80000</v>
      </c>
      <c r="L4677" s="12">
        <f t="shared" si="403"/>
        <v>160000</v>
      </c>
      <c r="M4677" s="8">
        <v>1</v>
      </c>
      <c r="N4677" s="8" t="s">
        <v>110</v>
      </c>
      <c r="O4677" s="13"/>
      <c r="P4677" s="14">
        <v>0</v>
      </c>
      <c r="Q4677" s="15">
        <v>0.5</v>
      </c>
      <c r="R4677" s="16" t="str">
        <f t="shared" si="402"/>
        <v>KOMODO</v>
      </c>
      <c r="S4677" s="17"/>
      <c r="T4677" s="10"/>
    </row>
    <row r="4678" spans="1:20" ht="27" customHeight="1" x14ac:dyDescent="0.25">
      <c r="A4678" s="8" t="s">
        <v>3977</v>
      </c>
      <c r="B4678" s="9"/>
      <c r="C4678" s="9"/>
      <c r="D4678" s="8"/>
      <c r="E4678" s="8"/>
      <c r="F4678" s="8"/>
      <c r="G4678" s="10"/>
      <c r="H4678" s="8" t="s">
        <v>9765</v>
      </c>
      <c r="I4678" s="10" t="s">
        <v>9766</v>
      </c>
      <c r="J4678" s="11" t="s">
        <v>33</v>
      </c>
      <c r="K4678" s="18">
        <v>80000</v>
      </c>
      <c r="L4678" s="12">
        <f t="shared" si="403"/>
        <v>160000</v>
      </c>
      <c r="M4678" s="8">
        <v>1</v>
      </c>
      <c r="N4678" s="8" t="s">
        <v>110</v>
      </c>
      <c r="O4678" s="13"/>
      <c r="P4678" s="14">
        <v>0</v>
      </c>
      <c r="Q4678" s="15">
        <v>0.5</v>
      </c>
      <c r="R4678" s="16" t="str">
        <f t="shared" si="402"/>
        <v>KOMODO</v>
      </c>
      <c r="S4678" s="17"/>
      <c r="T4678" s="10"/>
    </row>
    <row r="4679" spans="1:20" ht="27" customHeight="1" x14ac:dyDescent="0.25">
      <c r="A4679" s="8" t="s">
        <v>645</v>
      </c>
      <c r="B4679" s="9"/>
      <c r="C4679" s="9"/>
      <c r="D4679" s="8"/>
      <c r="E4679" s="8"/>
      <c r="F4679" s="8"/>
      <c r="G4679" s="10"/>
      <c r="H4679" s="8" t="s">
        <v>9767</v>
      </c>
      <c r="I4679" s="10" t="s">
        <v>9768</v>
      </c>
      <c r="J4679" s="11" t="s">
        <v>33</v>
      </c>
      <c r="K4679" s="18">
        <v>934600</v>
      </c>
      <c r="L4679" s="12">
        <f t="shared" si="403"/>
        <v>1869200</v>
      </c>
      <c r="M4679" s="8">
        <v>1</v>
      </c>
      <c r="N4679" s="8" t="s">
        <v>110</v>
      </c>
      <c r="O4679" s="13"/>
      <c r="P4679" s="14">
        <v>0</v>
      </c>
      <c r="Q4679" s="15">
        <v>0.5</v>
      </c>
      <c r="R4679" s="16" t="str">
        <f t="shared" si="402"/>
        <v>ATEN</v>
      </c>
      <c r="S4679" s="17"/>
      <c r="T4679" s="10"/>
    </row>
    <row r="4680" spans="1:20" ht="27" customHeight="1" x14ac:dyDescent="0.25">
      <c r="A4680" s="8" t="s">
        <v>3459</v>
      </c>
      <c r="B4680" s="9"/>
      <c r="C4680" s="9"/>
      <c r="D4680" s="8"/>
      <c r="E4680" s="8"/>
      <c r="F4680" s="8"/>
      <c r="G4680" s="10"/>
      <c r="H4680" s="8" t="s">
        <v>9769</v>
      </c>
      <c r="I4680" s="10" t="s">
        <v>9770</v>
      </c>
      <c r="J4680" s="11" t="s">
        <v>33</v>
      </c>
      <c r="K4680" s="18">
        <v>1132000</v>
      </c>
      <c r="L4680" s="12">
        <f t="shared" si="403"/>
        <v>1617200</v>
      </c>
      <c r="M4680" s="8">
        <v>1</v>
      </c>
      <c r="N4680" s="8" t="s">
        <v>110</v>
      </c>
      <c r="O4680" s="13"/>
      <c r="P4680" s="14">
        <v>0</v>
      </c>
      <c r="Q4680" s="15">
        <v>0.3</v>
      </c>
      <c r="R4680" s="16" t="str">
        <f t="shared" si="402"/>
        <v>HIKVISION</v>
      </c>
      <c r="S4680" s="17"/>
      <c r="T4680" s="10"/>
    </row>
    <row r="4681" spans="1:20" ht="27" customHeight="1" x14ac:dyDescent="0.25">
      <c r="A4681" s="8" t="s">
        <v>8173</v>
      </c>
      <c r="B4681" s="9"/>
      <c r="C4681" s="9"/>
      <c r="D4681" s="8"/>
      <c r="E4681" s="8"/>
      <c r="F4681" s="8"/>
      <c r="G4681" s="10"/>
      <c r="H4681" s="8" t="s">
        <v>9771</v>
      </c>
      <c r="I4681" s="10" t="s">
        <v>9772</v>
      </c>
      <c r="J4681" s="11" t="s">
        <v>33</v>
      </c>
      <c r="K4681" s="18">
        <v>1038000</v>
      </c>
      <c r="L4681" s="12">
        <f t="shared" si="403"/>
        <v>1482900</v>
      </c>
      <c r="M4681" s="8">
        <v>1</v>
      </c>
      <c r="N4681" s="8" t="s">
        <v>110</v>
      </c>
      <c r="O4681" s="13"/>
      <c r="P4681" s="14">
        <v>0</v>
      </c>
      <c r="Q4681" s="15">
        <v>0.3</v>
      </c>
      <c r="R4681" s="16" t="str">
        <f t="shared" si="402"/>
        <v>SEAGATE</v>
      </c>
      <c r="S4681" s="17"/>
      <c r="T4681" s="10"/>
    </row>
    <row r="4682" spans="1:20" ht="27" customHeight="1" x14ac:dyDescent="0.25">
      <c r="A4682" s="8" t="s">
        <v>9773</v>
      </c>
      <c r="B4682" s="9"/>
      <c r="C4682" s="9"/>
      <c r="D4682" s="8"/>
      <c r="E4682" s="8"/>
      <c r="F4682" s="8"/>
      <c r="G4682" s="10"/>
      <c r="H4682" s="8" t="s">
        <v>9774</v>
      </c>
      <c r="I4682" s="10" t="s">
        <v>9775</v>
      </c>
      <c r="J4682" s="11" t="s">
        <v>26</v>
      </c>
      <c r="K4682" s="18">
        <v>25.7</v>
      </c>
      <c r="L4682" s="12">
        <f t="shared" si="403"/>
        <v>51.4</v>
      </c>
      <c r="M4682" s="8">
        <v>1</v>
      </c>
      <c r="N4682" s="8" t="s">
        <v>110</v>
      </c>
      <c r="O4682" s="13"/>
      <c r="P4682" s="14">
        <v>0.2</v>
      </c>
      <c r="Q4682" s="15">
        <v>0.4</v>
      </c>
      <c r="R4682" s="16" t="str">
        <f t="shared" si="402"/>
        <v>GIDERWELL</v>
      </c>
      <c r="S4682" s="17" t="s">
        <v>9776</v>
      </c>
      <c r="T4682" s="10"/>
    </row>
    <row r="4683" spans="1:20" ht="27" customHeight="1" x14ac:dyDescent="0.25">
      <c r="A4683" s="8" t="s">
        <v>5672</v>
      </c>
      <c r="B4683" s="9"/>
      <c r="C4683" s="9"/>
      <c r="D4683" s="8"/>
      <c r="E4683" s="8"/>
      <c r="F4683" s="8"/>
      <c r="G4683" s="10"/>
      <c r="H4683" s="8" t="s">
        <v>9777</v>
      </c>
      <c r="I4683" s="10" t="s">
        <v>9778</v>
      </c>
      <c r="J4683" s="11" t="s">
        <v>26</v>
      </c>
      <c r="K4683" s="57">
        <v>262.00000000000011</v>
      </c>
      <c r="L4683" s="12">
        <f t="shared" si="403"/>
        <v>524.00000000000023</v>
      </c>
      <c r="M4683" s="8">
        <v>1</v>
      </c>
      <c r="N4683" s="8" t="s">
        <v>110</v>
      </c>
      <c r="O4683" s="13"/>
      <c r="P4683" s="14">
        <v>0.2</v>
      </c>
      <c r="Q4683" s="15">
        <v>0.4</v>
      </c>
      <c r="R4683" s="16" t="str">
        <f t="shared" si="402"/>
        <v>LUTRON</v>
      </c>
      <c r="S4683" s="17"/>
      <c r="T4683" s="10"/>
    </row>
    <row r="4684" spans="1:20" ht="27" customHeight="1" x14ac:dyDescent="0.25">
      <c r="A4684" s="8" t="s">
        <v>5672</v>
      </c>
      <c r="B4684" s="9"/>
      <c r="C4684" s="9"/>
      <c r="D4684" s="8"/>
      <c r="E4684" s="8"/>
      <c r="F4684" s="8"/>
      <c r="G4684" s="10"/>
      <c r="H4684" s="8" t="s">
        <v>9779</v>
      </c>
      <c r="I4684" s="10" t="s">
        <v>9780</v>
      </c>
      <c r="J4684" s="11" t="s">
        <v>26</v>
      </c>
      <c r="K4684" s="57">
        <v>108</v>
      </c>
      <c r="L4684" s="12">
        <f t="shared" si="403"/>
        <v>199.99934764843292</v>
      </c>
      <c r="M4684" s="8">
        <v>1</v>
      </c>
      <c r="N4684" s="8" t="s">
        <v>110</v>
      </c>
      <c r="O4684" s="13"/>
      <c r="P4684" s="14">
        <v>0.2</v>
      </c>
      <c r="Q4684" s="15">
        <v>0.35199788637402851</v>
      </c>
      <c r="R4684" s="16" t="str">
        <f t="shared" si="402"/>
        <v>LUTRON</v>
      </c>
      <c r="S4684" s="17"/>
      <c r="T4684" s="10"/>
    </row>
    <row r="4685" spans="1:20" ht="27" customHeight="1" x14ac:dyDescent="0.25">
      <c r="A4685" s="8" t="s">
        <v>5672</v>
      </c>
      <c r="B4685" s="9"/>
      <c r="C4685" s="9"/>
      <c r="D4685" s="8"/>
      <c r="E4685" s="8"/>
      <c r="F4685" s="8"/>
      <c r="G4685" s="10"/>
      <c r="H4685" s="8" t="s">
        <v>9781</v>
      </c>
      <c r="I4685" s="10" t="s">
        <v>9782</v>
      </c>
      <c r="J4685" s="11" t="s">
        <v>26</v>
      </c>
      <c r="K4685" s="57">
        <v>11.64</v>
      </c>
      <c r="L4685" s="12">
        <f t="shared" si="403"/>
        <v>21.555485246553324</v>
      </c>
      <c r="M4685" s="8">
        <v>1</v>
      </c>
      <c r="N4685" s="8" t="s">
        <v>110</v>
      </c>
      <c r="O4685" s="13"/>
      <c r="P4685" s="14">
        <v>0.2</v>
      </c>
      <c r="Q4685" s="15">
        <v>0.35199788637402851</v>
      </c>
      <c r="R4685" s="16" t="str">
        <f t="shared" si="402"/>
        <v>LUTRON</v>
      </c>
      <c r="S4685" s="17"/>
      <c r="T4685" s="10"/>
    </row>
    <row r="4686" spans="1:20" ht="27" customHeight="1" x14ac:dyDescent="0.25">
      <c r="A4686" s="8" t="s">
        <v>3977</v>
      </c>
      <c r="B4686" s="9"/>
      <c r="C4686" s="9"/>
      <c r="D4686" s="8"/>
      <c r="E4686" s="8"/>
      <c r="F4686" s="8"/>
      <c r="G4686" s="10"/>
      <c r="H4686" s="8" t="s">
        <v>9783</v>
      </c>
      <c r="I4686" s="10" t="s">
        <v>9784</v>
      </c>
      <c r="J4686" s="11" t="s">
        <v>33</v>
      </c>
      <c r="K4686" s="18">
        <v>40000</v>
      </c>
      <c r="L4686" s="12">
        <f t="shared" si="403"/>
        <v>72800</v>
      </c>
      <c r="M4686" s="8">
        <v>1</v>
      </c>
      <c r="N4686" s="8" t="s">
        <v>110</v>
      </c>
      <c r="O4686" s="13"/>
      <c r="P4686" s="14">
        <v>0</v>
      </c>
      <c r="Q4686" s="15">
        <v>0.45</v>
      </c>
      <c r="R4686" s="16" t="str">
        <f t="shared" si="402"/>
        <v>KOMODO</v>
      </c>
      <c r="S4686" s="17"/>
      <c r="T4686" s="10"/>
    </row>
    <row r="4687" spans="1:20" ht="27" customHeight="1" x14ac:dyDescent="0.25">
      <c r="A4687" s="8" t="s">
        <v>3977</v>
      </c>
      <c r="B4687" s="9"/>
      <c r="C4687" s="9"/>
      <c r="D4687" s="8"/>
      <c r="E4687" s="8"/>
      <c r="F4687" s="8"/>
      <c r="G4687" s="10"/>
      <c r="H4687" s="8" t="s">
        <v>9785</v>
      </c>
      <c r="I4687" s="10" t="s">
        <v>9786</v>
      </c>
      <c r="J4687" s="11" t="s">
        <v>33</v>
      </c>
      <c r="K4687" s="18">
        <v>20000</v>
      </c>
      <c r="L4687" s="12">
        <f t="shared" si="403"/>
        <v>36400</v>
      </c>
      <c r="M4687" s="8">
        <v>1</v>
      </c>
      <c r="N4687" s="8" t="s">
        <v>110</v>
      </c>
      <c r="O4687" s="13"/>
      <c r="P4687" s="14">
        <v>0</v>
      </c>
      <c r="Q4687" s="15">
        <v>0.45</v>
      </c>
      <c r="R4687" s="16" t="str">
        <f t="shared" si="402"/>
        <v>KOMODO</v>
      </c>
      <c r="S4687" s="17"/>
      <c r="T4687" s="10"/>
    </row>
    <row r="4688" spans="1:20" ht="27" customHeight="1" x14ac:dyDescent="0.25">
      <c r="A4688" s="8" t="s">
        <v>3977</v>
      </c>
      <c r="B4688" s="9"/>
      <c r="C4688" s="9"/>
      <c r="D4688" s="8"/>
      <c r="E4688" s="8"/>
      <c r="F4688" s="8"/>
      <c r="G4688" s="10"/>
      <c r="H4688" s="8" t="s">
        <v>9787</v>
      </c>
      <c r="I4688" s="10" t="s">
        <v>9788</v>
      </c>
      <c r="J4688" s="11" t="s">
        <v>33</v>
      </c>
      <c r="K4688" s="18">
        <v>560000</v>
      </c>
      <c r="L4688" s="12">
        <f t="shared" si="403"/>
        <v>1018200</v>
      </c>
      <c r="M4688" s="8">
        <v>1</v>
      </c>
      <c r="N4688" s="8" t="s">
        <v>110</v>
      </c>
      <c r="O4688" s="13"/>
      <c r="P4688" s="14">
        <v>0</v>
      </c>
      <c r="Q4688" s="15">
        <v>0.45</v>
      </c>
      <c r="R4688" s="16" t="str">
        <f t="shared" si="402"/>
        <v>KOMODO</v>
      </c>
      <c r="S4688" s="17"/>
      <c r="T4688" s="10"/>
    </row>
    <row r="4689" spans="1:21" ht="27" customHeight="1" x14ac:dyDescent="0.25">
      <c r="A4689" s="8" t="s">
        <v>7114</v>
      </c>
      <c r="B4689" s="9"/>
      <c r="C4689" s="9"/>
      <c r="D4689" s="8"/>
      <c r="E4689" s="8"/>
      <c r="F4689" s="8"/>
      <c r="G4689" s="10"/>
      <c r="H4689" s="8" t="s">
        <v>9789</v>
      </c>
      <c r="I4689" s="10" t="s">
        <v>9790</v>
      </c>
      <c r="J4689" s="11" t="s">
        <v>26</v>
      </c>
      <c r="K4689" s="18">
        <v>1500</v>
      </c>
      <c r="L4689" s="12">
        <f t="shared" si="403"/>
        <v>3000</v>
      </c>
      <c r="M4689" s="8">
        <v>1</v>
      </c>
      <c r="N4689" s="8" t="s">
        <v>110</v>
      </c>
      <c r="O4689" s="13"/>
      <c r="P4689" s="14">
        <v>0.2</v>
      </c>
      <c r="Q4689" s="15">
        <v>0.4</v>
      </c>
      <c r="R4689" s="16" t="str">
        <f t="shared" si="402"/>
        <v>NUVO</v>
      </c>
      <c r="S4689" s="17"/>
      <c r="T4689" s="10"/>
    </row>
    <row r="4690" spans="1:21" ht="27" customHeight="1" x14ac:dyDescent="0.25">
      <c r="A4690" s="8" t="s">
        <v>3915</v>
      </c>
      <c r="B4690" s="9"/>
      <c r="C4690" s="9"/>
      <c r="D4690" s="8"/>
      <c r="E4690" s="8"/>
      <c r="F4690" s="8"/>
      <c r="G4690" s="10"/>
      <c r="H4690" s="8" t="s">
        <v>9791</v>
      </c>
      <c r="I4690" s="10" t="s">
        <v>9792</v>
      </c>
      <c r="J4690" s="11" t="s">
        <v>26</v>
      </c>
      <c r="K4690" s="18">
        <v>371</v>
      </c>
      <c r="L4690" s="12">
        <f t="shared" si="403"/>
        <v>742</v>
      </c>
      <c r="M4690" s="8">
        <v>1</v>
      </c>
      <c r="N4690" s="8" t="s">
        <v>110</v>
      </c>
      <c r="O4690" s="13"/>
      <c r="P4690" s="14">
        <v>0.2</v>
      </c>
      <c r="Q4690" s="15">
        <v>0.4</v>
      </c>
      <c r="R4690" s="16" t="str">
        <f t="shared" si="402"/>
        <v>KLIPSCH</v>
      </c>
      <c r="S4690" s="17"/>
      <c r="T4690" s="10"/>
    </row>
    <row r="4691" spans="1:21" ht="27" customHeight="1" x14ac:dyDescent="0.25">
      <c r="A4691" s="8" t="s">
        <v>3915</v>
      </c>
      <c r="B4691" s="9"/>
      <c r="C4691" s="9"/>
      <c r="D4691" s="8"/>
      <c r="E4691" s="8"/>
      <c r="F4691" s="8"/>
      <c r="G4691" s="10"/>
      <c r="H4691" s="8" t="s">
        <v>3930</v>
      </c>
      <c r="I4691" s="10" t="s">
        <v>9793</v>
      </c>
      <c r="J4691" s="11" t="s">
        <v>26</v>
      </c>
      <c r="K4691" s="18">
        <v>185</v>
      </c>
      <c r="L4691" s="12">
        <f t="shared" si="403"/>
        <v>370</v>
      </c>
      <c r="M4691" s="8">
        <v>1</v>
      </c>
      <c r="N4691" s="8" t="s">
        <v>110</v>
      </c>
      <c r="O4691" s="13"/>
      <c r="P4691" s="14">
        <v>0.2</v>
      </c>
      <c r="Q4691" s="15">
        <v>0.4</v>
      </c>
      <c r="R4691" s="16" t="str">
        <f t="shared" si="402"/>
        <v>KLIPSCH</v>
      </c>
      <c r="S4691" s="17"/>
      <c r="T4691" s="10"/>
    </row>
    <row r="4692" spans="1:21" ht="27" customHeight="1" x14ac:dyDescent="0.25">
      <c r="A4692" s="8" t="s">
        <v>9794</v>
      </c>
      <c r="B4692" s="9"/>
      <c r="C4692" s="9"/>
      <c r="D4692" s="8"/>
      <c r="E4692" s="8"/>
      <c r="F4692" s="8"/>
      <c r="G4692" s="10"/>
      <c r="H4692" s="8" t="s">
        <v>9795</v>
      </c>
      <c r="I4692" s="10" t="s">
        <v>9796</v>
      </c>
      <c r="J4692" s="11" t="s">
        <v>26</v>
      </c>
      <c r="K4692" s="18">
        <v>110</v>
      </c>
      <c r="L4692" s="12">
        <f t="shared" si="403"/>
        <v>220</v>
      </c>
      <c r="M4692" s="8">
        <v>1</v>
      </c>
      <c r="N4692" s="8" t="s">
        <v>110</v>
      </c>
      <c r="O4692" s="13"/>
      <c r="P4692" s="14">
        <v>0.2</v>
      </c>
      <c r="Q4692" s="15">
        <v>0.4</v>
      </c>
      <c r="R4692" s="16" t="str">
        <f t="shared" si="402"/>
        <v>ORIGIN</v>
      </c>
      <c r="S4692" s="17"/>
      <c r="T4692" s="10"/>
    </row>
    <row r="4693" spans="1:21" ht="27" customHeight="1" x14ac:dyDescent="0.25">
      <c r="A4693" s="8" t="s">
        <v>7114</v>
      </c>
      <c r="B4693" s="9"/>
      <c r="C4693" s="9"/>
      <c r="D4693" s="8"/>
      <c r="E4693" s="8"/>
      <c r="F4693" s="8"/>
      <c r="G4693" s="10"/>
      <c r="H4693" s="8" t="s">
        <v>9797</v>
      </c>
      <c r="I4693" s="10" t="s">
        <v>9798</v>
      </c>
      <c r="J4693" s="11" t="s">
        <v>26</v>
      </c>
      <c r="K4693" s="18">
        <v>264</v>
      </c>
      <c r="L4693" s="12">
        <f t="shared" si="403"/>
        <v>528</v>
      </c>
      <c r="M4693" s="8">
        <v>1</v>
      </c>
      <c r="N4693" s="8" t="s">
        <v>110</v>
      </c>
      <c r="O4693" s="13"/>
      <c r="P4693" s="14">
        <v>0.2</v>
      </c>
      <c r="Q4693" s="15">
        <v>0.4</v>
      </c>
      <c r="R4693" s="16" t="str">
        <f t="shared" si="402"/>
        <v>NUVO</v>
      </c>
      <c r="S4693" s="17"/>
      <c r="T4693" s="10"/>
    </row>
    <row r="4694" spans="1:21" ht="27" customHeight="1" x14ac:dyDescent="0.25">
      <c r="A4694" s="8" t="s">
        <v>3915</v>
      </c>
      <c r="B4694" s="9"/>
      <c r="C4694" s="9"/>
      <c r="D4694" s="8"/>
      <c r="E4694" s="8"/>
      <c r="F4694" s="8"/>
      <c r="G4694" s="10"/>
      <c r="H4694" s="8" t="s">
        <v>9799</v>
      </c>
      <c r="I4694" s="10" t="s">
        <v>9800</v>
      </c>
      <c r="J4694" s="11" t="s">
        <v>26</v>
      </c>
      <c r="K4694" s="18">
        <v>355</v>
      </c>
      <c r="L4694" s="12">
        <f t="shared" ref="L4694:L4703" si="404">K4694*(1+P4694)/(1-Q4694)</f>
        <v>710</v>
      </c>
      <c r="M4694" s="8">
        <v>1</v>
      </c>
      <c r="N4694" s="8" t="s">
        <v>27</v>
      </c>
      <c r="O4694" s="13"/>
      <c r="P4694" s="14">
        <v>0.2</v>
      </c>
      <c r="Q4694" s="15">
        <v>0.4</v>
      </c>
      <c r="R4694" s="16" t="str">
        <f t="shared" si="402"/>
        <v>KLIPSCH</v>
      </c>
      <c r="S4694" s="17"/>
      <c r="T4694" s="10"/>
      <c r="U4694" s="19"/>
    </row>
    <row r="4695" spans="1:21" ht="27" customHeight="1" x14ac:dyDescent="0.25">
      <c r="A4695" s="8" t="s">
        <v>3915</v>
      </c>
      <c r="B4695" s="9"/>
      <c r="C4695" s="9"/>
      <c r="D4695" s="8"/>
      <c r="E4695" s="8"/>
      <c r="F4695" s="8"/>
      <c r="G4695" s="10"/>
      <c r="H4695" s="8" t="s">
        <v>9801</v>
      </c>
      <c r="I4695" s="10" t="s">
        <v>9802</v>
      </c>
      <c r="J4695" s="11" t="s">
        <v>26</v>
      </c>
      <c r="K4695" s="18">
        <v>144</v>
      </c>
      <c r="L4695" s="12">
        <f t="shared" si="404"/>
        <v>288</v>
      </c>
      <c r="M4695" s="8">
        <v>1</v>
      </c>
      <c r="N4695" s="8" t="s">
        <v>27</v>
      </c>
      <c r="O4695" s="13"/>
      <c r="P4695" s="14">
        <v>0.2</v>
      </c>
      <c r="Q4695" s="15">
        <v>0.4</v>
      </c>
      <c r="R4695" s="16" t="str">
        <f t="shared" si="402"/>
        <v>KLIPSCH</v>
      </c>
      <c r="S4695" s="17"/>
      <c r="T4695" s="10"/>
    </row>
    <row r="4696" spans="1:21" ht="27" customHeight="1" x14ac:dyDescent="0.25">
      <c r="A4696" s="8" t="s">
        <v>3915</v>
      </c>
      <c r="B4696" s="9"/>
      <c r="C4696" s="9"/>
      <c r="D4696" s="8"/>
      <c r="E4696" s="8"/>
      <c r="F4696" s="8"/>
      <c r="G4696" s="10"/>
      <c r="H4696" s="8" t="s">
        <v>9803</v>
      </c>
      <c r="I4696" s="10" t="s">
        <v>9804</v>
      </c>
      <c r="J4696" s="11" t="s">
        <v>26</v>
      </c>
      <c r="K4696" s="18">
        <v>131</v>
      </c>
      <c r="L4696" s="12">
        <f t="shared" si="404"/>
        <v>262</v>
      </c>
      <c r="M4696" s="8">
        <v>1</v>
      </c>
      <c r="N4696" s="8" t="s">
        <v>27</v>
      </c>
      <c r="O4696" s="13"/>
      <c r="P4696" s="14">
        <v>0.2</v>
      </c>
      <c r="Q4696" s="15">
        <v>0.4</v>
      </c>
      <c r="R4696" s="16" t="str">
        <f t="shared" si="402"/>
        <v>KLIPSCH</v>
      </c>
      <c r="S4696" s="17"/>
      <c r="T4696" s="10"/>
    </row>
    <row r="4697" spans="1:21" ht="27" customHeight="1" x14ac:dyDescent="0.25">
      <c r="A4697" s="8" t="s">
        <v>5672</v>
      </c>
      <c r="B4697" s="9"/>
      <c r="C4697" s="9"/>
      <c r="D4697" s="8"/>
      <c r="E4697" s="8"/>
      <c r="F4697" s="8"/>
      <c r="G4697" s="10"/>
      <c r="H4697" s="8" t="s">
        <v>9805</v>
      </c>
      <c r="I4697" s="10" t="s">
        <v>9806</v>
      </c>
      <c r="J4697" s="11" t="s">
        <v>26</v>
      </c>
      <c r="K4697" s="57">
        <v>72</v>
      </c>
      <c r="L4697" s="12">
        <f t="shared" si="404"/>
        <v>144</v>
      </c>
      <c r="M4697" s="8">
        <v>1</v>
      </c>
      <c r="N4697" s="8" t="s">
        <v>27</v>
      </c>
      <c r="O4697" s="13"/>
      <c r="P4697" s="14">
        <v>0.2</v>
      </c>
      <c r="Q4697" s="15">
        <v>0.4</v>
      </c>
      <c r="R4697" s="16" t="str">
        <f t="shared" si="402"/>
        <v>LUTRON</v>
      </c>
      <c r="S4697" s="17"/>
      <c r="T4697" s="10"/>
    </row>
    <row r="4698" spans="1:21" ht="27" customHeight="1" x14ac:dyDescent="0.25">
      <c r="A4698" s="8" t="s">
        <v>5672</v>
      </c>
      <c r="B4698" s="9"/>
      <c r="C4698" s="9"/>
      <c r="D4698" s="8"/>
      <c r="E4698" s="8"/>
      <c r="F4698" s="8"/>
      <c r="G4698" s="10"/>
      <c r="H4698" s="8" t="s">
        <v>9807</v>
      </c>
      <c r="I4698" s="10" t="s">
        <v>9808</v>
      </c>
      <c r="J4698" s="11" t="s">
        <v>26</v>
      </c>
      <c r="K4698" s="57">
        <v>72</v>
      </c>
      <c r="L4698" s="12">
        <f t="shared" si="404"/>
        <v>144</v>
      </c>
      <c r="M4698" s="8">
        <v>1</v>
      </c>
      <c r="N4698" s="8" t="s">
        <v>27</v>
      </c>
      <c r="O4698" s="13"/>
      <c r="P4698" s="14">
        <v>0.2</v>
      </c>
      <c r="Q4698" s="15">
        <v>0.4</v>
      </c>
      <c r="R4698" s="16" t="str">
        <f t="shared" si="402"/>
        <v>LUTRON</v>
      </c>
      <c r="S4698" s="17"/>
      <c r="T4698" s="10"/>
    </row>
    <row r="4699" spans="1:21" ht="27" customHeight="1" x14ac:dyDescent="0.25">
      <c r="A4699" s="8" t="s">
        <v>5672</v>
      </c>
      <c r="B4699" s="9"/>
      <c r="C4699" s="9"/>
      <c r="D4699" s="8"/>
      <c r="E4699" s="8"/>
      <c r="F4699" s="8"/>
      <c r="G4699" s="10"/>
      <c r="H4699" s="8" t="s">
        <v>9809</v>
      </c>
      <c r="I4699" s="10" t="s">
        <v>9810</v>
      </c>
      <c r="J4699" s="11" t="s">
        <v>26</v>
      </c>
      <c r="K4699" s="57">
        <v>56.5</v>
      </c>
      <c r="L4699" s="12">
        <f t="shared" si="404"/>
        <v>113</v>
      </c>
      <c r="M4699" s="8">
        <v>1</v>
      </c>
      <c r="N4699" s="8" t="s">
        <v>27</v>
      </c>
      <c r="O4699" s="13"/>
      <c r="P4699" s="14">
        <v>0.2</v>
      </c>
      <c r="Q4699" s="15">
        <v>0.4</v>
      </c>
      <c r="R4699" s="16" t="str">
        <f t="shared" si="402"/>
        <v>LUTRON</v>
      </c>
      <c r="S4699" s="17"/>
      <c r="T4699" s="10"/>
    </row>
    <row r="4700" spans="1:21" ht="27" customHeight="1" x14ac:dyDescent="0.25">
      <c r="A4700" s="8" t="s">
        <v>5672</v>
      </c>
      <c r="B4700" s="9"/>
      <c r="C4700" s="9"/>
      <c r="D4700" s="8"/>
      <c r="E4700" s="8"/>
      <c r="F4700" s="8"/>
      <c r="G4700" s="10"/>
      <c r="H4700" s="8" t="s">
        <v>9811</v>
      </c>
      <c r="I4700" s="10" t="s">
        <v>9812</v>
      </c>
      <c r="J4700" s="11" t="s">
        <v>26</v>
      </c>
      <c r="K4700" s="57">
        <v>56.5</v>
      </c>
      <c r="L4700" s="12">
        <f t="shared" si="404"/>
        <v>113</v>
      </c>
      <c r="M4700" s="8">
        <v>1</v>
      </c>
      <c r="N4700" s="8" t="s">
        <v>27</v>
      </c>
      <c r="O4700" s="13"/>
      <c r="P4700" s="14">
        <v>0.2</v>
      </c>
      <c r="Q4700" s="15">
        <v>0.4</v>
      </c>
      <c r="R4700" s="16" t="str">
        <f t="shared" si="402"/>
        <v>LUTRON</v>
      </c>
      <c r="S4700" s="17"/>
      <c r="T4700" s="10"/>
    </row>
    <row r="4701" spans="1:21" ht="27" customHeight="1" x14ac:dyDescent="0.25">
      <c r="A4701" s="8" t="s">
        <v>5672</v>
      </c>
      <c r="B4701" s="9"/>
      <c r="C4701" s="9"/>
      <c r="D4701" s="8"/>
      <c r="E4701" s="8"/>
      <c r="F4701" s="8"/>
      <c r="G4701" s="10"/>
      <c r="H4701" s="8" t="s">
        <v>9813</v>
      </c>
      <c r="I4701" s="10" t="s">
        <v>9814</v>
      </c>
      <c r="J4701" s="11" t="s">
        <v>26</v>
      </c>
      <c r="K4701" s="57">
        <v>56.5</v>
      </c>
      <c r="L4701" s="12">
        <f t="shared" si="404"/>
        <v>113</v>
      </c>
      <c r="M4701" s="8">
        <v>1</v>
      </c>
      <c r="N4701" s="8" t="s">
        <v>27</v>
      </c>
      <c r="O4701" s="13"/>
      <c r="P4701" s="14">
        <v>0.2</v>
      </c>
      <c r="Q4701" s="15">
        <v>0.4</v>
      </c>
      <c r="R4701" s="16" t="str">
        <f t="shared" si="402"/>
        <v>LUTRON</v>
      </c>
      <c r="S4701" s="17"/>
      <c r="T4701" s="10"/>
    </row>
    <row r="4702" spans="1:21" ht="27" customHeight="1" x14ac:dyDescent="0.25">
      <c r="A4702" s="8" t="s">
        <v>1561</v>
      </c>
      <c r="B4702" s="9"/>
      <c r="C4702" s="9"/>
      <c r="D4702" s="8"/>
      <c r="E4702" s="8"/>
      <c r="F4702" s="8"/>
      <c r="G4702" s="10"/>
      <c r="H4702" s="8" t="s">
        <v>9815</v>
      </c>
      <c r="I4702" s="10" t="s">
        <v>9770</v>
      </c>
      <c r="J4702" s="11" t="s">
        <v>33</v>
      </c>
      <c r="K4702" s="18">
        <v>1112000</v>
      </c>
      <c r="L4702" s="12">
        <f t="shared" si="404"/>
        <v>1853333.3333333335</v>
      </c>
      <c r="M4702" s="8">
        <v>1</v>
      </c>
      <c r="N4702" s="8" t="s">
        <v>27</v>
      </c>
      <c r="O4702" s="13"/>
      <c r="P4702" s="14">
        <v>0</v>
      </c>
      <c r="Q4702" s="15">
        <v>0.4</v>
      </c>
      <c r="R4702" s="16" t="str">
        <f t="shared" si="402"/>
        <v>DAHUA</v>
      </c>
      <c r="S4702" s="17"/>
      <c r="T4702" s="10"/>
    </row>
    <row r="4703" spans="1:21" ht="27" customHeight="1" x14ac:dyDescent="0.25">
      <c r="A4703" s="8" t="s">
        <v>1102</v>
      </c>
      <c r="B4703" s="9"/>
      <c r="C4703" s="9"/>
      <c r="D4703" s="8"/>
      <c r="E4703" s="8"/>
      <c r="F4703" s="8"/>
      <c r="G4703" s="10"/>
      <c r="H4703" s="8" t="s">
        <v>9816</v>
      </c>
      <c r="I4703" s="10" t="s">
        <v>9817</v>
      </c>
      <c r="J4703" s="11" t="s">
        <v>26</v>
      </c>
      <c r="K4703" s="18">
        <v>60</v>
      </c>
      <c r="L4703" s="12">
        <f t="shared" si="404"/>
        <v>100</v>
      </c>
      <c r="M4703" s="8">
        <v>1</v>
      </c>
      <c r="N4703" s="8" t="s">
        <v>27</v>
      </c>
      <c r="O4703" s="13"/>
      <c r="P4703" s="14">
        <v>0</v>
      </c>
      <c r="Q4703" s="15">
        <v>0.4</v>
      </c>
      <c r="R4703" s="16" t="str">
        <f t="shared" si="402"/>
        <v>CAMBRIDGE</v>
      </c>
      <c r="S4703" s="17"/>
      <c r="T4703" s="10"/>
    </row>
    <row r="4704" spans="1:21" ht="27" customHeight="1" x14ac:dyDescent="0.25">
      <c r="A4704" s="8" t="s">
        <v>9624</v>
      </c>
      <c r="B4704" s="9"/>
      <c r="C4704" s="9"/>
      <c r="D4704" s="8"/>
      <c r="E4704" s="8"/>
      <c r="F4704" s="8"/>
      <c r="G4704" s="10"/>
      <c r="H4704" s="8" t="s">
        <v>9818</v>
      </c>
      <c r="I4704" s="10" t="s">
        <v>9819</v>
      </c>
      <c r="J4704" s="11" t="s">
        <v>33</v>
      </c>
      <c r="K4704" s="18">
        <f>2700000/1.19</f>
        <v>2268907.5630252101</v>
      </c>
      <c r="L4704" s="12">
        <f t="shared" ref="L4704:L4709" si="405">IF(J4704="P",ROUNDUP(K4704/(1-Q4704),-2),K4704*(1+P4704)/(1-Q4704))</f>
        <v>3241300</v>
      </c>
      <c r="M4704" s="8">
        <v>1</v>
      </c>
      <c r="N4704" s="8" t="s">
        <v>27</v>
      </c>
      <c r="O4704" s="13"/>
      <c r="P4704" s="14">
        <v>0</v>
      </c>
      <c r="Q4704" s="15">
        <v>0.3</v>
      </c>
      <c r="R4704" s="16" t="str">
        <f t="shared" si="402"/>
        <v>YAMAHA</v>
      </c>
      <c r="S4704" s="17"/>
      <c r="T4704" s="10"/>
    </row>
    <row r="4705" spans="1:20" ht="27" customHeight="1" x14ac:dyDescent="0.25">
      <c r="A4705" s="8" t="s">
        <v>1500</v>
      </c>
      <c r="B4705" s="9"/>
      <c r="C4705" s="9"/>
      <c r="D4705" s="8"/>
      <c r="E4705" s="8"/>
      <c r="F4705" s="8"/>
      <c r="G4705" s="10"/>
      <c r="H4705" s="8" t="s">
        <v>9820</v>
      </c>
      <c r="I4705" s="10" t="s">
        <v>9821</v>
      </c>
      <c r="J4705" s="11" t="s">
        <v>33</v>
      </c>
      <c r="K4705" s="18">
        <f>1600000/1.19</f>
        <v>1344537.8151260505</v>
      </c>
      <c r="L4705" s="12">
        <f t="shared" si="405"/>
        <v>1920800</v>
      </c>
      <c r="M4705" s="8">
        <v>1</v>
      </c>
      <c r="N4705" s="8" t="s">
        <v>27</v>
      </c>
      <c r="O4705" s="13"/>
      <c r="P4705" s="14">
        <v>0</v>
      </c>
      <c r="Q4705" s="15">
        <v>0.3</v>
      </c>
      <c r="R4705" s="16" t="str">
        <f t="shared" si="402"/>
        <v>CORNERED</v>
      </c>
      <c r="S4705" s="17"/>
      <c r="T4705" s="10"/>
    </row>
    <row r="4706" spans="1:20" ht="27" customHeight="1" x14ac:dyDescent="0.25">
      <c r="A4706" s="8" t="s">
        <v>9822</v>
      </c>
      <c r="B4706" s="9"/>
      <c r="C4706" s="9"/>
      <c r="D4706" s="8"/>
      <c r="E4706" s="8"/>
      <c r="F4706" s="8"/>
      <c r="G4706" s="10"/>
      <c r="H4706" s="8" t="s">
        <v>9823</v>
      </c>
      <c r="I4706" s="10" t="s">
        <v>9824</v>
      </c>
      <c r="J4706" s="11" t="s">
        <v>33</v>
      </c>
      <c r="K4706" s="18">
        <f>5130000*0.7/2</f>
        <v>1795500</v>
      </c>
      <c r="L4706" s="12">
        <f t="shared" si="405"/>
        <v>2565000</v>
      </c>
      <c r="M4706" s="8">
        <v>1</v>
      </c>
      <c r="N4706" s="8" t="s">
        <v>27</v>
      </c>
      <c r="O4706" s="13"/>
      <c r="P4706" s="14">
        <v>0</v>
      </c>
      <c r="Q4706" s="15">
        <v>0.3</v>
      </c>
      <c r="R4706" s="16" t="str">
        <f t="shared" si="402"/>
        <v>FYNE</v>
      </c>
      <c r="S4706" s="17"/>
      <c r="T4706" s="10"/>
    </row>
    <row r="4707" spans="1:20" ht="27" customHeight="1" x14ac:dyDescent="0.25">
      <c r="A4707" s="8" t="s">
        <v>9822</v>
      </c>
      <c r="B4707" s="9"/>
      <c r="C4707" s="9"/>
      <c r="D4707" s="8"/>
      <c r="E4707" s="8"/>
      <c r="F4707" s="8"/>
      <c r="G4707" s="10"/>
      <c r="H4707" s="8" t="s">
        <v>9825</v>
      </c>
      <c r="I4707" s="10" t="s">
        <v>9826</v>
      </c>
      <c r="J4707" s="11" t="s">
        <v>33</v>
      </c>
      <c r="K4707" s="18">
        <f>12600000*0.7/2</f>
        <v>4410000</v>
      </c>
      <c r="L4707" s="12">
        <f t="shared" si="405"/>
        <v>6300000</v>
      </c>
      <c r="M4707" s="8">
        <v>1</v>
      </c>
      <c r="N4707" s="8" t="s">
        <v>27</v>
      </c>
      <c r="O4707" s="13"/>
      <c r="P4707" s="14">
        <v>0</v>
      </c>
      <c r="Q4707" s="15">
        <v>0.3</v>
      </c>
      <c r="R4707" s="16" t="str">
        <f t="shared" si="402"/>
        <v>FYNE</v>
      </c>
      <c r="S4707" s="17"/>
      <c r="T4707" s="10"/>
    </row>
    <row r="4708" spans="1:20" ht="27" customHeight="1" x14ac:dyDescent="0.25">
      <c r="A4708" s="8" t="s">
        <v>1102</v>
      </c>
      <c r="B4708" s="9"/>
      <c r="C4708" s="9"/>
      <c r="D4708" s="8"/>
      <c r="E4708" s="8"/>
      <c r="F4708" s="8"/>
      <c r="G4708" s="10"/>
      <c r="H4708" s="8" t="s">
        <v>9827</v>
      </c>
      <c r="I4708" s="10" t="s">
        <v>9828</v>
      </c>
      <c r="J4708" s="11" t="s">
        <v>33</v>
      </c>
      <c r="K4708" s="18">
        <f>13570000*0.7</f>
        <v>9499000</v>
      </c>
      <c r="L4708" s="12">
        <f t="shared" si="405"/>
        <v>13570000</v>
      </c>
      <c r="M4708" s="8">
        <v>1</v>
      </c>
      <c r="N4708" s="8" t="s">
        <v>27</v>
      </c>
      <c r="O4708" s="13"/>
      <c r="P4708" s="14">
        <v>0</v>
      </c>
      <c r="Q4708" s="15">
        <v>0.3</v>
      </c>
      <c r="R4708" s="16" t="str">
        <f t="shared" si="402"/>
        <v>CAMBRIDGE</v>
      </c>
      <c r="S4708" s="17"/>
      <c r="T4708" s="10"/>
    </row>
    <row r="4709" spans="1:20" ht="27" customHeight="1" x14ac:dyDescent="0.25">
      <c r="A4709" s="8" t="s">
        <v>5449</v>
      </c>
      <c r="B4709" s="9"/>
      <c r="C4709" s="9"/>
      <c r="D4709" s="8"/>
      <c r="E4709" s="8"/>
      <c r="F4709" s="8"/>
      <c r="G4709" s="10"/>
      <c r="H4709" s="8" t="s">
        <v>9829</v>
      </c>
      <c r="I4709" s="10" t="s">
        <v>9830</v>
      </c>
      <c r="J4709" s="11" t="s">
        <v>33</v>
      </c>
      <c r="K4709" s="18">
        <v>429000</v>
      </c>
      <c r="L4709" s="12">
        <f t="shared" si="405"/>
        <v>715000</v>
      </c>
      <c r="M4709" s="8">
        <v>1</v>
      </c>
      <c r="N4709" s="8" t="s">
        <v>27</v>
      </c>
      <c r="O4709" s="13"/>
      <c r="P4709" s="14">
        <v>0</v>
      </c>
      <c r="Q4709" s="15">
        <v>0.4</v>
      </c>
      <c r="R4709" s="16" t="str">
        <f t="shared" si="402"/>
        <v>LULOVA</v>
      </c>
      <c r="S4709" s="17"/>
      <c r="T4709" s="10"/>
    </row>
    <row r="4710" spans="1:20" ht="27" customHeight="1" x14ac:dyDescent="0.25">
      <c r="A4710" s="8" t="s">
        <v>9831</v>
      </c>
      <c r="B4710" s="9"/>
      <c r="C4710" s="9"/>
      <c r="D4710" s="8"/>
      <c r="E4710" s="8"/>
      <c r="F4710" s="8"/>
      <c r="G4710" s="10"/>
      <c r="H4710" s="8" t="s">
        <v>9832</v>
      </c>
      <c r="I4710" s="10" t="s">
        <v>9833</v>
      </c>
      <c r="J4710" s="11" t="s">
        <v>26</v>
      </c>
      <c r="K4710" s="18">
        <v>416</v>
      </c>
      <c r="L4710" s="12">
        <f>K4710*(1+P4710)/(1-Q4710)</f>
        <v>693.33333333333337</v>
      </c>
      <c r="M4710" s="8">
        <v>1</v>
      </c>
      <c r="N4710" s="8" t="s">
        <v>27</v>
      </c>
      <c r="O4710" s="13"/>
      <c r="P4710" s="14">
        <v>0</v>
      </c>
      <c r="Q4710" s="15">
        <v>0.4</v>
      </c>
      <c r="R4710" s="16" t="str">
        <f t="shared" si="402"/>
        <v>INTEGRA</v>
      </c>
      <c r="S4710" s="17"/>
      <c r="T4710" s="10"/>
    </row>
    <row r="4711" spans="1:20" ht="27" customHeight="1" x14ac:dyDescent="0.25">
      <c r="A4711" s="8" t="s">
        <v>3977</v>
      </c>
      <c r="B4711" s="9"/>
      <c r="C4711" s="9"/>
      <c r="D4711" s="8"/>
      <c r="E4711" s="8"/>
      <c r="F4711" s="8"/>
      <c r="G4711" s="10"/>
      <c r="H4711" s="8" t="s">
        <v>9834</v>
      </c>
      <c r="I4711" s="10" t="s">
        <v>9835</v>
      </c>
      <c r="J4711" s="11" t="s">
        <v>33</v>
      </c>
      <c r="K4711" s="18">
        <v>65000</v>
      </c>
      <c r="L4711" s="12">
        <f t="shared" ref="L4711:L4716" si="406">IF(J4711="P",ROUNDUP(K4711/(1-Q4711),-2),K4711*(1+P4711)/(1-Q4711))</f>
        <v>108400</v>
      </c>
      <c r="M4711" s="8">
        <v>1</v>
      </c>
      <c r="N4711" s="8" t="s">
        <v>27</v>
      </c>
      <c r="O4711" s="13"/>
      <c r="P4711" s="14">
        <v>0</v>
      </c>
      <c r="Q4711" s="15">
        <v>0.4</v>
      </c>
      <c r="R4711" s="16" t="str">
        <f t="shared" si="402"/>
        <v>KOMODO</v>
      </c>
      <c r="S4711" s="17"/>
      <c r="T4711" s="10"/>
    </row>
    <row r="4712" spans="1:20" ht="27" customHeight="1" x14ac:dyDescent="0.25">
      <c r="A4712" s="8" t="s">
        <v>8436</v>
      </c>
      <c r="B4712" s="9"/>
      <c r="C4712" s="9"/>
      <c r="D4712" s="8"/>
      <c r="E4712" s="8"/>
      <c r="F4712" s="8"/>
      <c r="G4712" s="10"/>
      <c r="H4712" s="8" t="s">
        <v>9836</v>
      </c>
      <c r="I4712" s="10" t="s">
        <v>9837</v>
      </c>
      <c r="J4712" s="11" t="s">
        <v>26</v>
      </c>
      <c r="K4712" s="18">
        <v>2608</v>
      </c>
      <c r="L4712" s="12">
        <f t="shared" si="406"/>
        <v>3260</v>
      </c>
      <c r="M4712" s="8">
        <v>1</v>
      </c>
      <c r="N4712" s="8" t="s">
        <v>27</v>
      </c>
      <c r="O4712" s="13"/>
      <c r="P4712" s="14">
        <v>0</v>
      </c>
      <c r="Q4712" s="15">
        <v>0.2</v>
      </c>
      <c r="R4712" s="16" t="str">
        <f t="shared" si="402"/>
        <v>SONY</v>
      </c>
      <c r="S4712" s="17"/>
      <c r="T4712" s="10"/>
    </row>
    <row r="4713" spans="1:20" ht="27" customHeight="1" x14ac:dyDescent="0.25">
      <c r="A4713" s="8" t="s">
        <v>7483</v>
      </c>
      <c r="B4713" s="9"/>
      <c r="C4713" s="9"/>
      <c r="D4713" s="8"/>
      <c r="E4713" s="8"/>
      <c r="F4713" s="8"/>
      <c r="G4713" s="10"/>
      <c r="H4713" s="8" t="s">
        <v>7499</v>
      </c>
      <c r="I4713" s="10" t="s">
        <v>9838</v>
      </c>
      <c r="J4713" s="11" t="s">
        <v>26</v>
      </c>
      <c r="K4713" s="18">
        <v>1399</v>
      </c>
      <c r="L4713" s="12">
        <f t="shared" si="406"/>
        <v>2238.4</v>
      </c>
      <c r="M4713" s="8">
        <v>1</v>
      </c>
      <c r="N4713" s="8" t="s">
        <v>27</v>
      </c>
      <c r="O4713" s="13"/>
      <c r="P4713" s="14">
        <v>0.2</v>
      </c>
      <c r="Q4713" s="15">
        <v>0.25</v>
      </c>
      <c r="R4713" s="16" t="str">
        <f t="shared" si="402"/>
        <v>OPTOMA</v>
      </c>
      <c r="S4713" s="17"/>
      <c r="T4713" s="10"/>
    </row>
    <row r="4714" spans="1:20" ht="27" customHeight="1" x14ac:dyDescent="0.25">
      <c r="A4714" s="8" t="s">
        <v>6990</v>
      </c>
      <c r="B4714" s="9"/>
      <c r="C4714" s="9"/>
      <c r="D4714" s="8"/>
      <c r="E4714" s="8"/>
      <c r="F4714" s="8"/>
      <c r="G4714" s="10"/>
      <c r="H4714" s="8" t="s">
        <v>9839</v>
      </c>
      <c r="I4714" s="10" t="s">
        <v>9837</v>
      </c>
      <c r="J4714" s="11" t="s">
        <v>26</v>
      </c>
      <c r="K4714" s="18">
        <v>2066</v>
      </c>
      <c r="L4714" s="12">
        <f t="shared" si="406"/>
        <v>3305.6</v>
      </c>
      <c r="M4714" s="8">
        <v>1</v>
      </c>
      <c r="N4714" s="8" t="s">
        <v>27</v>
      </c>
      <c r="O4714" s="13"/>
      <c r="P4714" s="14">
        <v>0.2</v>
      </c>
      <c r="Q4714" s="15">
        <v>0.25</v>
      </c>
      <c r="R4714" s="16" t="str">
        <f t="shared" si="402"/>
        <v>NEC</v>
      </c>
      <c r="S4714" s="17"/>
      <c r="T4714" s="10"/>
    </row>
    <row r="4715" spans="1:20" ht="27" customHeight="1" x14ac:dyDescent="0.25">
      <c r="A4715" s="8" t="s">
        <v>7662</v>
      </c>
      <c r="B4715" s="9"/>
      <c r="C4715" s="9"/>
      <c r="D4715" s="8"/>
      <c r="E4715" s="8"/>
      <c r="F4715" s="8"/>
      <c r="G4715" s="10"/>
      <c r="H4715" s="8" t="s">
        <v>9840</v>
      </c>
      <c r="I4715" s="10" t="s">
        <v>9841</v>
      </c>
      <c r="J4715" s="11" t="s">
        <v>33</v>
      </c>
      <c r="K4715" s="18">
        <v>165000</v>
      </c>
      <c r="L4715" s="12">
        <f t="shared" si="406"/>
        <v>235800</v>
      </c>
      <c r="M4715" s="8">
        <v>1</v>
      </c>
      <c r="N4715" s="8" t="s">
        <v>27</v>
      </c>
      <c r="O4715" s="13"/>
      <c r="P4715" s="14">
        <v>0</v>
      </c>
      <c r="Q4715" s="15">
        <v>0.3</v>
      </c>
      <c r="R4715" s="16" t="str">
        <f t="shared" si="402"/>
        <v>PHILIPS</v>
      </c>
      <c r="S4715" s="17"/>
      <c r="T4715" s="10"/>
    </row>
    <row r="4716" spans="1:20" ht="27" customHeight="1" x14ac:dyDescent="0.25">
      <c r="A4716" s="8" t="s">
        <v>2512</v>
      </c>
      <c r="B4716" s="9"/>
      <c r="C4716" s="9"/>
      <c r="D4716" s="8"/>
      <c r="E4716" s="8"/>
      <c r="F4716" s="8"/>
      <c r="G4716" s="10"/>
      <c r="H4716" s="8" t="s">
        <v>9842</v>
      </c>
      <c r="I4716" s="10" t="s">
        <v>9843</v>
      </c>
      <c r="J4716" s="11" t="s">
        <v>33</v>
      </c>
      <c r="K4716" s="18">
        <v>39000</v>
      </c>
      <c r="L4716" s="12">
        <f t="shared" si="406"/>
        <v>78000</v>
      </c>
      <c r="M4716" s="8">
        <v>1</v>
      </c>
      <c r="N4716" s="8" t="s">
        <v>27</v>
      </c>
      <c r="O4716" s="13"/>
      <c r="P4716" s="14">
        <v>0</v>
      </c>
      <c r="Q4716" s="15">
        <v>0.5</v>
      </c>
      <c r="R4716" s="16" t="str">
        <f t="shared" si="402"/>
        <v>GENERAL</v>
      </c>
      <c r="S4716" s="17"/>
      <c r="T4716" s="10"/>
    </row>
    <row r="4717" spans="1:20" ht="27" customHeight="1" x14ac:dyDescent="0.25">
      <c r="A4717" s="8" t="s">
        <v>5672</v>
      </c>
      <c r="B4717" s="9"/>
      <c r="C4717" s="9"/>
      <c r="D4717" s="8"/>
      <c r="E4717" s="8"/>
      <c r="F4717" s="8"/>
      <c r="G4717" s="10"/>
      <c r="H4717" s="8" t="s">
        <v>9844</v>
      </c>
      <c r="I4717" s="10" t="s">
        <v>9845</v>
      </c>
      <c r="J4717" s="11" t="s">
        <v>26</v>
      </c>
      <c r="K4717" s="57">
        <v>44.5</v>
      </c>
      <c r="L4717" s="12">
        <f t="shared" ref="L4717:L4746" si="407">ROUNDUP(K4717*(1+P4717)/(1-Q4717),0)</f>
        <v>89</v>
      </c>
      <c r="M4717" s="8">
        <v>1</v>
      </c>
      <c r="N4717" s="8" t="s">
        <v>27</v>
      </c>
      <c r="O4717" s="13"/>
      <c r="P4717" s="14">
        <v>0.2</v>
      </c>
      <c r="Q4717" s="15">
        <v>0.4</v>
      </c>
      <c r="R4717" s="16" t="str">
        <f t="shared" si="402"/>
        <v>LUTRON</v>
      </c>
      <c r="S4717" s="17" t="e">
        <f>VLOOKUP(R4717,#REF!,2,0)</f>
        <v>#REF!</v>
      </c>
      <c r="T4717" s="10">
        <f t="shared" ref="T4717:T4722" si="408">G4717</f>
        <v>0</v>
      </c>
    </row>
    <row r="4718" spans="1:20" ht="27" customHeight="1" x14ac:dyDescent="0.25">
      <c r="A4718" s="8" t="s">
        <v>9846</v>
      </c>
      <c r="B4718" s="9"/>
      <c r="C4718" s="9"/>
      <c r="D4718" s="8"/>
      <c r="E4718" s="8"/>
      <c r="F4718" s="8"/>
      <c r="G4718" s="10"/>
      <c r="H4718" s="8" t="s">
        <v>9847</v>
      </c>
      <c r="I4718" s="10" t="s">
        <v>9848</v>
      </c>
      <c r="J4718" s="11" t="s">
        <v>33</v>
      </c>
      <c r="K4718" s="18">
        <v>6000</v>
      </c>
      <c r="L4718" s="12">
        <f t="shared" si="407"/>
        <v>12000</v>
      </c>
      <c r="M4718" s="8">
        <v>1</v>
      </c>
      <c r="N4718" s="8" t="s">
        <v>27</v>
      </c>
      <c r="O4718" s="13"/>
      <c r="P4718" s="14">
        <v>0.2</v>
      </c>
      <c r="Q4718" s="15">
        <v>0.4</v>
      </c>
      <c r="R4718" s="16" t="str">
        <f t="shared" si="402"/>
        <v>ALCA</v>
      </c>
      <c r="S4718" s="17" t="e">
        <f>VLOOKUP(R4718,#REF!,2,0)</f>
        <v>#REF!</v>
      </c>
      <c r="T4718" s="10">
        <f t="shared" si="408"/>
        <v>0</v>
      </c>
    </row>
    <row r="4719" spans="1:20" ht="27" customHeight="1" x14ac:dyDescent="0.25">
      <c r="A4719" s="8" t="s">
        <v>8308</v>
      </c>
      <c r="B4719" s="9"/>
      <c r="C4719" s="9"/>
      <c r="D4719" s="8"/>
      <c r="E4719" s="8"/>
      <c r="F4719" s="8"/>
      <c r="G4719" s="10"/>
      <c r="H4719" s="8" t="s">
        <v>9849</v>
      </c>
      <c r="I4719" s="10" t="s">
        <v>9850</v>
      </c>
      <c r="J4719" s="11" t="s">
        <v>33</v>
      </c>
      <c r="K4719" s="18">
        <v>1800000</v>
      </c>
      <c r="L4719" s="12">
        <f t="shared" si="407"/>
        <v>2571429</v>
      </c>
      <c r="M4719" s="8">
        <v>1</v>
      </c>
      <c r="N4719" s="8" t="s">
        <v>27</v>
      </c>
      <c r="O4719" s="13"/>
      <c r="P4719" s="14">
        <v>0</v>
      </c>
      <c r="Q4719" s="15">
        <v>0.3</v>
      </c>
      <c r="R4719" s="16" t="str">
        <f t="shared" ref="R4719:R4782" si="409">A4719</f>
        <v>SOLIDVIEW</v>
      </c>
      <c r="S4719" s="17" t="e">
        <f>VLOOKUP(R4719,#REF!,2,0)</f>
        <v>#REF!</v>
      </c>
      <c r="T4719" s="10">
        <f t="shared" si="408"/>
        <v>0</v>
      </c>
    </row>
    <row r="4720" spans="1:20" ht="27" customHeight="1" x14ac:dyDescent="0.25">
      <c r="A4720" s="8" t="s">
        <v>7931</v>
      </c>
      <c r="B4720" s="9"/>
      <c r="C4720" s="9"/>
      <c r="D4720" s="8"/>
      <c r="E4720" s="8"/>
      <c r="F4720" s="8"/>
      <c r="G4720" s="10"/>
      <c r="H4720" s="8" t="s">
        <v>9851</v>
      </c>
      <c r="I4720" s="10" t="s">
        <v>9852</v>
      </c>
      <c r="J4720" s="11" t="s">
        <v>33</v>
      </c>
      <c r="K4720" s="18">
        <v>110552</v>
      </c>
      <c r="L4720" s="12">
        <f t="shared" si="407"/>
        <v>157932</v>
      </c>
      <c r="M4720" s="8">
        <v>1</v>
      </c>
      <c r="N4720" s="8" t="s">
        <v>27</v>
      </c>
      <c r="O4720" s="13"/>
      <c r="P4720" s="14">
        <v>0</v>
      </c>
      <c r="Q4720" s="15">
        <v>0.3</v>
      </c>
      <c r="R4720" s="16" t="str">
        <f t="shared" si="409"/>
        <v>SYLVANIA</v>
      </c>
      <c r="S4720" s="17" t="e">
        <f>VLOOKUP(R4720,#REF!,2,0)</f>
        <v>#REF!</v>
      </c>
      <c r="T4720" s="10">
        <f t="shared" si="408"/>
        <v>0</v>
      </c>
    </row>
    <row r="4721" spans="1:28" ht="27" customHeight="1" x14ac:dyDescent="0.25">
      <c r="A4721" s="8" t="s">
        <v>7931</v>
      </c>
      <c r="B4721" s="9"/>
      <c r="C4721" s="9"/>
      <c r="D4721" s="8"/>
      <c r="E4721" s="8"/>
      <c r="F4721" s="8"/>
      <c r="G4721" s="10"/>
      <c r="H4721" s="8" t="s">
        <v>8764</v>
      </c>
      <c r="I4721" s="10" t="s">
        <v>9853</v>
      </c>
      <c r="J4721" s="11" t="s">
        <v>33</v>
      </c>
      <c r="K4721" s="18">
        <v>86139</v>
      </c>
      <c r="L4721" s="12">
        <f t="shared" si="407"/>
        <v>123056</v>
      </c>
      <c r="M4721" s="8">
        <v>1</v>
      </c>
      <c r="N4721" s="8" t="s">
        <v>27</v>
      </c>
      <c r="O4721" s="13"/>
      <c r="P4721" s="14">
        <v>0</v>
      </c>
      <c r="Q4721" s="15">
        <v>0.3</v>
      </c>
      <c r="R4721" s="16" t="str">
        <f t="shared" si="409"/>
        <v>SYLVANIA</v>
      </c>
      <c r="S4721" s="17" t="e">
        <f>VLOOKUP(R4721,#REF!,2,0)</f>
        <v>#REF!</v>
      </c>
      <c r="T4721" s="10">
        <f t="shared" si="408"/>
        <v>0</v>
      </c>
    </row>
    <row r="4722" spans="1:28" ht="27" customHeight="1" x14ac:dyDescent="0.25">
      <c r="A4722" s="8" t="s">
        <v>5672</v>
      </c>
      <c r="B4722" s="9" t="s">
        <v>5666</v>
      </c>
      <c r="C4722" s="9"/>
      <c r="D4722" s="8" t="s">
        <v>2057</v>
      </c>
      <c r="E4722" s="8">
        <v>9</v>
      </c>
      <c r="F4722" s="8"/>
      <c r="G4722" s="10" t="s">
        <v>9854</v>
      </c>
      <c r="H4722" s="8" t="s">
        <v>9855</v>
      </c>
      <c r="I4722" s="10" t="s">
        <v>9856</v>
      </c>
      <c r="J4722" s="11" t="s">
        <v>26</v>
      </c>
      <c r="K4722" s="57">
        <f>126/1.19</f>
        <v>105.88235294117648</v>
      </c>
      <c r="L4722" s="12">
        <f t="shared" si="407"/>
        <v>118</v>
      </c>
      <c r="M4722" s="8">
        <v>1</v>
      </c>
      <c r="N4722" s="8" t="s">
        <v>27</v>
      </c>
      <c r="O4722" s="13"/>
      <c r="P4722" s="14">
        <v>0</v>
      </c>
      <c r="Q4722" s="15">
        <v>0.1</v>
      </c>
      <c r="R4722" s="16" t="str">
        <f t="shared" si="409"/>
        <v>LUTRON</v>
      </c>
      <c r="S4722" s="17" t="e">
        <f>VLOOKUP(R4722,#REF!,2,0)</f>
        <v>#REF!</v>
      </c>
      <c r="T4722" s="10" t="str">
        <f t="shared" si="408"/>
        <v>LUT-SEN-9</v>
      </c>
      <c r="U4722" s="19"/>
      <c r="V4722" s="19"/>
      <c r="W4722" s="19"/>
      <c r="X4722" s="19"/>
    </row>
    <row r="4723" spans="1:28" ht="27" customHeight="1" x14ac:dyDescent="0.25">
      <c r="A4723" s="53" t="s">
        <v>5027</v>
      </c>
      <c r="B4723" s="9"/>
      <c r="C4723" s="9"/>
      <c r="D4723" s="8"/>
      <c r="E4723" s="8"/>
      <c r="F4723" s="8"/>
      <c r="G4723" s="10"/>
      <c r="H4723" s="8" t="s">
        <v>9857</v>
      </c>
      <c r="I4723" s="10" t="s">
        <v>9858</v>
      </c>
      <c r="J4723" s="11" t="s">
        <v>33</v>
      </c>
      <c r="K4723" s="18">
        <v>168000</v>
      </c>
      <c r="L4723" s="12">
        <f t="shared" si="407"/>
        <v>240000</v>
      </c>
      <c r="M4723" s="8">
        <v>1</v>
      </c>
      <c r="N4723" s="8" t="s">
        <v>27</v>
      </c>
      <c r="O4723" s="13"/>
      <c r="P4723" s="14">
        <v>0</v>
      </c>
      <c r="Q4723" s="15">
        <v>0.3</v>
      </c>
      <c r="R4723" s="16" t="str">
        <f t="shared" si="409"/>
        <v>LEDS_C4</v>
      </c>
      <c r="S4723" s="17" t="e">
        <f>VLOOKUP(R4723,#REF!,2,0)</f>
        <v>#REF!</v>
      </c>
      <c r="T4723" s="10"/>
    </row>
    <row r="4724" spans="1:28" ht="27" customHeight="1" x14ac:dyDescent="0.25">
      <c r="A4724" s="8" t="s">
        <v>2095</v>
      </c>
      <c r="B4724" s="9"/>
      <c r="C4724" s="9"/>
      <c r="D4724" s="8"/>
      <c r="E4724" s="8"/>
      <c r="F4724" s="8"/>
      <c r="G4724" s="10"/>
      <c r="H4724" s="8" t="s">
        <v>9859</v>
      </c>
      <c r="I4724" s="10" t="s">
        <v>9860</v>
      </c>
      <c r="J4724" s="11" t="s">
        <v>33</v>
      </c>
      <c r="K4724" s="18">
        <v>42000</v>
      </c>
      <c r="L4724" s="12">
        <f t="shared" si="407"/>
        <v>70000</v>
      </c>
      <c r="M4724" s="8">
        <v>1</v>
      </c>
      <c r="N4724" s="8" t="s">
        <v>27</v>
      </c>
      <c r="O4724" s="13"/>
      <c r="P4724" s="14">
        <v>0</v>
      </c>
      <c r="Q4724" s="15">
        <v>0.4</v>
      </c>
      <c r="R4724" s="16" t="str">
        <f t="shared" si="409"/>
        <v>ECOLITE</v>
      </c>
      <c r="S4724" s="17" t="e">
        <f>VLOOKUP(R4724,#REF!,2,0)</f>
        <v>#REF!</v>
      </c>
      <c r="T4724" s="10"/>
    </row>
    <row r="4725" spans="1:28" ht="27" customHeight="1" x14ac:dyDescent="0.25">
      <c r="A4725" s="8" t="s">
        <v>9861</v>
      </c>
      <c r="B4725" s="9"/>
      <c r="C4725" s="9"/>
      <c r="D4725" s="8"/>
      <c r="E4725" s="8"/>
      <c r="F4725" s="8"/>
      <c r="G4725" s="10"/>
      <c r="H4725" s="8" t="s">
        <v>9862</v>
      </c>
      <c r="I4725" s="10" t="s">
        <v>9863</v>
      </c>
      <c r="J4725" s="11" t="s">
        <v>33</v>
      </c>
      <c r="K4725" s="18">
        <v>65000</v>
      </c>
      <c r="L4725" s="12">
        <f t="shared" si="407"/>
        <v>92858</v>
      </c>
      <c r="M4725" s="8">
        <v>1</v>
      </c>
      <c r="N4725" s="8" t="s">
        <v>27</v>
      </c>
      <c r="O4725" s="13"/>
      <c r="P4725" s="14">
        <v>0</v>
      </c>
      <c r="Q4725" s="15">
        <v>0.3</v>
      </c>
      <c r="R4725" s="16" t="str">
        <f t="shared" si="409"/>
        <v>SONOFF</v>
      </c>
      <c r="S4725" s="17" t="e">
        <f>VLOOKUP(R4725,#REF!,2,0)</f>
        <v>#REF!</v>
      </c>
      <c r="T4725" s="10"/>
    </row>
    <row r="4726" spans="1:28" ht="27" customHeight="1" x14ac:dyDescent="0.25">
      <c r="A4726" s="8" t="s">
        <v>9592</v>
      </c>
      <c r="B4726" s="9"/>
      <c r="C4726" s="9"/>
      <c r="D4726" s="8"/>
      <c r="E4726" s="8"/>
      <c r="F4726" s="8"/>
      <c r="G4726" s="10"/>
      <c r="H4726" s="8" t="s">
        <v>9864</v>
      </c>
      <c r="I4726" s="10" t="s">
        <v>9865</v>
      </c>
      <c r="J4726" s="11" t="s">
        <v>33</v>
      </c>
      <c r="K4726" s="18">
        <v>940000</v>
      </c>
      <c r="L4726" s="12">
        <f t="shared" si="407"/>
        <v>1342858</v>
      </c>
      <c r="M4726" s="8">
        <v>1</v>
      </c>
      <c r="N4726" s="8" t="s">
        <v>27</v>
      </c>
      <c r="O4726" s="13"/>
      <c r="P4726" s="14">
        <v>0</v>
      </c>
      <c r="Q4726" s="15">
        <v>0.3</v>
      </c>
      <c r="R4726" s="16" t="str">
        <f t="shared" si="409"/>
        <v>YALE</v>
      </c>
      <c r="S4726" s="17" t="e">
        <f>VLOOKUP(R4726,#REF!,2,0)</f>
        <v>#REF!</v>
      </c>
      <c r="T4726" s="10"/>
    </row>
    <row r="4727" spans="1:28" ht="27" customHeight="1" x14ac:dyDescent="0.25">
      <c r="A4727" s="8" t="s">
        <v>9866</v>
      </c>
      <c r="B4727" s="9"/>
      <c r="C4727" s="9"/>
      <c r="D4727" s="8"/>
      <c r="E4727" s="8"/>
      <c r="F4727" s="8"/>
      <c r="G4727" s="10"/>
      <c r="H4727" s="8" t="s">
        <v>9867</v>
      </c>
      <c r="I4727" s="10" t="s">
        <v>9868</v>
      </c>
      <c r="J4727" s="11" t="s">
        <v>26</v>
      </c>
      <c r="K4727" s="18">
        <v>444</v>
      </c>
      <c r="L4727" s="12">
        <f t="shared" si="407"/>
        <v>635</v>
      </c>
      <c r="M4727" s="8">
        <v>1</v>
      </c>
      <c r="N4727" s="8" t="s">
        <v>27</v>
      </c>
      <c r="O4727" s="13"/>
      <c r="P4727" s="14">
        <v>0</v>
      </c>
      <c r="Q4727" s="15">
        <v>0.3</v>
      </c>
      <c r="R4727" s="16" t="str">
        <f t="shared" si="409"/>
        <v>ORVIBO</v>
      </c>
      <c r="S4727" s="17" t="e">
        <f>VLOOKUP(R4727,#REF!,2,0)</f>
        <v>#REF!</v>
      </c>
      <c r="T4727" s="10"/>
    </row>
    <row r="4728" spans="1:28" ht="27" customHeight="1" x14ac:dyDescent="0.25">
      <c r="A4728" s="8" t="s">
        <v>9379</v>
      </c>
      <c r="B4728" s="9"/>
      <c r="C4728" s="9"/>
      <c r="D4728" s="8"/>
      <c r="E4728" s="8"/>
      <c r="F4728" s="8"/>
      <c r="G4728" s="10"/>
      <c r="H4728" s="8" t="s">
        <v>9869</v>
      </c>
      <c r="I4728" s="10" t="s">
        <v>9870</v>
      </c>
      <c r="J4728" s="11" t="s">
        <v>26</v>
      </c>
      <c r="K4728" s="18">
        <v>88</v>
      </c>
      <c r="L4728" s="12">
        <f t="shared" si="407"/>
        <v>147</v>
      </c>
      <c r="M4728" s="8">
        <v>1</v>
      </c>
      <c r="N4728" s="8" t="s">
        <v>27</v>
      </c>
      <c r="O4728" s="13"/>
      <c r="P4728" s="14">
        <v>0</v>
      </c>
      <c r="Q4728" s="15">
        <v>0.4</v>
      </c>
      <c r="R4728" s="16" t="str">
        <f t="shared" si="409"/>
        <v>UBIQUITI</v>
      </c>
      <c r="S4728" s="17" t="e">
        <f>VLOOKUP(R4728,#REF!,2,0)</f>
        <v>#REF!</v>
      </c>
      <c r="T4728" s="10"/>
    </row>
    <row r="4729" spans="1:28" ht="27" customHeight="1" x14ac:dyDescent="0.25">
      <c r="A4729" s="8" t="s">
        <v>9379</v>
      </c>
      <c r="B4729" s="9"/>
      <c r="C4729" s="9"/>
      <c r="D4729" s="8"/>
      <c r="E4729" s="8"/>
      <c r="F4729" s="8"/>
      <c r="G4729" s="10"/>
      <c r="H4729" s="8" t="s">
        <v>9871</v>
      </c>
      <c r="I4729" s="10" t="s">
        <v>9872</v>
      </c>
      <c r="J4729" s="11" t="s">
        <v>26</v>
      </c>
      <c r="K4729" s="18">
        <v>243</v>
      </c>
      <c r="L4729" s="12">
        <f t="shared" si="407"/>
        <v>348</v>
      </c>
      <c r="M4729" s="8">
        <v>1</v>
      </c>
      <c r="N4729" s="8" t="s">
        <v>27</v>
      </c>
      <c r="O4729" s="13"/>
      <c r="P4729" s="14">
        <v>0</v>
      </c>
      <c r="Q4729" s="15">
        <v>0.3</v>
      </c>
      <c r="R4729" s="16" t="str">
        <f t="shared" si="409"/>
        <v>UBIQUITI</v>
      </c>
      <c r="S4729" s="17"/>
      <c r="T4729" s="10"/>
    </row>
    <row r="4730" spans="1:28" ht="27" customHeight="1" x14ac:dyDescent="0.25">
      <c r="A4730" s="8" t="s">
        <v>9379</v>
      </c>
      <c r="B4730" s="9"/>
      <c r="C4730" s="9"/>
      <c r="D4730" s="8"/>
      <c r="E4730" s="8"/>
      <c r="F4730" s="8"/>
      <c r="G4730" s="10"/>
      <c r="H4730" s="8" t="s">
        <v>9873</v>
      </c>
      <c r="I4730" s="10" t="s">
        <v>9874</v>
      </c>
      <c r="J4730" s="11" t="s">
        <v>26</v>
      </c>
      <c r="K4730" s="18">
        <v>60</v>
      </c>
      <c r="L4730" s="12">
        <f t="shared" si="407"/>
        <v>86</v>
      </c>
      <c r="M4730" s="8">
        <v>1</v>
      </c>
      <c r="N4730" s="8" t="s">
        <v>27</v>
      </c>
      <c r="O4730" s="13"/>
      <c r="P4730" s="14">
        <v>0</v>
      </c>
      <c r="Q4730" s="15">
        <v>0.3</v>
      </c>
      <c r="R4730" s="16" t="str">
        <f t="shared" si="409"/>
        <v>UBIQUITI</v>
      </c>
      <c r="S4730" s="17"/>
      <c r="T4730" s="10"/>
    </row>
    <row r="4731" spans="1:28" ht="27" customHeight="1" x14ac:dyDescent="0.25">
      <c r="A4731" s="8" t="s">
        <v>7761</v>
      </c>
      <c r="B4731" s="9"/>
      <c r="C4731" s="9"/>
      <c r="D4731" s="8"/>
      <c r="E4731" s="8"/>
      <c r="F4731" s="8"/>
      <c r="G4731" s="10"/>
      <c r="H4731" s="8" t="s">
        <v>9875</v>
      </c>
      <c r="I4731" s="10" t="s">
        <v>9876</v>
      </c>
      <c r="J4731" s="11" t="s">
        <v>33</v>
      </c>
      <c r="K4731" s="18">
        <f>1085000*0.9</f>
        <v>976500</v>
      </c>
      <c r="L4731" s="12">
        <f t="shared" si="407"/>
        <v>1395000</v>
      </c>
      <c r="M4731" s="8">
        <v>1</v>
      </c>
      <c r="N4731" s="8" t="s">
        <v>27</v>
      </c>
      <c r="O4731" s="13"/>
      <c r="P4731" s="14">
        <v>0</v>
      </c>
      <c r="Q4731" s="15">
        <v>0.3</v>
      </c>
      <c r="R4731" s="16" t="str">
        <f t="shared" si="409"/>
        <v>POWEST</v>
      </c>
      <c r="S4731" s="17"/>
      <c r="T4731" s="10"/>
    </row>
    <row r="4732" spans="1:28" ht="27" customHeight="1" x14ac:dyDescent="0.25">
      <c r="A4732" s="8" t="s">
        <v>9877</v>
      </c>
      <c r="B4732" s="9"/>
      <c r="C4732" s="9"/>
      <c r="D4732" s="8"/>
      <c r="E4732" s="8"/>
      <c r="F4732" s="8"/>
      <c r="G4732" s="10"/>
      <c r="H4732" s="8" t="s">
        <v>142</v>
      </c>
      <c r="I4732" s="10" t="s">
        <v>9878</v>
      </c>
      <c r="J4732" s="11" t="s">
        <v>26</v>
      </c>
      <c r="K4732" s="18">
        <v>150</v>
      </c>
      <c r="L4732" s="12">
        <f t="shared" si="407"/>
        <v>300</v>
      </c>
      <c r="M4732" s="8">
        <v>1</v>
      </c>
      <c r="N4732" s="8" t="s">
        <v>27</v>
      </c>
      <c r="O4732" s="13"/>
      <c r="P4732" s="14">
        <v>0.2</v>
      </c>
      <c r="Q4732" s="15">
        <v>0.4</v>
      </c>
      <c r="R4732" s="16" t="str">
        <f t="shared" si="409"/>
        <v>MIDDLE_ATLANTIC</v>
      </c>
      <c r="S4732" s="17"/>
      <c r="T4732" s="10"/>
    </row>
    <row r="4733" spans="1:28" ht="27" customHeight="1" x14ac:dyDescent="0.25">
      <c r="A4733" s="8" t="s">
        <v>3732</v>
      </c>
      <c r="B4733" s="9"/>
      <c r="C4733" s="9"/>
      <c r="D4733" s="8"/>
      <c r="E4733" s="8"/>
      <c r="F4733" s="8"/>
      <c r="G4733" s="10"/>
      <c r="H4733" s="8" t="s">
        <v>9879</v>
      </c>
      <c r="I4733" s="10" t="s">
        <v>9880</v>
      </c>
      <c r="J4733" s="11" t="s">
        <v>26</v>
      </c>
      <c r="K4733" s="18">
        <v>245</v>
      </c>
      <c r="L4733" s="12">
        <f t="shared" si="407"/>
        <v>420</v>
      </c>
      <c r="M4733" s="8">
        <v>1</v>
      </c>
      <c r="N4733" s="8" t="s">
        <v>27</v>
      </c>
      <c r="O4733" s="13"/>
      <c r="P4733" s="14">
        <v>0.2</v>
      </c>
      <c r="Q4733" s="15">
        <v>0.3</v>
      </c>
      <c r="R4733" s="16" t="str">
        <f t="shared" si="409"/>
        <v>IPORT</v>
      </c>
      <c r="S4733" s="17"/>
      <c r="T4733" s="10"/>
    </row>
    <row r="4734" spans="1:28" ht="27" customHeight="1" x14ac:dyDescent="0.25">
      <c r="A4734" s="8" t="s">
        <v>3732</v>
      </c>
      <c r="B4734" s="9"/>
      <c r="C4734" s="9"/>
      <c r="D4734" s="8"/>
      <c r="E4734" s="8"/>
      <c r="F4734" s="8"/>
      <c r="G4734" s="10"/>
      <c r="H4734" s="8" t="s">
        <v>9881</v>
      </c>
      <c r="I4734" s="10" t="s">
        <v>9882</v>
      </c>
      <c r="J4734" s="11" t="s">
        <v>26</v>
      </c>
      <c r="K4734" s="18">
        <v>315</v>
      </c>
      <c r="L4734" s="12">
        <f t="shared" si="407"/>
        <v>540</v>
      </c>
      <c r="M4734" s="8">
        <v>1</v>
      </c>
      <c r="N4734" s="8" t="s">
        <v>27</v>
      </c>
      <c r="O4734" s="13"/>
      <c r="P4734" s="14">
        <v>0.2</v>
      </c>
      <c r="Q4734" s="15">
        <v>0.3</v>
      </c>
      <c r="R4734" s="16" t="str">
        <f t="shared" si="409"/>
        <v>IPORT</v>
      </c>
      <c r="S4734" s="17"/>
      <c r="T4734" s="10"/>
    </row>
    <row r="4735" spans="1:28" ht="27" customHeight="1" x14ac:dyDescent="0.25">
      <c r="A4735" s="8" t="s">
        <v>2467</v>
      </c>
      <c r="B4735" s="9"/>
      <c r="C4735" s="9"/>
      <c r="D4735" s="8"/>
      <c r="E4735" s="8"/>
      <c r="F4735" s="8"/>
      <c r="G4735" s="10"/>
      <c r="H4735" s="8" t="s">
        <v>9883</v>
      </c>
      <c r="I4735" s="10" t="s">
        <v>9884</v>
      </c>
      <c r="J4735" s="11" t="s">
        <v>26</v>
      </c>
      <c r="K4735" s="18">
        <v>444</v>
      </c>
      <c r="L4735" s="12">
        <f t="shared" si="407"/>
        <v>762</v>
      </c>
      <c r="M4735" s="8">
        <v>1</v>
      </c>
      <c r="N4735" s="8" t="s">
        <v>27</v>
      </c>
      <c r="O4735" s="13"/>
      <c r="P4735" s="14">
        <v>0.2</v>
      </c>
      <c r="Q4735" s="15">
        <v>0.3</v>
      </c>
      <c r="R4735" s="16" t="str">
        <f t="shared" si="409"/>
        <v>GEFEN</v>
      </c>
      <c r="S4735" s="17"/>
      <c r="T4735" s="10"/>
      <c r="AB4735" s="112">
        <v>1</v>
      </c>
    </row>
    <row r="4736" spans="1:28" ht="27" customHeight="1" x14ac:dyDescent="0.25">
      <c r="A4736" s="8" t="s">
        <v>8308</v>
      </c>
      <c r="B4736" s="9"/>
      <c r="C4736" s="9"/>
      <c r="D4736" s="8"/>
      <c r="E4736" s="8"/>
      <c r="F4736" s="8"/>
      <c r="G4736" s="10"/>
      <c r="H4736" s="8" t="s">
        <v>9885</v>
      </c>
      <c r="I4736" s="10" t="s">
        <v>9886</v>
      </c>
      <c r="J4736" s="11" t="s">
        <v>33</v>
      </c>
      <c r="K4736" s="18">
        <v>4570000</v>
      </c>
      <c r="L4736" s="12">
        <f t="shared" si="407"/>
        <v>6528572</v>
      </c>
      <c r="M4736" s="8">
        <v>1</v>
      </c>
      <c r="N4736" s="8" t="s">
        <v>27</v>
      </c>
      <c r="O4736" s="13"/>
      <c r="P4736" s="14">
        <v>0</v>
      </c>
      <c r="Q4736" s="15">
        <v>0.3</v>
      </c>
      <c r="R4736" s="16" t="str">
        <f t="shared" si="409"/>
        <v>SOLIDVIEW</v>
      </c>
      <c r="S4736" s="17"/>
      <c r="T4736" s="10"/>
    </row>
    <row r="4737" spans="1:20" ht="27" customHeight="1" x14ac:dyDescent="0.25">
      <c r="A4737" s="8" t="s">
        <v>2270</v>
      </c>
      <c r="B4737" s="9"/>
      <c r="C4737" s="9"/>
      <c r="D4737" s="8"/>
      <c r="E4737" s="8"/>
      <c r="F4737" s="8"/>
      <c r="G4737" s="10"/>
      <c r="H4737" s="8" t="s">
        <v>9887</v>
      </c>
      <c r="I4737" s="10" t="s">
        <v>9888</v>
      </c>
      <c r="J4737" s="11" t="s">
        <v>26</v>
      </c>
      <c r="K4737" s="18">
        <v>900</v>
      </c>
      <c r="L4737" s="12">
        <f t="shared" si="407"/>
        <v>1608</v>
      </c>
      <c r="M4737" s="8">
        <v>1</v>
      </c>
      <c r="N4737" s="8" t="s">
        <v>27</v>
      </c>
      <c r="O4737" s="13"/>
      <c r="P4737" s="14">
        <v>0.25</v>
      </c>
      <c r="Q4737" s="15">
        <v>0.3</v>
      </c>
      <c r="R4737" s="16" t="str">
        <f t="shared" si="409"/>
        <v>ELITE</v>
      </c>
      <c r="S4737" s="17"/>
      <c r="T4737" s="10"/>
    </row>
    <row r="4738" spans="1:20" ht="27" customHeight="1" x14ac:dyDescent="0.25">
      <c r="A4738" s="8" t="s">
        <v>8308</v>
      </c>
      <c r="B4738" s="9"/>
      <c r="C4738" s="9"/>
      <c r="D4738" s="8"/>
      <c r="E4738" s="8"/>
      <c r="F4738" s="8"/>
      <c r="G4738" s="10"/>
      <c r="H4738" s="8" t="s">
        <v>9889</v>
      </c>
      <c r="I4738" s="10" t="s">
        <v>9890</v>
      </c>
      <c r="J4738" s="11" t="s">
        <v>33</v>
      </c>
      <c r="K4738" s="18">
        <v>4940000</v>
      </c>
      <c r="L4738" s="12">
        <f t="shared" si="407"/>
        <v>7057143</v>
      </c>
      <c r="M4738" s="8">
        <v>1</v>
      </c>
      <c r="N4738" s="8" t="s">
        <v>27</v>
      </c>
      <c r="O4738" s="13"/>
      <c r="P4738" s="14">
        <v>0</v>
      </c>
      <c r="Q4738" s="15">
        <v>0.3</v>
      </c>
      <c r="R4738" s="16" t="str">
        <f t="shared" si="409"/>
        <v>SOLIDVIEW</v>
      </c>
      <c r="S4738" s="17"/>
      <c r="T4738" s="10"/>
    </row>
    <row r="4739" spans="1:20" ht="27" customHeight="1" x14ac:dyDescent="0.25">
      <c r="A4739" s="8" t="s">
        <v>8404</v>
      </c>
      <c r="B4739" s="9"/>
      <c r="C4739" s="9"/>
      <c r="D4739" s="8"/>
      <c r="E4739" s="8"/>
      <c r="F4739" s="8"/>
      <c r="G4739" s="10"/>
      <c r="H4739" s="8" t="s">
        <v>148</v>
      </c>
      <c r="I4739" s="10" t="s">
        <v>9891</v>
      </c>
      <c r="J4739" s="11" t="s">
        <v>26</v>
      </c>
      <c r="K4739" s="18">
        <v>662</v>
      </c>
      <c r="L4739" s="12">
        <f t="shared" si="407"/>
        <v>883</v>
      </c>
      <c r="M4739" s="8">
        <v>1</v>
      </c>
      <c r="N4739" s="8" t="s">
        <v>27</v>
      </c>
      <c r="O4739" s="13"/>
      <c r="P4739" s="14">
        <v>0</v>
      </c>
      <c r="Q4739" s="15">
        <v>0.25</v>
      </c>
      <c r="R4739" s="16" t="str">
        <f t="shared" si="409"/>
        <v>SONOS</v>
      </c>
      <c r="S4739" s="17"/>
      <c r="T4739" s="10"/>
    </row>
    <row r="4740" spans="1:20" ht="27" customHeight="1" x14ac:dyDescent="0.25">
      <c r="A4740" s="8" t="s">
        <v>3915</v>
      </c>
      <c r="B4740" s="9"/>
      <c r="C4740" s="9"/>
      <c r="D4740" s="8"/>
      <c r="E4740" s="8"/>
      <c r="F4740" s="8"/>
      <c r="G4740" s="10"/>
      <c r="H4740" s="8" t="s">
        <v>9892</v>
      </c>
      <c r="I4740" s="10" t="s">
        <v>9893</v>
      </c>
      <c r="J4740" s="11" t="s">
        <v>26</v>
      </c>
      <c r="K4740" s="18">
        <v>97</v>
      </c>
      <c r="L4740" s="12">
        <f t="shared" si="407"/>
        <v>130</v>
      </c>
      <c r="M4740" s="8">
        <v>1</v>
      </c>
      <c r="N4740" s="8" t="s">
        <v>27</v>
      </c>
      <c r="O4740" s="13"/>
      <c r="P4740" s="14">
        <v>0.2</v>
      </c>
      <c r="Q4740" s="15">
        <v>9.8459797033567539E-2</v>
      </c>
      <c r="R4740" s="16" t="str">
        <f t="shared" si="409"/>
        <v>KLIPSCH</v>
      </c>
      <c r="S4740" s="17"/>
      <c r="T4740" s="10"/>
    </row>
    <row r="4741" spans="1:20" ht="27" customHeight="1" x14ac:dyDescent="0.25">
      <c r="A4741" s="8" t="s">
        <v>5672</v>
      </c>
      <c r="B4741" s="9"/>
      <c r="C4741" s="9"/>
      <c r="D4741" s="8"/>
      <c r="E4741" s="8"/>
      <c r="F4741" s="8"/>
      <c r="G4741" s="10"/>
      <c r="H4741" s="8" t="s">
        <v>6714</v>
      </c>
      <c r="I4741" s="10" t="s">
        <v>9894</v>
      </c>
      <c r="J4741" s="11" t="s">
        <v>26</v>
      </c>
      <c r="K4741" s="57">
        <v>810</v>
      </c>
      <c r="L4741" s="12">
        <f t="shared" si="407"/>
        <v>1500</v>
      </c>
      <c r="M4741" s="8">
        <v>1</v>
      </c>
      <c r="N4741" s="8" t="s">
        <v>27</v>
      </c>
      <c r="O4741" s="13"/>
      <c r="P4741" s="14">
        <v>0.2</v>
      </c>
      <c r="Q4741" s="15">
        <v>0.35171723099219432</v>
      </c>
      <c r="R4741" s="16" t="str">
        <f t="shared" si="409"/>
        <v>LUTRON</v>
      </c>
      <c r="S4741" s="17"/>
      <c r="T4741" s="10"/>
    </row>
    <row r="4742" spans="1:20" ht="27" customHeight="1" x14ac:dyDescent="0.25">
      <c r="A4742" s="8" t="s">
        <v>5672</v>
      </c>
      <c r="B4742" s="9"/>
      <c r="C4742" s="9"/>
      <c r="D4742" s="8"/>
      <c r="E4742" s="8"/>
      <c r="F4742" s="8"/>
      <c r="G4742" s="10"/>
      <c r="H4742" s="8" t="s">
        <v>9895</v>
      </c>
      <c r="I4742" s="10" t="s">
        <v>9896</v>
      </c>
      <c r="J4742" s="11" t="s">
        <v>26</v>
      </c>
      <c r="K4742" s="57">
        <v>113</v>
      </c>
      <c r="L4742" s="12">
        <f t="shared" si="407"/>
        <v>209</v>
      </c>
      <c r="M4742" s="8">
        <v>1</v>
      </c>
      <c r="N4742" s="8" t="s">
        <v>27</v>
      </c>
      <c r="O4742" s="13"/>
      <c r="P4742" s="14">
        <v>0.2</v>
      </c>
      <c r="Q4742" s="15">
        <v>0.34820005868227227</v>
      </c>
      <c r="R4742" s="16" t="str">
        <f t="shared" si="409"/>
        <v>LUTRON</v>
      </c>
      <c r="S4742" s="17"/>
      <c r="T4742" s="10"/>
    </row>
    <row r="4743" spans="1:20" ht="27" customHeight="1" x14ac:dyDescent="0.25">
      <c r="A4743" s="8" t="s">
        <v>5672</v>
      </c>
      <c r="B4743" s="9"/>
      <c r="C4743" s="9"/>
      <c r="D4743" s="8"/>
      <c r="E4743" s="8"/>
      <c r="F4743" s="8"/>
      <c r="G4743" s="10"/>
      <c r="H4743" s="8" t="s">
        <v>9897</v>
      </c>
      <c r="I4743" s="10" t="s">
        <v>9898</v>
      </c>
      <c r="J4743" s="11" t="s">
        <v>26</v>
      </c>
      <c r="K4743" s="57">
        <v>205</v>
      </c>
      <c r="L4743" s="12">
        <f t="shared" si="407"/>
        <v>410</v>
      </c>
      <c r="M4743" s="8">
        <v>1</v>
      </c>
      <c r="N4743" s="8" t="s">
        <v>27</v>
      </c>
      <c r="O4743" s="13"/>
      <c r="P4743" s="14">
        <v>0.2</v>
      </c>
      <c r="Q4743" s="15">
        <v>0.4</v>
      </c>
      <c r="R4743" s="16" t="str">
        <f t="shared" si="409"/>
        <v>LUTRON</v>
      </c>
      <c r="S4743" s="17"/>
      <c r="T4743" s="10"/>
    </row>
    <row r="4744" spans="1:20" ht="27" customHeight="1" x14ac:dyDescent="0.25">
      <c r="A4744" s="8" t="s">
        <v>5672</v>
      </c>
      <c r="B4744" s="9"/>
      <c r="C4744" s="9"/>
      <c r="D4744" s="8"/>
      <c r="E4744" s="8"/>
      <c r="F4744" s="8"/>
      <c r="G4744" s="10"/>
      <c r="H4744" s="63" t="s">
        <v>9899</v>
      </c>
      <c r="I4744" s="10" t="s">
        <v>9900</v>
      </c>
      <c r="J4744" s="11" t="s">
        <v>26</v>
      </c>
      <c r="K4744" s="57">
        <v>642.6</v>
      </c>
      <c r="L4744" s="12">
        <f t="shared" si="407"/>
        <v>1286</v>
      </c>
      <c r="M4744" s="8">
        <v>1</v>
      </c>
      <c r="N4744" s="8" t="s">
        <v>27</v>
      </c>
      <c r="O4744" s="13"/>
      <c r="P4744" s="14">
        <v>0.2</v>
      </c>
      <c r="Q4744" s="15">
        <v>0.4</v>
      </c>
      <c r="R4744" s="16" t="str">
        <f t="shared" si="409"/>
        <v>LUTRON</v>
      </c>
      <c r="S4744" s="17"/>
      <c r="T4744" s="10"/>
    </row>
    <row r="4745" spans="1:20" ht="27" customHeight="1" x14ac:dyDescent="0.25">
      <c r="A4745" s="8" t="s">
        <v>5672</v>
      </c>
      <c r="B4745" s="9"/>
      <c r="C4745" s="9"/>
      <c r="D4745" s="8"/>
      <c r="E4745" s="8"/>
      <c r="F4745" s="8"/>
      <c r="G4745" s="10"/>
      <c r="H4745" s="8" t="s">
        <v>9901</v>
      </c>
      <c r="I4745" s="10" t="s">
        <v>9902</v>
      </c>
      <c r="J4745" s="11" t="s">
        <v>26</v>
      </c>
      <c r="K4745" s="57">
        <v>31</v>
      </c>
      <c r="L4745" s="12">
        <f t="shared" si="407"/>
        <v>62</v>
      </c>
      <c r="M4745" s="8">
        <v>1</v>
      </c>
      <c r="N4745" s="8" t="s">
        <v>27</v>
      </c>
      <c r="O4745" s="13"/>
      <c r="P4745" s="14">
        <v>0.2</v>
      </c>
      <c r="Q4745" s="15">
        <v>0.4</v>
      </c>
      <c r="R4745" s="16" t="str">
        <f t="shared" si="409"/>
        <v>LUTRON</v>
      </c>
      <c r="S4745" s="17"/>
      <c r="T4745" s="10"/>
    </row>
    <row r="4746" spans="1:20" ht="27" customHeight="1" x14ac:dyDescent="0.25">
      <c r="A4746" s="8" t="s">
        <v>3977</v>
      </c>
      <c r="B4746" s="9"/>
      <c r="C4746" s="9"/>
      <c r="D4746" s="8"/>
      <c r="E4746" s="8"/>
      <c r="F4746" s="8"/>
      <c r="G4746" s="10"/>
      <c r="H4746" s="8" t="s">
        <v>9903</v>
      </c>
      <c r="I4746" s="10" t="s">
        <v>9904</v>
      </c>
      <c r="J4746" s="11" t="s">
        <v>33</v>
      </c>
      <c r="K4746" s="18">
        <v>350000</v>
      </c>
      <c r="L4746" s="12">
        <f t="shared" si="407"/>
        <v>583334</v>
      </c>
      <c r="M4746" s="8">
        <v>1</v>
      </c>
      <c r="N4746" s="8" t="s">
        <v>27</v>
      </c>
      <c r="O4746" s="13"/>
      <c r="P4746" s="14">
        <v>0</v>
      </c>
      <c r="Q4746" s="15">
        <v>0.4</v>
      </c>
      <c r="R4746" s="16" t="str">
        <f t="shared" si="409"/>
        <v>KOMODO</v>
      </c>
      <c r="S4746" s="17"/>
      <c r="T4746" s="10"/>
    </row>
    <row r="4747" spans="1:20" ht="27" customHeight="1" x14ac:dyDescent="0.25">
      <c r="A4747" s="8" t="s">
        <v>59</v>
      </c>
      <c r="B4747" s="9" t="s">
        <v>1322</v>
      </c>
      <c r="C4747" s="9"/>
      <c r="D4747" s="8" t="s">
        <v>1432</v>
      </c>
      <c r="E4747" s="8">
        <v>5</v>
      </c>
      <c r="F4747" s="8" t="s">
        <v>22</v>
      </c>
      <c r="G4747" s="10" t="s">
        <v>1441</v>
      </c>
      <c r="H4747" s="8" t="s">
        <v>9905</v>
      </c>
      <c r="I4747" s="10" t="s">
        <v>9906</v>
      </c>
      <c r="J4747" s="11" t="s">
        <v>33</v>
      </c>
      <c r="K4747" s="18">
        <v>12000</v>
      </c>
      <c r="L4747" s="12">
        <f t="shared" ref="L4747:L4768" si="410">IF(J4747="P",ROUNDUP(K4747/(1-Q4747),-2),K4747*(1+P4747)/(1-Q4747))</f>
        <v>20000</v>
      </c>
      <c r="M4747" s="8">
        <v>1</v>
      </c>
      <c r="N4747" s="8" t="s">
        <v>27</v>
      </c>
      <c r="O4747" s="13"/>
      <c r="P4747" s="14">
        <v>0.2</v>
      </c>
      <c r="Q4747" s="15">
        <v>0.4</v>
      </c>
      <c r="R4747" s="16" t="str">
        <f t="shared" si="409"/>
        <v>COLMENA</v>
      </c>
      <c r="S4747" s="17"/>
      <c r="T4747" s="10" t="str">
        <f>G4747</f>
        <v>CAJA 5800 RATWELL</v>
      </c>
    </row>
    <row r="4748" spans="1:20" ht="27" customHeight="1" x14ac:dyDescent="0.25">
      <c r="A4748" s="8" t="s">
        <v>59</v>
      </c>
      <c r="B4748" s="9" t="s">
        <v>1322</v>
      </c>
      <c r="C4748" s="9"/>
      <c r="D4748" s="8" t="s">
        <v>1432</v>
      </c>
      <c r="E4748" s="8">
        <v>5</v>
      </c>
      <c r="F4748" s="8" t="s">
        <v>22</v>
      </c>
      <c r="G4748" s="10" t="s">
        <v>1441</v>
      </c>
      <c r="H4748" s="8" t="s">
        <v>9907</v>
      </c>
      <c r="I4748" s="10" t="s">
        <v>9908</v>
      </c>
      <c r="J4748" s="11" t="s">
        <v>33</v>
      </c>
      <c r="K4748" s="18">
        <v>2400</v>
      </c>
      <c r="L4748" s="12">
        <f t="shared" si="410"/>
        <v>4000</v>
      </c>
      <c r="M4748" s="8">
        <v>1</v>
      </c>
      <c r="N4748" s="8" t="s">
        <v>27</v>
      </c>
      <c r="O4748" s="13"/>
      <c r="P4748" s="14">
        <v>0.2</v>
      </c>
      <c r="Q4748" s="15">
        <v>0.4</v>
      </c>
      <c r="R4748" s="16" t="str">
        <f t="shared" si="409"/>
        <v>COLMENA</v>
      </c>
      <c r="S4748" s="17"/>
      <c r="T4748" s="10"/>
    </row>
    <row r="4749" spans="1:20" ht="27" customHeight="1" x14ac:dyDescent="0.25">
      <c r="A4749" s="8" t="s">
        <v>9909</v>
      </c>
      <c r="B4749" s="9"/>
      <c r="C4749" s="9"/>
      <c r="D4749" s="8"/>
      <c r="E4749" s="8"/>
      <c r="F4749" s="8"/>
      <c r="G4749" s="10"/>
      <c r="H4749" s="8" t="s">
        <v>9910</v>
      </c>
      <c r="I4749" s="10" t="s">
        <v>9911</v>
      </c>
      <c r="J4749" s="11" t="s">
        <v>33</v>
      </c>
      <c r="K4749" s="18">
        <v>2500</v>
      </c>
      <c r="L4749" s="12">
        <f t="shared" si="410"/>
        <v>3600</v>
      </c>
      <c r="M4749" s="8">
        <v>1</v>
      </c>
      <c r="N4749" s="8" t="s">
        <v>27</v>
      </c>
      <c r="O4749" s="13"/>
      <c r="P4749" s="14">
        <v>0</v>
      </c>
      <c r="Q4749" s="15">
        <v>0.3</v>
      </c>
      <c r="R4749" s="16" t="str">
        <f t="shared" si="409"/>
        <v>BESTA</v>
      </c>
      <c r="S4749" s="17"/>
      <c r="T4749" s="10"/>
    </row>
    <row r="4750" spans="1:20" ht="27" customHeight="1" x14ac:dyDescent="0.25">
      <c r="A4750" s="8" t="s">
        <v>9912</v>
      </c>
      <c r="B4750" s="9"/>
      <c r="C4750" s="9"/>
      <c r="D4750" s="8"/>
      <c r="E4750" s="8"/>
      <c r="F4750" s="8"/>
      <c r="G4750" s="10"/>
      <c r="H4750" s="8" t="s">
        <v>9913</v>
      </c>
      <c r="I4750" s="10" t="s">
        <v>9914</v>
      </c>
      <c r="J4750" s="11" t="s">
        <v>33</v>
      </c>
      <c r="K4750" s="18">
        <v>31</v>
      </c>
      <c r="L4750" s="12">
        <f t="shared" si="410"/>
        <v>100</v>
      </c>
      <c r="M4750" s="8">
        <v>1</v>
      </c>
      <c r="N4750" s="8" t="s">
        <v>27</v>
      </c>
      <c r="O4750" s="13"/>
      <c r="P4750" s="14">
        <v>0</v>
      </c>
      <c r="Q4750" s="15">
        <v>0.3</v>
      </c>
      <c r="R4750" s="16" t="str">
        <f t="shared" si="409"/>
        <v>SIETEPRO</v>
      </c>
      <c r="S4750" s="17"/>
      <c r="T4750" s="10"/>
    </row>
    <row r="4751" spans="1:20" ht="27" customHeight="1" x14ac:dyDescent="0.25">
      <c r="A4751" s="8" t="s">
        <v>9915</v>
      </c>
      <c r="B4751" s="9"/>
      <c r="C4751" s="9"/>
      <c r="D4751" s="8"/>
      <c r="E4751" s="8"/>
      <c r="F4751" s="8"/>
      <c r="G4751" s="10"/>
      <c r="H4751" s="8" t="s">
        <v>9916</v>
      </c>
      <c r="I4751" s="10" t="s">
        <v>9917</v>
      </c>
      <c r="J4751" s="11" t="s">
        <v>33</v>
      </c>
      <c r="K4751" s="18">
        <v>46000</v>
      </c>
      <c r="L4751" s="12">
        <f t="shared" si="410"/>
        <v>65800</v>
      </c>
      <c r="M4751" s="8">
        <v>1</v>
      </c>
      <c r="N4751" s="8" t="s">
        <v>27</v>
      </c>
      <c r="O4751" s="13"/>
      <c r="P4751" s="14">
        <v>0</v>
      </c>
      <c r="Q4751" s="15">
        <v>0.3</v>
      </c>
      <c r="R4751" s="16" t="str">
        <f t="shared" si="409"/>
        <v>TUPPER</v>
      </c>
      <c r="S4751" s="17"/>
      <c r="T4751" s="10"/>
    </row>
    <row r="4752" spans="1:20" ht="27" customHeight="1" x14ac:dyDescent="0.25">
      <c r="A4752" s="8" t="s">
        <v>5454</v>
      </c>
      <c r="B4752" s="9"/>
      <c r="C4752" s="9"/>
      <c r="D4752" s="8"/>
      <c r="E4752" s="8"/>
      <c r="F4752" s="8"/>
      <c r="G4752" s="10"/>
      <c r="H4752" s="8" t="s">
        <v>9918</v>
      </c>
      <c r="I4752" s="10" t="s">
        <v>9919</v>
      </c>
      <c r="J4752" s="11" t="s">
        <v>33</v>
      </c>
      <c r="K4752" s="18">
        <v>2780</v>
      </c>
      <c r="L4752" s="12">
        <f t="shared" si="410"/>
        <v>4000</v>
      </c>
      <c r="M4752" s="8">
        <v>1</v>
      </c>
      <c r="N4752" s="8" t="s">
        <v>27</v>
      </c>
      <c r="O4752" s="13"/>
      <c r="P4752" s="14">
        <v>0</v>
      </c>
      <c r="Q4752" s="15">
        <v>0.3</v>
      </c>
      <c r="R4752" s="16" t="str">
        <f t="shared" si="409"/>
        <v>LUMEK</v>
      </c>
      <c r="S4752" s="17"/>
      <c r="T4752" s="10"/>
    </row>
    <row r="4753" spans="1:20" ht="27" customHeight="1" x14ac:dyDescent="0.25">
      <c r="A4753" s="8" t="s">
        <v>2512</v>
      </c>
      <c r="B4753" s="9"/>
      <c r="C4753" s="9"/>
      <c r="D4753" s="8"/>
      <c r="E4753" s="8"/>
      <c r="F4753" s="8"/>
      <c r="G4753" s="10"/>
      <c r="H4753" s="8" t="s">
        <v>9920</v>
      </c>
      <c r="I4753" s="10" t="s">
        <v>9921</v>
      </c>
      <c r="J4753" s="11" t="s">
        <v>33</v>
      </c>
      <c r="K4753" s="18">
        <v>25210</v>
      </c>
      <c r="L4753" s="12">
        <f t="shared" si="410"/>
        <v>36100</v>
      </c>
      <c r="M4753" s="8">
        <v>1</v>
      </c>
      <c r="N4753" s="8" t="s">
        <v>27</v>
      </c>
      <c r="O4753" s="13"/>
      <c r="P4753" s="14">
        <v>0</v>
      </c>
      <c r="Q4753" s="15">
        <v>0.3</v>
      </c>
      <c r="R4753" s="16" t="str">
        <f t="shared" si="409"/>
        <v>GENERAL</v>
      </c>
      <c r="S4753" s="17"/>
      <c r="T4753" s="10"/>
    </row>
    <row r="4754" spans="1:20" ht="27" customHeight="1" x14ac:dyDescent="0.25">
      <c r="A4754" s="8" t="s">
        <v>3915</v>
      </c>
      <c r="B4754" s="9"/>
      <c r="C4754" s="9"/>
      <c r="D4754" s="8"/>
      <c r="E4754" s="8"/>
      <c r="F4754" s="8"/>
      <c r="G4754" s="10"/>
      <c r="H4754" s="8" t="s">
        <v>9922</v>
      </c>
      <c r="I4754" s="10" t="s">
        <v>9923</v>
      </c>
      <c r="J4754" s="11" t="s">
        <v>26</v>
      </c>
      <c r="K4754" s="18">
        <v>165</v>
      </c>
      <c r="L4754" s="12">
        <f t="shared" si="410"/>
        <v>235.71428571428572</v>
      </c>
      <c r="M4754" s="8">
        <v>1</v>
      </c>
      <c r="N4754" s="8" t="s">
        <v>27</v>
      </c>
      <c r="O4754" s="13"/>
      <c r="P4754" s="14">
        <v>0</v>
      </c>
      <c r="Q4754" s="15">
        <v>0.3</v>
      </c>
      <c r="R4754" s="16" t="str">
        <f t="shared" si="409"/>
        <v>KLIPSCH</v>
      </c>
      <c r="S4754" s="17"/>
      <c r="T4754" s="10"/>
    </row>
    <row r="4755" spans="1:20" ht="27" customHeight="1" x14ac:dyDescent="0.25">
      <c r="A4755" s="53" t="s">
        <v>5027</v>
      </c>
      <c r="B4755" s="9"/>
      <c r="C4755" s="9"/>
      <c r="D4755" s="8"/>
      <c r="E4755" s="8"/>
      <c r="F4755" s="8"/>
      <c r="G4755" s="10"/>
      <c r="H4755" s="8" t="s">
        <v>9924</v>
      </c>
      <c r="I4755" s="10" t="s">
        <v>9925</v>
      </c>
      <c r="J4755" s="11" t="s">
        <v>33</v>
      </c>
      <c r="K4755" s="18">
        <v>310000</v>
      </c>
      <c r="L4755" s="12">
        <f t="shared" si="410"/>
        <v>442900</v>
      </c>
      <c r="M4755" s="8">
        <v>1</v>
      </c>
      <c r="N4755" s="8" t="s">
        <v>27</v>
      </c>
      <c r="O4755" s="13"/>
      <c r="P4755" s="14">
        <v>0</v>
      </c>
      <c r="Q4755" s="15">
        <v>0.3</v>
      </c>
      <c r="R4755" s="16" t="str">
        <f t="shared" si="409"/>
        <v>LEDS_C4</v>
      </c>
      <c r="S4755" s="17"/>
      <c r="T4755" s="10"/>
    </row>
    <row r="4756" spans="1:20" ht="27" customHeight="1" x14ac:dyDescent="0.25">
      <c r="A4756" s="8" t="s">
        <v>9568</v>
      </c>
      <c r="B4756" s="9"/>
      <c r="C4756" s="9"/>
      <c r="D4756" s="8"/>
      <c r="E4756" s="8"/>
      <c r="F4756" s="8"/>
      <c r="G4756" s="10"/>
      <c r="H4756" s="8" t="s">
        <v>9926</v>
      </c>
      <c r="I4756" s="10" t="s">
        <v>9927</v>
      </c>
      <c r="J4756" s="11" t="s">
        <v>33</v>
      </c>
      <c r="K4756" s="18">
        <v>901000</v>
      </c>
      <c r="L4756" s="12">
        <f t="shared" si="410"/>
        <v>1287200</v>
      </c>
      <c r="M4756" s="8">
        <v>1</v>
      </c>
      <c r="N4756" s="8" t="s">
        <v>27</v>
      </c>
      <c r="O4756" s="13"/>
      <c r="P4756" s="14">
        <v>0</v>
      </c>
      <c r="Q4756" s="15">
        <v>0.3</v>
      </c>
      <c r="R4756" s="16" t="str">
        <f t="shared" si="409"/>
        <v>WESTERN DIGITAL</v>
      </c>
      <c r="S4756" s="17"/>
      <c r="T4756" s="10"/>
    </row>
    <row r="4757" spans="1:20" ht="27" customHeight="1" x14ac:dyDescent="0.25">
      <c r="A4757" s="8" t="s">
        <v>3977</v>
      </c>
      <c r="B4757" s="9"/>
      <c r="C4757" s="9"/>
      <c r="D4757" s="8"/>
      <c r="E4757" s="8"/>
      <c r="F4757" s="8"/>
      <c r="G4757" s="10"/>
      <c r="H4757" s="8" t="s">
        <v>9928</v>
      </c>
      <c r="I4757" s="10" t="s">
        <v>9929</v>
      </c>
      <c r="J4757" s="11" t="s">
        <v>33</v>
      </c>
      <c r="K4757" s="18">
        <v>160000</v>
      </c>
      <c r="L4757" s="12">
        <f t="shared" si="410"/>
        <v>228600</v>
      </c>
      <c r="M4757" s="8">
        <v>1</v>
      </c>
      <c r="N4757" s="8" t="s">
        <v>27</v>
      </c>
      <c r="O4757" s="13"/>
      <c r="P4757" s="14">
        <v>0</v>
      </c>
      <c r="Q4757" s="15">
        <v>0.3</v>
      </c>
      <c r="R4757" s="16" t="str">
        <f t="shared" si="409"/>
        <v>KOMODO</v>
      </c>
      <c r="S4757" s="17"/>
      <c r="T4757" s="10"/>
    </row>
    <row r="4758" spans="1:20" ht="27" customHeight="1" x14ac:dyDescent="0.25">
      <c r="A4758" s="8" t="s">
        <v>3977</v>
      </c>
      <c r="B4758" s="9"/>
      <c r="C4758" s="9"/>
      <c r="D4758" s="8"/>
      <c r="E4758" s="8"/>
      <c r="F4758" s="8"/>
      <c r="G4758" s="10"/>
      <c r="H4758" s="8" t="s">
        <v>9930</v>
      </c>
      <c r="I4758" s="10" t="s">
        <v>9931</v>
      </c>
      <c r="J4758" s="11" t="s">
        <v>33</v>
      </c>
      <c r="K4758" s="18">
        <v>250000</v>
      </c>
      <c r="L4758" s="12">
        <f t="shared" si="410"/>
        <v>357200</v>
      </c>
      <c r="M4758" s="8">
        <v>1</v>
      </c>
      <c r="N4758" s="8" t="s">
        <v>27</v>
      </c>
      <c r="O4758" s="13"/>
      <c r="P4758" s="14">
        <v>0</v>
      </c>
      <c r="Q4758" s="15">
        <v>0.3</v>
      </c>
      <c r="R4758" s="16" t="str">
        <f t="shared" si="409"/>
        <v>KOMODO</v>
      </c>
      <c r="S4758" s="17"/>
      <c r="T4758" s="10"/>
    </row>
    <row r="4759" spans="1:20" ht="27" customHeight="1" x14ac:dyDescent="0.25">
      <c r="A4759" s="8" t="s">
        <v>5380</v>
      </c>
      <c r="B4759" s="9"/>
      <c r="C4759" s="9"/>
      <c r="D4759" s="8"/>
      <c r="E4759" s="8"/>
      <c r="F4759" s="8"/>
      <c r="G4759" s="10"/>
      <c r="H4759" s="8" t="s">
        <v>9932</v>
      </c>
      <c r="I4759" s="10" t="s">
        <v>9933</v>
      </c>
      <c r="J4759" s="11" t="s">
        <v>33</v>
      </c>
      <c r="K4759" s="18">
        <v>125300</v>
      </c>
      <c r="L4759" s="12">
        <f t="shared" si="410"/>
        <v>179000</v>
      </c>
      <c r="M4759" s="8">
        <v>1</v>
      </c>
      <c r="N4759" s="8" t="s">
        <v>27</v>
      </c>
      <c r="O4759" s="13"/>
      <c r="P4759" s="14">
        <v>0</v>
      </c>
      <c r="Q4759" s="15">
        <v>0.3</v>
      </c>
      <c r="R4759" s="16" t="str">
        <f t="shared" si="409"/>
        <v>LINDY</v>
      </c>
      <c r="S4759" s="17"/>
      <c r="T4759" s="10"/>
    </row>
    <row r="4760" spans="1:20" ht="27" customHeight="1" x14ac:dyDescent="0.25">
      <c r="A4760" s="8" t="s">
        <v>7931</v>
      </c>
      <c r="B4760" s="9"/>
      <c r="C4760" s="9"/>
      <c r="D4760" s="8"/>
      <c r="E4760" s="8"/>
      <c r="F4760" s="8"/>
      <c r="G4760" s="10"/>
      <c r="H4760" s="8" t="s">
        <v>9934</v>
      </c>
      <c r="I4760" s="10" t="s">
        <v>9935</v>
      </c>
      <c r="J4760" s="11" t="s">
        <v>33</v>
      </c>
      <c r="K4760" s="18">
        <v>10916</v>
      </c>
      <c r="L4760" s="12">
        <f t="shared" si="410"/>
        <v>15600</v>
      </c>
      <c r="M4760" s="8">
        <v>1</v>
      </c>
      <c r="N4760" s="8" t="s">
        <v>27</v>
      </c>
      <c r="O4760" s="13"/>
      <c r="P4760" s="14">
        <v>0</v>
      </c>
      <c r="Q4760" s="15">
        <v>0.3</v>
      </c>
      <c r="R4760" s="16" t="str">
        <f t="shared" si="409"/>
        <v>SYLVANIA</v>
      </c>
      <c r="S4760" s="17"/>
      <c r="T4760" s="10"/>
    </row>
    <row r="4761" spans="1:20" ht="27" customHeight="1" x14ac:dyDescent="0.25">
      <c r="A4761" s="8" t="s">
        <v>690</v>
      </c>
      <c r="B4761" s="9"/>
      <c r="C4761" s="9"/>
      <c r="D4761" s="8"/>
      <c r="E4761" s="8"/>
      <c r="F4761" s="8"/>
      <c r="G4761" s="10"/>
      <c r="H4761" s="8" t="s">
        <v>9936</v>
      </c>
      <c r="I4761" s="10" t="s">
        <v>9937</v>
      </c>
      <c r="J4761" s="11" t="s">
        <v>33</v>
      </c>
      <c r="K4761" s="18">
        <v>15920</v>
      </c>
      <c r="L4761" s="12">
        <f t="shared" si="410"/>
        <v>22800</v>
      </c>
      <c r="M4761" s="8">
        <v>1</v>
      </c>
      <c r="N4761" s="8" t="s">
        <v>27</v>
      </c>
      <c r="O4761" s="13"/>
      <c r="P4761" s="14">
        <v>0</v>
      </c>
      <c r="Q4761" s="15">
        <v>0.3</v>
      </c>
      <c r="R4761" s="16" t="str">
        <f t="shared" si="409"/>
        <v>AURA</v>
      </c>
      <c r="S4761" s="17"/>
      <c r="T4761" s="10"/>
    </row>
    <row r="4762" spans="1:20" ht="27" customHeight="1" x14ac:dyDescent="0.25">
      <c r="A4762" s="8" t="s">
        <v>7989</v>
      </c>
      <c r="B4762" s="9"/>
      <c r="C4762" s="9"/>
      <c r="D4762" s="8"/>
      <c r="E4762" s="8"/>
      <c r="F4762" s="8"/>
      <c r="G4762" s="10"/>
      <c r="H4762" s="8" t="s">
        <v>9938</v>
      </c>
      <c r="I4762" s="10" t="s">
        <v>9939</v>
      </c>
      <c r="J4762" s="11" t="s">
        <v>26</v>
      </c>
      <c r="K4762" s="18">
        <v>339</v>
      </c>
      <c r="L4762" s="12">
        <f t="shared" si="410"/>
        <v>521.53846153846155</v>
      </c>
      <c r="M4762" s="8">
        <v>1</v>
      </c>
      <c r="N4762" s="8" t="s">
        <v>27</v>
      </c>
      <c r="O4762" s="13"/>
      <c r="P4762" s="14">
        <v>0</v>
      </c>
      <c r="Q4762" s="15">
        <v>0.35</v>
      </c>
      <c r="R4762" s="16" t="str">
        <f t="shared" si="409"/>
        <v>RUSSOUND</v>
      </c>
      <c r="S4762" s="17"/>
      <c r="T4762" s="10"/>
    </row>
    <row r="4763" spans="1:20" ht="27" customHeight="1" x14ac:dyDescent="0.25">
      <c r="A4763" s="8" t="s">
        <v>7989</v>
      </c>
      <c r="B4763" s="9"/>
      <c r="C4763" s="9"/>
      <c r="D4763" s="8"/>
      <c r="E4763" s="8"/>
      <c r="F4763" s="8"/>
      <c r="G4763" s="10"/>
      <c r="H4763" s="8" t="s">
        <v>9940</v>
      </c>
      <c r="I4763" s="10" t="s">
        <v>9941</v>
      </c>
      <c r="J4763" s="11" t="s">
        <v>26</v>
      </c>
      <c r="K4763" s="18">
        <v>254</v>
      </c>
      <c r="L4763" s="12">
        <f t="shared" si="410"/>
        <v>479.00000094167211</v>
      </c>
      <c r="M4763" s="8">
        <v>1</v>
      </c>
      <c r="N4763" s="8" t="s">
        <v>27</v>
      </c>
      <c r="O4763" s="13"/>
      <c r="P4763" s="14">
        <v>0.2</v>
      </c>
      <c r="Q4763" s="15">
        <v>0.36367432275409212</v>
      </c>
      <c r="R4763" s="16" t="str">
        <f t="shared" si="409"/>
        <v>RUSSOUND</v>
      </c>
      <c r="S4763" s="17"/>
      <c r="T4763" s="10"/>
    </row>
    <row r="4764" spans="1:20" ht="27" customHeight="1" x14ac:dyDescent="0.25">
      <c r="A4764" s="8" t="s">
        <v>7989</v>
      </c>
      <c r="B4764" s="9"/>
      <c r="C4764" s="9"/>
      <c r="D4764" s="8"/>
      <c r="E4764" s="8"/>
      <c r="F4764" s="8"/>
      <c r="G4764" s="10"/>
      <c r="H4764" s="8" t="s">
        <v>9942</v>
      </c>
      <c r="I4764" s="10" t="s">
        <v>9943</v>
      </c>
      <c r="J4764" s="11" t="s">
        <v>26</v>
      </c>
      <c r="K4764" s="18">
        <v>256</v>
      </c>
      <c r="L4764" s="12">
        <f t="shared" si="410"/>
        <v>449.00000284124945</v>
      </c>
      <c r="M4764" s="8">
        <v>1</v>
      </c>
      <c r="N4764" s="8" t="s">
        <v>27</v>
      </c>
      <c r="O4764" s="13"/>
      <c r="P4764" s="14">
        <v>0.2</v>
      </c>
      <c r="Q4764" s="15">
        <v>0.31581292192415628</v>
      </c>
      <c r="R4764" s="16" t="str">
        <f t="shared" si="409"/>
        <v>RUSSOUND</v>
      </c>
      <c r="S4764" s="17"/>
      <c r="T4764" s="10"/>
    </row>
    <row r="4765" spans="1:20" ht="27" customHeight="1" x14ac:dyDescent="0.25">
      <c r="A4765" s="8" t="s">
        <v>861</v>
      </c>
      <c r="B4765" s="9"/>
      <c r="C4765" s="9"/>
      <c r="D4765" s="8"/>
      <c r="E4765" s="8"/>
      <c r="F4765" s="8"/>
      <c r="G4765" s="10"/>
      <c r="H4765" s="8" t="s">
        <v>9944</v>
      </c>
      <c r="I4765" s="10" t="s">
        <v>9945</v>
      </c>
      <c r="J4765" s="11" t="s">
        <v>26</v>
      </c>
      <c r="K4765" s="18">
        <f>1600*0.75</f>
        <v>1200</v>
      </c>
      <c r="L4765" s="12">
        <f t="shared" si="410"/>
        <v>1600</v>
      </c>
      <c r="M4765" s="8">
        <v>1</v>
      </c>
      <c r="N4765" s="8" t="s">
        <v>27</v>
      </c>
      <c r="O4765" s="13"/>
      <c r="P4765" s="14">
        <v>0</v>
      </c>
      <c r="Q4765" s="15">
        <v>0.25</v>
      </c>
      <c r="R4765" s="16" t="str">
        <f t="shared" si="409"/>
        <v>BLUOS</v>
      </c>
      <c r="S4765" s="17"/>
      <c r="T4765" s="10"/>
    </row>
    <row r="4766" spans="1:20" ht="27" customHeight="1" x14ac:dyDescent="0.25">
      <c r="A4766" s="8" t="s">
        <v>5672</v>
      </c>
      <c r="B4766" s="9"/>
      <c r="C4766" s="9"/>
      <c r="D4766" s="8"/>
      <c r="E4766" s="8"/>
      <c r="F4766" s="8"/>
      <c r="G4766" s="10"/>
      <c r="H4766" s="8" t="s">
        <v>9946</v>
      </c>
      <c r="I4766" s="10" t="s">
        <v>9947</v>
      </c>
      <c r="J4766" s="11" t="s">
        <v>26</v>
      </c>
      <c r="K4766" s="57">
        <v>1020.3</v>
      </c>
      <c r="L4766" s="12">
        <f t="shared" si="410"/>
        <v>1789.9999907630652</v>
      </c>
      <c r="M4766" s="8">
        <v>1</v>
      </c>
      <c r="N4766" s="8" t="s">
        <v>27</v>
      </c>
      <c r="O4766" s="13"/>
      <c r="P4766" s="14">
        <v>0.2</v>
      </c>
      <c r="Q4766" s="15">
        <v>0.3159999964703557</v>
      </c>
      <c r="R4766" s="16" t="str">
        <f t="shared" si="409"/>
        <v>LUTRON</v>
      </c>
      <c r="S4766" s="17"/>
      <c r="T4766" s="10"/>
    </row>
    <row r="4767" spans="1:20" ht="27" customHeight="1" x14ac:dyDescent="0.25">
      <c r="A4767" s="8" t="s">
        <v>3685</v>
      </c>
      <c r="B4767" s="9"/>
      <c r="C4767" s="9"/>
      <c r="D4767" s="8"/>
      <c r="E4767" s="8"/>
      <c r="F4767" s="8"/>
      <c r="G4767" s="10"/>
      <c r="H4767" s="8" t="s">
        <v>9948</v>
      </c>
      <c r="I4767" s="10" t="s">
        <v>9949</v>
      </c>
      <c r="J4767" s="11" t="s">
        <v>33</v>
      </c>
      <c r="K4767" s="18">
        <v>110000</v>
      </c>
      <c r="L4767" s="12">
        <f t="shared" si="410"/>
        <v>183400</v>
      </c>
      <c r="M4767" s="8">
        <v>1</v>
      </c>
      <c r="N4767" s="8" t="s">
        <v>27</v>
      </c>
      <c r="O4767" s="13"/>
      <c r="P4767" s="14">
        <v>0</v>
      </c>
      <c r="Q4767" s="15">
        <v>0.4</v>
      </c>
      <c r="R4767" s="16" t="str">
        <f t="shared" si="409"/>
        <v>ILUMINARTE</v>
      </c>
      <c r="S4767" s="17"/>
      <c r="T4767" s="10"/>
    </row>
    <row r="4768" spans="1:20" ht="27" customHeight="1" x14ac:dyDescent="0.25">
      <c r="A4768" s="8" t="s">
        <v>9379</v>
      </c>
      <c r="B4768" s="9"/>
      <c r="C4768" s="9"/>
      <c r="D4768" s="8"/>
      <c r="E4768" s="8"/>
      <c r="F4768" s="8"/>
      <c r="G4768" s="10"/>
      <c r="H4768" s="8" t="s">
        <v>9950</v>
      </c>
      <c r="I4768" s="10" t="s">
        <v>9951</v>
      </c>
      <c r="J4768" s="11" t="s">
        <v>26</v>
      </c>
      <c r="K4768" s="18">
        <v>522</v>
      </c>
      <c r="L4768" s="12">
        <f t="shared" si="410"/>
        <v>820.00036325650535</v>
      </c>
      <c r="M4768" s="8">
        <v>1</v>
      </c>
      <c r="N4768" s="8" t="s">
        <v>27</v>
      </c>
      <c r="O4768" s="13"/>
      <c r="P4768" s="14">
        <v>0</v>
      </c>
      <c r="Q4768" s="15">
        <v>0.36341491615082061</v>
      </c>
      <c r="R4768" s="16" t="str">
        <f t="shared" si="409"/>
        <v>UBIQUITI</v>
      </c>
      <c r="S4768" s="17"/>
      <c r="T4768" s="10"/>
    </row>
    <row r="4769" spans="1:20" ht="27" customHeight="1" x14ac:dyDescent="0.25">
      <c r="A4769" s="8" t="s">
        <v>9379</v>
      </c>
      <c r="B4769" s="9"/>
      <c r="C4769" s="9"/>
      <c r="D4769" s="8"/>
      <c r="E4769" s="8"/>
      <c r="F4769" s="8"/>
      <c r="G4769" s="10"/>
      <c r="H4769" s="8" t="s">
        <v>9952</v>
      </c>
      <c r="I4769" s="10" t="s">
        <v>9953</v>
      </c>
      <c r="J4769" s="11" t="s">
        <v>26</v>
      </c>
      <c r="K4769" s="18">
        <v>247</v>
      </c>
      <c r="L4769" s="12">
        <f t="shared" ref="L4769:L4798" si="411">ROUNDUP(K4769*(1+P4769)/(1-Q4769),0)</f>
        <v>387</v>
      </c>
      <c r="M4769" s="8">
        <v>1</v>
      </c>
      <c r="N4769" s="8" t="s">
        <v>27</v>
      </c>
      <c r="O4769" s="13"/>
      <c r="P4769" s="14">
        <v>0</v>
      </c>
      <c r="Q4769" s="15">
        <v>0.36123529411764699</v>
      </c>
      <c r="R4769" s="16" t="str">
        <f t="shared" si="409"/>
        <v>UBIQUITI</v>
      </c>
      <c r="S4769" s="17"/>
      <c r="T4769" s="10"/>
    </row>
    <row r="4770" spans="1:20" ht="27" customHeight="1" x14ac:dyDescent="0.25">
      <c r="A4770" s="8" t="s">
        <v>9379</v>
      </c>
      <c r="B4770" s="9"/>
      <c r="C4770" s="9"/>
      <c r="D4770" s="8"/>
      <c r="E4770" s="8"/>
      <c r="F4770" s="8"/>
      <c r="G4770" s="10"/>
      <c r="H4770" s="8" t="s">
        <v>9954</v>
      </c>
      <c r="I4770" s="10" t="s">
        <v>9872</v>
      </c>
      <c r="J4770" s="11" t="s">
        <v>33</v>
      </c>
      <c r="K4770" s="18">
        <v>479000</v>
      </c>
      <c r="L4770" s="12">
        <f t="shared" si="411"/>
        <v>748048</v>
      </c>
      <c r="M4770" s="8">
        <v>1</v>
      </c>
      <c r="N4770" s="8" t="s">
        <v>27</v>
      </c>
      <c r="O4770" s="13"/>
      <c r="P4770" s="14">
        <v>0</v>
      </c>
      <c r="Q4770" s="15">
        <v>0.35966666666666658</v>
      </c>
      <c r="R4770" s="16" t="str">
        <f t="shared" si="409"/>
        <v>UBIQUITI</v>
      </c>
      <c r="S4770" s="17"/>
      <c r="T4770" s="10"/>
    </row>
    <row r="4771" spans="1:20" ht="27" customHeight="1" x14ac:dyDescent="0.25">
      <c r="A4771" s="8" t="s">
        <v>690</v>
      </c>
      <c r="B4771" s="9"/>
      <c r="C4771" s="9"/>
      <c r="D4771" s="8"/>
      <c r="E4771" s="8"/>
      <c r="F4771" s="8"/>
      <c r="G4771" s="10"/>
      <c r="H4771" s="8" t="s">
        <v>9955</v>
      </c>
      <c r="I4771" s="10" t="s">
        <v>9956</v>
      </c>
      <c r="J4771" s="11" t="s">
        <v>33</v>
      </c>
      <c r="K4771" s="18">
        <v>20000</v>
      </c>
      <c r="L4771" s="12">
        <f t="shared" si="411"/>
        <v>31234</v>
      </c>
      <c r="M4771" s="8">
        <v>1</v>
      </c>
      <c r="N4771" s="8" t="s">
        <v>27</v>
      </c>
      <c r="O4771" s="13"/>
      <c r="P4771" s="14">
        <v>0</v>
      </c>
      <c r="Q4771" s="15">
        <v>0.35966666666666658</v>
      </c>
      <c r="R4771" s="16" t="str">
        <f t="shared" si="409"/>
        <v>AURA</v>
      </c>
      <c r="S4771" s="17"/>
      <c r="T4771" s="10"/>
    </row>
    <row r="4772" spans="1:20" ht="27" customHeight="1" x14ac:dyDescent="0.25">
      <c r="A4772" s="8" t="s">
        <v>9957</v>
      </c>
      <c r="B4772" s="9"/>
      <c r="C4772" s="9"/>
      <c r="D4772" s="8"/>
      <c r="E4772" s="8"/>
      <c r="F4772" s="8"/>
      <c r="G4772" s="10"/>
      <c r="H4772" s="8" t="s">
        <v>9958</v>
      </c>
      <c r="I4772" s="10" t="s">
        <v>9959</v>
      </c>
      <c r="J4772" s="11" t="s">
        <v>33</v>
      </c>
      <c r="K4772" s="18">
        <v>157000</v>
      </c>
      <c r="L4772" s="12">
        <f t="shared" si="411"/>
        <v>224286</v>
      </c>
      <c r="M4772" s="8">
        <v>1</v>
      </c>
      <c r="N4772" s="8" t="s">
        <v>27</v>
      </c>
      <c r="O4772" s="13"/>
      <c r="P4772" s="14">
        <v>0</v>
      </c>
      <c r="Q4772" s="15">
        <v>0.3</v>
      </c>
      <c r="R4772" s="16" t="str">
        <f t="shared" si="409"/>
        <v>FOR LIGHT</v>
      </c>
      <c r="S4772" s="17"/>
      <c r="T4772" s="10"/>
    </row>
    <row r="4773" spans="1:20" ht="27" customHeight="1" x14ac:dyDescent="0.25">
      <c r="A4773" s="8" t="s">
        <v>9412</v>
      </c>
      <c r="B4773" s="9"/>
      <c r="C4773" s="9"/>
      <c r="D4773" s="8"/>
      <c r="E4773" s="8"/>
      <c r="F4773" s="8"/>
      <c r="G4773" s="10"/>
      <c r="H4773" s="8" t="s">
        <v>9960</v>
      </c>
      <c r="I4773" s="10" t="s">
        <v>9961</v>
      </c>
      <c r="J4773" s="11" t="s">
        <v>33</v>
      </c>
      <c r="K4773" s="18">
        <v>144000</v>
      </c>
      <c r="L4773" s="12">
        <f t="shared" si="411"/>
        <v>205715</v>
      </c>
      <c r="M4773" s="8">
        <v>1</v>
      </c>
      <c r="N4773" s="8" t="s">
        <v>27</v>
      </c>
      <c r="O4773" s="13"/>
      <c r="P4773" s="14">
        <v>0</v>
      </c>
      <c r="Q4773" s="15">
        <v>0.3</v>
      </c>
      <c r="R4773" s="16" t="str">
        <f t="shared" si="409"/>
        <v>ULTRASYNC</v>
      </c>
      <c r="S4773" s="17"/>
      <c r="T4773" s="10"/>
    </row>
    <row r="4774" spans="1:20" ht="27" customHeight="1" x14ac:dyDescent="0.25">
      <c r="A4774" s="8" t="s">
        <v>9962</v>
      </c>
      <c r="B4774" s="9"/>
      <c r="C4774" s="9"/>
      <c r="D4774" s="8"/>
      <c r="E4774" s="8"/>
      <c r="F4774" s="8"/>
      <c r="G4774" s="10"/>
      <c r="H4774" s="8" t="s">
        <v>9963</v>
      </c>
      <c r="I4774" s="10" t="s">
        <v>9964</v>
      </c>
      <c r="J4774" s="11" t="s">
        <v>33</v>
      </c>
      <c r="K4774" s="18">
        <v>125000</v>
      </c>
      <c r="L4774" s="12">
        <f t="shared" si="411"/>
        <v>178572</v>
      </c>
      <c r="M4774" s="8">
        <v>1</v>
      </c>
      <c r="N4774" s="8" t="s">
        <v>27</v>
      </c>
      <c r="O4774" s="13"/>
      <c r="P4774" s="14">
        <v>0</v>
      </c>
      <c r="Q4774" s="15">
        <v>0.3</v>
      </c>
      <c r="R4774" s="16" t="str">
        <f t="shared" si="409"/>
        <v>HORUS</v>
      </c>
      <c r="S4774" s="17"/>
      <c r="T4774" s="10"/>
    </row>
    <row r="4775" spans="1:20" ht="27" customHeight="1" x14ac:dyDescent="0.25">
      <c r="A4775" s="8" t="s">
        <v>3977</v>
      </c>
      <c r="B4775" s="9"/>
      <c r="C4775" s="9"/>
      <c r="D4775" s="8"/>
      <c r="E4775" s="8"/>
      <c r="F4775" s="8"/>
      <c r="G4775" s="10"/>
      <c r="H4775" s="8" t="s">
        <v>9965</v>
      </c>
      <c r="I4775" s="10" t="s">
        <v>9966</v>
      </c>
      <c r="J4775" s="11" t="s">
        <v>33</v>
      </c>
      <c r="K4775" s="18">
        <v>110000</v>
      </c>
      <c r="L4775" s="12">
        <f t="shared" si="411"/>
        <v>157143</v>
      </c>
      <c r="M4775" s="8">
        <v>1</v>
      </c>
      <c r="N4775" s="8" t="s">
        <v>27</v>
      </c>
      <c r="O4775" s="13"/>
      <c r="P4775" s="14">
        <v>0</v>
      </c>
      <c r="Q4775" s="15">
        <v>0.3</v>
      </c>
      <c r="R4775" s="16" t="str">
        <f t="shared" si="409"/>
        <v>KOMODO</v>
      </c>
      <c r="S4775" s="17"/>
      <c r="T4775" s="10"/>
    </row>
    <row r="4776" spans="1:20" ht="27" customHeight="1" x14ac:dyDescent="0.25">
      <c r="A4776" s="8" t="s">
        <v>9967</v>
      </c>
      <c r="B4776" s="9"/>
      <c r="C4776" s="9"/>
      <c r="D4776" s="8"/>
      <c r="E4776" s="8"/>
      <c r="F4776" s="8"/>
      <c r="G4776" s="10"/>
      <c r="H4776" s="8" t="s">
        <v>9968</v>
      </c>
      <c r="I4776" s="10" t="s">
        <v>9969</v>
      </c>
      <c r="J4776" s="11" t="s">
        <v>33</v>
      </c>
      <c r="K4776" s="18">
        <v>52000</v>
      </c>
      <c r="L4776" s="12">
        <f t="shared" si="411"/>
        <v>74286</v>
      </c>
      <c r="M4776" s="8">
        <v>1</v>
      </c>
      <c r="N4776" s="8" t="s">
        <v>27</v>
      </c>
      <c r="O4776" s="13"/>
      <c r="P4776" s="14">
        <v>0</v>
      </c>
      <c r="Q4776" s="15">
        <v>0.3</v>
      </c>
      <c r="R4776" s="16" t="str">
        <f t="shared" si="409"/>
        <v>SCANDISK</v>
      </c>
      <c r="S4776" s="17"/>
      <c r="T4776" s="10"/>
    </row>
    <row r="4777" spans="1:20" ht="27" customHeight="1" x14ac:dyDescent="0.25">
      <c r="A4777" s="8" t="s">
        <v>1821</v>
      </c>
      <c r="B4777" s="9"/>
      <c r="C4777" s="9"/>
      <c r="D4777" s="8"/>
      <c r="E4777" s="8"/>
      <c r="F4777" s="8"/>
      <c r="G4777" s="10"/>
      <c r="H4777" s="8" t="s">
        <v>9970</v>
      </c>
      <c r="I4777" s="10" t="s">
        <v>9971</v>
      </c>
      <c r="J4777" s="11" t="s">
        <v>26</v>
      </c>
      <c r="K4777" s="18">
        <v>1300</v>
      </c>
      <c r="L4777" s="12">
        <f t="shared" si="411"/>
        <v>1858</v>
      </c>
      <c r="M4777" s="8">
        <v>1</v>
      </c>
      <c r="N4777" s="8" t="s">
        <v>27</v>
      </c>
      <c r="O4777" s="13"/>
      <c r="P4777" s="14">
        <v>0</v>
      </c>
      <c r="Q4777" s="15">
        <v>0.3</v>
      </c>
      <c r="R4777" s="16" t="str">
        <f t="shared" si="409"/>
        <v>DAYTON</v>
      </c>
      <c r="S4777" s="17"/>
      <c r="T4777" s="10"/>
    </row>
    <row r="4778" spans="1:20" ht="27" customHeight="1" x14ac:dyDescent="0.25">
      <c r="A4778" s="8" t="s">
        <v>3915</v>
      </c>
      <c r="B4778" s="9"/>
      <c r="C4778" s="9"/>
      <c r="D4778" s="8"/>
      <c r="E4778" s="8"/>
      <c r="F4778" s="8"/>
      <c r="G4778" s="10"/>
      <c r="H4778" s="8" t="s">
        <v>9972</v>
      </c>
      <c r="I4778" s="10" t="s">
        <v>3929</v>
      </c>
      <c r="J4778" s="11" t="s">
        <v>26</v>
      </c>
      <c r="K4778" s="18">
        <v>117</v>
      </c>
      <c r="L4778" s="12">
        <f t="shared" si="411"/>
        <v>234</v>
      </c>
      <c r="M4778" s="8">
        <v>1</v>
      </c>
      <c r="N4778" s="8" t="s">
        <v>27</v>
      </c>
      <c r="O4778" s="13"/>
      <c r="P4778" s="14">
        <v>0.2</v>
      </c>
      <c r="Q4778" s="15">
        <v>0.4</v>
      </c>
      <c r="R4778" s="16" t="str">
        <f t="shared" si="409"/>
        <v>KLIPSCH</v>
      </c>
      <c r="S4778" s="17"/>
      <c r="T4778" s="10">
        <f>G4778</f>
        <v>0</v>
      </c>
    </row>
    <row r="4779" spans="1:20" ht="27" customHeight="1" x14ac:dyDescent="0.25">
      <c r="A4779" s="8" t="s">
        <v>1821</v>
      </c>
      <c r="B4779" s="9"/>
      <c r="C4779" s="9"/>
      <c r="D4779" s="8"/>
      <c r="E4779" s="8"/>
      <c r="F4779" s="8"/>
      <c r="G4779" s="10"/>
      <c r="H4779" s="8" t="s">
        <v>9973</v>
      </c>
      <c r="I4779" s="10" t="s">
        <v>9974</v>
      </c>
      <c r="J4779" s="11" t="s">
        <v>26</v>
      </c>
      <c r="K4779" s="18">
        <v>92</v>
      </c>
      <c r="L4779" s="12">
        <f t="shared" si="411"/>
        <v>184</v>
      </c>
      <c r="M4779" s="8">
        <v>1</v>
      </c>
      <c r="N4779" s="8" t="s">
        <v>27</v>
      </c>
      <c r="O4779" s="13"/>
      <c r="P4779" s="14">
        <v>0.2</v>
      </c>
      <c r="Q4779" s="15">
        <v>0.4</v>
      </c>
      <c r="R4779" s="16" t="str">
        <f t="shared" si="409"/>
        <v>DAYTON</v>
      </c>
      <c r="S4779" s="17"/>
      <c r="T4779" s="10"/>
    </row>
    <row r="4780" spans="1:20" ht="27" customHeight="1" x14ac:dyDescent="0.25">
      <c r="A4780" s="8" t="s">
        <v>1821</v>
      </c>
      <c r="B4780" s="9"/>
      <c r="C4780" s="9"/>
      <c r="D4780" s="8"/>
      <c r="E4780" s="8"/>
      <c r="F4780" s="8"/>
      <c r="G4780" s="10"/>
      <c r="H4780" s="8" t="s">
        <v>9975</v>
      </c>
      <c r="I4780" s="10" t="s">
        <v>9976</v>
      </c>
      <c r="J4780" s="11" t="s">
        <v>26</v>
      </c>
      <c r="K4780" s="18">
        <v>42</v>
      </c>
      <c r="L4780" s="12">
        <f t="shared" si="411"/>
        <v>84</v>
      </c>
      <c r="M4780" s="8">
        <v>1</v>
      </c>
      <c r="N4780" s="8" t="s">
        <v>27</v>
      </c>
      <c r="O4780" s="13"/>
      <c r="P4780" s="14">
        <v>0.2</v>
      </c>
      <c r="Q4780" s="15">
        <v>0.4</v>
      </c>
      <c r="R4780" s="16" t="str">
        <f t="shared" si="409"/>
        <v>DAYTON</v>
      </c>
      <c r="S4780" s="17"/>
      <c r="T4780" s="10"/>
    </row>
    <row r="4781" spans="1:20" ht="27" customHeight="1" x14ac:dyDescent="0.25">
      <c r="A4781" s="8" t="s">
        <v>1821</v>
      </c>
      <c r="B4781" s="9"/>
      <c r="C4781" s="9"/>
      <c r="D4781" s="8"/>
      <c r="E4781" s="8"/>
      <c r="F4781" s="8"/>
      <c r="G4781" s="10"/>
      <c r="H4781" s="8" t="s">
        <v>9977</v>
      </c>
      <c r="I4781" s="10" t="s">
        <v>9978</v>
      </c>
      <c r="J4781" s="11" t="s">
        <v>26</v>
      </c>
      <c r="K4781" s="18">
        <v>10</v>
      </c>
      <c r="L4781" s="12">
        <f t="shared" si="411"/>
        <v>20</v>
      </c>
      <c r="M4781" s="8">
        <v>1</v>
      </c>
      <c r="N4781" s="8" t="s">
        <v>27</v>
      </c>
      <c r="O4781" s="13"/>
      <c r="P4781" s="14">
        <v>0.2</v>
      </c>
      <c r="Q4781" s="15">
        <v>0.4</v>
      </c>
      <c r="R4781" s="16" t="str">
        <f t="shared" si="409"/>
        <v>DAYTON</v>
      </c>
      <c r="S4781" s="17"/>
      <c r="T4781" s="10"/>
    </row>
    <row r="4782" spans="1:20" ht="27" customHeight="1" x14ac:dyDescent="0.25">
      <c r="A4782" s="8" t="s">
        <v>9979</v>
      </c>
      <c r="B4782" s="9"/>
      <c r="C4782" s="9"/>
      <c r="D4782" s="8"/>
      <c r="E4782" s="8"/>
      <c r="F4782" s="8"/>
      <c r="G4782" s="10"/>
      <c r="H4782" s="8" t="s">
        <v>9980</v>
      </c>
      <c r="I4782" s="10" t="s">
        <v>9981</v>
      </c>
      <c r="J4782" s="11" t="s">
        <v>33</v>
      </c>
      <c r="K4782" s="18">
        <v>293000</v>
      </c>
      <c r="L4782" s="12">
        <f t="shared" si="411"/>
        <v>488334</v>
      </c>
      <c r="M4782" s="8">
        <v>1</v>
      </c>
      <c r="N4782" s="8" t="s">
        <v>27</v>
      </c>
      <c r="O4782" s="13"/>
      <c r="P4782" s="14">
        <v>0</v>
      </c>
      <c r="Q4782" s="15">
        <v>0.4</v>
      </c>
      <c r="R4782" s="16" t="str">
        <f t="shared" si="409"/>
        <v>ILTEC</v>
      </c>
      <c r="S4782" s="17"/>
      <c r="T4782" s="10"/>
    </row>
    <row r="4783" spans="1:20" ht="27" customHeight="1" x14ac:dyDescent="0.25">
      <c r="A4783" s="8" t="s">
        <v>7931</v>
      </c>
      <c r="B4783" s="9"/>
      <c r="C4783" s="9"/>
      <c r="D4783" s="8"/>
      <c r="E4783" s="8"/>
      <c r="F4783" s="8"/>
      <c r="G4783" s="10"/>
      <c r="H4783" s="8" t="s">
        <v>9982</v>
      </c>
      <c r="I4783" s="10" t="s">
        <v>9983</v>
      </c>
      <c r="J4783" s="11" t="s">
        <v>33</v>
      </c>
      <c r="K4783" s="18">
        <v>26500</v>
      </c>
      <c r="L4783" s="12">
        <f t="shared" si="411"/>
        <v>37858</v>
      </c>
      <c r="M4783" s="8">
        <v>1</v>
      </c>
      <c r="N4783" s="8" t="s">
        <v>27</v>
      </c>
      <c r="O4783" s="13"/>
      <c r="P4783" s="14">
        <v>0</v>
      </c>
      <c r="Q4783" s="15">
        <v>0.3</v>
      </c>
      <c r="R4783" s="16" t="str">
        <f t="shared" ref="R4783:R4846" si="412">A4783</f>
        <v>SYLVANIA</v>
      </c>
      <c r="S4783" s="17"/>
      <c r="T4783" s="10"/>
    </row>
    <row r="4784" spans="1:20" ht="27" customHeight="1" x14ac:dyDescent="0.25">
      <c r="A4784" s="8" t="s">
        <v>9984</v>
      </c>
      <c r="B4784" s="9"/>
      <c r="C4784" s="9"/>
      <c r="D4784" s="8"/>
      <c r="E4784" s="8"/>
      <c r="F4784" s="8"/>
      <c r="G4784" s="10"/>
      <c r="H4784" s="8" t="s">
        <v>9985</v>
      </c>
      <c r="I4784" s="10" t="s">
        <v>9986</v>
      </c>
      <c r="J4784" s="11" t="s">
        <v>33</v>
      </c>
      <c r="K4784" s="18">
        <v>588000</v>
      </c>
      <c r="L4784" s="12">
        <f t="shared" si="411"/>
        <v>980000</v>
      </c>
      <c r="M4784" s="8">
        <v>1</v>
      </c>
      <c r="N4784" s="8" t="s">
        <v>27</v>
      </c>
      <c r="O4784" s="13"/>
      <c r="P4784" s="14">
        <v>0</v>
      </c>
      <c r="Q4784" s="15">
        <v>0.4</v>
      </c>
      <c r="R4784" s="16" t="str">
        <f t="shared" si="412"/>
        <v>FILM</v>
      </c>
      <c r="S4784" s="17"/>
      <c r="T4784" s="10"/>
    </row>
    <row r="4785" spans="1:20" ht="27" customHeight="1" x14ac:dyDescent="0.25">
      <c r="A4785" s="8" t="s">
        <v>7989</v>
      </c>
      <c r="B4785" s="9"/>
      <c r="C4785" s="9"/>
      <c r="D4785" s="8"/>
      <c r="E4785" s="8"/>
      <c r="F4785" s="8"/>
      <c r="G4785" s="10"/>
      <c r="H4785" s="8" t="s">
        <v>8008</v>
      </c>
      <c r="I4785" s="10" t="s">
        <v>9987</v>
      </c>
      <c r="J4785" s="11" t="s">
        <v>26</v>
      </c>
      <c r="K4785" s="18">
        <v>37</v>
      </c>
      <c r="L4785" s="12">
        <f t="shared" si="411"/>
        <v>74</v>
      </c>
      <c r="M4785" s="8">
        <v>1</v>
      </c>
      <c r="N4785" s="8" t="s">
        <v>27</v>
      </c>
      <c r="O4785" s="13"/>
      <c r="P4785" s="14">
        <v>0.2</v>
      </c>
      <c r="Q4785" s="15">
        <v>0.4</v>
      </c>
      <c r="R4785" s="16" t="str">
        <f t="shared" si="412"/>
        <v>RUSSOUND</v>
      </c>
      <c r="S4785" s="17"/>
      <c r="T4785" s="10"/>
    </row>
    <row r="4786" spans="1:20" ht="27" customHeight="1" x14ac:dyDescent="0.25">
      <c r="A4786" s="8" t="s">
        <v>8308</v>
      </c>
      <c r="B4786" s="9"/>
      <c r="C4786" s="9"/>
      <c r="D4786" s="8"/>
      <c r="E4786" s="8"/>
      <c r="F4786" s="8"/>
      <c r="G4786" s="10"/>
      <c r="H4786" s="8" t="s">
        <v>9988</v>
      </c>
      <c r="I4786" s="10" t="s">
        <v>9989</v>
      </c>
      <c r="J4786" s="11" t="s">
        <v>33</v>
      </c>
      <c r="K4786" s="18">
        <v>3983000</v>
      </c>
      <c r="L4786" s="12">
        <f t="shared" si="411"/>
        <v>6638334</v>
      </c>
      <c r="M4786" s="8">
        <v>1</v>
      </c>
      <c r="N4786" s="8" t="s">
        <v>27</v>
      </c>
      <c r="O4786" s="13"/>
      <c r="P4786" s="14">
        <v>0</v>
      </c>
      <c r="Q4786" s="15">
        <v>0.4</v>
      </c>
      <c r="R4786" s="16" t="str">
        <f t="shared" si="412"/>
        <v>SOLIDVIEW</v>
      </c>
      <c r="S4786" s="17"/>
      <c r="T4786" s="10"/>
    </row>
    <row r="4787" spans="1:20" ht="27" customHeight="1" x14ac:dyDescent="0.25">
      <c r="A4787" s="8" t="s">
        <v>9990</v>
      </c>
      <c r="B4787" s="9"/>
      <c r="C4787" s="9"/>
      <c r="D4787" s="8"/>
      <c r="E4787" s="8"/>
      <c r="F4787" s="8"/>
      <c r="G4787" s="10"/>
      <c r="H4787" s="8" t="s">
        <v>9991</v>
      </c>
      <c r="I4787" s="10" t="s">
        <v>9992</v>
      </c>
      <c r="J4787" s="11" t="s">
        <v>26</v>
      </c>
      <c r="K4787" s="18">
        <v>856</v>
      </c>
      <c r="L4787" s="12">
        <f t="shared" si="411"/>
        <v>1590</v>
      </c>
      <c r="M4787" s="8">
        <v>1</v>
      </c>
      <c r="N4787" s="8" t="s">
        <v>27</v>
      </c>
      <c r="O4787" s="13"/>
      <c r="P4787" s="14">
        <v>0.3</v>
      </c>
      <c r="Q4787" s="15">
        <v>0.3</v>
      </c>
      <c r="R4787" s="16" t="str">
        <f t="shared" si="412"/>
        <v>ELITE SCREENS</v>
      </c>
      <c r="S4787" s="17"/>
      <c r="T4787" s="10"/>
    </row>
    <row r="4788" spans="1:20" ht="27" customHeight="1" x14ac:dyDescent="0.25">
      <c r="A4788" s="8" t="s">
        <v>9993</v>
      </c>
      <c r="B4788" s="9"/>
      <c r="C4788" s="9"/>
      <c r="D4788" s="8"/>
      <c r="E4788" s="8"/>
      <c r="F4788" s="8"/>
      <c r="G4788" s="10"/>
      <c r="H4788" s="8" t="s">
        <v>9994</v>
      </c>
      <c r="I4788" s="10" t="s">
        <v>9995</v>
      </c>
      <c r="J4788" s="11" t="s">
        <v>26</v>
      </c>
      <c r="K4788" s="18">
        <v>209</v>
      </c>
      <c r="L4788" s="12">
        <f t="shared" si="411"/>
        <v>359</v>
      </c>
      <c r="M4788" s="8">
        <v>1</v>
      </c>
      <c r="N4788" s="8" t="s">
        <v>27</v>
      </c>
      <c r="O4788" s="13"/>
      <c r="P4788" s="14">
        <v>0.2</v>
      </c>
      <c r="Q4788" s="15">
        <v>0.3</v>
      </c>
      <c r="R4788" s="16" t="str">
        <f t="shared" si="412"/>
        <v>AUDIOFLOW</v>
      </c>
      <c r="S4788" s="17"/>
      <c r="T4788" s="10"/>
    </row>
    <row r="4789" spans="1:20" ht="27" customHeight="1" x14ac:dyDescent="0.25">
      <c r="A4789" s="8" t="s">
        <v>2512</v>
      </c>
      <c r="B4789" s="9"/>
      <c r="C4789" s="9"/>
      <c r="D4789" s="8"/>
      <c r="E4789" s="8"/>
      <c r="F4789" s="8"/>
      <c r="G4789" s="10"/>
      <c r="H4789" s="8" t="s">
        <v>9996</v>
      </c>
      <c r="I4789" s="10" t="s">
        <v>9997</v>
      </c>
      <c r="J4789" s="11" t="s">
        <v>33</v>
      </c>
      <c r="K4789" s="18">
        <v>20000</v>
      </c>
      <c r="L4789" s="12">
        <f t="shared" si="411"/>
        <v>33334</v>
      </c>
      <c r="M4789" s="8">
        <v>1</v>
      </c>
      <c r="N4789" s="8" t="s">
        <v>27</v>
      </c>
      <c r="O4789" s="13"/>
      <c r="P4789" s="14">
        <v>0</v>
      </c>
      <c r="Q4789" s="15">
        <v>0.4</v>
      </c>
      <c r="R4789" s="16" t="str">
        <f t="shared" si="412"/>
        <v>GENERAL</v>
      </c>
      <c r="S4789" s="17"/>
      <c r="T4789" s="10"/>
    </row>
    <row r="4790" spans="1:20" ht="27" customHeight="1" x14ac:dyDescent="0.25">
      <c r="A4790" s="8" t="s">
        <v>8036</v>
      </c>
      <c r="B4790" s="9"/>
      <c r="C4790" s="9"/>
      <c r="D4790" s="8"/>
      <c r="E4790" s="8"/>
      <c r="F4790" s="8"/>
      <c r="G4790" s="10"/>
      <c r="H4790" s="8" t="s">
        <v>9998</v>
      </c>
      <c r="I4790" s="10" t="s">
        <v>9999</v>
      </c>
      <c r="J4790" s="11" t="s">
        <v>33</v>
      </c>
      <c r="K4790" s="18">
        <v>6800000</v>
      </c>
      <c r="L4790" s="12">
        <f t="shared" si="411"/>
        <v>9714286</v>
      </c>
      <c r="M4790" s="8">
        <v>1</v>
      </c>
      <c r="N4790" s="8" t="s">
        <v>27</v>
      </c>
      <c r="O4790" s="13"/>
      <c r="P4790" s="14">
        <v>0</v>
      </c>
      <c r="Q4790" s="15">
        <v>0.3</v>
      </c>
      <c r="R4790" s="16" t="str">
        <f t="shared" si="412"/>
        <v>SAMSUNG</v>
      </c>
      <c r="S4790" s="17"/>
      <c r="T4790" s="10"/>
    </row>
    <row r="4791" spans="1:20" ht="27" customHeight="1" x14ac:dyDescent="0.25">
      <c r="A4791" s="8" t="s">
        <v>3915</v>
      </c>
      <c r="B4791" s="9"/>
      <c r="C4791" s="9"/>
      <c r="D4791" s="8"/>
      <c r="E4791" s="8"/>
      <c r="F4791" s="8"/>
      <c r="G4791" s="10"/>
      <c r="H4791" s="8">
        <v>1069031</v>
      </c>
      <c r="I4791" s="10" t="s">
        <v>10000</v>
      </c>
      <c r="J4791" s="11" t="s">
        <v>26</v>
      </c>
      <c r="K4791" s="18">
        <v>198</v>
      </c>
      <c r="L4791" s="12">
        <f t="shared" si="411"/>
        <v>329</v>
      </c>
      <c r="M4791" s="8">
        <v>1</v>
      </c>
      <c r="N4791" s="8" t="s">
        <v>27</v>
      </c>
      <c r="O4791" s="13"/>
      <c r="P4791" s="14">
        <v>0.2</v>
      </c>
      <c r="Q4791" s="15">
        <v>0.27644999999999992</v>
      </c>
      <c r="R4791" s="16" t="str">
        <f t="shared" si="412"/>
        <v>KLIPSCH</v>
      </c>
      <c r="S4791" s="17"/>
      <c r="T4791" s="10"/>
    </row>
    <row r="4792" spans="1:20" ht="27" customHeight="1" x14ac:dyDescent="0.25">
      <c r="A4792" s="8" t="s">
        <v>10001</v>
      </c>
      <c r="B4792" s="9"/>
      <c r="C4792" s="9"/>
      <c r="D4792" s="8"/>
      <c r="E4792" s="8"/>
      <c r="F4792" s="8"/>
      <c r="G4792" s="10"/>
      <c r="H4792" s="8" t="s">
        <v>10002</v>
      </c>
      <c r="I4792" s="10" t="s">
        <v>10003</v>
      </c>
      <c r="J4792" s="11" t="s">
        <v>26</v>
      </c>
      <c r="K4792" s="18">
        <v>1660</v>
      </c>
      <c r="L4792" s="12">
        <f t="shared" si="411"/>
        <v>2846</v>
      </c>
      <c r="M4792" s="8">
        <v>1</v>
      </c>
      <c r="N4792" s="8" t="s">
        <v>27</v>
      </c>
      <c r="O4792" s="13"/>
      <c r="P4792" s="14">
        <v>0.2</v>
      </c>
      <c r="Q4792" s="15">
        <v>0.3</v>
      </c>
      <c r="R4792" s="16" t="str">
        <f t="shared" si="412"/>
        <v>DRAPER</v>
      </c>
      <c r="S4792" s="17"/>
      <c r="T4792" s="10"/>
    </row>
    <row r="4793" spans="1:20" ht="27" customHeight="1" x14ac:dyDescent="0.25">
      <c r="A4793" s="8" t="s">
        <v>3977</v>
      </c>
      <c r="B4793" s="9"/>
      <c r="C4793" s="9"/>
      <c r="D4793" s="8"/>
      <c r="E4793" s="8"/>
      <c r="F4793" s="8"/>
      <c r="G4793" s="10"/>
      <c r="H4793" s="8" t="s">
        <v>10004</v>
      </c>
      <c r="I4793" s="10" t="s">
        <v>10005</v>
      </c>
      <c r="J4793" s="11" t="s">
        <v>33</v>
      </c>
      <c r="K4793" s="18">
        <v>5000</v>
      </c>
      <c r="L4793" s="12">
        <f t="shared" si="411"/>
        <v>8572</v>
      </c>
      <c r="M4793" s="8">
        <v>1</v>
      </c>
      <c r="N4793" s="8" t="s">
        <v>27</v>
      </c>
      <c r="O4793" s="13"/>
      <c r="P4793" s="14">
        <v>0.2</v>
      </c>
      <c r="Q4793" s="15">
        <v>0.3</v>
      </c>
      <c r="R4793" s="16" t="str">
        <f t="shared" si="412"/>
        <v>KOMODO</v>
      </c>
      <c r="S4793" s="17"/>
      <c r="T4793" s="10"/>
    </row>
    <row r="4794" spans="1:20" ht="27" customHeight="1" x14ac:dyDescent="0.25">
      <c r="A4794" s="8" t="s">
        <v>7931</v>
      </c>
      <c r="B4794" s="9"/>
      <c r="C4794" s="9"/>
      <c r="D4794" s="8"/>
      <c r="E4794" s="8"/>
      <c r="F4794" s="8"/>
      <c r="G4794" s="10"/>
      <c r="H4794" s="8" t="s">
        <v>10006</v>
      </c>
      <c r="I4794" s="10" t="s">
        <v>10007</v>
      </c>
      <c r="J4794" s="11" t="s">
        <v>33</v>
      </c>
      <c r="K4794" s="18">
        <v>4199900</v>
      </c>
      <c r="L4794" s="12">
        <f t="shared" si="411"/>
        <v>5999858</v>
      </c>
      <c r="M4794" s="8">
        <v>1</v>
      </c>
      <c r="N4794" s="8" t="s">
        <v>27</v>
      </c>
      <c r="O4794" s="13"/>
      <c r="P4794" s="14">
        <v>0</v>
      </c>
      <c r="Q4794" s="15">
        <v>0.3</v>
      </c>
      <c r="R4794" s="16" t="str">
        <f t="shared" si="412"/>
        <v>SYLVANIA</v>
      </c>
      <c r="S4794" s="17"/>
      <c r="T4794" s="10"/>
    </row>
    <row r="4795" spans="1:20" ht="27" customHeight="1" x14ac:dyDescent="0.25">
      <c r="A4795" s="8" t="s">
        <v>7931</v>
      </c>
      <c r="B4795" s="9"/>
      <c r="C4795" s="9"/>
      <c r="D4795" s="8"/>
      <c r="E4795" s="8"/>
      <c r="F4795" s="8"/>
      <c r="G4795" s="10"/>
      <c r="H4795" s="8" t="s">
        <v>10008</v>
      </c>
      <c r="I4795" s="10" t="s">
        <v>10009</v>
      </c>
      <c r="J4795" s="11" t="s">
        <v>33</v>
      </c>
      <c r="K4795" s="18">
        <v>3399900</v>
      </c>
      <c r="L4795" s="12">
        <f t="shared" si="411"/>
        <v>4857000</v>
      </c>
      <c r="M4795" s="8">
        <v>1</v>
      </c>
      <c r="N4795" s="8" t="s">
        <v>27</v>
      </c>
      <c r="O4795" s="13"/>
      <c r="P4795" s="14">
        <v>0</v>
      </c>
      <c r="Q4795" s="15">
        <v>0.3</v>
      </c>
      <c r="R4795" s="16" t="str">
        <f t="shared" si="412"/>
        <v>SYLVANIA</v>
      </c>
      <c r="S4795" s="17"/>
      <c r="T4795" s="10"/>
    </row>
    <row r="4796" spans="1:20" ht="27" customHeight="1" x14ac:dyDescent="0.25">
      <c r="A4796" s="8" t="s">
        <v>7931</v>
      </c>
      <c r="B4796" s="9"/>
      <c r="C4796" s="9"/>
      <c r="D4796" s="8"/>
      <c r="E4796" s="8"/>
      <c r="F4796" s="8"/>
      <c r="G4796" s="10"/>
      <c r="H4796" s="8" t="s">
        <v>10010</v>
      </c>
      <c r="I4796" s="10" t="s">
        <v>10011</v>
      </c>
      <c r="J4796" s="11" t="s">
        <v>33</v>
      </c>
      <c r="K4796" s="18">
        <v>3829900</v>
      </c>
      <c r="L4796" s="12">
        <f t="shared" si="411"/>
        <v>5471286</v>
      </c>
      <c r="M4796" s="8">
        <v>1</v>
      </c>
      <c r="N4796" s="8" t="s">
        <v>27</v>
      </c>
      <c r="O4796" s="13"/>
      <c r="P4796" s="14">
        <v>0</v>
      </c>
      <c r="Q4796" s="15">
        <v>0.3</v>
      </c>
      <c r="R4796" s="16" t="str">
        <f t="shared" si="412"/>
        <v>SYLVANIA</v>
      </c>
      <c r="S4796" s="17"/>
      <c r="T4796" s="10"/>
    </row>
    <row r="4797" spans="1:20" ht="27" customHeight="1" x14ac:dyDescent="0.25">
      <c r="A4797" s="8" t="s">
        <v>7931</v>
      </c>
      <c r="B4797" s="9"/>
      <c r="C4797" s="9"/>
      <c r="D4797" s="8"/>
      <c r="E4797" s="8"/>
      <c r="F4797" s="8"/>
      <c r="G4797" s="10"/>
      <c r="H4797" s="8" t="s">
        <v>10012</v>
      </c>
      <c r="I4797" s="10" t="s">
        <v>10013</v>
      </c>
      <c r="J4797" s="11" t="s">
        <v>33</v>
      </c>
      <c r="K4797" s="18">
        <v>3229900</v>
      </c>
      <c r="L4797" s="12">
        <f t="shared" si="411"/>
        <v>4614143</v>
      </c>
      <c r="M4797" s="8">
        <v>1</v>
      </c>
      <c r="N4797" s="8" t="s">
        <v>27</v>
      </c>
      <c r="O4797" s="13"/>
      <c r="P4797" s="14">
        <v>0</v>
      </c>
      <c r="Q4797" s="15">
        <v>0.3</v>
      </c>
      <c r="R4797" s="16" t="str">
        <f t="shared" si="412"/>
        <v>SYLVANIA</v>
      </c>
      <c r="S4797" s="17"/>
      <c r="T4797" s="10"/>
    </row>
    <row r="4798" spans="1:20" ht="27" customHeight="1" x14ac:dyDescent="0.25">
      <c r="A4798" s="8" t="s">
        <v>2095</v>
      </c>
      <c r="B4798" s="9"/>
      <c r="C4798" s="9"/>
      <c r="D4798" s="8"/>
      <c r="E4798" s="8"/>
      <c r="F4798" s="8"/>
      <c r="G4798" s="10"/>
      <c r="H4798" s="8" t="s">
        <v>10014</v>
      </c>
      <c r="I4798" s="10" t="s">
        <v>10015</v>
      </c>
      <c r="J4798" s="11" t="s">
        <v>33</v>
      </c>
      <c r="K4798" s="18">
        <v>7000</v>
      </c>
      <c r="L4798" s="12">
        <f t="shared" si="411"/>
        <v>14000</v>
      </c>
      <c r="M4798" s="8">
        <v>1</v>
      </c>
      <c r="N4798" s="8" t="s">
        <v>27</v>
      </c>
      <c r="O4798" s="13"/>
      <c r="P4798" s="14">
        <v>0</v>
      </c>
      <c r="Q4798" s="15">
        <v>0.5</v>
      </c>
      <c r="R4798" s="16" t="str">
        <f t="shared" si="412"/>
        <v>ECOLITE</v>
      </c>
      <c r="S4798" s="17"/>
      <c r="T4798" s="10"/>
    </row>
    <row r="4799" spans="1:20" ht="27" customHeight="1" x14ac:dyDescent="0.25">
      <c r="A4799" s="8" t="s">
        <v>5672</v>
      </c>
      <c r="B4799" s="9"/>
      <c r="C4799" s="9"/>
      <c r="D4799" s="8"/>
      <c r="E4799" s="8"/>
      <c r="F4799" s="8"/>
      <c r="G4799" s="10"/>
      <c r="H4799" s="8" t="s">
        <v>10016</v>
      </c>
      <c r="I4799" s="10" t="s">
        <v>10017</v>
      </c>
      <c r="J4799" s="11" t="s">
        <v>26</v>
      </c>
      <c r="K4799" s="57">
        <v>29.16</v>
      </c>
      <c r="L4799" s="12">
        <f>K4799*(1+P4799)/(1-Q4799)</f>
        <v>48.600003507477908</v>
      </c>
      <c r="M4799" s="8">
        <v>1</v>
      </c>
      <c r="N4799" s="8" t="s">
        <v>27</v>
      </c>
      <c r="O4799" s="13"/>
      <c r="P4799" s="14">
        <v>0.2</v>
      </c>
      <c r="Q4799" s="15">
        <v>0.280000051962632</v>
      </c>
      <c r="R4799" s="16" t="str">
        <f t="shared" si="412"/>
        <v>LUTRON</v>
      </c>
      <c r="S4799" s="17"/>
      <c r="T4799" s="10"/>
    </row>
    <row r="4800" spans="1:20" ht="27" customHeight="1" x14ac:dyDescent="0.25">
      <c r="A4800" s="8" t="s">
        <v>5672</v>
      </c>
      <c r="B4800" s="9"/>
      <c r="C4800" s="9"/>
      <c r="D4800" s="8"/>
      <c r="E4800" s="8"/>
      <c r="F4800" s="8"/>
      <c r="G4800" s="10"/>
      <c r="H4800" s="8" t="s">
        <v>10018</v>
      </c>
      <c r="I4800" s="10" t="s">
        <v>10019</v>
      </c>
      <c r="J4800" s="11" t="s">
        <v>26</v>
      </c>
      <c r="K4800" s="57">
        <v>86.64</v>
      </c>
      <c r="L4800" s="12">
        <f>K4800*(1+P4800)/(1-Q4800)</f>
        <v>144.40001042139528</v>
      </c>
      <c r="M4800" s="8">
        <v>1</v>
      </c>
      <c r="N4800" s="8" t="s">
        <v>27</v>
      </c>
      <c r="O4800" s="13"/>
      <c r="P4800" s="14">
        <v>0.2</v>
      </c>
      <c r="Q4800" s="15">
        <v>0.280000051962632</v>
      </c>
      <c r="R4800" s="16" t="str">
        <f t="shared" si="412"/>
        <v>LUTRON</v>
      </c>
      <c r="S4800" s="17"/>
      <c r="T4800" s="10"/>
    </row>
    <row r="4801" spans="1:20" ht="27" customHeight="1" x14ac:dyDescent="0.25">
      <c r="A4801" s="8" t="s">
        <v>4988</v>
      </c>
      <c r="B4801" s="9"/>
      <c r="C4801" s="9"/>
      <c r="D4801" s="8"/>
      <c r="E4801" s="8"/>
      <c r="F4801" s="8"/>
      <c r="G4801" s="10"/>
      <c r="H4801" s="8" t="s">
        <v>10020</v>
      </c>
      <c r="I4801" s="10" t="s">
        <v>10021</v>
      </c>
      <c r="J4801" s="11" t="s">
        <v>26</v>
      </c>
      <c r="K4801" s="18">
        <v>967.5</v>
      </c>
      <c r="L4801" s="12">
        <f>K4801*(1+P4801)/(1-Q4801)</f>
        <v>1343.7500969788775</v>
      </c>
      <c r="M4801" s="8">
        <v>1</v>
      </c>
      <c r="N4801" s="8" t="s">
        <v>27</v>
      </c>
      <c r="O4801" s="13"/>
      <c r="P4801" s="14">
        <v>0</v>
      </c>
      <c r="Q4801" s="15">
        <v>0.280000051962632</v>
      </c>
      <c r="R4801" s="16" t="str">
        <f t="shared" si="412"/>
        <v>KRAMER</v>
      </c>
      <c r="S4801" s="17"/>
      <c r="T4801" s="10"/>
    </row>
    <row r="4802" spans="1:20" ht="27" customHeight="1" x14ac:dyDescent="0.25">
      <c r="A4802" s="8" t="s">
        <v>5422</v>
      </c>
      <c r="B4802" s="9"/>
      <c r="C4802" s="9"/>
      <c r="D4802" s="8"/>
      <c r="E4802" s="8"/>
      <c r="F4802" s="8"/>
      <c r="G4802" s="10"/>
      <c r="H4802" s="8" t="s">
        <v>10022</v>
      </c>
      <c r="I4802" s="10" t="s">
        <v>10023</v>
      </c>
      <c r="J4802" s="11" t="s">
        <v>26</v>
      </c>
      <c r="K4802" s="18">
        <v>124</v>
      </c>
      <c r="L4802" s="12">
        <f>K4802*(1+P4802)/(1-Q4802)</f>
        <v>172.22223465155639</v>
      </c>
      <c r="M4802" s="8">
        <v>1</v>
      </c>
      <c r="N4802" s="8" t="s">
        <v>27</v>
      </c>
      <c r="O4802" s="13"/>
      <c r="P4802" s="14">
        <v>0</v>
      </c>
      <c r="Q4802" s="15">
        <v>0.280000051962632</v>
      </c>
      <c r="R4802" s="16" t="str">
        <f t="shared" si="412"/>
        <v>LOGITECH</v>
      </c>
      <c r="S4802" s="17"/>
      <c r="T4802" s="10"/>
    </row>
    <row r="4803" spans="1:20" ht="27" customHeight="1" x14ac:dyDescent="0.25">
      <c r="A4803" s="8" t="s">
        <v>3977</v>
      </c>
      <c r="B4803" s="9" t="s">
        <v>2515</v>
      </c>
      <c r="C4803" s="9"/>
      <c r="D4803" s="8" t="s">
        <v>4009</v>
      </c>
      <c r="E4803" s="8"/>
      <c r="F4803" s="8" t="s">
        <v>22</v>
      </c>
      <c r="G4803" s="10" t="s">
        <v>4235</v>
      </c>
      <c r="H4803" s="8" t="s">
        <v>10024</v>
      </c>
      <c r="I4803" s="10" t="s">
        <v>4237</v>
      </c>
      <c r="J4803" s="11" t="s">
        <v>33</v>
      </c>
      <c r="K4803" s="18">
        <v>20000</v>
      </c>
      <c r="L4803" s="12">
        <f t="shared" ref="L4803:L4808" si="413">IF(J4803="P",ROUNDUP(K4803/(1-Q4803),-2),K4803*(1+P4803)/(1-Q4803))</f>
        <v>40000</v>
      </c>
      <c r="M4803" s="8">
        <v>1</v>
      </c>
      <c r="N4803" s="8" t="s">
        <v>27</v>
      </c>
      <c r="O4803" s="13" t="s">
        <v>587</v>
      </c>
      <c r="P4803" s="14">
        <v>0</v>
      </c>
      <c r="Q4803" s="15">
        <v>0.5</v>
      </c>
      <c r="R4803" s="16" t="str">
        <f t="shared" si="412"/>
        <v>KOMODO</v>
      </c>
      <c r="S4803" s="17"/>
      <c r="T4803" s="10" t="str">
        <f>G4803</f>
        <v>INSTALACIÓN DE LUMINARIA TIPO APLIQUE DE EXTERIOR.</v>
      </c>
    </row>
    <row r="4804" spans="1:20" ht="27" customHeight="1" x14ac:dyDescent="0.25">
      <c r="A4804" s="8" t="s">
        <v>3977</v>
      </c>
      <c r="B4804" s="9"/>
      <c r="C4804" s="9"/>
      <c r="D4804" s="8"/>
      <c r="E4804" s="8"/>
      <c r="F4804" s="8"/>
      <c r="G4804" s="10"/>
      <c r="H4804" s="8" t="s">
        <v>10025</v>
      </c>
      <c r="I4804" s="10" t="s">
        <v>10026</v>
      </c>
      <c r="J4804" s="11" t="s">
        <v>33</v>
      </c>
      <c r="K4804" s="18">
        <v>2000</v>
      </c>
      <c r="L4804" s="12">
        <f t="shared" si="413"/>
        <v>4000</v>
      </c>
      <c r="M4804" s="8">
        <v>1</v>
      </c>
      <c r="N4804" s="8" t="s">
        <v>27</v>
      </c>
      <c r="O4804" s="13" t="s">
        <v>587</v>
      </c>
      <c r="P4804" s="14">
        <v>0</v>
      </c>
      <c r="Q4804" s="15">
        <v>0.5</v>
      </c>
      <c r="R4804" s="16" t="str">
        <f t="shared" si="412"/>
        <v>KOMODO</v>
      </c>
      <c r="S4804" s="17"/>
      <c r="T4804" s="10">
        <f>G4804</f>
        <v>0</v>
      </c>
    </row>
    <row r="4805" spans="1:20" ht="27" customHeight="1" x14ac:dyDescent="0.25">
      <c r="A4805" s="8" t="s">
        <v>3977</v>
      </c>
      <c r="B4805" s="9"/>
      <c r="C4805" s="9"/>
      <c r="D4805" s="8"/>
      <c r="E4805" s="8"/>
      <c r="F4805" s="8"/>
      <c r="G4805" s="10"/>
      <c r="H4805" s="8" t="s">
        <v>10027</v>
      </c>
      <c r="I4805" s="10" t="s">
        <v>10028</v>
      </c>
      <c r="J4805" s="11" t="s">
        <v>33</v>
      </c>
      <c r="K4805" s="18">
        <v>3500</v>
      </c>
      <c r="L4805" s="12">
        <f t="shared" si="413"/>
        <v>7000</v>
      </c>
      <c r="M4805" s="8">
        <v>1</v>
      </c>
      <c r="N4805" s="8" t="s">
        <v>27</v>
      </c>
      <c r="O4805" s="13" t="s">
        <v>587</v>
      </c>
      <c r="P4805" s="14">
        <v>0</v>
      </c>
      <c r="Q4805" s="15">
        <v>0.5</v>
      </c>
      <c r="R4805" s="16" t="str">
        <f t="shared" si="412"/>
        <v>KOMODO</v>
      </c>
      <c r="S4805" s="17"/>
      <c r="T4805" s="10"/>
    </row>
    <row r="4806" spans="1:20" ht="27" customHeight="1" x14ac:dyDescent="0.25">
      <c r="A4806" s="8" t="s">
        <v>3977</v>
      </c>
      <c r="B4806" s="9"/>
      <c r="C4806" s="9"/>
      <c r="D4806" s="8"/>
      <c r="E4806" s="8"/>
      <c r="F4806" s="8"/>
      <c r="G4806" s="10"/>
      <c r="H4806" s="8" t="s">
        <v>10029</v>
      </c>
      <c r="I4806" s="10" t="s">
        <v>10030</v>
      </c>
      <c r="J4806" s="11" t="s">
        <v>33</v>
      </c>
      <c r="K4806" s="18">
        <v>39000</v>
      </c>
      <c r="L4806" s="12">
        <f t="shared" si="413"/>
        <v>78000</v>
      </c>
      <c r="M4806" s="8">
        <v>1</v>
      </c>
      <c r="N4806" s="8" t="s">
        <v>27</v>
      </c>
      <c r="O4806" s="13" t="s">
        <v>588</v>
      </c>
      <c r="P4806" s="14">
        <v>0.2</v>
      </c>
      <c r="Q4806" s="15">
        <v>0.5</v>
      </c>
      <c r="R4806" s="16" t="str">
        <f t="shared" si="412"/>
        <v>KOMODO</v>
      </c>
      <c r="S4806" s="17"/>
      <c r="T4806" s="10">
        <f>G4806</f>
        <v>0</v>
      </c>
    </row>
    <row r="4807" spans="1:20" ht="27" customHeight="1" x14ac:dyDescent="0.25">
      <c r="A4807" s="8" t="s">
        <v>3977</v>
      </c>
      <c r="B4807" s="9"/>
      <c r="C4807" s="9"/>
      <c r="D4807" s="8"/>
      <c r="E4807" s="8"/>
      <c r="F4807" s="8"/>
      <c r="G4807" s="10"/>
      <c r="H4807" s="8" t="s">
        <v>10031</v>
      </c>
      <c r="I4807" s="10" t="s">
        <v>10032</v>
      </c>
      <c r="J4807" s="11" t="s">
        <v>33</v>
      </c>
      <c r="K4807" s="18">
        <v>42000</v>
      </c>
      <c r="L4807" s="12">
        <f t="shared" si="413"/>
        <v>84000</v>
      </c>
      <c r="M4807" s="8">
        <v>1</v>
      </c>
      <c r="N4807" s="8" t="s">
        <v>27</v>
      </c>
      <c r="O4807" s="13" t="s">
        <v>588</v>
      </c>
      <c r="P4807" s="14">
        <v>0.2</v>
      </c>
      <c r="Q4807" s="15">
        <v>0.5</v>
      </c>
      <c r="R4807" s="16" t="str">
        <f t="shared" si="412"/>
        <v>KOMODO</v>
      </c>
      <c r="S4807" s="17"/>
      <c r="T4807" s="10"/>
    </row>
    <row r="4808" spans="1:20" ht="27" customHeight="1" x14ac:dyDescent="0.25">
      <c r="A4808" s="8" t="s">
        <v>3977</v>
      </c>
      <c r="B4808" s="9"/>
      <c r="C4808" s="9"/>
      <c r="D4808" s="8"/>
      <c r="E4808" s="8"/>
      <c r="F4808" s="8"/>
      <c r="G4808" s="10"/>
      <c r="H4808" s="8" t="s">
        <v>10033</v>
      </c>
      <c r="I4808" s="10" t="s">
        <v>4221</v>
      </c>
      <c r="J4808" s="11" t="s">
        <v>33</v>
      </c>
      <c r="K4808" s="18">
        <v>15000</v>
      </c>
      <c r="L4808" s="12">
        <f t="shared" si="413"/>
        <v>21500</v>
      </c>
      <c r="M4808" s="8">
        <v>1</v>
      </c>
      <c r="N4808" s="8" t="s">
        <v>27</v>
      </c>
      <c r="O4808" s="13" t="s">
        <v>587</v>
      </c>
      <c r="P4808" s="14">
        <v>0.2</v>
      </c>
      <c r="Q4808" s="15">
        <v>0.3</v>
      </c>
      <c r="R4808" s="16" t="str">
        <f t="shared" si="412"/>
        <v>KOMODO</v>
      </c>
      <c r="S4808" s="17"/>
      <c r="T4808" s="10">
        <f>G4808</f>
        <v>0</v>
      </c>
    </row>
    <row r="4809" spans="1:20" ht="27" customHeight="1" x14ac:dyDescent="0.25">
      <c r="A4809" s="8" t="s">
        <v>3977</v>
      </c>
      <c r="B4809" s="9"/>
      <c r="C4809" s="9"/>
      <c r="D4809" s="8"/>
      <c r="E4809" s="8"/>
      <c r="F4809" s="8"/>
      <c r="G4809" s="10"/>
      <c r="H4809" s="8" t="s">
        <v>10034</v>
      </c>
      <c r="I4809" s="10" t="s">
        <v>10035</v>
      </c>
      <c r="J4809" s="11" t="s">
        <v>33</v>
      </c>
      <c r="K4809" s="18">
        <v>40000</v>
      </c>
      <c r="L4809" s="12">
        <f>ROUNDUP(K4809*(1+P4809)/(1-Q4809),0)</f>
        <v>57143</v>
      </c>
      <c r="M4809" s="8">
        <v>1</v>
      </c>
      <c r="N4809" s="8" t="s">
        <v>27</v>
      </c>
      <c r="O4809" s="13"/>
      <c r="P4809" s="14">
        <v>0</v>
      </c>
      <c r="Q4809" s="15">
        <v>0.3</v>
      </c>
      <c r="R4809" s="16" t="str">
        <f t="shared" si="412"/>
        <v>KOMODO</v>
      </c>
      <c r="S4809" s="17"/>
      <c r="T4809" s="10">
        <f>G4809</f>
        <v>0</v>
      </c>
    </row>
    <row r="4810" spans="1:20" ht="27" customHeight="1" x14ac:dyDescent="0.25">
      <c r="A4810" s="8" t="s">
        <v>3977</v>
      </c>
      <c r="B4810" s="9"/>
      <c r="C4810" s="9"/>
      <c r="D4810" s="8"/>
      <c r="E4810" s="8"/>
      <c r="F4810" s="8"/>
      <c r="G4810" s="10"/>
      <c r="H4810" s="8" t="s">
        <v>10036</v>
      </c>
      <c r="I4810" s="10" t="s">
        <v>10037</v>
      </c>
      <c r="J4810" s="11" t="s">
        <v>33</v>
      </c>
      <c r="K4810" s="18">
        <v>28000</v>
      </c>
      <c r="L4810" s="12">
        <f>IF(J4810="P",ROUNDUP(K4810/(1-Q4810),-2),K4810*(1+P4810)/(1-Q4810))</f>
        <v>56000</v>
      </c>
      <c r="M4810" s="8">
        <v>1</v>
      </c>
      <c r="N4810" s="8" t="s">
        <v>27</v>
      </c>
      <c r="O4810" s="13" t="s">
        <v>588</v>
      </c>
      <c r="P4810" s="14">
        <v>0.2</v>
      </c>
      <c r="Q4810" s="15">
        <v>0.5</v>
      </c>
      <c r="R4810" s="16" t="str">
        <f t="shared" si="412"/>
        <v>KOMODO</v>
      </c>
      <c r="S4810" s="17"/>
      <c r="T4810" s="10"/>
    </row>
    <row r="4811" spans="1:20" ht="27" customHeight="1" x14ac:dyDescent="0.25">
      <c r="A4811" s="8" t="s">
        <v>3977</v>
      </c>
      <c r="B4811" s="9"/>
      <c r="C4811" s="9"/>
      <c r="D4811" s="8"/>
      <c r="E4811" s="8"/>
      <c r="F4811" s="8"/>
      <c r="G4811" s="10"/>
      <c r="H4811" s="8" t="s">
        <v>10038</v>
      </c>
      <c r="I4811" s="10" t="s">
        <v>10039</v>
      </c>
      <c r="J4811" s="11" t="s">
        <v>33</v>
      </c>
      <c r="K4811" s="18">
        <v>3500</v>
      </c>
      <c r="L4811" s="12">
        <f>IF(J4811="P",ROUNDUP(K4811/(1-Q4811),-2),K4811*(1+P4811)/(1-Q4811))</f>
        <v>7000</v>
      </c>
      <c r="M4811" s="8">
        <v>1</v>
      </c>
      <c r="N4811" s="8" t="s">
        <v>27</v>
      </c>
      <c r="O4811" s="13" t="s">
        <v>588</v>
      </c>
      <c r="P4811" s="14">
        <v>0.2</v>
      </c>
      <c r="Q4811" s="15">
        <v>0.5</v>
      </c>
      <c r="R4811" s="16" t="str">
        <f t="shared" si="412"/>
        <v>KOMODO</v>
      </c>
      <c r="S4811" s="17"/>
      <c r="T4811" s="10"/>
    </row>
    <row r="4812" spans="1:20" ht="27" customHeight="1" x14ac:dyDescent="0.25">
      <c r="A4812" s="8" t="s">
        <v>3977</v>
      </c>
      <c r="B4812" s="9"/>
      <c r="C4812" s="9"/>
      <c r="D4812" s="8"/>
      <c r="E4812" s="8"/>
      <c r="F4812" s="8"/>
      <c r="G4812" s="10"/>
      <c r="H4812" s="8" t="s">
        <v>10040</v>
      </c>
      <c r="I4812" s="10" t="s">
        <v>10041</v>
      </c>
      <c r="J4812" s="11" t="s">
        <v>33</v>
      </c>
      <c r="K4812" s="18">
        <v>3000</v>
      </c>
      <c r="L4812" s="12">
        <f>IF(J4812="P",ROUNDUP(K4812/(1-Q4812),-2),K4812*(1+P4812)/(1-Q4812))</f>
        <v>6000</v>
      </c>
      <c r="M4812" s="8">
        <v>1</v>
      </c>
      <c r="N4812" s="8" t="s">
        <v>27</v>
      </c>
      <c r="O4812" s="13" t="s">
        <v>588</v>
      </c>
      <c r="P4812" s="14">
        <v>0.2</v>
      </c>
      <c r="Q4812" s="15">
        <v>0.5</v>
      </c>
      <c r="R4812" s="16" t="str">
        <f t="shared" si="412"/>
        <v>KOMODO</v>
      </c>
      <c r="S4812" s="17"/>
      <c r="T4812" s="10"/>
    </row>
    <row r="4813" spans="1:20" ht="27" customHeight="1" x14ac:dyDescent="0.25">
      <c r="A4813" s="8" t="s">
        <v>3977</v>
      </c>
      <c r="B4813" s="9"/>
      <c r="C4813" s="9"/>
      <c r="D4813" s="8"/>
      <c r="E4813" s="8"/>
      <c r="F4813" s="8"/>
      <c r="G4813" s="10"/>
      <c r="H4813" s="8" t="s">
        <v>10042</v>
      </c>
      <c r="I4813" s="10" t="s">
        <v>10043</v>
      </c>
      <c r="J4813" s="11" t="s">
        <v>33</v>
      </c>
      <c r="K4813" s="18">
        <v>3000</v>
      </c>
      <c r="L4813" s="12">
        <f>IF(J4813="P",ROUNDUP(K4813/(1-Q4813),-2),K4813*(1+P4813)/(1-Q4813))</f>
        <v>6000</v>
      </c>
      <c r="M4813" s="8">
        <v>1</v>
      </c>
      <c r="N4813" s="8" t="s">
        <v>27</v>
      </c>
      <c r="O4813" s="13" t="s">
        <v>588</v>
      </c>
      <c r="P4813" s="14">
        <v>0.2</v>
      </c>
      <c r="Q4813" s="15">
        <v>0.5</v>
      </c>
      <c r="R4813" s="16" t="str">
        <f t="shared" si="412"/>
        <v>KOMODO</v>
      </c>
      <c r="S4813" s="17"/>
      <c r="T4813" s="10"/>
    </row>
    <row r="4814" spans="1:20" ht="27" customHeight="1" x14ac:dyDescent="0.25">
      <c r="A4814" s="8" t="s">
        <v>3977</v>
      </c>
      <c r="B4814" s="9"/>
      <c r="C4814" s="9"/>
      <c r="D4814" s="8"/>
      <c r="E4814" s="8"/>
      <c r="F4814" s="8"/>
      <c r="G4814" s="10"/>
      <c r="H4814" s="8" t="s">
        <v>10044</v>
      </c>
      <c r="I4814" s="10" t="s">
        <v>10045</v>
      </c>
      <c r="J4814" s="11" t="s">
        <v>33</v>
      </c>
      <c r="K4814" s="18">
        <v>5500</v>
      </c>
      <c r="L4814" s="12">
        <f>IF(J4814="P",ROUNDUP(K4814/(1-Q4814),-2),K4814*(1+P4814)/(1-Q4814))</f>
        <v>11000</v>
      </c>
      <c r="M4814" s="8">
        <v>1</v>
      </c>
      <c r="N4814" s="8" t="s">
        <v>27</v>
      </c>
      <c r="O4814" s="13" t="s">
        <v>588</v>
      </c>
      <c r="P4814" s="14">
        <v>0.2</v>
      </c>
      <c r="Q4814" s="15">
        <v>0.5</v>
      </c>
      <c r="R4814" s="16" t="str">
        <f t="shared" si="412"/>
        <v>KOMODO</v>
      </c>
      <c r="S4814" s="17"/>
      <c r="T4814" s="10"/>
    </row>
    <row r="4815" spans="1:20" ht="27" customHeight="1" x14ac:dyDescent="0.25">
      <c r="A4815" s="8" t="s">
        <v>3977</v>
      </c>
      <c r="B4815" s="9"/>
      <c r="C4815" s="9"/>
      <c r="D4815" s="8"/>
      <c r="E4815" s="8"/>
      <c r="F4815" s="8"/>
      <c r="G4815" s="10"/>
      <c r="H4815" s="8" t="s">
        <v>10046</v>
      </c>
      <c r="I4815" s="10" t="s">
        <v>10047</v>
      </c>
      <c r="J4815" s="11" t="s">
        <v>33</v>
      </c>
      <c r="K4815" s="18">
        <v>8000</v>
      </c>
      <c r="L4815" s="12">
        <f>ROUNDUP(K4815*(1+P4815)/(1-Q4815),0)</f>
        <v>11429</v>
      </c>
      <c r="M4815" s="8">
        <v>1</v>
      </c>
      <c r="N4815" s="8" t="s">
        <v>27</v>
      </c>
      <c r="O4815" s="13"/>
      <c r="P4815" s="14">
        <v>0</v>
      </c>
      <c r="Q4815" s="15">
        <v>0.3</v>
      </c>
      <c r="R4815" s="16" t="str">
        <f t="shared" si="412"/>
        <v>KOMODO</v>
      </c>
      <c r="S4815" s="17"/>
      <c r="T4815" s="10"/>
    </row>
    <row r="4816" spans="1:20" ht="27" customHeight="1" x14ac:dyDescent="0.25">
      <c r="A4816" s="8" t="s">
        <v>3977</v>
      </c>
      <c r="B4816" s="9"/>
      <c r="C4816" s="9"/>
      <c r="D4816" s="8"/>
      <c r="E4816" s="8"/>
      <c r="F4816" s="8"/>
      <c r="G4816" s="10"/>
      <c r="H4816" s="8" t="s">
        <v>10048</v>
      </c>
      <c r="I4816" s="10" t="s">
        <v>10049</v>
      </c>
      <c r="J4816" s="11" t="s">
        <v>33</v>
      </c>
      <c r="K4816" s="18">
        <v>15000</v>
      </c>
      <c r="L4816" s="12">
        <f>ROUNDUP(K4816*(1+P4816)/(1-Q4816),0)</f>
        <v>21429</v>
      </c>
      <c r="M4816" s="8">
        <v>1</v>
      </c>
      <c r="N4816" s="8" t="s">
        <v>27</v>
      </c>
      <c r="O4816" s="13"/>
      <c r="P4816" s="14">
        <v>0</v>
      </c>
      <c r="Q4816" s="15">
        <v>0.3</v>
      </c>
      <c r="R4816" s="16" t="str">
        <f t="shared" si="412"/>
        <v>KOMODO</v>
      </c>
      <c r="S4816" s="17"/>
      <c r="T4816" s="10"/>
    </row>
    <row r="4817" spans="1:20" ht="27" customHeight="1" x14ac:dyDescent="0.25">
      <c r="A4817" s="8" t="s">
        <v>3977</v>
      </c>
      <c r="B4817" s="9" t="s">
        <v>2515</v>
      </c>
      <c r="C4817" s="9"/>
      <c r="D4817" s="8" t="s">
        <v>4009</v>
      </c>
      <c r="E4817" s="8"/>
      <c r="F4817" s="8" t="s">
        <v>22</v>
      </c>
      <c r="G4817" s="10" t="s">
        <v>4235</v>
      </c>
      <c r="H4817" s="8" t="s">
        <v>10024</v>
      </c>
      <c r="I4817" s="10" t="s">
        <v>4237</v>
      </c>
      <c r="J4817" s="11" t="s">
        <v>33</v>
      </c>
      <c r="K4817" s="18">
        <v>20000</v>
      </c>
      <c r="L4817" s="12">
        <f t="shared" ref="L4817:L4822" si="414">IF(J4817="P",ROUNDUP(K4817/(1-Q4817),-2),K4817*(1+P4817)/(1-Q4817))</f>
        <v>28600</v>
      </c>
      <c r="M4817" s="8">
        <v>1</v>
      </c>
      <c r="N4817" s="8" t="s">
        <v>27</v>
      </c>
      <c r="O4817" s="13" t="s">
        <v>587</v>
      </c>
      <c r="P4817" s="14">
        <v>0.2</v>
      </c>
      <c r="Q4817" s="15">
        <v>0.3</v>
      </c>
      <c r="R4817" s="16" t="str">
        <f t="shared" si="412"/>
        <v>KOMODO</v>
      </c>
      <c r="S4817" s="17"/>
      <c r="T4817" s="10" t="str">
        <f>G4817</f>
        <v>INSTALACIÓN DE LUMINARIA TIPO APLIQUE DE EXTERIOR.</v>
      </c>
    </row>
    <row r="4818" spans="1:20" ht="27" customHeight="1" x14ac:dyDescent="0.25">
      <c r="A4818" s="8" t="s">
        <v>3424</v>
      </c>
      <c r="B4818" s="9"/>
      <c r="C4818" s="9"/>
      <c r="D4818" s="8"/>
      <c r="E4818" s="8"/>
      <c r="F4818" s="8"/>
      <c r="G4818" s="10"/>
      <c r="H4818" s="8" t="s">
        <v>10050</v>
      </c>
      <c r="I4818" s="10" t="s">
        <v>10051</v>
      </c>
      <c r="J4818" s="11" t="s">
        <v>33</v>
      </c>
      <c r="K4818" s="18">
        <v>363000</v>
      </c>
      <c r="L4818" s="12">
        <f t="shared" si="414"/>
        <v>518600</v>
      </c>
      <c r="M4818" s="8">
        <v>1</v>
      </c>
      <c r="N4818" s="8" t="s">
        <v>27</v>
      </c>
      <c r="O4818" s="13" t="s">
        <v>587</v>
      </c>
      <c r="P4818" s="14">
        <v>0.2</v>
      </c>
      <c r="Q4818" s="15">
        <v>0.3</v>
      </c>
      <c r="R4818" s="16" t="str">
        <f t="shared" si="412"/>
        <v>GRANDSTREAM</v>
      </c>
      <c r="S4818" s="17"/>
      <c r="T4818" s="10"/>
    </row>
    <row r="4819" spans="1:20" ht="27" customHeight="1" x14ac:dyDescent="0.25">
      <c r="A4819" s="8" t="s">
        <v>10052</v>
      </c>
      <c r="B4819" s="9"/>
      <c r="C4819" s="9"/>
      <c r="D4819" s="8"/>
      <c r="E4819" s="8"/>
      <c r="F4819" s="8"/>
      <c r="G4819" s="10"/>
      <c r="H4819" s="8" t="s">
        <v>10053</v>
      </c>
      <c r="I4819" s="10" t="s">
        <v>10054</v>
      </c>
      <c r="J4819" s="11" t="s">
        <v>33</v>
      </c>
      <c r="K4819" s="18">
        <v>50000</v>
      </c>
      <c r="L4819" s="12">
        <f t="shared" si="414"/>
        <v>71500</v>
      </c>
      <c r="M4819" s="8">
        <v>1</v>
      </c>
      <c r="N4819" s="8" t="s">
        <v>27</v>
      </c>
      <c r="O4819" s="13" t="s">
        <v>587</v>
      </c>
      <c r="P4819" s="14">
        <v>0.2</v>
      </c>
      <c r="Q4819" s="15">
        <v>0.3</v>
      </c>
      <c r="R4819" s="16" t="str">
        <f t="shared" si="412"/>
        <v>GERAL</v>
      </c>
      <c r="S4819" s="17"/>
      <c r="T4819" s="10"/>
    </row>
    <row r="4820" spans="1:20" ht="27" customHeight="1" x14ac:dyDescent="0.25">
      <c r="A4820" s="8" t="s">
        <v>3424</v>
      </c>
      <c r="B4820" s="9"/>
      <c r="C4820" s="9"/>
      <c r="D4820" s="8"/>
      <c r="E4820" s="8"/>
      <c r="F4820" s="8"/>
      <c r="G4820" s="10"/>
      <c r="H4820" s="8" t="s">
        <v>3426</v>
      </c>
      <c r="I4820" s="10" t="s">
        <v>10055</v>
      </c>
      <c r="J4820" s="11" t="s">
        <v>33</v>
      </c>
      <c r="K4820" s="18">
        <v>160000</v>
      </c>
      <c r="L4820" s="12">
        <f t="shared" si="414"/>
        <v>228600</v>
      </c>
      <c r="M4820" s="8">
        <v>1</v>
      </c>
      <c r="N4820" s="8" t="s">
        <v>27</v>
      </c>
      <c r="O4820" s="13" t="s">
        <v>587</v>
      </c>
      <c r="P4820" s="14">
        <v>0.2</v>
      </c>
      <c r="Q4820" s="15">
        <v>0.3</v>
      </c>
      <c r="R4820" s="16" t="str">
        <f t="shared" si="412"/>
        <v>GRANDSTREAM</v>
      </c>
      <c r="S4820" s="17"/>
      <c r="T4820" s="10"/>
    </row>
    <row r="4821" spans="1:20" ht="27" customHeight="1" x14ac:dyDescent="0.25">
      <c r="A4821" s="8" t="s">
        <v>8308</v>
      </c>
      <c r="B4821" s="9"/>
      <c r="C4821" s="9"/>
      <c r="D4821" s="8"/>
      <c r="E4821" s="8"/>
      <c r="F4821" s="8"/>
      <c r="G4821" s="10"/>
      <c r="H4821" s="8" t="s">
        <v>9737</v>
      </c>
      <c r="I4821" s="10" t="s">
        <v>10056</v>
      </c>
      <c r="J4821" s="11" t="s">
        <v>33</v>
      </c>
      <c r="K4821" s="18">
        <v>289000</v>
      </c>
      <c r="L4821" s="12">
        <f t="shared" si="414"/>
        <v>412900</v>
      </c>
      <c r="M4821" s="8">
        <v>1</v>
      </c>
      <c r="N4821" s="8" t="s">
        <v>27</v>
      </c>
      <c r="O4821" s="13" t="s">
        <v>587</v>
      </c>
      <c r="P4821" s="14">
        <v>0</v>
      </c>
      <c r="Q4821" s="15">
        <v>0.3</v>
      </c>
      <c r="R4821" s="16" t="str">
        <f t="shared" si="412"/>
        <v>SOLIDVIEW</v>
      </c>
      <c r="S4821" s="17"/>
      <c r="T4821" s="10"/>
    </row>
    <row r="4822" spans="1:20" ht="27" customHeight="1" x14ac:dyDescent="0.25">
      <c r="A4822" s="8" t="s">
        <v>3977</v>
      </c>
      <c r="B4822" s="9"/>
      <c r="C4822" s="9"/>
      <c r="D4822" s="8"/>
      <c r="E4822" s="8"/>
      <c r="F4822" s="8"/>
      <c r="G4822" s="10"/>
      <c r="H4822" s="8" t="s">
        <v>4341</v>
      </c>
      <c r="I4822" s="10" t="s">
        <v>10057</v>
      </c>
      <c r="J4822" s="11" t="s">
        <v>33</v>
      </c>
      <c r="K4822" s="18">
        <v>45000</v>
      </c>
      <c r="L4822" s="12">
        <f t="shared" si="414"/>
        <v>64300</v>
      </c>
      <c r="M4822" s="8">
        <v>1</v>
      </c>
      <c r="N4822" s="8" t="s">
        <v>27</v>
      </c>
      <c r="O4822" s="13" t="s">
        <v>587</v>
      </c>
      <c r="P4822" s="14">
        <v>0</v>
      </c>
      <c r="Q4822" s="15">
        <v>0.3</v>
      </c>
      <c r="R4822" s="16" t="str">
        <f t="shared" si="412"/>
        <v>KOMODO</v>
      </c>
      <c r="S4822" s="17"/>
      <c r="T4822" s="10"/>
    </row>
    <row r="4823" spans="1:20" ht="27" customHeight="1" x14ac:dyDescent="0.25">
      <c r="A4823" s="8" t="s">
        <v>5672</v>
      </c>
      <c r="B4823" s="9"/>
      <c r="C4823" s="9"/>
      <c r="D4823" s="8"/>
      <c r="E4823" s="8"/>
      <c r="F4823" s="8"/>
      <c r="G4823" s="10"/>
      <c r="H4823" s="8" t="s">
        <v>10058</v>
      </c>
      <c r="I4823" s="10" t="s">
        <v>10059</v>
      </c>
      <c r="J4823" s="11" t="s">
        <v>26</v>
      </c>
      <c r="K4823" s="57"/>
      <c r="L4823" s="12"/>
      <c r="M4823" s="8"/>
      <c r="N4823" s="8"/>
      <c r="O4823" s="13"/>
      <c r="P4823" s="14"/>
      <c r="Q4823" s="15"/>
      <c r="R4823" s="16" t="str">
        <f t="shared" si="412"/>
        <v>LUTRON</v>
      </c>
      <c r="S4823" s="17"/>
      <c r="T4823" s="10"/>
    </row>
    <row r="4824" spans="1:20" ht="27" customHeight="1" x14ac:dyDescent="0.25">
      <c r="A4824" s="8" t="s">
        <v>5672</v>
      </c>
      <c r="B4824" s="9"/>
      <c r="C4824" s="9"/>
      <c r="D4824" s="8"/>
      <c r="E4824" s="8"/>
      <c r="F4824" s="8"/>
      <c r="G4824" s="10"/>
      <c r="H4824" s="8" t="s">
        <v>10060</v>
      </c>
      <c r="I4824" s="10" t="s">
        <v>10061</v>
      </c>
      <c r="J4824" s="11" t="s">
        <v>26</v>
      </c>
      <c r="K4824" s="57">
        <v>102</v>
      </c>
      <c r="L4824" s="12">
        <f>IF(J4824="P",ROUNDUP(K4824/(1-Q4824),-2),K4824*(1+P4824)/(1-Q4824))</f>
        <v>179.00087095558129</v>
      </c>
      <c r="M4824" s="8">
        <v>1</v>
      </c>
      <c r="N4824" s="8" t="s">
        <v>27</v>
      </c>
      <c r="O4824" s="13" t="s">
        <v>587</v>
      </c>
      <c r="P4824" s="14">
        <v>0.2</v>
      </c>
      <c r="Q4824" s="15">
        <v>0.31620444444444462</v>
      </c>
      <c r="R4824" s="16" t="str">
        <f t="shared" si="412"/>
        <v>LUTRON</v>
      </c>
      <c r="S4824" s="17"/>
      <c r="T4824" s="10"/>
    </row>
    <row r="4825" spans="1:20" ht="27" customHeight="1" x14ac:dyDescent="0.25">
      <c r="A4825" s="8" t="s">
        <v>5672</v>
      </c>
      <c r="B4825" s="9"/>
      <c r="C4825" s="9"/>
      <c r="D4825" s="8"/>
      <c r="E4825" s="8"/>
      <c r="F4825" s="8"/>
      <c r="G4825" s="10"/>
      <c r="H4825" s="8" t="s">
        <v>10062</v>
      </c>
      <c r="I4825" s="10" t="s">
        <v>10063</v>
      </c>
      <c r="J4825" s="11" t="s">
        <v>26</v>
      </c>
      <c r="K4825" s="57">
        <v>9.6</v>
      </c>
      <c r="L4825" s="12">
        <f>IF(J4825="P",ROUNDUP(K4825/(1-Q4825),-2),K4825*(1+P4825)/(1-Q4825))</f>
        <v>17.777787897021192</v>
      </c>
      <c r="M4825" s="8">
        <v>1</v>
      </c>
      <c r="N4825" s="8" t="s">
        <v>27</v>
      </c>
      <c r="O4825" s="13" t="s">
        <v>587</v>
      </c>
      <c r="P4825" s="14">
        <v>0.2</v>
      </c>
      <c r="Q4825" s="15">
        <v>0.3520003688462125</v>
      </c>
      <c r="R4825" s="16" t="str">
        <f t="shared" si="412"/>
        <v>LUTRON</v>
      </c>
      <c r="S4825" s="17"/>
      <c r="T4825" s="10"/>
    </row>
    <row r="4826" spans="1:20" ht="27" customHeight="1" x14ac:dyDescent="0.25">
      <c r="A4826" s="8" t="s">
        <v>5672</v>
      </c>
      <c r="B4826" s="9"/>
      <c r="C4826" s="9"/>
      <c r="D4826" s="8"/>
      <c r="E4826" s="8"/>
      <c r="F4826" s="8"/>
      <c r="G4826" s="10"/>
      <c r="H4826" s="8" t="s">
        <v>10064</v>
      </c>
      <c r="I4826" s="10" t="s">
        <v>10065</v>
      </c>
      <c r="J4826" s="11" t="s">
        <v>26</v>
      </c>
      <c r="K4826" s="57">
        <v>36</v>
      </c>
      <c r="L4826" s="12">
        <f>IF(J4826="P",ROUNDUP(K4826/(1-Q4826),-2),K4826*(1+P4826)/(1-Q4826))</f>
        <v>72</v>
      </c>
      <c r="M4826" s="8">
        <v>1</v>
      </c>
      <c r="N4826" s="8" t="s">
        <v>27</v>
      </c>
      <c r="O4826" s="13" t="s">
        <v>587</v>
      </c>
      <c r="P4826" s="14">
        <v>0.2</v>
      </c>
      <c r="Q4826" s="15">
        <v>0.4</v>
      </c>
      <c r="R4826" s="16" t="str">
        <f t="shared" si="412"/>
        <v>LUTRON</v>
      </c>
      <c r="S4826" s="17"/>
      <c r="T4826" s="10"/>
    </row>
    <row r="4827" spans="1:20" ht="27" customHeight="1" x14ac:dyDescent="0.25">
      <c r="A4827" s="8" t="s">
        <v>5672</v>
      </c>
      <c r="B4827" s="9"/>
      <c r="C4827" s="9"/>
      <c r="D4827" s="8"/>
      <c r="E4827" s="8"/>
      <c r="F4827" s="8"/>
      <c r="G4827" s="10"/>
      <c r="H4827" s="8" t="s">
        <v>10066</v>
      </c>
      <c r="I4827" s="10" t="s">
        <v>10067</v>
      </c>
      <c r="J4827" s="11" t="s">
        <v>26</v>
      </c>
      <c r="K4827" s="57">
        <v>36</v>
      </c>
      <c r="L4827" s="12">
        <f>IF(J4827="P",ROUNDUP(K4827/(1-Q4827),-2),K4827*(1+P4827)/(1-Q4827))</f>
        <v>72</v>
      </c>
      <c r="M4827" s="8">
        <v>1</v>
      </c>
      <c r="N4827" s="8" t="s">
        <v>27</v>
      </c>
      <c r="O4827" s="13" t="s">
        <v>587</v>
      </c>
      <c r="P4827" s="14">
        <v>0.2</v>
      </c>
      <c r="Q4827" s="15">
        <v>0.4</v>
      </c>
      <c r="R4827" s="16" t="str">
        <f t="shared" si="412"/>
        <v>LUTRON</v>
      </c>
      <c r="S4827" s="17"/>
      <c r="T4827" s="10"/>
    </row>
    <row r="4828" spans="1:20" ht="27" customHeight="1" x14ac:dyDescent="0.25">
      <c r="A4828" s="8" t="s">
        <v>5672</v>
      </c>
      <c r="B4828" s="9"/>
      <c r="C4828" s="9"/>
      <c r="D4828" s="8"/>
      <c r="E4828" s="8"/>
      <c r="F4828" s="8"/>
      <c r="G4828" s="10"/>
      <c r="H4828" s="8" t="s">
        <v>10068</v>
      </c>
      <c r="I4828" s="10" t="s">
        <v>10069</v>
      </c>
      <c r="J4828" s="11" t="s">
        <v>26</v>
      </c>
      <c r="K4828" s="57">
        <v>75</v>
      </c>
      <c r="L4828" s="12">
        <f>IF(J4828="P",ROUNDUP(K4828/(1-Q4828),-2),K4828*(1+P4828)/(1-Q4828))</f>
        <v>130.20835059424641</v>
      </c>
      <c r="M4828" s="8">
        <v>1</v>
      </c>
      <c r="N4828" s="8" t="s">
        <v>27</v>
      </c>
      <c r="O4828" s="13" t="s">
        <v>587</v>
      </c>
      <c r="P4828" s="14">
        <v>0.2</v>
      </c>
      <c r="Q4828" s="15">
        <v>0.30880009162809507</v>
      </c>
      <c r="R4828" s="16" t="str">
        <f t="shared" si="412"/>
        <v>LUTRON</v>
      </c>
      <c r="S4828" s="17"/>
      <c r="T4828" s="10"/>
    </row>
    <row r="4829" spans="1:20" ht="27" customHeight="1" x14ac:dyDescent="0.25">
      <c r="A4829" s="8" t="s">
        <v>2512</v>
      </c>
      <c r="B4829" s="9"/>
      <c r="C4829" s="9"/>
      <c r="D4829" s="8"/>
      <c r="E4829" s="8"/>
      <c r="F4829" s="8"/>
      <c r="G4829" s="10"/>
      <c r="H4829" s="8" t="s">
        <v>10070</v>
      </c>
      <c r="I4829" s="10" t="s">
        <v>10071</v>
      </c>
      <c r="J4829" s="11" t="s">
        <v>33</v>
      </c>
      <c r="K4829" s="18">
        <v>350000</v>
      </c>
      <c r="L4829" s="12">
        <f t="shared" ref="L4829:L4838" si="415">K4829*(1+P4829)/(1-Q4829)</f>
        <v>466666.66666666669</v>
      </c>
      <c r="M4829" s="8">
        <v>1</v>
      </c>
      <c r="N4829" s="8" t="s">
        <v>27</v>
      </c>
      <c r="O4829" s="13"/>
      <c r="P4829" s="14">
        <v>0</v>
      </c>
      <c r="Q4829" s="15">
        <v>0.25</v>
      </c>
      <c r="R4829" s="16" t="str">
        <f t="shared" si="412"/>
        <v>GENERAL</v>
      </c>
      <c r="S4829" s="17"/>
      <c r="T4829" s="10"/>
    </row>
    <row r="4830" spans="1:20" ht="27" customHeight="1" x14ac:dyDescent="0.25">
      <c r="A4830" s="8" t="s">
        <v>6886</v>
      </c>
      <c r="B4830" s="9"/>
      <c r="C4830" s="9"/>
      <c r="D4830" s="8"/>
      <c r="E4830" s="8"/>
      <c r="F4830" s="8"/>
      <c r="G4830" s="10"/>
      <c r="H4830" s="8" t="s">
        <v>102</v>
      </c>
      <c r="I4830" s="10" t="s">
        <v>10072</v>
      </c>
      <c r="J4830" s="11" t="s">
        <v>26</v>
      </c>
      <c r="K4830" s="18">
        <v>29</v>
      </c>
      <c r="L4830" s="12">
        <f t="shared" si="415"/>
        <v>58</v>
      </c>
      <c r="M4830" s="8">
        <v>1</v>
      </c>
      <c r="N4830" s="8" t="s">
        <v>27</v>
      </c>
      <c r="O4830" s="13"/>
      <c r="P4830" s="14">
        <v>0.2</v>
      </c>
      <c r="Q4830" s="15">
        <v>0.4</v>
      </c>
      <c r="R4830" s="16" t="str">
        <f t="shared" si="412"/>
        <v>MEANWELL</v>
      </c>
      <c r="S4830" s="17" t="s">
        <v>10073</v>
      </c>
      <c r="T4830" s="10"/>
    </row>
    <row r="4831" spans="1:20" ht="27" customHeight="1" x14ac:dyDescent="0.25">
      <c r="A4831" s="8" t="s">
        <v>6886</v>
      </c>
      <c r="B4831" s="9"/>
      <c r="C4831" s="9"/>
      <c r="D4831" s="8"/>
      <c r="E4831" s="8"/>
      <c r="F4831" s="8"/>
      <c r="G4831" s="10"/>
      <c r="H4831" s="8" t="s">
        <v>105</v>
      </c>
      <c r="I4831" s="10" t="s">
        <v>10074</v>
      </c>
      <c r="J4831" s="11" t="s">
        <v>26</v>
      </c>
      <c r="K4831" s="18">
        <v>58</v>
      </c>
      <c r="L4831" s="12">
        <f t="shared" si="415"/>
        <v>116</v>
      </c>
      <c r="M4831" s="8">
        <v>1</v>
      </c>
      <c r="N4831" s="8" t="s">
        <v>27</v>
      </c>
      <c r="O4831" s="13"/>
      <c r="P4831" s="14">
        <v>0.2</v>
      </c>
      <c r="Q4831" s="15">
        <v>0.4</v>
      </c>
      <c r="R4831" s="16" t="str">
        <f t="shared" si="412"/>
        <v>MEANWELL</v>
      </c>
      <c r="S4831" s="17" t="s">
        <v>10075</v>
      </c>
      <c r="T4831" s="10"/>
    </row>
    <row r="4832" spans="1:20" ht="27" customHeight="1" x14ac:dyDescent="0.25">
      <c r="A4832" s="8" t="s">
        <v>6886</v>
      </c>
      <c r="B4832" s="9"/>
      <c r="C4832" s="9"/>
      <c r="D4832" s="8"/>
      <c r="E4832" s="8"/>
      <c r="F4832" s="8"/>
      <c r="G4832" s="10"/>
      <c r="H4832" s="8" t="s">
        <v>10076</v>
      </c>
      <c r="I4832" s="10" t="s">
        <v>10077</v>
      </c>
      <c r="J4832" s="11" t="s">
        <v>26</v>
      </c>
      <c r="K4832" s="18">
        <f>65000/1.19</f>
        <v>54621.848739495799</v>
      </c>
      <c r="L4832" s="12">
        <f t="shared" si="415"/>
        <v>78031.212484994001</v>
      </c>
      <c r="M4832" s="8">
        <v>1</v>
      </c>
      <c r="N4832" s="8" t="s">
        <v>27</v>
      </c>
      <c r="O4832" s="13"/>
      <c r="P4832" s="14">
        <v>0</v>
      </c>
      <c r="Q4832" s="15">
        <v>0.3</v>
      </c>
      <c r="R4832" s="16" t="str">
        <f t="shared" si="412"/>
        <v>MEANWELL</v>
      </c>
      <c r="S4832" s="17" t="s">
        <v>10078</v>
      </c>
      <c r="T4832" s="10"/>
    </row>
    <row r="4833" spans="1:20" ht="27" customHeight="1" x14ac:dyDescent="0.25">
      <c r="A4833" s="8" t="s">
        <v>6886</v>
      </c>
      <c r="B4833" s="9"/>
      <c r="C4833" s="9"/>
      <c r="D4833" s="8"/>
      <c r="E4833" s="8"/>
      <c r="F4833" s="8"/>
      <c r="G4833" s="10"/>
      <c r="H4833" s="8" t="s">
        <v>10079</v>
      </c>
      <c r="I4833" s="10" t="s">
        <v>10080</v>
      </c>
      <c r="J4833" s="11" t="s">
        <v>26</v>
      </c>
      <c r="K4833" s="18">
        <v>27.35</v>
      </c>
      <c r="L4833" s="12">
        <f t="shared" si="415"/>
        <v>54.7</v>
      </c>
      <c r="M4833" s="8">
        <v>1</v>
      </c>
      <c r="N4833" s="8" t="s">
        <v>27</v>
      </c>
      <c r="O4833" s="13"/>
      <c r="P4833" s="14">
        <v>0.2</v>
      </c>
      <c r="Q4833" s="15">
        <v>0.4</v>
      </c>
      <c r="R4833" s="16" t="str">
        <f t="shared" si="412"/>
        <v>MEANWELL</v>
      </c>
      <c r="S4833" s="17" t="s">
        <v>10081</v>
      </c>
      <c r="T4833" s="10"/>
    </row>
    <row r="4834" spans="1:20" ht="27" customHeight="1" x14ac:dyDescent="0.25">
      <c r="A4834" s="8" t="s">
        <v>6886</v>
      </c>
      <c r="B4834" s="9"/>
      <c r="C4834" s="9"/>
      <c r="D4834" s="8"/>
      <c r="E4834" s="8"/>
      <c r="F4834" s="8"/>
      <c r="G4834" s="10"/>
      <c r="H4834" s="8" t="s">
        <v>10082</v>
      </c>
      <c r="I4834" s="10" t="s">
        <v>10083</v>
      </c>
      <c r="J4834" s="11" t="s">
        <v>26</v>
      </c>
      <c r="K4834" s="18">
        <v>34</v>
      </c>
      <c r="L4834" s="12">
        <f t="shared" si="415"/>
        <v>68</v>
      </c>
      <c r="M4834" s="8">
        <v>1</v>
      </c>
      <c r="N4834" s="8" t="s">
        <v>27</v>
      </c>
      <c r="O4834" s="13"/>
      <c r="P4834" s="14">
        <v>0.2</v>
      </c>
      <c r="Q4834" s="15">
        <v>0.4</v>
      </c>
      <c r="R4834" s="16" t="str">
        <f t="shared" si="412"/>
        <v>MEANWELL</v>
      </c>
      <c r="S4834" s="17" t="s">
        <v>10084</v>
      </c>
      <c r="T4834" s="10"/>
    </row>
    <row r="4835" spans="1:20" ht="27" customHeight="1" x14ac:dyDescent="0.25">
      <c r="A4835" s="8" t="s">
        <v>6886</v>
      </c>
      <c r="B4835" s="9"/>
      <c r="C4835" s="9"/>
      <c r="D4835" s="8"/>
      <c r="E4835" s="8"/>
      <c r="F4835" s="8"/>
      <c r="G4835" s="10"/>
      <c r="H4835" s="8" t="s">
        <v>116</v>
      </c>
      <c r="I4835" s="10" t="s">
        <v>10085</v>
      </c>
      <c r="J4835" s="11" t="s">
        <v>26</v>
      </c>
      <c r="K4835" s="18">
        <v>48</v>
      </c>
      <c r="L4835" s="12">
        <f t="shared" si="415"/>
        <v>96</v>
      </c>
      <c r="M4835" s="8">
        <v>1</v>
      </c>
      <c r="N4835" s="8" t="s">
        <v>27</v>
      </c>
      <c r="O4835" s="13"/>
      <c r="P4835" s="14">
        <v>0.2</v>
      </c>
      <c r="Q4835" s="15">
        <v>0.4</v>
      </c>
      <c r="R4835" s="16" t="str">
        <f t="shared" si="412"/>
        <v>MEANWELL</v>
      </c>
      <c r="S4835" s="17" t="s">
        <v>10086</v>
      </c>
      <c r="T4835" s="10"/>
    </row>
    <row r="4836" spans="1:20" ht="27" customHeight="1" x14ac:dyDescent="0.25">
      <c r="A4836" s="8" t="s">
        <v>5672</v>
      </c>
      <c r="B4836" s="9"/>
      <c r="C4836" s="9"/>
      <c r="D4836" s="8"/>
      <c r="E4836" s="8"/>
      <c r="F4836" s="8"/>
      <c r="G4836" s="10"/>
      <c r="H4836" s="8" t="s">
        <v>10087</v>
      </c>
      <c r="I4836" s="10"/>
      <c r="J4836" s="11"/>
      <c r="K4836" s="57"/>
      <c r="L4836" s="12">
        <f t="shared" si="415"/>
        <v>0</v>
      </c>
      <c r="M4836" s="8">
        <v>1</v>
      </c>
      <c r="N4836" s="8" t="s">
        <v>27</v>
      </c>
      <c r="O4836" s="13"/>
      <c r="P4836" s="14">
        <v>0.2</v>
      </c>
      <c r="Q4836" s="15">
        <v>0.4</v>
      </c>
      <c r="R4836" s="16" t="str">
        <f t="shared" si="412"/>
        <v>LUTRON</v>
      </c>
      <c r="S4836" s="17"/>
      <c r="T4836" s="10"/>
    </row>
    <row r="4837" spans="1:20" ht="27" customHeight="1" x14ac:dyDescent="0.25">
      <c r="A4837" s="8" t="s">
        <v>6886</v>
      </c>
      <c r="B4837" s="9"/>
      <c r="C4837" s="9"/>
      <c r="D4837" s="8"/>
      <c r="E4837" s="8"/>
      <c r="F4837" s="8"/>
      <c r="G4837" s="10"/>
      <c r="H4837" s="8" t="s">
        <v>120</v>
      </c>
      <c r="I4837" s="10" t="s">
        <v>10088</v>
      </c>
      <c r="J4837" s="11" t="s">
        <v>26</v>
      </c>
      <c r="K4837" s="18">
        <v>49</v>
      </c>
      <c r="L4837" s="12">
        <f t="shared" si="415"/>
        <v>98</v>
      </c>
      <c r="M4837" s="8">
        <v>1</v>
      </c>
      <c r="N4837" s="8" t="s">
        <v>27</v>
      </c>
      <c r="O4837" s="13"/>
      <c r="P4837" s="14">
        <v>0.2</v>
      </c>
      <c r="Q4837" s="15">
        <v>0.4</v>
      </c>
      <c r="R4837" s="16" t="str">
        <f t="shared" si="412"/>
        <v>MEANWELL</v>
      </c>
      <c r="S4837" s="17"/>
      <c r="T4837" s="10"/>
    </row>
    <row r="4838" spans="1:20" ht="27" customHeight="1" x14ac:dyDescent="0.25">
      <c r="A4838" s="8" t="s">
        <v>3977</v>
      </c>
      <c r="B4838" s="9"/>
      <c r="C4838" s="9"/>
      <c r="D4838" s="8"/>
      <c r="E4838" s="8"/>
      <c r="F4838" s="8"/>
      <c r="G4838" s="10"/>
      <c r="H4838" s="8" t="s">
        <v>10089</v>
      </c>
      <c r="I4838" s="10" t="s">
        <v>10090</v>
      </c>
      <c r="J4838" s="11" t="s">
        <v>33</v>
      </c>
      <c r="K4838" s="18">
        <v>25000</v>
      </c>
      <c r="L4838" s="12">
        <f t="shared" si="415"/>
        <v>38461.538461538461</v>
      </c>
      <c r="M4838" s="8">
        <v>1</v>
      </c>
      <c r="N4838" s="8" t="s">
        <v>27</v>
      </c>
      <c r="O4838" s="13"/>
      <c r="P4838" s="14">
        <v>0.2</v>
      </c>
      <c r="Q4838" s="15">
        <v>0.22</v>
      </c>
      <c r="R4838" s="16" t="str">
        <f t="shared" si="412"/>
        <v>KOMODO</v>
      </c>
      <c r="S4838" s="17"/>
      <c r="T4838" s="10"/>
    </row>
    <row r="4839" spans="1:20" ht="27" customHeight="1" x14ac:dyDescent="0.25">
      <c r="A4839" s="8" t="s">
        <v>3977</v>
      </c>
      <c r="B4839" s="9"/>
      <c r="C4839" s="9"/>
      <c r="D4839" s="8"/>
      <c r="E4839" s="8"/>
      <c r="F4839" s="8"/>
      <c r="G4839" s="10"/>
      <c r="H4839" s="8" t="s">
        <v>10091</v>
      </c>
      <c r="I4839" s="10" t="s">
        <v>10092</v>
      </c>
      <c r="J4839" s="11" t="s">
        <v>33</v>
      </c>
      <c r="K4839" s="18">
        <v>40000</v>
      </c>
      <c r="L4839" s="12">
        <f>IF(J4839="P",ROUNDUP(K4839/(1-Q4839),-2),K4839*(1+P4839)/(1-Q4839))</f>
        <v>66700</v>
      </c>
      <c r="M4839" s="8">
        <v>1</v>
      </c>
      <c r="N4839" s="8" t="s">
        <v>27</v>
      </c>
      <c r="O4839" s="13" t="s">
        <v>587</v>
      </c>
      <c r="P4839" s="14">
        <v>0.2</v>
      </c>
      <c r="Q4839" s="15">
        <v>0.4</v>
      </c>
      <c r="R4839" s="16" t="str">
        <f t="shared" si="412"/>
        <v>KOMODO</v>
      </c>
      <c r="S4839" s="17"/>
      <c r="T4839" s="10">
        <f>G4839</f>
        <v>0</v>
      </c>
    </row>
    <row r="4840" spans="1:20" ht="27" customHeight="1" x14ac:dyDescent="0.25">
      <c r="A4840" s="8" t="s">
        <v>3977</v>
      </c>
      <c r="B4840" s="9"/>
      <c r="C4840" s="9"/>
      <c r="D4840" s="8"/>
      <c r="E4840" s="8"/>
      <c r="F4840" s="8"/>
      <c r="G4840" s="10"/>
      <c r="H4840" s="8" t="s">
        <v>10093</v>
      </c>
      <c r="I4840" s="10" t="s">
        <v>10094</v>
      </c>
      <c r="J4840" s="11" t="s">
        <v>33</v>
      </c>
      <c r="K4840" s="18">
        <v>35000</v>
      </c>
      <c r="L4840" s="12">
        <f>IF(J4840="P",ROUNDUP(K4840/(1-Q4840),-2),K4840*(1+P4840)/(1-Q4840))</f>
        <v>50000</v>
      </c>
      <c r="M4840" s="8">
        <v>1</v>
      </c>
      <c r="N4840" s="8" t="s">
        <v>27</v>
      </c>
      <c r="O4840" s="13" t="s">
        <v>587</v>
      </c>
      <c r="P4840" s="14">
        <v>0.2</v>
      </c>
      <c r="Q4840" s="15">
        <v>0.3</v>
      </c>
      <c r="R4840" s="16" t="str">
        <f t="shared" si="412"/>
        <v>KOMODO</v>
      </c>
      <c r="S4840" s="17"/>
      <c r="T4840" s="10"/>
    </row>
    <row r="4841" spans="1:20" ht="27" customHeight="1" x14ac:dyDescent="0.25">
      <c r="A4841" s="8" t="s">
        <v>3977</v>
      </c>
      <c r="B4841" s="9"/>
      <c r="C4841" s="9"/>
      <c r="D4841" s="8"/>
      <c r="E4841" s="8"/>
      <c r="F4841" s="8"/>
      <c r="G4841" s="10"/>
      <c r="H4841" s="8" t="s">
        <v>10095</v>
      </c>
      <c r="I4841" s="10" t="s">
        <v>10096</v>
      </c>
      <c r="J4841" s="11" t="s">
        <v>33</v>
      </c>
      <c r="K4841" s="18">
        <v>35000</v>
      </c>
      <c r="L4841" s="12">
        <f>IF(J4841="P",ROUNDUP(K4841/(1-Q4841),-2),K4841*(1+P4841)/(1-Q4841))</f>
        <v>50000</v>
      </c>
      <c r="M4841" s="8">
        <v>1</v>
      </c>
      <c r="N4841" s="8" t="s">
        <v>27</v>
      </c>
      <c r="O4841" s="13" t="s">
        <v>587</v>
      </c>
      <c r="P4841" s="14">
        <v>0.2</v>
      </c>
      <c r="Q4841" s="15">
        <v>0.3</v>
      </c>
      <c r="R4841" s="16" t="str">
        <f t="shared" si="412"/>
        <v>KOMODO</v>
      </c>
      <c r="S4841" s="17"/>
      <c r="T4841" s="10"/>
    </row>
    <row r="4842" spans="1:20" ht="27" customHeight="1" x14ac:dyDescent="0.25">
      <c r="A4842" s="8" t="s">
        <v>3977</v>
      </c>
      <c r="B4842" s="9"/>
      <c r="C4842" s="9"/>
      <c r="D4842" s="8"/>
      <c r="E4842" s="8"/>
      <c r="F4842" s="8"/>
      <c r="G4842" s="10"/>
      <c r="H4842" s="8" t="s">
        <v>10097</v>
      </c>
      <c r="I4842" s="10" t="s">
        <v>10098</v>
      </c>
      <c r="J4842" s="11" t="s">
        <v>33</v>
      </c>
      <c r="K4842" s="18">
        <v>2500000</v>
      </c>
      <c r="L4842" s="12">
        <f>IF(J4842="P",ROUNDUP(K4842/(1-Q4842),-2),K4842*(1+P4842)/(1-Q4842))</f>
        <v>3571500</v>
      </c>
      <c r="M4842" s="8">
        <v>1</v>
      </c>
      <c r="N4842" s="8" t="s">
        <v>27</v>
      </c>
      <c r="O4842" s="13" t="s">
        <v>587</v>
      </c>
      <c r="P4842" s="14">
        <v>0.2</v>
      </c>
      <c r="Q4842" s="15">
        <v>0.3</v>
      </c>
      <c r="R4842" s="16" t="str">
        <f t="shared" si="412"/>
        <v>KOMODO</v>
      </c>
      <c r="S4842" s="17"/>
      <c r="T4842" s="10"/>
    </row>
    <row r="4843" spans="1:20" ht="27" customHeight="1" x14ac:dyDescent="0.25">
      <c r="A4843" s="8" t="s">
        <v>5672</v>
      </c>
      <c r="B4843" s="9"/>
      <c r="C4843" s="9"/>
      <c r="D4843" s="8"/>
      <c r="E4843" s="8"/>
      <c r="F4843" s="8"/>
      <c r="G4843" s="10"/>
      <c r="H4843" s="8" t="s">
        <v>10099</v>
      </c>
      <c r="I4843" s="10" t="s">
        <v>10100</v>
      </c>
      <c r="J4843" s="11" t="s">
        <v>26</v>
      </c>
      <c r="K4843" s="57">
        <v>610.5</v>
      </c>
      <c r="L4843" s="12">
        <f t="shared" ref="L4843:L4852" si="416">ROUNDUP(K4843*(1+P4843)/(1-Q4843),0)</f>
        <v>1221</v>
      </c>
      <c r="M4843" s="8">
        <v>1</v>
      </c>
      <c r="N4843" s="8" t="s">
        <v>27</v>
      </c>
      <c r="O4843" s="13"/>
      <c r="P4843" s="14">
        <v>0.2</v>
      </c>
      <c r="Q4843" s="15">
        <v>0.4</v>
      </c>
      <c r="R4843" s="16" t="str">
        <f t="shared" si="412"/>
        <v>LUTRON</v>
      </c>
      <c r="S4843" s="17"/>
      <c r="T4843" s="10"/>
    </row>
    <row r="4844" spans="1:20" ht="27" customHeight="1" x14ac:dyDescent="0.25">
      <c r="A4844" s="8" t="s">
        <v>6983</v>
      </c>
      <c r="B4844" s="9"/>
      <c r="C4844" s="9"/>
      <c r="D4844" s="8"/>
      <c r="E4844" s="8"/>
      <c r="F4844" s="8"/>
      <c r="G4844" s="10"/>
      <c r="H4844" s="8" t="s">
        <v>10101</v>
      </c>
      <c r="I4844" s="10" t="s">
        <v>10102</v>
      </c>
      <c r="J4844" s="11" t="s">
        <v>26</v>
      </c>
      <c r="K4844" s="18">
        <v>1199.4798980923381</v>
      </c>
      <c r="L4844" s="12">
        <f t="shared" si="416"/>
        <v>1600</v>
      </c>
      <c r="M4844" s="8">
        <v>1</v>
      </c>
      <c r="N4844" s="8" t="s">
        <v>27</v>
      </c>
      <c r="O4844" s="13"/>
      <c r="P4844" s="14">
        <v>0</v>
      </c>
      <c r="Q4844" s="15">
        <v>0.25</v>
      </c>
      <c r="R4844" s="16" t="str">
        <f t="shared" si="412"/>
        <v>NAD</v>
      </c>
      <c r="S4844" s="68"/>
      <c r="T4844" s="10"/>
    </row>
    <row r="4845" spans="1:20" ht="27" customHeight="1" x14ac:dyDescent="0.25">
      <c r="A4845" s="8" t="s">
        <v>10103</v>
      </c>
      <c r="B4845" s="9"/>
      <c r="C4845" s="9"/>
      <c r="D4845" s="8"/>
      <c r="E4845" s="8"/>
      <c r="F4845" s="8"/>
      <c r="G4845" s="10"/>
      <c r="H4845" s="8" t="s">
        <v>10104</v>
      </c>
      <c r="I4845" s="10" t="s">
        <v>10105</v>
      </c>
      <c r="J4845" s="11" t="s">
        <v>26</v>
      </c>
      <c r="K4845" s="18">
        <v>139</v>
      </c>
      <c r="L4845" s="12">
        <f t="shared" si="416"/>
        <v>193</v>
      </c>
      <c r="M4845" s="8">
        <v>1</v>
      </c>
      <c r="N4845" s="8" t="s">
        <v>27</v>
      </c>
      <c r="O4845" s="13"/>
      <c r="P4845" s="14">
        <v>0</v>
      </c>
      <c r="Q4845" s="15">
        <v>0.27750000000000002</v>
      </c>
      <c r="R4845" s="16" t="str">
        <f t="shared" si="412"/>
        <v>MONITOR</v>
      </c>
      <c r="S4845" s="17"/>
      <c r="T4845" s="10"/>
    </row>
    <row r="4846" spans="1:20" ht="27" customHeight="1" x14ac:dyDescent="0.25">
      <c r="A4846" s="8" t="s">
        <v>10103</v>
      </c>
      <c r="B4846" s="9"/>
      <c r="C4846" s="9"/>
      <c r="D4846" s="8"/>
      <c r="E4846" s="8"/>
      <c r="F4846" s="8"/>
      <c r="G4846" s="10"/>
      <c r="H4846" s="8" t="s">
        <v>10106</v>
      </c>
      <c r="I4846" s="10" t="s">
        <v>10107</v>
      </c>
      <c r="J4846" s="11" t="s">
        <v>26</v>
      </c>
      <c r="K4846" s="18">
        <v>166</v>
      </c>
      <c r="L4846" s="12">
        <f t="shared" si="416"/>
        <v>231</v>
      </c>
      <c r="M4846" s="8">
        <v>1</v>
      </c>
      <c r="N4846" s="8" t="s">
        <v>27</v>
      </c>
      <c r="O4846" s="13"/>
      <c r="P4846" s="14">
        <v>0</v>
      </c>
      <c r="Q4846" s="15">
        <v>0.28027500000000011</v>
      </c>
      <c r="R4846" s="16" t="str">
        <f t="shared" si="412"/>
        <v>MONITOR</v>
      </c>
      <c r="S4846" s="17"/>
      <c r="T4846" s="10"/>
    </row>
    <row r="4847" spans="1:20" ht="27" customHeight="1" x14ac:dyDescent="0.25">
      <c r="A4847" s="8" t="s">
        <v>10103</v>
      </c>
      <c r="B4847" s="9"/>
      <c r="C4847" s="9"/>
      <c r="D4847" s="8"/>
      <c r="E4847" s="8"/>
      <c r="F4847" s="8"/>
      <c r="G4847" s="10"/>
      <c r="H4847" s="8" t="s">
        <v>10108</v>
      </c>
      <c r="I4847" s="10" t="s">
        <v>10109</v>
      </c>
      <c r="J4847" s="11" t="s">
        <v>26</v>
      </c>
      <c r="K4847" s="18">
        <v>206</v>
      </c>
      <c r="L4847" s="12">
        <f t="shared" si="416"/>
        <v>286</v>
      </c>
      <c r="M4847" s="8">
        <v>1</v>
      </c>
      <c r="N4847" s="8" t="s">
        <v>27</v>
      </c>
      <c r="O4847" s="13"/>
      <c r="P4847" s="14">
        <v>0</v>
      </c>
      <c r="Q4847" s="15">
        <v>0.27747224999999998</v>
      </c>
      <c r="R4847" s="16" t="str">
        <f t="shared" ref="R4847:R4910" si="417">A4847</f>
        <v>MONITOR</v>
      </c>
      <c r="S4847" s="17"/>
      <c r="T4847" s="10"/>
    </row>
    <row r="4848" spans="1:20" ht="27" customHeight="1" x14ac:dyDescent="0.25">
      <c r="A4848" s="8" t="s">
        <v>10103</v>
      </c>
      <c r="B4848" s="9"/>
      <c r="C4848" s="9"/>
      <c r="D4848" s="8"/>
      <c r="E4848" s="8"/>
      <c r="F4848" s="8"/>
      <c r="G4848" s="10"/>
      <c r="H4848" s="8" t="s">
        <v>10110</v>
      </c>
      <c r="I4848" s="10" t="s">
        <v>10111</v>
      </c>
      <c r="J4848" s="11" t="s">
        <v>26</v>
      </c>
      <c r="K4848" s="18">
        <v>358</v>
      </c>
      <c r="L4848" s="12">
        <f t="shared" si="416"/>
        <v>551</v>
      </c>
      <c r="M4848" s="8">
        <v>1</v>
      </c>
      <c r="N4848" s="8" t="s">
        <v>27</v>
      </c>
      <c r="O4848" s="13"/>
      <c r="P4848" s="14">
        <v>0</v>
      </c>
      <c r="Q4848" s="15">
        <v>0.35</v>
      </c>
      <c r="R4848" s="16" t="str">
        <f t="shared" si="417"/>
        <v>MONITOR</v>
      </c>
      <c r="S4848" s="17"/>
      <c r="T4848" s="10"/>
    </row>
    <row r="4849" spans="1:20" ht="27" customHeight="1" x14ac:dyDescent="0.25">
      <c r="A4849" s="92" t="s">
        <v>5672</v>
      </c>
      <c r="B4849" s="81" t="s">
        <v>5666</v>
      </c>
      <c r="C4849" s="81"/>
      <c r="D4849" s="81" t="s">
        <v>5909</v>
      </c>
      <c r="E4849" s="81">
        <v>1</v>
      </c>
      <c r="F4849" s="8" t="s">
        <v>22</v>
      </c>
      <c r="G4849" s="93" t="s">
        <v>10112</v>
      </c>
      <c r="H4849" s="94" t="s">
        <v>10113</v>
      </c>
      <c r="I4849" s="95" t="s">
        <v>10112</v>
      </c>
      <c r="J4849" s="94" t="s">
        <v>26</v>
      </c>
      <c r="K4849" s="96">
        <v>183.75</v>
      </c>
      <c r="L4849" s="97">
        <f t="shared" si="416"/>
        <v>329</v>
      </c>
      <c r="M4849" s="98">
        <v>1</v>
      </c>
      <c r="N4849" s="99" t="s">
        <v>27</v>
      </c>
      <c r="O4849" s="97"/>
      <c r="P4849" s="100">
        <v>0.2</v>
      </c>
      <c r="Q4849" s="101">
        <v>0.32800000000000012</v>
      </c>
      <c r="R4849" s="102" t="str">
        <f t="shared" si="417"/>
        <v>LUTRON</v>
      </c>
      <c r="S4849" s="19"/>
      <c r="T4849" s="10" t="str">
        <f>G4849</f>
        <v>FUENTE DE PODER PARA PROCESADOR QS.</v>
      </c>
    </row>
    <row r="4850" spans="1:20" ht="27" customHeight="1" x14ac:dyDescent="0.25">
      <c r="A4850" s="8" t="s">
        <v>2512</v>
      </c>
      <c r="B4850" s="9"/>
      <c r="C4850" s="9"/>
      <c r="D4850" s="8"/>
      <c r="E4850" s="8"/>
      <c r="F4850" s="8"/>
      <c r="G4850" s="10"/>
      <c r="H4850" s="8" t="s">
        <v>10114</v>
      </c>
      <c r="I4850" s="10" t="s">
        <v>10115</v>
      </c>
      <c r="J4850" s="11" t="s">
        <v>33</v>
      </c>
      <c r="K4850" s="18">
        <v>3800</v>
      </c>
      <c r="L4850" s="12">
        <f t="shared" si="416"/>
        <v>5847</v>
      </c>
      <c r="M4850" s="8">
        <v>1</v>
      </c>
      <c r="N4850" s="8" t="s">
        <v>27</v>
      </c>
      <c r="O4850" s="13"/>
      <c r="P4850" s="14">
        <v>0</v>
      </c>
      <c r="Q4850" s="15">
        <v>0.35</v>
      </c>
      <c r="R4850" s="16" t="str">
        <f t="shared" si="417"/>
        <v>GENERAL</v>
      </c>
      <c r="S4850" s="17"/>
      <c r="T4850" s="10"/>
    </row>
    <row r="4851" spans="1:20" ht="27" customHeight="1" x14ac:dyDescent="0.25">
      <c r="A4851" s="8" t="s">
        <v>3915</v>
      </c>
      <c r="B4851" s="9"/>
      <c r="C4851" s="9"/>
      <c r="D4851" s="8"/>
      <c r="E4851" s="8"/>
      <c r="F4851" s="8"/>
      <c r="G4851" s="10"/>
      <c r="H4851" s="8" t="s">
        <v>10116</v>
      </c>
      <c r="I4851" s="10" t="s">
        <v>10117</v>
      </c>
      <c r="J4851" s="11" t="s">
        <v>26</v>
      </c>
      <c r="K4851" s="18">
        <v>152</v>
      </c>
      <c r="L4851" s="12">
        <f t="shared" si="416"/>
        <v>249</v>
      </c>
      <c r="M4851" s="8">
        <v>1</v>
      </c>
      <c r="N4851" s="8" t="s">
        <v>27</v>
      </c>
      <c r="O4851" s="13"/>
      <c r="P4851" s="14">
        <v>0.2</v>
      </c>
      <c r="Q4851" s="15">
        <v>0.26555128205128198</v>
      </c>
      <c r="R4851" s="16" t="str">
        <f t="shared" si="417"/>
        <v>KLIPSCH</v>
      </c>
      <c r="S4851" s="17"/>
      <c r="T4851" s="10"/>
    </row>
    <row r="4852" spans="1:20" ht="27" customHeight="1" x14ac:dyDescent="0.25">
      <c r="A4852" s="8" t="s">
        <v>3915</v>
      </c>
      <c r="B4852" s="9"/>
      <c r="C4852" s="9"/>
      <c r="D4852" s="8"/>
      <c r="E4852" s="8"/>
      <c r="F4852" s="8"/>
      <c r="G4852" s="10"/>
      <c r="H4852" s="8" t="s">
        <v>10118</v>
      </c>
      <c r="I4852" s="10" t="s">
        <v>10119</v>
      </c>
      <c r="J4852" s="11" t="s">
        <v>26</v>
      </c>
      <c r="K4852" s="18">
        <v>288</v>
      </c>
      <c r="L4852" s="12">
        <f t="shared" si="416"/>
        <v>500</v>
      </c>
      <c r="M4852" s="8">
        <v>1</v>
      </c>
      <c r="N4852" s="8" t="s">
        <v>27</v>
      </c>
      <c r="O4852" s="13"/>
      <c r="P4852" s="14">
        <v>0.2</v>
      </c>
      <c r="Q4852" s="15">
        <v>0.30803948717948709</v>
      </c>
      <c r="R4852" s="16" t="str">
        <f t="shared" si="417"/>
        <v>KLIPSCH</v>
      </c>
      <c r="S4852" s="17"/>
      <c r="T4852" s="10"/>
    </row>
    <row r="4853" spans="1:20" ht="27" customHeight="1" x14ac:dyDescent="0.25">
      <c r="A4853" s="8" t="s">
        <v>9644</v>
      </c>
      <c r="B4853" s="9"/>
      <c r="C4853" s="9"/>
      <c r="D4853" s="8"/>
      <c r="E4853" s="8"/>
      <c r="F4853" s="8"/>
      <c r="G4853" s="10"/>
      <c r="H4853" s="8" t="s">
        <v>10120</v>
      </c>
      <c r="I4853" s="10" t="s">
        <v>9718</v>
      </c>
      <c r="J4853" s="11" t="s">
        <v>33</v>
      </c>
      <c r="K4853" s="18">
        <v>679000</v>
      </c>
      <c r="L4853" s="12">
        <f t="shared" ref="L4853:L4861" si="418">K4853*(1+P4853)/(1-Q4853)</f>
        <v>905333.33333333337</v>
      </c>
      <c r="M4853" s="8">
        <v>1</v>
      </c>
      <c r="N4853" s="8" t="s">
        <v>27</v>
      </c>
      <c r="O4853" s="13"/>
      <c r="P4853" s="14">
        <v>0</v>
      </c>
      <c r="Q4853" s="15">
        <v>0.25</v>
      </c>
      <c r="R4853" s="16" t="str">
        <f t="shared" si="417"/>
        <v>ZKTECO</v>
      </c>
      <c r="S4853" s="17"/>
      <c r="T4853" s="10"/>
    </row>
    <row r="4854" spans="1:20" ht="27" customHeight="1" x14ac:dyDescent="0.25">
      <c r="A4854" s="8" t="s">
        <v>3977</v>
      </c>
      <c r="B4854" s="9"/>
      <c r="C4854" s="9"/>
      <c r="D4854" s="8"/>
      <c r="E4854" s="8"/>
      <c r="F4854" s="8"/>
      <c r="G4854" s="10"/>
      <c r="H4854" s="8" t="s">
        <v>10121</v>
      </c>
      <c r="I4854" s="10" t="s">
        <v>10122</v>
      </c>
      <c r="J4854" s="11" t="s">
        <v>33</v>
      </c>
      <c r="K4854" s="18">
        <v>100000</v>
      </c>
      <c r="L4854" s="12">
        <f t="shared" si="418"/>
        <v>133333.33333333334</v>
      </c>
      <c r="M4854" s="8">
        <v>1</v>
      </c>
      <c r="N4854" s="8" t="s">
        <v>27</v>
      </c>
      <c r="O4854" s="13"/>
      <c r="P4854" s="14">
        <v>0</v>
      </c>
      <c r="Q4854" s="15">
        <v>0.25</v>
      </c>
      <c r="R4854" s="16" t="str">
        <f t="shared" si="417"/>
        <v>KOMODO</v>
      </c>
      <c r="S4854" s="17"/>
      <c r="T4854" s="10"/>
    </row>
    <row r="4855" spans="1:20" ht="27" customHeight="1" x14ac:dyDescent="0.25">
      <c r="A4855" s="8" t="s">
        <v>5449</v>
      </c>
      <c r="B4855" s="9"/>
      <c r="C4855" s="9"/>
      <c r="D4855" s="8"/>
      <c r="E4855" s="8"/>
      <c r="F4855" s="8"/>
      <c r="G4855" s="10"/>
      <c r="H4855" s="8" t="s">
        <v>10123</v>
      </c>
      <c r="I4855" s="10" t="s">
        <v>10124</v>
      </c>
      <c r="J4855" s="11" t="s">
        <v>33</v>
      </c>
      <c r="K4855" s="18">
        <v>208000</v>
      </c>
      <c r="L4855" s="12">
        <f t="shared" si="418"/>
        <v>416000</v>
      </c>
      <c r="M4855" s="8">
        <v>1</v>
      </c>
      <c r="N4855" s="8" t="s">
        <v>27</v>
      </c>
      <c r="O4855" s="13"/>
      <c r="P4855" s="14">
        <v>0</v>
      </c>
      <c r="Q4855" s="15">
        <v>0.5</v>
      </c>
      <c r="R4855" s="16" t="str">
        <f t="shared" si="417"/>
        <v>LULOVA</v>
      </c>
      <c r="S4855" s="17"/>
      <c r="T4855" s="10"/>
    </row>
    <row r="4856" spans="1:20" ht="27" customHeight="1" x14ac:dyDescent="0.25">
      <c r="A4856" s="8" t="s">
        <v>3915</v>
      </c>
      <c r="B4856" s="9"/>
      <c r="C4856" s="9"/>
      <c r="D4856" s="8"/>
      <c r="E4856" s="8"/>
      <c r="F4856" s="8"/>
      <c r="G4856" s="10"/>
      <c r="H4856" s="8" t="s">
        <v>10125</v>
      </c>
      <c r="I4856" s="10" t="s">
        <v>10126</v>
      </c>
      <c r="J4856" s="11" t="s">
        <v>26</v>
      </c>
      <c r="K4856" s="18">
        <v>82</v>
      </c>
      <c r="L4856" s="12">
        <f t="shared" si="418"/>
        <v>196.79999999999998</v>
      </c>
      <c r="M4856" s="8">
        <v>1</v>
      </c>
      <c r="N4856" s="8" t="s">
        <v>27</v>
      </c>
      <c r="O4856" s="13"/>
      <c r="P4856" s="14">
        <v>0.2</v>
      </c>
      <c r="Q4856" s="15">
        <v>0.5</v>
      </c>
      <c r="R4856" s="16" t="str">
        <f t="shared" si="417"/>
        <v>KLIPSCH</v>
      </c>
      <c r="S4856" s="17"/>
      <c r="T4856" s="10"/>
    </row>
    <row r="4857" spans="1:20" ht="27" customHeight="1" x14ac:dyDescent="0.25">
      <c r="A4857" s="8" t="s">
        <v>7989</v>
      </c>
      <c r="B4857" s="9"/>
      <c r="C4857" s="9"/>
      <c r="D4857" s="8"/>
      <c r="E4857" s="8"/>
      <c r="F4857" s="8"/>
      <c r="G4857" s="10"/>
      <c r="H4857" s="8" t="s">
        <v>10127</v>
      </c>
      <c r="I4857" s="10" t="s">
        <v>10128</v>
      </c>
      <c r="J4857" s="11" t="s">
        <v>26</v>
      </c>
      <c r="K4857" s="18">
        <f>120/4</f>
        <v>30</v>
      </c>
      <c r="L4857" s="12">
        <f t="shared" si="418"/>
        <v>72</v>
      </c>
      <c r="M4857" s="8">
        <v>1</v>
      </c>
      <c r="N4857" s="8" t="s">
        <v>27</v>
      </c>
      <c r="O4857" s="13"/>
      <c r="P4857" s="14">
        <v>0.2</v>
      </c>
      <c r="Q4857" s="15">
        <v>0.5</v>
      </c>
      <c r="R4857" s="16" t="str">
        <f t="shared" si="417"/>
        <v>RUSSOUND</v>
      </c>
      <c r="S4857" s="17"/>
      <c r="T4857" s="10"/>
    </row>
    <row r="4858" spans="1:20" ht="27" customHeight="1" x14ac:dyDescent="0.25">
      <c r="A4858" s="8" t="s">
        <v>1561</v>
      </c>
      <c r="B4858" s="9"/>
      <c r="C4858" s="9"/>
      <c r="D4858" s="8"/>
      <c r="E4858" s="8"/>
      <c r="F4858" s="8"/>
      <c r="G4858" s="10"/>
      <c r="H4858" s="8" t="s">
        <v>10129</v>
      </c>
      <c r="I4858" s="10" t="s">
        <v>10130</v>
      </c>
      <c r="J4858" s="11" t="s">
        <v>33</v>
      </c>
      <c r="K4858" s="18">
        <v>550604</v>
      </c>
      <c r="L4858" s="12">
        <f t="shared" si="418"/>
        <v>917673.33333333337</v>
      </c>
      <c r="M4858" s="8">
        <v>1</v>
      </c>
      <c r="N4858" s="8" t="s">
        <v>27</v>
      </c>
      <c r="O4858" s="13"/>
      <c r="P4858" s="14">
        <v>0</v>
      </c>
      <c r="Q4858" s="15">
        <v>0.4</v>
      </c>
      <c r="R4858" s="16" t="str">
        <f t="shared" si="417"/>
        <v>DAHUA</v>
      </c>
      <c r="S4858" s="17"/>
      <c r="T4858" s="10"/>
    </row>
    <row r="4859" spans="1:20" ht="27" customHeight="1" x14ac:dyDescent="0.25">
      <c r="A4859" s="8" t="s">
        <v>2512</v>
      </c>
      <c r="B4859" s="9"/>
      <c r="C4859" s="9"/>
      <c r="D4859" s="8"/>
      <c r="E4859" s="8"/>
      <c r="F4859" s="8"/>
      <c r="G4859" s="10"/>
      <c r="H4859" s="8" t="s">
        <v>10131</v>
      </c>
      <c r="I4859" s="10" t="s">
        <v>10132</v>
      </c>
      <c r="J4859" s="11" t="s">
        <v>26</v>
      </c>
      <c r="K4859" s="18">
        <v>30</v>
      </c>
      <c r="L4859" s="12">
        <f t="shared" si="418"/>
        <v>60</v>
      </c>
      <c r="M4859" s="8">
        <v>1</v>
      </c>
      <c r="N4859" s="8" t="s">
        <v>27</v>
      </c>
      <c r="O4859" s="13"/>
      <c r="P4859" s="14">
        <v>0.2</v>
      </c>
      <c r="Q4859" s="15">
        <v>0.4</v>
      </c>
      <c r="R4859" s="16" t="str">
        <f t="shared" si="417"/>
        <v>GENERAL</v>
      </c>
      <c r="S4859" s="17" t="s">
        <v>10133</v>
      </c>
      <c r="T4859" s="10"/>
    </row>
    <row r="4860" spans="1:20" ht="27" customHeight="1" x14ac:dyDescent="0.25">
      <c r="A4860" s="8" t="s">
        <v>705</v>
      </c>
      <c r="B4860" s="9"/>
      <c r="C4860" s="9"/>
      <c r="D4860" s="8"/>
      <c r="E4860" s="8"/>
      <c r="F4860" s="8"/>
      <c r="G4860" s="10"/>
      <c r="H4860" s="8" t="s">
        <v>10134</v>
      </c>
      <c r="I4860" s="10" t="s">
        <v>10135</v>
      </c>
      <c r="J4860" s="11" t="s">
        <v>33</v>
      </c>
      <c r="K4860" s="18">
        <f>8000/1.19</f>
        <v>6722.6890756302528</v>
      </c>
      <c r="L4860" s="12">
        <f t="shared" si="418"/>
        <v>11204.481792717088</v>
      </c>
      <c r="M4860" s="8">
        <v>1</v>
      </c>
      <c r="N4860" s="8" t="s">
        <v>27</v>
      </c>
      <c r="O4860" s="13"/>
      <c r="P4860" s="14">
        <v>0</v>
      </c>
      <c r="Q4860" s="15">
        <v>0.4</v>
      </c>
      <c r="R4860" s="16" t="str">
        <f t="shared" si="417"/>
        <v>AVE</v>
      </c>
      <c r="S4860" s="17"/>
      <c r="T4860" s="10"/>
    </row>
    <row r="4861" spans="1:20" ht="27" customHeight="1" x14ac:dyDescent="0.25">
      <c r="A4861" s="8" t="s">
        <v>10136</v>
      </c>
      <c r="B4861" s="9"/>
      <c r="C4861" s="9"/>
      <c r="D4861" s="8"/>
      <c r="E4861" s="8"/>
      <c r="F4861" s="8"/>
      <c r="G4861" s="10"/>
      <c r="H4861" s="8" t="s">
        <v>10137</v>
      </c>
      <c r="I4861" s="10" t="s">
        <v>10138</v>
      </c>
      <c r="J4861" s="11" t="s">
        <v>33</v>
      </c>
      <c r="K4861" s="18">
        <v>32000</v>
      </c>
      <c r="L4861" s="12">
        <f t="shared" si="418"/>
        <v>64000</v>
      </c>
      <c r="M4861" s="8">
        <v>1</v>
      </c>
      <c r="N4861" s="8" t="s">
        <v>27</v>
      </c>
      <c r="O4861" s="13"/>
      <c r="P4861" s="14">
        <v>0</v>
      </c>
      <c r="Q4861" s="15">
        <v>0.5</v>
      </c>
      <c r="R4861" s="16" t="str">
        <f t="shared" si="417"/>
        <v>LUMODERN</v>
      </c>
      <c r="S4861" s="17"/>
      <c r="T4861" s="10"/>
    </row>
    <row r="4862" spans="1:20" ht="27" customHeight="1" x14ac:dyDescent="0.25">
      <c r="A4862" s="8" t="s">
        <v>2512</v>
      </c>
      <c r="B4862" s="9"/>
      <c r="C4862" s="9"/>
      <c r="D4862" s="8"/>
      <c r="E4862" s="8"/>
      <c r="F4862" s="8" t="s">
        <v>22</v>
      </c>
      <c r="G4862" s="10" t="s">
        <v>2896</v>
      </c>
      <c r="H4862" s="8" t="s">
        <v>10139</v>
      </c>
      <c r="I4862" s="10" t="s">
        <v>10140</v>
      </c>
      <c r="J4862" s="11" t="s">
        <v>33</v>
      </c>
      <c r="K4862" s="18">
        <v>1200</v>
      </c>
      <c r="L4862" s="12">
        <f>IF(J4862="P",ROUNDUP(K4862/(1-Q4862),-2),K4862*(1+P4862)/(1-Q4862))</f>
        <v>2000</v>
      </c>
      <c r="M4862" s="8">
        <v>1</v>
      </c>
      <c r="N4862" s="8" t="s">
        <v>27</v>
      </c>
      <c r="O4862" s="13"/>
      <c r="P4862" s="14">
        <v>0</v>
      </c>
      <c r="Q4862" s="15">
        <v>0.4</v>
      </c>
      <c r="R4862" s="16" t="str">
        <f t="shared" si="417"/>
        <v>GENERAL</v>
      </c>
      <c r="S4862" s="17"/>
      <c r="T4862" s="10" t="str">
        <f>G4862</f>
        <v>CURVA PARA TUBO PVC DE 1 Y 1/4 DE PULGADA</v>
      </c>
    </row>
    <row r="4863" spans="1:20" ht="27" customHeight="1" x14ac:dyDescent="0.25">
      <c r="A4863" s="8" t="s">
        <v>9258</v>
      </c>
      <c r="B4863" s="9"/>
      <c r="C4863" s="9"/>
      <c r="D4863" s="8"/>
      <c r="E4863" s="8"/>
      <c r="F4863" s="8"/>
      <c r="G4863" s="10"/>
      <c r="H4863" s="8" t="s">
        <v>9295</v>
      </c>
      <c r="I4863" s="10" t="s">
        <v>10141</v>
      </c>
      <c r="J4863" s="11" t="s">
        <v>33</v>
      </c>
      <c r="K4863" s="18">
        <v>105000</v>
      </c>
      <c r="L4863" s="12">
        <f>IF(J4863="P",ROUNDUP(K4863/(1-Q4863),-2),K4863*(1+P4863)/(1-Q4863))</f>
        <v>175000</v>
      </c>
      <c r="M4863" s="8">
        <v>1</v>
      </c>
      <c r="N4863" s="8" t="s">
        <v>27</v>
      </c>
      <c r="O4863" s="13"/>
      <c r="P4863" s="14">
        <v>0</v>
      </c>
      <c r="Q4863" s="15">
        <v>0.4</v>
      </c>
      <c r="R4863" s="16" t="str">
        <f t="shared" si="417"/>
        <v>TP_LINK</v>
      </c>
      <c r="S4863" s="17"/>
      <c r="T4863" s="10"/>
    </row>
    <row r="4864" spans="1:20" ht="27" customHeight="1" x14ac:dyDescent="0.25">
      <c r="A4864" s="8" t="s">
        <v>2512</v>
      </c>
      <c r="B4864" s="9"/>
      <c r="C4864" s="9"/>
      <c r="D4864" s="8"/>
      <c r="E4864" s="8"/>
      <c r="F4864" s="8"/>
      <c r="G4864" s="10"/>
      <c r="H4864" s="8" t="s">
        <v>10142</v>
      </c>
      <c r="I4864" s="10" t="s">
        <v>10143</v>
      </c>
      <c r="J4864" s="11" t="s">
        <v>33</v>
      </c>
      <c r="K4864" s="18">
        <v>4000</v>
      </c>
      <c r="L4864" s="12">
        <f>IF(J4864="P",ROUNDUP(K4864/(1-Q4864),-2),K4864*(1+P4864)/(1-Q4864))</f>
        <v>6700</v>
      </c>
      <c r="M4864" s="8">
        <v>1</v>
      </c>
      <c r="N4864" s="8" t="s">
        <v>27</v>
      </c>
      <c r="O4864" s="13"/>
      <c r="P4864" s="14">
        <v>0</v>
      </c>
      <c r="Q4864" s="15">
        <v>0.4</v>
      </c>
      <c r="R4864" s="16" t="str">
        <f t="shared" si="417"/>
        <v>GENERAL</v>
      </c>
      <c r="S4864" s="17"/>
      <c r="T4864" s="10"/>
    </row>
    <row r="4865" spans="1:20" ht="27" customHeight="1" x14ac:dyDescent="0.25">
      <c r="A4865" s="8" t="s">
        <v>9866</v>
      </c>
      <c r="B4865" s="9"/>
      <c r="C4865" s="9"/>
      <c r="D4865" s="8"/>
      <c r="E4865" s="8"/>
      <c r="F4865" s="8"/>
      <c r="G4865" s="10"/>
      <c r="H4865" s="8" t="s">
        <v>10144</v>
      </c>
      <c r="I4865" s="10" t="s">
        <v>10145</v>
      </c>
      <c r="J4865" s="11" t="s">
        <v>26</v>
      </c>
      <c r="K4865" s="18">
        <v>264</v>
      </c>
      <c r="L4865" s="12">
        <f>IF(J4865="P",ROUNDUP(K4865/(1-Q4865),-2),K4865*(1+P4865)/(1-Q4865))</f>
        <v>440</v>
      </c>
      <c r="M4865" s="8">
        <v>1</v>
      </c>
      <c r="N4865" s="8" t="s">
        <v>27</v>
      </c>
      <c r="O4865" s="13"/>
      <c r="P4865" s="14">
        <v>0</v>
      </c>
      <c r="Q4865" s="15">
        <v>0.4</v>
      </c>
      <c r="R4865" s="16" t="str">
        <f t="shared" si="417"/>
        <v>ORVIBO</v>
      </c>
      <c r="S4865" s="17"/>
      <c r="T4865" s="10"/>
    </row>
    <row r="4866" spans="1:20" ht="27" customHeight="1" x14ac:dyDescent="0.25">
      <c r="A4866" s="8" t="s">
        <v>10146</v>
      </c>
      <c r="B4866" s="9"/>
      <c r="C4866" s="9"/>
      <c r="D4866" s="8"/>
      <c r="E4866" s="8"/>
      <c r="F4866" s="8"/>
      <c r="G4866" s="10"/>
      <c r="H4866" s="8" t="s">
        <v>10147</v>
      </c>
      <c r="I4866" s="10" t="s">
        <v>10148</v>
      </c>
      <c r="J4866" s="11" t="s">
        <v>33</v>
      </c>
      <c r="K4866" s="18">
        <v>9500</v>
      </c>
      <c r="L4866" s="12">
        <f>IF(J4866="P",ROUNDUP(K4866/(1-Q4866),-2),K4866*(1+P4866)/(1-Q4866))</f>
        <v>15900</v>
      </c>
      <c r="M4866" s="8">
        <v>1</v>
      </c>
      <c r="N4866" s="8" t="s">
        <v>27</v>
      </c>
      <c r="O4866" s="13"/>
      <c r="P4866" s="14">
        <v>0</v>
      </c>
      <c r="Q4866" s="15">
        <v>0.4</v>
      </c>
      <c r="R4866" s="16" t="str">
        <f t="shared" si="417"/>
        <v>ILUMEK</v>
      </c>
      <c r="S4866" s="17"/>
      <c r="T4866" s="10"/>
    </row>
    <row r="4867" spans="1:20" ht="27" customHeight="1" x14ac:dyDescent="0.25">
      <c r="A4867" s="8" t="s">
        <v>8116</v>
      </c>
      <c r="B4867" s="9"/>
      <c r="C4867" s="9"/>
      <c r="D4867" s="8" t="s">
        <v>45</v>
      </c>
      <c r="E4867" s="8"/>
      <c r="F4867" s="8" t="s">
        <v>22</v>
      </c>
      <c r="G4867" s="10" t="s">
        <v>8154</v>
      </c>
      <c r="H4867" s="8" t="s">
        <v>10149</v>
      </c>
      <c r="I4867" s="10" t="s">
        <v>10150</v>
      </c>
      <c r="J4867" s="11" t="s">
        <v>33</v>
      </c>
      <c r="K4867" s="18">
        <v>51900</v>
      </c>
      <c r="L4867" s="12">
        <f t="shared" ref="L4867:L4875" si="419">ROUNDUP(K4867*(1+P4867)/(1-Q4867),0)</f>
        <v>86500</v>
      </c>
      <c r="M4867" s="8">
        <v>1</v>
      </c>
      <c r="N4867" s="8" t="s">
        <v>27</v>
      </c>
      <c r="O4867" s="13"/>
      <c r="P4867" s="14">
        <v>0</v>
      </c>
      <c r="Q4867" s="15">
        <v>0.4</v>
      </c>
      <c r="R4867" s="16" t="str">
        <f t="shared" si="417"/>
        <v>SCHNEIDER</v>
      </c>
      <c r="S4867" s="17"/>
      <c r="T4867" s="10" t="str">
        <f>G4867</f>
        <v>BREAKER ENCHUFABLE DE 2 X 20 AMPERIOS.</v>
      </c>
    </row>
    <row r="4868" spans="1:20" ht="27" customHeight="1" x14ac:dyDescent="0.25">
      <c r="A4868" s="8" t="s">
        <v>1141</v>
      </c>
      <c r="B4868" s="9"/>
      <c r="C4868" s="9"/>
      <c r="D4868" s="8"/>
      <c r="E4868" s="8"/>
      <c r="F4868" s="8"/>
      <c r="G4868" s="10" t="s">
        <v>6676</v>
      </c>
      <c r="H4868" s="8" t="s">
        <v>10151</v>
      </c>
      <c r="I4868" s="10" t="s">
        <v>10152</v>
      </c>
      <c r="J4868" s="11" t="s">
        <v>33</v>
      </c>
      <c r="K4868" s="18">
        <f>464900/100</f>
        <v>4649</v>
      </c>
      <c r="L4868" s="12">
        <f t="shared" si="419"/>
        <v>5812</v>
      </c>
      <c r="M4868" s="8">
        <v>1</v>
      </c>
      <c r="N4868" s="8" t="s">
        <v>27</v>
      </c>
      <c r="O4868" s="13"/>
      <c r="P4868" s="14">
        <v>0</v>
      </c>
      <c r="Q4868" s="15">
        <v>0.2</v>
      </c>
      <c r="R4868" s="16" t="str">
        <f t="shared" si="417"/>
        <v>CENTELSA</v>
      </c>
      <c r="S4868" s="17"/>
      <c r="T4868" s="10"/>
    </row>
    <row r="4869" spans="1:20" ht="27" customHeight="1" x14ac:dyDescent="0.25">
      <c r="A4869" s="8" t="s">
        <v>59</v>
      </c>
      <c r="B4869" s="9"/>
      <c r="C4869" s="9"/>
      <c r="D4869" s="8"/>
      <c r="E4869" s="8"/>
      <c r="F4869" s="8"/>
      <c r="G4869" s="10"/>
      <c r="H4869" s="8" t="s">
        <v>10153</v>
      </c>
      <c r="I4869" s="10" t="s">
        <v>10154</v>
      </c>
      <c r="J4869" s="11" t="s">
        <v>33</v>
      </c>
      <c r="K4869" s="18">
        <v>4100</v>
      </c>
      <c r="L4869" s="12">
        <f t="shared" si="419"/>
        <v>5125</v>
      </c>
      <c r="M4869" s="8">
        <v>1</v>
      </c>
      <c r="N4869" s="8" t="s">
        <v>27</v>
      </c>
      <c r="O4869" s="13"/>
      <c r="P4869" s="14">
        <v>0</v>
      </c>
      <c r="Q4869" s="15">
        <v>0.2</v>
      </c>
      <c r="R4869" s="16" t="str">
        <f t="shared" si="417"/>
        <v>COLMENA</v>
      </c>
      <c r="S4869" s="17"/>
      <c r="T4869" s="10"/>
    </row>
    <row r="4870" spans="1:20" ht="27" customHeight="1" x14ac:dyDescent="0.25">
      <c r="A4870" s="8" t="s">
        <v>7806</v>
      </c>
      <c r="B4870" s="9"/>
      <c r="C4870" s="9"/>
      <c r="D4870" s="8"/>
      <c r="E4870" s="8"/>
      <c r="F4870" s="8"/>
      <c r="G4870" s="10"/>
      <c r="H4870" s="8" t="s">
        <v>10155</v>
      </c>
      <c r="I4870" s="10" t="s">
        <v>10156</v>
      </c>
      <c r="J4870" s="11" t="s">
        <v>33</v>
      </c>
      <c r="K4870" s="18">
        <v>17000</v>
      </c>
      <c r="L4870" s="12">
        <f t="shared" si="419"/>
        <v>21250</v>
      </c>
      <c r="M4870" s="8">
        <v>1</v>
      </c>
      <c r="N4870" s="8" t="s">
        <v>27</v>
      </c>
      <c r="O4870" s="13"/>
      <c r="P4870" s="14">
        <v>0</v>
      </c>
      <c r="Q4870" s="15">
        <v>0.2</v>
      </c>
      <c r="R4870" s="16" t="str">
        <f t="shared" si="417"/>
        <v>PROELECTRICOS</v>
      </c>
      <c r="S4870" s="17"/>
      <c r="T4870" s="10"/>
    </row>
    <row r="4871" spans="1:20" ht="27" customHeight="1" x14ac:dyDescent="0.25">
      <c r="A4871" s="8" t="s">
        <v>3977</v>
      </c>
      <c r="B4871" s="9"/>
      <c r="C4871" s="9"/>
      <c r="D4871" s="8"/>
      <c r="E4871" s="8"/>
      <c r="F4871" s="8"/>
      <c r="G4871" s="10"/>
      <c r="H4871" s="8" t="s">
        <v>10157</v>
      </c>
      <c r="I4871" s="10" t="s">
        <v>10158</v>
      </c>
      <c r="J4871" s="11" t="s">
        <v>33</v>
      </c>
      <c r="K4871" s="18">
        <v>5000</v>
      </c>
      <c r="L4871" s="12">
        <f t="shared" si="419"/>
        <v>7143</v>
      </c>
      <c r="M4871" s="8">
        <v>1</v>
      </c>
      <c r="N4871" s="8" t="s">
        <v>27</v>
      </c>
      <c r="O4871" s="13"/>
      <c r="P4871" s="14">
        <v>0</v>
      </c>
      <c r="Q4871" s="15">
        <v>0.3</v>
      </c>
      <c r="R4871" s="16" t="str">
        <f t="shared" si="417"/>
        <v>KOMODO</v>
      </c>
      <c r="S4871" s="17"/>
      <c r="T4871" s="10"/>
    </row>
    <row r="4872" spans="1:20" ht="27" customHeight="1" x14ac:dyDescent="0.25">
      <c r="A4872" s="8" t="s">
        <v>5672</v>
      </c>
      <c r="B4872" s="9"/>
      <c r="C4872" s="9"/>
      <c r="D4872" s="8"/>
      <c r="E4872" s="8"/>
      <c r="F4872" s="8"/>
      <c r="G4872" s="10"/>
      <c r="H4872" s="8" t="s">
        <v>10159</v>
      </c>
      <c r="I4872" s="10" t="s">
        <v>10160</v>
      </c>
      <c r="J4872" s="11" t="s">
        <v>26</v>
      </c>
      <c r="K4872" s="57">
        <v>178.2</v>
      </c>
      <c r="L4872" s="12">
        <f t="shared" si="419"/>
        <v>330</v>
      </c>
      <c r="M4872" s="8">
        <v>1</v>
      </c>
      <c r="N4872" s="8" t="s">
        <v>27</v>
      </c>
      <c r="O4872" s="13"/>
      <c r="P4872" s="14">
        <v>0.2</v>
      </c>
      <c r="Q4872" s="15">
        <v>0.3505454545454546</v>
      </c>
      <c r="R4872" s="16" t="str">
        <f t="shared" si="417"/>
        <v>LUTRON</v>
      </c>
      <c r="S4872" s="17"/>
      <c r="T4872" s="10"/>
    </row>
    <row r="4873" spans="1:20" ht="27" customHeight="1" x14ac:dyDescent="0.25">
      <c r="A4873" s="8" t="s">
        <v>5672</v>
      </c>
      <c r="B4873" s="9"/>
      <c r="C4873" s="9"/>
      <c r="D4873" s="8"/>
      <c r="E4873" s="8"/>
      <c r="F4873" s="8"/>
      <c r="G4873" s="10"/>
      <c r="H4873" s="8" t="s">
        <v>10161</v>
      </c>
      <c r="I4873" s="10" t="s">
        <v>10162</v>
      </c>
      <c r="J4873" s="11" t="s">
        <v>26</v>
      </c>
      <c r="K4873" s="57">
        <v>81</v>
      </c>
      <c r="L4873" s="12">
        <f t="shared" si="419"/>
        <v>150</v>
      </c>
      <c r="M4873" s="8">
        <v>1</v>
      </c>
      <c r="N4873" s="8" t="s">
        <v>27</v>
      </c>
      <c r="O4873" s="13"/>
      <c r="P4873" s="14">
        <v>0.2</v>
      </c>
      <c r="Q4873" s="15">
        <v>0.3505454545454546</v>
      </c>
      <c r="R4873" s="16" t="str">
        <f t="shared" si="417"/>
        <v>LUTRON</v>
      </c>
      <c r="S4873" s="17"/>
      <c r="T4873" s="10"/>
    </row>
    <row r="4874" spans="1:20" ht="27" customHeight="1" x14ac:dyDescent="0.25">
      <c r="A4874" s="8" t="s">
        <v>534</v>
      </c>
      <c r="B4874" s="9"/>
      <c r="C4874" s="9"/>
      <c r="D4874" s="8"/>
      <c r="E4874" s="8"/>
      <c r="F4874" s="8"/>
      <c r="G4874" s="10"/>
      <c r="H4874" s="8" t="s">
        <v>10163</v>
      </c>
      <c r="I4874" s="10" t="s">
        <v>10164</v>
      </c>
      <c r="J4874" s="11" t="s">
        <v>26</v>
      </c>
      <c r="K4874" s="18">
        <v>170</v>
      </c>
      <c r="L4874" s="12">
        <f t="shared" si="419"/>
        <v>397</v>
      </c>
      <c r="M4874" s="8">
        <v>1</v>
      </c>
      <c r="N4874" s="8" t="s">
        <v>27</v>
      </c>
      <c r="O4874" s="13"/>
      <c r="P4874" s="14">
        <v>0.4</v>
      </c>
      <c r="Q4874" s="15">
        <v>0.4</v>
      </c>
      <c r="R4874" s="16" t="str">
        <f t="shared" si="417"/>
        <v>ANTHONY GALLO</v>
      </c>
      <c r="S4874" s="17"/>
      <c r="T4874" s="10"/>
    </row>
    <row r="4875" spans="1:20" ht="27" customHeight="1" x14ac:dyDescent="0.25">
      <c r="A4875" s="8" t="s">
        <v>2512</v>
      </c>
      <c r="B4875" s="9"/>
      <c r="C4875" s="9"/>
      <c r="D4875" s="8"/>
      <c r="E4875" s="8"/>
      <c r="F4875" s="8"/>
      <c r="G4875" s="10"/>
      <c r="H4875" s="8" t="s">
        <v>4973</v>
      </c>
      <c r="I4875" s="10" t="s">
        <v>10165</v>
      </c>
      <c r="J4875" s="11" t="s">
        <v>33</v>
      </c>
      <c r="K4875" s="18">
        <v>150000</v>
      </c>
      <c r="L4875" s="12">
        <f t="shared" si="419"/>
        <v>350000</v>
      </c>
      <c r="M4875" s="8">
        <v>1</v>
      </c>
      <c r="N4875" s="8" t="s">
        <v>27</v>
      </c>
      <c r="O4875" s="13"/>
      <c r="P4875" s="14">
        <v>0.4</v>
      </c>
      <c r="Q4875" s="15">
        <v>0.4</v>
      </c>
      <c r="R4875" s="16" t="str">
        <f t="shared" si="417"/>
        <v>GENERAL</v>
      </c>
      <c r="S4875" s="17"/>
      <c r="T4875" s="10"/>
    </row>
    <row r="4876" spans="1:20" ht="27" customHeight="1" x14ac:dyDescent="0.25">
      <c r="A4876" s="8" t="s">
        <v>3561</v>
      </c>
      <c r="B4876" s="9"/>
      <c r="C4876" s="9"/>
      <c r="D4876" s="8"/>
      <c r="E4876" s="8"/>
      <c r="F4876" s="8"/>
      <c r="G4876" s="10"/>
      <c r="H4876" s="8" t="s">
        <v>10166</v>
      </c>
      <c r="I4876" s="10" t="s">
        <v>10167</v>
      </c>
      <c r="J4876" s="11" t="s">
        <v>26</v>
      </c>
      <c r="K4876" s="18">
        <v>21.56</v>
      </c>
      <c r="L4876" s="12">
        <f t="shared" ref="L4876:L4888" si="420">(K4876*(1+P4876)/(1-Q4876))</f>
        <v>43.12</v>
      </c>
      <c r="M4876" s="8">
        <v>1</v>
      </c>
      <c r="N4876" s="8" t="s">
        <v>27</v>
      </c>
      <c r="O4876" s="13"/>
      <c r="P4876" s="14">
        <v>0.2</v>
      </c>
      <c r="Q4876" s="15">
        <v>0.4</v>
      </c>
      <c r="R4876" s="16" t="str">
        <f t="shared" si="417"/>
        <v>HUBBELL</v>
      </c>
      <c r="S4876" s="17"/>
      <c r="T4876" s="10"/>
    </row>
    <row r="4877" spans="1:20" ht="27" customHeight="1" x14ac:dyDescent="0.25">
      <c r="A4877" s="8" t="s">
        <v>3561</v>
      </c>
      <c r="B4877" s="9"/>
      <c r="C4877" s="9"/>
      <c r="D4877" s="8"/>
      <c r="E4877" s="8"/>
      <c r="F4877" s="8"/>
      <c r="G4877" s="10"/>
      <c r="H4877" s="8" t="s">
        <v>10168</v>
      </c>
      <c r="I4877" s="10" t="s">
        <v>10169</v>
      </c>
      <c r="J4877" s="11" t="s">
        <v>26</v>
      </c>
      <c r="K4877" s="18">
        <v>9</v>
      </c>
      <c r="L4877" s="12">
        <f t="shared" si="420"/>
        <v>18</v>
      </c>
      <c r="M4877" s="8">
        <v>1</v>
      </c>
      <c r="N4877" s="8" t="s">
        <v>27</v>
      </c>
      <c r="O4877" s="13"/>
      <c r="P4877" s="14">
        <v>0.2</v>
      </c>
      <c r="Q4877" s="15">
        <v>0.4</v>
      </c>
      <c r="R4877" s="16" t="str">
        <f t="shared" si="417"/>
        <v>HUBBELL</v>
      </c>
      <c r="S4877" s="17"/>
      <c r="T4877" s="10"/>
    </row>
    <row r="4878" spans="1:20" ht="27" customHeight="1" x14ac:dyDescent="0.25">
      <c r="A4878" s="8" t="s">
        <v>3561</v>
      </c>
      <c r="B4878" s="9"/>
      <c r="C4878" s="9"/>
      <c r="D4878" s="8"/>
      <c r="E4878" s="8"/>
      <c r="F4878" s="8"/>
      <c r="G4878" s="10"/>
      <c r="H4878" s="8" t="s">
        <v>10170</v>
      </c>
      <c r="I4878" s="10" t="s">
        <v>10171</v>
      </c>
      <c r="J4878" s="11" t="s">
        <v>26</v>
      </c>
      <c r="K4878" s="18">
        <v>3.56</v>
      </c>
      <c r="L4878" s="12">
        <f t="shared" si="420"/>
        <v>7.120000000000001</v>
      </c>
      <c r="M4878" s="8">
        <v>1</v>
      </c>
      <c r="N4878" s="8" t="s">
        <v>27</v>
      </c>
      <c r="O4878" s="13"/>
      <c r="P4878" s="14">
        <v>0.2</v>
      </c>
      <c r="Q4878" s="15">
        <v>0.4</v>
      </c>
      <c r="R4878" s="16" t="str">
        <f t="shared" si="417"/>
        <v>HUBBELL</v>
      </c>
      <c r="S4878" s="17"/>
      <c r="T4878" s="10"/>
    </row>
    <row r="4879" spans="1:20" ht="27" customHeight="1" x14ac:dyDescent="0.25">
      <c r="A4879" s="8" t="s">
        <v>3561</v>
      </c>
      <c r="B4879" s="9"/>
      <c r="C4879" s="9"/>
      <c r="D4879" s="8"/>
      <c r="E4879" s="8"/>
      <c r="F4879" s="8"/>
      <c r="G4879" s="10"/>
      <c r="H4879" s="8" t="s">
        <v>10172</v>
      </c>
      <c r="I4879" s="10" t="s">
        <v>10173</v>
      </c>
      <c r="J4879" s="11" t="s">
        <v>26</v>
      </c>
      <c r="K4879" s="18">
        <v>3.22</v>
      </c>
      <c r="L4879" s="12">
        <f t="shared" si="420"/>
        <v>6.44</v>
      </c>
      <c r="M4879" s="8">
        <v>1</v>
      </c>
      <c r="N4879" s="8" t="s">
        <v>27</v>
      </c>
      <c r="O4879" s="13"/>
      <c r="P4879" s="14">
        <v>0.2</v>
      </c>
      <c r="Q4879" s="15">
        <v>0.4</v>
      </c>
      <c r="R4879" s="16" t="str">
        <f t="shared" si="417"/>
        <v>HUBBELL</v>
      </c>
      <c r="S4879" s="17"/>
      <c r="T4879" s="10"/>
    </row>
    <row r="4880" spans="1:20" ht="27" customHeight="1" x14ac:dyDescent="0.25">
      <c r="A4880" s="8" t="s">
        <v>3561</v>
      </c>
      <c r="B4880" s="9"/>
      <c r="C4880" s="9"/>
      <c r="D4880" s="8"/>
      <c r="E4880" s="8"/>
      <c r="F4880" s="8"/>
      <c r="G4880" s="10"/>
      <c r="H4880" s="8" t="s">
        <v>10174</v>
      </c>
      <c r="I4880" s="10" t="s">
        <v>10175</v>
      </c>
      <c r="J4880" s="11" t="s">
        <v>26</v>
      </c>
      <c r="K4880" s="18">
        <v>3.22</v>
      </c>
      <c r="L4880" s="12">
        <f t="shared" si="420"/>
        <v>6.44</v>
      </c>
      <c r="M4880" s="8">
        <v>1</v>
      </c>
      <c r="N4880" s="8" t="s">
        <v>27</v>
      </c>
      <c r="O4880" s="13"/>
      <c r="P4880" s="14">
        <v>0.2</v>
      </c>
      <c r="Q4880" s="15">
        <v>0.4</v>
      </c>
      <c r="R4880" s="16" t="str">
        <f t="shared" si="417"/>
        <v>HUBBELL</v>
      </c>
      <c r="S4880" s="17"/>
      <c r="T4880" s="10"/>
    </row>
    <row r="4881" spans="1:20" ht="27" customHeight="1" x14ac:dyDescent="0.25">
      <c r="A4881" s="8" t="s">
        <v>3561</v>
      </c>
      <c r="B4881" s="9"/>
      <c r="C4881" s="9"/>
      <c r="D4881" s="8"/>
      <c r="E4881" s="8"/>
      <c r="F4881" s="8"/>
      <c r="G4881" s="10"/>
      <c r="H4881" s="8" t="s">
        <v>10176</v>
      </c>
      <c r="I4881" s="10" t="s">
        <v>10177</v>
      </c>
      <c r="J4881" s="11" t="s">
        <v>26</v>
      </c>
      <c r="K4881" s="18">
        <v>4.5</v>
      </c>
      <c r="L4881" s="12">
        <f t="shared" si="420"/>
        <v>9</v>
      </c>
      <c r="M4881" s="8">
        <v>1</v>
      </c>
      <c r="N4881" s="8" t="s">
        <v>27</v>
      </c>
      <c r="O4881" s="13"/>
      <c r="P4881" s="14">
        <v>0.2</v>
      </c>
      <c r="Q4881" s="15">
        <v>0.4</v>
      </c>
      <c r="R4881" s="16" t="str">
        <f t="shared" si="417"/>
        <v>HUBBELL</v>
      </c>
      <c r="S4881" s="17"/>
      <c r="T4881" s="10"/>
    </row>
    <row r="4882" spans="1:20" ht="27" customHeight="1" x14ac:dyDescent="0.25">
      <c r="A4882" s="8" t="s">
        <v>3561</v>
      </c>
      <c r="B4882" s="9"/>
      <c r="C4882" s="9"/>
      <c r="D4882" s="8"/>
      <c r="E4882" s="8"/>
      <c r="F4882" s="8"/>
      <c r="G4882" s="10"/>
      <c r="H4882" s="8" t="s">
        <v>10178</v>
      </c>
      <c r="I4882" s="10" t="s">
        <v>10179</v>
      </c>
      <c r="J4882" s="11" t="s">
        <v>26</v>
      </c>
      <c r="K4882" s="18">
        <v>33.67</v>
      </c>
      <c r="L4882" s="12">
        <f t="shared" si="420"/>
        <v>67.34</v>
      </c>
      <c r="M4882" s="8">
        <v>1</v>
      </c>
      <c r="N4882" s="8" t="s">
        <v>27</v>
      </c>
      <c r="O4882" s="13"/>
      <c r="P4882" s="14">
        <v>0.2</v>
      </c>
      <c r="Q4882" s="15">
        <v>0.4</v>
      </c>
      <c r="R4882" s="16" t="str">
        <f t="shared" si="417"/>
        <v>HUBBELL</v>
      </c>
      <c r="S4882" s="17"/>
      <c r="T4882" s="10"/>
    </row>
    <row r="4883" spans="1:20" ht="27" customHeight="1" x14ac:dyDescent="0.25">
      <c r="A4883" s="8" t="s">
        <v>3561</v>
      </c>
      <c r="B4883" s="9"/>
      <c r="C4883" s="9"/>
      <c r="D4883" s="8"/>
      <c r="E4883" s="8"/>
      <c r="F4883" s="8"/>
      <c r="G4883" s="10"/>
      <c r="H4883" s="8" t="s">
        <v>10180</v>
      </c>
      <c r="I4883" s="10" t="s">
        <v>10181</v>
      </c>
      <c r="J4883" s="11" t="s">
        <v>26</v>
      </c>
      <c r="K4883" s="18">
        <v>29.56</v>
      </c>
      <c r="L4883" s="12">
        <f t="shared" si="420"/>
        <v>59.11999999999999</v>
      </c>
      <c r="M4883" s="8">
        <v>1</v>
      </c>
      <c r="N4883" s="8" t="s">
        <v>27</v>
      </c>
      <c r="O4883" s="13"/>
      <c r="P4883" s="14">
        <v>0.2</v>
      </c>
      <c r="Q4883" s="15">
        <v>0.4</v>
      </c>
      <c r="R4883" s="16" t="str">
        <f t="shared" si="417"/>
        <v>HUBBELL</v>
      </c>
      <c r="S4883" s="17"/>
      <c r="T4883" s="10"/>
    </row>
    <row r="4884" spans="1:20" ht="27" customHeight="1" x14ac:dyDescent="0.25">
      <c r="A4884" s="8" t="s">
        <v>5672</v>
      </c>
      <c r="B4884" s="9"/>
      <c r="C4884" s="9"/>
      <c r="D4884" s="8"/>
      <c r="E4884" s="8"/>
      <c r="F4884" s="8"/>
      <c r="G4884" s="10"/>
      <c r="H4884" s="8" t="s">
        <v>10182</v>
      </c>
      <c r="I4884" s="10" t="s">
        <v>10183</v>
      </c>
      <c r="J4884" s="11" t="s">
        <v>26</v>
      </c>
      <c r="K4884" s="57">
        <v>44.5</v>
      </c>
      <c r="L4884" s="12">
        <f t="shared" si="420"/>
        <v>89</v>
      </c>
      <c r="M4884" s="8">
        <v>1</v>
      </c>
      <c r="N4884" s="8" t="s">
        <v>27</v>
      </c>
      <c r="O4884" s="13"/>
      <c r="P4884" s="14">
        <v>0.2</v>
      </c>
      <c r="Q4884" s="15">
        <v>0.4</v>
      </c>
      <c r="R4884" s="16" t="str">
        <f t="shared" si="417"/>
        <v>LUTRON</v>
      </c>
      <c r="S4884" s="17"/>
      <c r="T4884" s="10"/>
    </row>
    <row r="4885" spans="1:20" ht="27" customHeight="1" x14ac:dyDescent="0.25">
      <c r="A4885" s="8" t="s">
        <v>5672</v>
      </c>
      <c r="B4885" s="9"/>
      <c r="C4885" s="9"/>
      <c r="D4885" s="8"/>
      <c r="E4885" s="8"/>
      <c r="F4885" s="8"/>
      <c r="G4885" s="10"/>
      <c r="H4885" s="8" t="s">
        <v>10184</v>
      </c>
      <c r="I4885" s="10" t="s">
        <v>10185</v>
      </c>
      <c r="J4885" s="11" t="s">
        <v>26</v>
      </c>
      <c r="K4885" s="57">
        <v>69.95</v>
      </c>
      <c r="L4885" s="12">
        <f t="shared" si="420"/>
        <v>139.9</v>
      </c>
      <c r="M4885" s="8">
        <v>1</v>
      </c>
      <c r="N4885" s="8" t="s">
        <v>27</v>
      </c>
      <c r="O4885" s="13"/>
      <c r="P4885" s="14">
        <v>0.2</v>
      </c>
      <c r="Q4885" s="15">
        <v>0.4</v>
      </c>
      <c r="R4885" s="16" t="str">
        <f t="shared" si="417"/>
        <v>LUTRON</v>
      </c>
      <c r="S4885" s="17"/>
      <c r="T4885" s="10"/>
    </row>
    <row r="4886" spans="1:20" ht="27" customHeight="1" x14ac:dyDescent="0.25">
      <c r="A4886" s="8" t="s">
        <v>5672</v>
      </c>
      <c r="B4886" s="9"/>
      <c r="C4886" s="9"/>
      <c r="D4886" s="8"/>
      <c r="E4886" s="8"/>
      <c r="F4886" s="8"/>
      <c r="G4886" s="10"/>
      <c r="H4886" s="8" t="s">
        <v>10186</v>
      </c>
      <c r="I4886" s="10" t="s">
        <v>10187</v>
      </c>
      <c r="J4886" s="11" t="s">
        <v>26</v>
      </c>
      <c r="K4886" s="57">
        <v>26.5</v>
      </c>
      <c r="L4886" s="12">
        <f t="shared" si="420"/>
        <v>53</v>
      </c>
      <c r="M4886" s="8">
        <v>1</v>
      </c>
      <c r="N4886" s="8" t="s">
        <v>27</v>
      </c>
      <c r="O4886" s="13"/>
      <c r="P4886" s="14">
        <v>0.2</v>
      </c>
      <c r="Q4886" s="15">
        <v>0.4</v>
      </c>
      <c r="R4886" s="16" t="str">
        <f t="shared" si="417"/>
        <v>LUTRON</v>
      </c>
      <c r="S4886" s="17"/>
      <c r="T4886" s="10"/>
    </row>
    <row r="4887" spans="1:20" ht="27" customHeight="1" x14ac:dyDescent="0.25">
      <c r="A4887" s="8" t="s">
        <v>10188</v>
      </c>
      <c r="B4887" s="9"/>
      <c r="C4887" s="9"/>
      <c r="D4887" s="8"/>
      <c r="E4887" s="8"/>
      <c r="F4887" s="8"/>
      <c r="G4887" s="10"/>
      <c r="H4887" s="8" t="s">
        <v>10189</v>
      </c>
      <c r="I4887" s="10" t="s">
        <v>10190</v>
      </c>
      <c r="J4887" s="11" t="s">
        <v>33</v>
      </c>
      <c r="K4887" s="18">
        <v>560000</v>
      </c>
      <c r="L4887" s="12">
        <f t="shared" si="420"/>
        <v>1120000</v>
      </c>
      <c r="M4887" s="8">
        <v>1</v>
      </c>
      <c r="N4887" s="8" t="s">
        <v>27</v>
      </c>
      <c r="O4887" s="13"/>
      <c r="P4887" s="14">
        <v>0.2</v>
      </c>
      <c r="Q4887" s="15">
        <v>0.4</v>
      </c>
      <c r="R4887" s="16" t="str">
        <f t="shared" si="417"/>
        <v>PRODJ</v>
      </c>
      <c r="S4887" s="17"/>
      <c r="T4887" s="10"/>
    </row>
    <row r="4888" spans="1:20" ht="27" customHeight="1" x14ac:dyDescent="0.25">
      <c r="A4888" s="8" t="s">
        <v>5672</v>
      </c>
      <c r="B4888" s="9"/>
      <c r="C4888" s="9"/>
      <c r="D4888" s="8"/>
      <c r="E4888" s="8"/>
      <c r="F4888" s="8"/>
      <c r="G4888" s="10"/>
      <c r="H4888" s="8" t="s">
        <v>10191</v>
      </c>
      <c r="I4888" s="10" t="s">
        <v>10192</v>
      </c>
      <c r="J4888" s="11" t="s">
        <v>26</v>
      </c>
      <c r="K4888" s="57">
        <v>9.6</v>
      </c>
      <c r="L4888" s="12">
        <f t="shared" si="420"/>
        <v>19.2</v>
      </c>
      <c r="M4888" s="8">
        <v>1</v>
      </c>
      <c r="N4888" s="8" t="s">
        <v>27</v>
      </c>
      <c r="O4888" s="13"/>
      <c r="P4888" s="14">
        <v>0.2</v>
      </c>
      <c r="Q4888" s="15">
        <v>0.4</v>
      </c>
      <c r="R4888" s="16" t="str">
        <f t="shared" si="417"/>
        <v>LUTRON</v>
      </c>
      <c r="S4888" s="17"/>
      <c r="T4888" s="10"/>
    </row>
    <row r="4889" spans="1:20" ht="27" customHeight="1" x14ac:dyDescent="0.25">
      <c r="A4889" s="8" t="s">
        <v>5672</v>
      </c>
      <c r="B4889" s="9" t="s">
        <v>5666</v>
      </c>
      <c r="C4889" s="9"/>
      <c r="D4889" s="8" t="s">
        <v>6178</v>
      </c>
      <c r="E4889" s="8">
        <v>2</v>
      </c>
      <c r="F4889" s="8" t="s">
        <v>22</v>
      </c>
      <c r="G4889" s="10" t="s">
        <v>6524</v>
      </c>
      <c r="H4889" s="8" t="s">
        <v>10193</v>
      </c>
      <c r="I4889" s="10" t="s">
        <v>10194</v>
      </c>
      <c r="J4889" s="11" t="s">
        <v>26</v>
      </c>
      <c r="K4889" s="57">
        <v>45.75</v>
      </c>
      <c r="L4889" s="12">
        <f t="shared" ref="L4889:L4920" si="421">K4889*(1+P4889)/(1-Q4889)</f>
        <v>91.5</v>
      </c>
      <c r="M4889" s="8">
        <v>1</v>
      </c>
      <c r="N4889" s="8" t="s">
        <v>27</v>
      </c>
      <c r="O4889" s="13"/>
      <c r="P4889" s="14">
        <v>0.2</v>
      </c>
      <c r="Q4889" s="15">
        <v>0.4</v>
      </c>
      <c r="R4889" s="16" t="str">
        <f t="shared" si="417"/>
        <v>LUTRON</v>
      </c>
      <c r="S4889" s="17"/>
      <c r="T4889" s="10"/>
    </row>
    <row r="4890" spans="1:20" ht="27" customHeight="1" x14ac:dyDescent="0.25">
      <c r="A4890" s="8" t="s">
        <v>5672</v>
      </c>
      <c r="B4890" s="9"/>
      <c r="C4890" s="9"/>
      <c r="D4890" s="8"/>
      <c r="E4890" s="8"/>
      <c r="F4890" s="8"/>
      <c r="G4890" s="10"/>
      <c r="H4890" s="8" t="s">
        <v>10195</v>
      </c>
      <c r="I4890" s="10" t="s">
        <v>10196</v>
      </c>
      <c r="J4890" s="11" t="s">
        <v>26</v>
      </c>
      <c r="K4890" s="57">
        <v>20.75</v>
      </c>
      <c r="L4890" s="12">
        <f t="shared" si="421"/>
        <v>41.5</v>
      </c>
      <c r="M4890" s="8">
        <v>1</v>
      </c>
      <c r="N4890" s="8" t="s">
        <v>27</v>
      </c>
      <c r="O4890" s="13"/>
      <c r="P4890" s="14">
        <v>0.2</v>
      </c>
      <c r="Q4890" s="15">
        <v>0.4</v>
      </c>
      <c r="R4890" s="16" t="str">
        <f t="shared" si="417"/>
        <v>LUTRON</v>
      </c>
      <c r="S4890" s="17"/>
      <c r="T4890" s="10"/>
    </row>
    <row r="4891" spans="1:20" ht="27" customHeight="1" x14ac:dyDescent="0.25">
      <c r="A4891" s="8" t="s">
        <v>5672</v>
      </c>
      <c r="B4891" s="9"/>
      <c r="C4891" s="9"/>
      <c r="D4891" s="8"/>
      <c r="E4891" s="8"/>
      <c r="F4891" s="8"/>
      <c r="G4891" s="10"/>
      <c r="H4891" s="8" t="s">
        <v>10197</v>
      </c>
      <c r="I4891" s="10" t="s">
        <v>10198</v>
      </c>
      <c r="J4891" s="11" t="s">
        <v>26</v>
      </c>
      <c r="K4891" s="57">
        <v>68.400000000000006</v>
      </c>
      <c r="L4891" s="12">
        <f t="shared" si="421"/>
        <v>120.0003282931897</v>
      </c>
      <c r="M4891" s="8">
        <v>1</v>
      </c>
      <c r="N4891" s="8" t="s">
        <v>27</v>
      </c>
      <c r="O4891" s="13"/>
      <c r="P4891" s="14">
        <v>0.2</v>
      </c>
      <c r="Q4891" s="15">
        <v>0.31600187126606188</v>
      </c>
      <c r="R4891" s="16" t="str">
        <f t="shared" si="417"/>
        <v>LUTRON</v>
      </c>
      <c r="S4891" s="17"/>
      <c r="T4891" s="10"/>
    </row>
    <row r="4892" spans="1:20" ht="27" customHeight="1" x14ac:dyDescent="0.25">
      <c r="A4892" s="8" t="s">
        <v>5672</v>
      </c>
      <c r="B4892" s="9"/>
      <c r="C4892" s="9"/>
      <c r="D4892" s="8"/>
      <c r="E4892" s="8"/>
      <c r="F4892" s="8"/>
      <c r="G4892" s="10"/>
      <c r="H4892" s="8" t="s">
        <v>10199</v>
      </c>
      <c r="I4892" s="10" t="s">
        <v>10200</v>
      </c>
      <c r="J4892" s="11" t="s">
        <v>26</v>
      </c>
      <c r="K4892" s="57">
        <v>36</v>
      </c>
      <c r="L4892" s="12">
        <f t="shared" si="421"/>
        <v>72</v>
      </c>
      <c r="M4892" s="8">
        <v>1</v>
      </c>
      <c r="N4892" s="8" t="s">
        <v>27</v>
      </c>
      <c r="O4892" s="13"/>
      <c r="P4892" s="14">
        <v>0.2</v>
      </c>
      <c r="Q4892" s="15">
        <v>0.4</v>
      </c>
      <c r="R4892" s="16" t="str">
        <f t="shared" si="417"/>
        <v>LUTRON</v>
      </c>
      <c r="S4892" s="17"/>
      <c r="T4892" s="10"/>
    </row>
    <row r="4893" spans="1:20" ht="27" customHeight="1" x14ac:dyDescent="0.25">
      <c r="A4893" s="8" t="s">
        <v>5672</v>
      </c>
      <c r="B4893" s="9"/>
      <c r="C4893" s="9"/>
      <c r="D4893" s="8"/>
      <c r="E4893" s="8"/>
      <c r="F4893" s="8"/>
      <c r="G4893" s="10"/>
      <c r="H4893" s="8" t="s">
        <v>10201</v>
      </c>
      <c r="I4893" s="10" t="s">
        <v>10202</v>
      </c>
      <c r="J4893" s="11" t="s">
        <v>26</v>
      </c>
      <c r="K4893" s="57">
        <v>8.1</v>
      </c>
      <c r="L4893" s="12">
        <f t="shared" si="421"/>
        <v>16.2</v>
      </c>
      <c r="M4893" s="8">
        <v>1</v>
      </c>
      <c r="N4893" s="8" t="s">
        <v>27</v>
      </c>
      <c r="O4893" s="13"/>
      <c r="P4893" s="14">
        <v>0.2</v>
      </c>
      <c r="Q4893" s="15">
        <v>0.4</v>
      </c>
      <c r="R4893" s="16" t="str">
        <f t="shared" si="417"/>
        <v>LUTRON</v>
      </c>
      <c r="S4893" s="17"/>
      <c r="T4893" s="10"/>
    </row>
    <row r="4894" spans="1:20" ht="27" customHeight="1" x14ac:dyDescent="0.25">
      <c r="A4894" s="8" t="s">
        <v>5672</v>
      </c>
      <c r="B4894" s="9"/>
      <c r="C4894" s="9"/>
      <c r="D4894" s="8"/>
      <c r="E4894" s="8"/>
      <c r="F4894" s="8"/>
      <c r="G4894" s="10"/>
      <c r="H4894" s="8" t="s">
        <v>10203</v>
      </c>
      <c r="I4894" s="10" t="s">
        <v>10204</v>
      </c>
      <c r="J4894" s="11" t="s">
        <v>26</v>
      </c>
      <c r="K4894" s="57">
        <v>12.1</v>
      </c>
      <c r="L4894" s="12">
        <f t="shared" si="421"/>
        <v>24.2</v>
      </c>
      <c r="M4894" s="8">
        <v>1</v>
      </c>
      <c r="N4894" s="8" t="s">
        <v>27</v>
      </c>
      <c r="O4894" s="13"/>
      <c r="P4894" s="14">
        <v>0.2</v>
      </c>
      <c r="Q4894" s="15">
        <v>0.4</v>
      </c>
      <c r="R4894" s="16" t="str">
        <f t="shared" si="417"/>
        <v>LUTRON</v>
      </c>
      <c r="S4894" s="17"/>
      <c r="T4894" s="10"/>
    </row>
    <row r="4895" spans="1:20" ht="27" customHeight="1" x14ac:dyDescent="0.25">
      <c r="A4895" s="8" t="s">
        <v>5672</v>
      </c>
      <c r="B4895" s="9"/>
      <c r="C4895" s="9"/>
      <c r="D4895" s="8"/>
      <c r="E4895" s="8"/>
      <c r="F4895" s="8"/>
      <c r="G4895" s="10"/>
      <c r="H4895" s="8" t="s">
        <v>10205</v>
      </c>
      <c r="I4895" s="10" t="s">
        <v>10206</v>
      </c>
      <c r="J4895" s="11" t="s">
        <v>26</v>
      </c>
      <c r="K4895" s="57">
        <v>16.2</v>
      </c>
      <c r="L4895" s="12">
        <f t="shared" si="421"/>
        <v>32.4</v>
      </c>
      <c r="M4895" s="8">
        <v>1</v>
      </c>
      <c r="N4895" s="8" t="s">
        <v>27</v>
      </c>
      <c r="O4895" s="13"/>
      <c r="P4895" s="14">
        <v>0.2</v>
      </c>
      <c r="Q4895" s="15">
        <v>0.4</v>
      </c>
      <c r="R4895" s="16" t="str">
        <f t="shared" si="417"/>
        <v>LUTRON</v>
      </c>
      <c r="S4895" s="17"/>
      <c r="T4895" s="10"/>
    </row>
    <row r="4896" spans="1:20" ht="27" customHeight="1" x14ac:dyDescent="0.25">
      <c r="A4896" s="8" t="s">
        <v>3977</v>
      </c>
      <c r="B4896" s="9"/>
      <c r="C4896" s="9"/>
      <c r="D4896" s="8"/>
      <c r="E4896" s="8"/>
      <c r="F4896" s="8"/>
      <c r="G4896" s="10"/>
      <c r="H4896" s="8" t="s">
        <v>10207</v>
      </c>
      <c r="I4896" s="10" t="s">
        <v>10208</v>
      </c>
      <c r="J4896" s="11" t="s">
        <v>33</v>
      </c>
      <c r="K4896" s="18">
        <v>20000</v>
      </c>
      <c r="L4896" s="12">
        <f t="shared" si="421"/>
        <v>33333.333333333336</v>
      </c>
      <c r="M4896" s="8">
        <v>1</v>
      </c>
      <c r="N4896" s="8" t="s">
        <v>27</v>
      </c>
      <c r="O4896" s="13"/>
      <c r="P4896" s="14">
        <v>0</v>
      </c>
      <c r="Q4896" s="15">
        <v>0.4</v>
      </c>
      <c r="R4896" s="16" t="str">
        <f t="shared" si="417"/>
        <v>KOMODO</v>
      </c>
      <c r="S4896" s="17"/>
      <c r="T4896" s="10"/>
    </row>
    <row r="4897" spans="1:22" ht="27" customHeight="1" x14ac:dyDescent="0.25">
      <c r="A4897" s="8" t="s">
        <v>3977</v>
      </c>
      <c r="B4897" s="9"/>
      <c r="C4897" s="9"/>
      <c r="D4897" s="8"/>
      <c r="E4897" s="8"/>
      <c r="F4897" s="8"/>
      <c r="G4897" s="10"/>
      <c r="H4897" s="8" t="s">
        <v>10209</v>
      </c>
      <c r="I4897" s="10" t="s">
        <v>10210</v>
      </c>
      <c r="J4897" s="11" t="s">
        <v>33</v>
      </c>
      <c r="K4897" s="18">
        <v>15000</v>
      </c>
      <c r="L4897" s="12">
        <f t="shared" si="421"/>
        <v>25000</v>
      </c>
      <c r="M4897" s="8">
        <v>1</v>
      </c>
      <c r="N4897" s="8" t="s">
        <v>27</v>
      </c>
      <c r="O4897" s="13"/>
      <c r="P4897" s="14">
        <v>0</v>
      </c>
      <c r="Q4897" s="15">
        <v>0.4</v>
      </c>
      <c r="R4897" s="16" t="str">
        <f t="shared" si="417"/>
        <v>KOMODO</v>
      </c>
      <c r="S4897" s="17"/>
      <c r="T4897" s="10"/>
    </row>
    <row r="4898" spans="1:22" ht="27" customHeight="1" x14ac:dyDescent="0.25">
      <c r="A4898" s="8" t="s">
        <v>10211</v>
      </c>
      <c r="B4898" s="9"/>
      <c r="C4898" s="9"/>
      <c r="D4898" s="8"/>
      <c r="E4898" s="8"/>
      <c r="F4898" s="8"/>
      <c r="G4898" s="10"/>
      <c r="H4898" s="8" t="s">
        <v>10212</v>
      </c>
      <c r="I4898" s="10" t="s">
        <v>10213</v>
      </c>
      <c r="J4898" s="11" t="s">
        <v>33</v>
      </c>
      <c r="K4898" s="18">
        <v>37200</v>
      </c>
      <c r="L4898" s="12">
        <f t="shared" si="421"/>
        <v>74400</v>
      </c>
      <c r="M4898" s="8">
        <v>1</v>
      </c>
      <c r="N4898" s="8" t="s">
        <v>27</v>
      </c>
      <c r="O4898" s="13"/>
      <c r="P4898" s="14">
        <v>0</v>
      </c>
      <c r="Q4898" s="15">
        <v>0.5</v>
      </c>
      <c r="R4898" s="16" t="str">
        <f t="shared" si="417"/>
        <v>SICOLUZ</v>
      </c>
      <c r="S4898" s="17"/>
      <c r="T4898" s="10"/>
    </row>
    <row r="4899" spans="1:22" ht="27" customHeight="1" x14ac:dyDescent="0.25">
      <c r="A4899" s="8" t="s">
        <v>10211</v>
      </c>
      <c r="B4899" s="9"/>
      <c r="C4899" s="9"/>
      <c r="D4899" s="8"/>
      <c r="E4899" s="8"/>
      <c r="F4899" s="8"/>
      <c r="G4899" s="10"/>
      <c r="H4899" s="8" t="s">
        <v>10214</v>
      </c>
      <c r="I4899" s="10" t="s">
        <v>10215</v>
      </c>
      <c r="J4899" s="11" t="s">
        <v>33</v>
      </c>
      <c r="K4899" s="18">
        <v>60600</v>
      </c>
      <c r="L4899" s="12">
        <f t="shared" si="421"/>
        <v>121200</v>
      </c>
      <c r="M4899" s="8">
        <v>1</v>
      </c>
      <c r="N4899" s="8" t="s">
        <v>27</v>
      </c>
      <c r="O4899" s="13"/>
      <c r="P4899" s="14">
        <v>0</v>
      </c>
      <c r="Q4899" s="15">
        <v>0.5</v>
      </c>
      <c r="R4899" s="16" t="str">
        <f t="shared" si="417"/>
        <v>SICOLUZ</v>
      </c>
      <c r="S4899" s="17"/>
      <c r="T4899" s="10"/>
    </row>
    <row r="4900" spans="1:22" ht="27" customHeight="1" x14ac:dyDescent="0.25">
      <c r="A4900" s="8" t="s">
        <v>8836</v>
      </c>
      <c r="B4900" s="9"/>
      <c r="C4900" s="9"/>
      <c r="D4900" s="8"/>
      <c r="E4900" s="8"/>
      <c r="F4900" s="8"/>
      <c r="G4900" s="10"/>
      <c r="H4900" s="8" t="s">
        <v>10216</v>
      </c>
      <c r="I4900" s="10" t="s">
        <v>10217</v>
      </c>
      <c r="J4900" s="11" t="s">
        <v>33</v>
      </c>
      <c r="K4900" s="18">
        <v>67500</v>
      </c>
      <c r="L4900" s="12">
        <f t="shared" si="421"/>
        <v>84375</v>
      </c>
      <c r="M4900" s="8">
        <v>1</v>
      </c>
      <c r="N4900" s="8" t="s">
        <v>27</v>
      </c>
      <c r="O4900" s="13"/>
      <c r="P4900" s="14">
        <v>0</v>
      </c>
      <c r="Q4900" s="15">
        <v>0.2</v>
      </c>
      <c r="R4900" s="16" t="str">
        <f t="shared" si="417"/>
        <v>TECNOLITE</v>
      </c>
      <c r="S4900" s="17"/>
      <c r="T4900" s="10"/>
    </row>
    <row r="4901" spans="1:22" ht="27" customHeight="1" x14ac:dyDescent="0.25">
      <c r="A4901" s="8" t="s">
        <v>5672</v>
      </c>
      <c r="B4901" s="9"/>
      <c r="C4901" s="9"/>
      <c r="D4901" s="8"/>
      <c r="E4901" s="8"/>
      <c r="F4901" s="8"/>
      <c r="G4901" s="10"/>
      <c r="H4901" s="8" t="s">
        <v>10186</v>
      </c>
      <c r="I4901" s="10" t="s">
        <v>10218</v>
      </c>
      <c r="J4901" s="11" t="s">
        <v>26</v>
      </c>
      <c r="K4901" s="57">
        <v>26.5</v>
      </c>
      <c r="L4901" s="12">
        <f t="shared" si="421"/>
        <v>53</v>
      </c>
      <c r="M4901" s="8">
        <v>1</v>
      </c>
      <c r="N4901" s="8" t="s">
        <v>27</v>
      </c>
      <c r="O4901" s="13"/>
      <c r="P4901" s="14">
        <v>0.2</v>
      </c>
      <c r="Q4901" s="15">
        <v>0.4</v>
      </c>
      <c r="R4901" s="16" t="str">
        <f t="shared" si="417"/>
        <v>LUTRON</v>
      </c>
      <c r="S4901" s="17"/>
      <c r="T4901" s="10"/>
    </row>
    <row r="4902" spans="1:22" ht="27" customHeight="1" x14ac:dyDescent="0.25">
      <c r="A4902" s="8" t="s">
        <v>5672</v>
      </c>
      <c r="B4902" s="9"/>
      <c r="C4902" s="9"/>
      <c r="D4902" s="8"/>
      <c r="E4902" s="8"/>
      <c r="F4902" s="8"/>
      <c r="G4902" s="10"/>
      <c r="H4902" s="8" t="s">
        <v>10219</v>
      </c>
      <c r="I4902" s="10" t="s">
        <v>10220</v>
      </c>
      <c r="J4902" s="11" t="s">
        <v>26</v>
      </c>
      <c r="K4902" s="57">
        <v>7.1</v>
      </c>
      <c r="L4902" s="12">
        <f t="shared" si="421"/>
        <v>14.2</v>
      </c>
      <c r="M4902" s="8">
        <v>1</v>
      </c>
      <c r="N4902" s="8" t="s">
        <v>27</v>
      </c>
      <c r="O4902" s="13"/>
      <c r="P4902" s="14">
        <v>0.2</v>
      </c>
      <c r="Q4902" s="15">
        <v>0.4</v>
      </c>
      <c r="R4902" s="16" t="str">
        <f t="shared" si="417"/>
        <v>LUTRON</v>
      </c>
      <c r="S4902" s="17"/>
      <c r="T4902" s="10"/>
    </row>
    <row r="4903" spans="1:22" ht="27" customHeight="1" x14ac:dyDescent="0.25">
      <c r="A4903" s="8" t="s">
        <v>723</v>
      </c>
      <c r="B4903" s="9"/>
      <c r="C4903" s="9"/>
      <c r="D4903" s="8"/>
      <c r="E4903" s="8"/>
      <c r="F4903" s="8"/>
      <c r="G4903" s="10"/>
      <c r="H4903" s="8" t="s">
        <v>10221</v>
      </c>
      <c r="I4903" s="10" t="s">
        <v>10222</v>
      </c>
      <c r="J4903" s="11" t="s">
        <v>26</v>
      </c>
      <c r="K4903" s="18">
        <v>2060</v>
      </c>
      <c r="L4903" s="12">
        <f t="shared" si="421"/>
        <v>4120</v>
      </c>
      <c r="M4903" s="8">
        <v>1</v>
      </c>
      <c r="N4903" s="8" t="s">
        <v>27</v>
      </c>
      <c r="O4903" s="13"/>
      <c r="P4903" s="14">
        <v>0.2</v>
      </c>
      <c r="Q4903" s="15">
        <v>0.4</v>
      </c>
      <c r="R4903" s="16" t="str">
        <f t="shared" si="417"/>
        <v>BARCO</v>
      </c>
      <c r="S4903" s="17"/>
      <c r="T4903" s="10"/>
    </row>
    <row r="4904" spans="1:22" ht="27" customHeight="1" x14ac:dyDescent="0.25">
      <c r="A4904" s="8" t="s">
        <v>10223</v>
      </c>
      <c r="B4904" s="9"/>
      <c r="C4904" s="9"/>
      <c r="D4904" s="8"/>
      <c r="E4904" s="8"/>
      <c r="F4904" s="8"/>
      <c r="G4904" s="10"/>
      <c r="H4904" s="8" t="s">
        <v>10224</v>
      </c>
      <c r="I4904" s="10" t="s">
        <v>10225</v>
      </c>
      <c r="J4904" s="11" t="s">
        <v>26</v>
      </c>
      <c r="K4904" s="18">
        <v>1227</v>
      </c>
      <c r="L4904" s="12">
        <f t="shared" si="421"/>
        <v>2045</v>
      </c>
      <c r="M4904" s="8">
        <v>1</v>
      </c>
      <c r="N4904" s="8" t="s">
        <v>27</v>
      </c>
      <c r="O4904" s="13"/>
      <c r="P4904" s="14">
        <v>0</v>
      </c>
      <c r="Q4904" s="15">
        <v>0.4</v>
      </c>
      <c r="R4904" s="16" t="str">
        <f t="shared" si="417"/>
        <v>MODENA</v>
      </c>
      <c r="S4904" s="17"/>
      <c r="T4904" s="10"/>
    </row>
    <row r="4905" spans="1:22" ht="27" customHeight="1" x14ac:dyDescent="0.25">
      <c r="A4905" s="8" t="s">
        <v>6853</v>
      </c>
      <c r="B4905" s="9"/>
      <c r="C4905" s="9"/>
      <c r="D4905" s="8"/>
      <c r="E4905" s="8"/>
      <c r="F4905" s="8"/>
      <c r="G4905" s="10"/>
      <c r="H4905" s="8" t="s">
        <v>10226</v>
      </c>
      <c r="I4905" s="10" t="s">
        <v>10227</v>
      </c>
      <c r="J4905" s="11" t="s">
        <v>26</v>
      </c>
      <c r="K4905" s="18">
        <v>112</v>
      </c>
      <c r="L4905" s="12">
        <f t="shared" si="421"/>
        <v>149.33333333333334</v>
      </c>
      <c r="M4905" s="8">
        <v>1</v>
      </c>
      <c r="N4905" s="8" t="s">
        <v>27</v>
      </c>
      <c r="O4905" s="13"/>
      <c r="P4905" s="14">
        <v>0</v>
      </c>
      <c r="Q4905" s="15">
        <v>0.25</v>
      </c>
      <c r="R4905" s="16" t="str">
        <f t="shared" si="417"/>
        <v>MAXHUB</v>
      </c>
      <c r="S4905" s="17"/>
      <c r="T4905" s="10"/>
    </row>
    <row r="4906" spans="1:22" ht="27" customHeight="1" x14ac:dyDescent="0.25">
      <c r="A4906" s="8" t="s">
        <v>5066</v>
      </c>
      <c r="B4906" s="9"/>
      <c r="C4906" s="9"/>
      <c r="D4906" s="8"/>
      <c r="E4906" s="8"/>
      <c r="F4906" s="8"/>
      <c r="G4906" s="10"/>
      <c r="H4906" s="8" t="s">
        <v>10228</v>
      </c>
      <c r="I4906" s="10" t="s">
        <v>10229</v>
      </c>
      <c r="J4906" s="11" t="s">
        <v>33</v>
      </c>
      <c r="K4906" s="18">
        <v>5500</v>
      </c>
      <c r="L4906" s="12">
        <f t="shared" si="421"/>
        <v>9166.6666666666679</v>
      </c>
      <c r="M4906" s="8">
        <v>1</v>
      </c>
      <c r="N4906" s="8" t="s">
        <v>27</v>
      </c>
      <c r="O4906" s="13"/>
      <c r="P4906" s="14">
        <v>0</v>
      </c>
      <c r="Q4906" s="15">
        <v>0.4</v>
      </c>
      <c r="R4906" s="16" t="str">
        <f t="shared" si="417"/>
        <v>LEGRAND</v>
      </c>
      <c r="S4906" s="17"/>
      <c r="T4906" s="10"/>
    </row>
    <row r="4907" spans="1:22" ht="27" customHeight="1" x14ac:dyDescent="0.25">
      <c r="A4907" s="8" t="s">
        <v>5066</v>
      </c>
      <c r="B4907" s="9"/>
      <c r="C4907" s="9"/>
      <c r="D4907" s="8"/>
      <c r="E4907" s="8"/>
      <c r="F4907" s="8"/>
      <c r="G4907" s="10"/>
      <c r="H4907" s="8" t="s">
        <v>10230</v>
      </c>
      <c r="I4907" s="10" t="s">
        <v>10231</v>
      </c>
      <c r="J4907" s="11" t="s">
        <v>33</v>
      </c>
      <c r="K4907" s="18">
        <v>5900</v>
      </c>
      <c r="L4907" s="12">
        <f t="shared" si="421"/>
        <v>9833.3333333333339</v>
      </c>
      <c r="M4907" s="8">
        <v>1</v>
      </c>
      <c r="N4907" s="8" t="s">
        <v>27</v>
      </c>
      <c r="O4907" s="13"/>
      <c r="P4907" s="14">
        <v>0</v>
      </c>
      <c r="Q4907" s="15">
        <v>0.4</v>
      </c>
      <c r="R4907" s="16" t="str">
        <f t="shared" si="417"/>
        <v>LEGRAND</v>
      </c>
      <c r="S4907" s="17"/>
      <c r="T4907" s="10"/>
    </row>
    <row r="4908" spans="1:22" ht="27" customHeight="1" x14ac:dyDescent="0.25">
      <c r="A4908" s="8" t="s">
        <v>10232</v>
      </c>
      <c r="B4908" s="9"/>
      <c r="C4908" s="9"/>
      <c r="D4908" s="8"/>
      <c r="E4908" s="8"/>
      <c r="F4908" s="8"/>
      <c r="G4908" s="10"/>
      <c r="H4908" s="8" t="s">
        <v>10233</v>
      </c>
      <c r="I4908" s="10" t="s">
        <v>10234</v>
      </c>
      <c r="J4908" s="11" t="s">
        <v>26</v>
      </c>
      <c r="K4908" s="18">
        <v>28</v>
      </c>
      <c r="L4908" s="12">
        <f t="shared" si="421"/>
        <v>56.000000000000007</v>
      </c>
      <c r="M4908" s="8">
        <v>1</v>
      </c>
      <c r="N4908" s="8" t="s">
        <v>27</v>
      </c>
      <c r="O4908" s="13"/>
      <c r="P4908" s="14">
        <v>0.2</v>
      </c>
      <c r="Q4908" s="15">
        <v>0.4</v>
      </c>
      <c r="R4908" s="16" t="str">
        <f t="shared" si="417"/>
        <v>BAFX</v>
      </c>
      <c r="S4908" s="17"/>
      <c r="T4908" s="10"/>
      <c r="U4908" t="s">
        <v>10235</v>
      </c>
    </row>
    <row r="4909" spans="1:22" ht="27" customHeight="1" x14ac:dyDescent="0.25">
      <c r="A4909" s="8" t="s">
        <v>5672</v>
      </c>
      <c r="B4909" s="9"/>
      <c r="C4909" s="9"/>
      <c r="D4909" s="8"/>
      <c r="E4909" s="8"/>
      <c r="F4909" s="8"/>
      <c r="G4909" s="10"/>
      <c r="H4909" s="8" t="s">
        <v>10236</v>
      </c>
      <c r="I4909" s="10" t="s">
        <v>10237</v>
      </c>
      <c r="J4909" s="11" t="s">
        <v>26</v>
      </c>
      <c r="K4909" s="57">
        <v>70</v>
      </c>
      <c r="L4909" s="12">
        <f t="shared" si="421"/>
        <v>140</v>
      </c>
      <c r="M4909" s="8">
        <v>1</v>
      </c>
      <c r="N4909" s="8" t="s">
        <v>27</v>
      </c>
      <c r="O4909" s="13"/>
      <c r="P4909" s="14">
        <v>0.2</v>
      </c>
      <c r="Q4909" s="15">
        <v>0.4</v>
      </c>
      <c r="R4909" s="16" t="str">
        <f t="shared" si="417"/>
        <v>LUTRON</v>
      </c>
      <c r="S4909" s="17"/>
      <c r="T4909" s="10"/>
    </row>
    <row r="4910" spans="1:22" ht="27" customHeight="1" x14ac:dyDescent="0.25">
      <c r="A4910" s="8" t="s">
        <v>5672</v>
      </c>
      <c r="B4910" s="9"/>
      <c r="C4910" s="9"/>
      <c r="D4910" s="8"/>
      <c r="E4910" s="8"/>
      <c r="F4910" s="8"/>
      <c r="G4910" s="10"/>
      <c r="H4910" s="8" t="s">
        <v>10238</v>
      </c>
      <c r="I4910" s="10" t="s">
        <v>10237</v>
      </c>
      <c r="J4910" s="11" t="s">
        <v>26</v>
      </c>
      <c r="K4910" s="57">
        <v>70</v>
      </c>
      <c r="L4910" s="12">
        <f t="shared" si="421"/>
        <v>140</v>
      </c>
      <c r="M4910" s="8">
        <v>1</v>
      </c>
      <c r="N4910" s="8" t="s">
        <v>27</v>
      </c>
      <c r="O4910" s="13"/>
      <c r="P4910" s="14">
        <v>0.2</v>
      </c>
      <c r="Q4910" s="15">
        <v>0.4</v>
      </c>
      <c r="R4910" s="16" t="str">
        <f t="shared" si="417"/>
        <v>LUTRON</v>
      </c>
      <c r="S4910" s="17"/>
      <c r="T4910" s="10"/>
      <c r="V4910">
        <f>70*1.2/0.8</f>
        <v>105</v>
      </c>
    </row>
    <row r="4911" spans="1:22" ht="27" customHeight="1" x14ac:dyDescent="0.25">
      <c r="A4911" s="8" t="s">
        <v>5672</v>
      </c>
      <c r="B4911" s="9"/>
      <c r="C4911" s="9"/>
      <c r="D4911" s="8"/>
      <c r="E4911" s="8"/>
      <c r="F4911" s="8"/>
      <c r="G4911" s="10"/>
      <c r="H4911" s="8" t="s">
        <v>10239</v>
      </c>
      <c r="I4911" s="10" t="s">
        <v>10237</v>
      </c>
      <c r="J4911" s="11" t="s">
        <v>26</v>
      </c>
      <c r="K4911" s="57">
        <v>70</v>
      </c>
      <c r="L4911" s="12">
        <f t="shared" si="421"/>
        <v>140</v>
      </c>
      <c r="M4911" s="8">
        <v>1</v>
      </c>
      <c r="N4911" s="8" t="s">
        <v>27</v>
      </c>
      <c r="O4911" s="13"/>
      <c r="P4911" s="14">
        <v>0.2</v>
      </c>
      <c r="Q4911" s="15">
        <v>0.4</v>
      </c>
      <c r="R4911" s="16" t="str">
        <f t="shared" ref="R4911:R4974" si="422">A4911</f>
        <v>LUTRON</v>
      </c>
      <c r="S4911" s="17"/>
      <c r="T4911" s="10"/>
    </row>
    <row r="4912" spans="1:22" ht="27" customHeight="1" x14ac:dyDescent="0.25">
      <c r="A4912" s="8" t="s">
        <v>5672</v>
      </c>
      <c r="B4912" s="9"/>
      <c r="C4912" s="9"/>
      <c r="D4912" s="8"/>
      <c r="E4912" s="8"/>
      <c r="F4912" s="8"/>
      <c r="G4912" s="10"/>
      <c r="H4912" s="8" t="s">
        <v>10240</v>
      </c>
      <c r="I4912" s="10" t="s">
        <v>10237</v>
      </c>
      <c r="J4912" s="11" t="s">
        <v>26</v>
      </c>
      <c r="K4912" s="57">
        <v>70</v>
      </c>
      <c r="L4912" s="12">
        <f t="shared" si="421"/>
        <v>140</v>
      </c>
      <c r="M4912" s="8">
        <v>1</v>
      </c>
      <c r="N4912" s="8" t="s">
        <v>27</v>
      </c>
      <c r="O4912" s="13"/>
      <c r="P4912" s="14">
        <v>0.2</v>
      </c>
      <c r="Q4912" s="15">
        <v>0.4</v>
      </c>
      <c r="R4912" s="16" t="str">
        <f t="shared" si="422"/>
        <v>LUTRON</v>
      </c>
      <c r="S4912" s="17"/>
      <c r="T4912" s="10"/>
    </row>
    <row r="4913" spans="1:20" ht="27" customHeight="1" x14ac:dyDescent="0.25">
      <c r="A4913" s="8" t="s">
        <v>5672</v>
      </c>
      <c r="B4913" s="9"/>
      <c r="C4913" s="9"/>
      <c r="D4913" s="8"/>
      <c r="E4913" s="8"/>
      <c r="F4913" s="8"/>
      <c r="G4913" s="10"/>
      <c r="H4913" s="8" t="s">
        <v>10241</v>
      </c>
      <c r="I4913" s="10" t="s">
        <v>10237</v>
      </c>
      <c r="J4913" s="11" t="s">
        <v>26</v>
      </c>
      <c r="K4913" s="57">
        <v>70</v>
      </c>
      <c r="L4913" s="12">
        <f t="shared" si="421"/>
        <v>140</v>
      </c>
      <c r="M4913" s="8">
        <v>1</v>
      </c>
      <c r="N4913" s="8" t="s">
        <v>27</v>
      </c>
      <c r="O4913" s="13"/>
      <c r="P4913" s="14">
        <v>0.2</v>
      </c>
      <c r="Q4913" s="15">
        <v>0.4</v>
      </c>
      <c r="R4913" s="16" t="str">
        <f t="shared" si="422"/>
        <v>LUTRON</v>
      </c>
      <c r="S4913" s="17"/>
      <c r="T4913" s="10"/>
    </row>
    <row r="4914" spans="1:20" ht="27" customHeight="1" x14ac:dyDescent="0.25">
      <c r="A4914" s="8" t="s">
        <v>5672</v>
      </c>
      <c r="B4914" s="9"/>
      <c r="C4914" s="9"/>
      <c r="D4914" s="8"/>
      <c r="E4914" s="8"/>
      <c r="F4914" s="8"/>
      <c r="G4914" s="10"/>
      <c r="H4914" s="8" t="s">
        <v>10242</v>
      </c>
      <c r="I4914" s="10" t="s">
        <v>10237</v>
      </c>
      <c r="J4914" s="11" t="s">
        <v>26</v>
      </c>
      <c r="K4914" s="57">
        <v>70</v>
      </c>
      <c r="L4914" s="12">
        <f t="shared" si="421"/>
        <v>140</v>
      </c>
      <c r="M4914" s="8">
        <v>1</v>
      </c>
      <c r="N4914" s="8" t="s">
        <v>27</v>
      </c>
      <c r="O4914" s="13"/>
      <c r="P4914" s="14">
        <v>0.2</v>
      </c>
      <c r="Q4914" s="15">
        <v>0.4</v>
      </c>
      <c r="R4914" s="16" t="str">
        <f t="shared" si="422"/>
        <v>LUTRON</v>
      </c>
      <c r="S4914" s="17"/>
      <c r="T4914" s="10"/>
    </row>
    <row r="4915" spans="1:20" ht="27" customHeight="1" x14ac:dyDescent="0.25">
      <c r="A4915" s="8" t="s">
        <v>5672</v>
      </c>
      <c r="B4915" s="9"/>
      <c r="C4915" s="9"/>
      <c r="D4915" s="8"/>
      <c r="E4915" s="8"/>
      <c r="F4915" s="8"/>
      <c r="G4915" s="10"/>
      <c r="H4915" s="8" t="s">
        <v>10243</v>
      </c>
      <c r="I4915" s="10" t="s">
        <v>10237</v>
      </c>
      <c r="J4915" s="11" t="s">
        <v>26</v>
      </c>
      <c r="K4915" s="57">
        <v>70</v>
      </c>
      <c r="L4915" s="12">
        <f t="shared" si="421"/>
        <v>140</v>
      </c>
      <c r="M4915" s="8">
        <v>1</v>
      </c>
      <c r="N4915" s="8" t="s">
        <v>27</v>
      </c>
      <c r="O4915" s="13"/>
      <c r="P4915" s="14">
        <v>0.2</v>
      </c>
      <c r="Q4915" s="15">
        <v>0.4</v>
      </c>
      <c r="R4915" s="16" t="str">
        <f t="shared" si="422"/>
        <v>LUTRON</v>
      </c>
      <c r="S4915" s="17"/>
      <c r="T4915" s="10"/>
    </row>
    <row r="4916" spans="1:20" ht="27" customHeight="1" x14ac:dyDescent="0.25">
      <c r="A4916" s="8" t="s">
        <v>5672</v>
      </c>
      <c r="B4916" s="9"/>
      <c r="C4916" s="9"/>
      <c r="D4916" s="8"/>
      <c r="E4916" s="8"/>
      <c r="F4916" s="8"/>
      <c r="G4916" s="10"/>
      <c r="H4916" s="8" t="s">
        <v>10244</v>
      </c>
      <c r="I4916" s="10" t="s">
        <v>10237</v>
      </c>
      <c r="J4916" s="11" t="s">
        <v>26</v>
      </c>
      <c r="K4916" s="57">
        <v>70</v>
      </c>
      <c r="L4916" s="12">
        <f t="shared" si="421"/>
        <v>140</v>
      </c>
      <c r="M4916" s="8">
        <v>1</v>
      </c>
      <c r="N4916" s="8" t="s">
        <v>27</v>
      </c>
      <c r="O4916" s="13"/>
      <c r="P4916" s="14">
        <v>0.2</v>
      </c>
      <c r="Q4916" s="15">
        <v>0.4</v>
      </c>
      <c r="R4916" s="16" t="str">
        <f t="shared" si="422"/>
        <v>LUTRON</v>
      </c>
      <c r="S4916" s="17"/>
      <c r="T4916" s="10"/>
    </row>
    <row r="4917" spans="1:20" ht="27" customHeight="1" x14ac:dyDescent="0.25">
      <c r="A4917" s="8" t="s">
        <v>5672</v>
      </c>
      <c r="B4917" s="9"/>
      <c r="C4917" s="9"/>
      <c r="D4917" s="8"/>
      <c r="E4917" s="8"/>
      <c r="F4917" s="8"/>
      <c r="G4917" s="10"/>
      <c r="H4917" s="8" t="s">
        <v>10245</v>
      </c>
      <c r="I4917" s="10" t="s">
        <v>10237</v>
      </c>
      <c r="J4917" s="11" t="s">
        <v>26</v>
      </c>
      <c r="K4917" s="57">
        <v>70</v>
      </c>
      <c r="L4917" s="12">
        <f t="shared" si="421"/>
        <v>140</v>
      </c>
      <c r="M4917" s="8">
        <v>1</v>
      </c>
      <c r="N4917" s="8" t="s">
        <v>27</v>
      </c>
      <c r="O4917" s="13"/>
      <c r="P4917" s="14">
        <v>0.2</v>
      </c>
      <c r="Q4917" s="15">
        <v>0.4</v>
      </c>
      <c r="R4917" s="16" t="str">
        <f t="shared" si="422"/>
        <v>LUTRON</v>
      </c>
      <c r="S4917" s="17"/>
      <c r="T4917" s="10"/>
    </row>
    <row r="4918" spans="1:20" ht="27" customHeight="1" x14ac:dyDescent="0.25">
      <c r="A4918" s="8" t="s">
        <v>5672</v>
      </c>
      <c r="B4918" s="9"/>
      <c r="C4918" s="9"/>
      <c r="D4918" s="8"/>
      <c r="E4918" s="8"/>
      <c r="F4918" s="8"/>
      <c r="G4918" s="10"/>
      <c r="H4918" s="8" t="s">
        <v>10246</v>
      </c>
      <c r="I4918" s="10" t="s">
        <v>10247</v>
      </c>
      <c r="J4918" s="11" t="s">
        <v>26</v>
      </c>
      <c r="K4918" s="57">
        <v>70</v>
      </c>
      <c r="L4918" s="12">
        <f t="shared" si="421"/>
        <v>140</v>
      </c>
      <c r="M4918" s="8">
        <v>1</v>
      </c>
      <c r="N4918" s="8" t="s">
        <v>27</v>
      </c>
      <c r="O4918" s="13"/>
      <c r="P4918" s="14">
        <v>0.2</v>
      </c>
      <c r="Q4918" s="15">
        <v>0.4</v>
      </c>
      <c r="R4918" s="16" t="str">
        <f t="shared" si="422"/>
        <v>LUTRON</v>
      </c>
      <c r="S4918" s="17"/>
      <c r="T4918" s="10"/>
    </row>
    <row r="4919" spans="1:20" ht="27" customHeight="1" x14ac:dyDescent="0.25">
      <c r="A4919" s="8" t="s">
        <v>5672</v>
      </c>
      <c r="B4919" s="9"/>
      <c r="C4919" s="9"/>
      <c r="D4919" s="8"/>
      <c r="E4919" s="8"/>
      <c r="F4919" s="8"/>
      <c r="G4919" s="10"/>
      <c r="H4919" s="8" t="s">
        <v>10248</v>
      </c>
      <c r="I4919" s="10" t="s">
        <v>10247</v>
      </c>
      <c r="J4919" s="11" t="s">
        <v>26</v>
      </c>
      <c r="K4919" s="57">
        <v>70</v>
      </c>
      <c r="L4919" s="12">
        <f t="shared" si="421"/>
        <v>140</v>
      </c>
      <c r="M4919" s="8">
        <v>1</v>
      </c>
      <c r="N4919" s="8" t="s">
        <v>27</v>
      </c>
      <c r="O4919" s="13"/>
      <c r="P4919" s="14">
        <v>0.2</v>
      </c>
      <c r="Q4919" s="15">
        <v>0.4</v>
      </c>
      <c r="R4919" s="16" t="str">
        <f t="shared" si="422"/>
        <v>LUTRON</v>
      </c>
      <c r="S4919" s="17"/>
      <c r="T4919" s="10"/>
    </row>
    <row r="4920" spans="1:20" ht="27" customHeight="1" x14ac:dyDescent="0.25">
      <c r="A4920" s="8" t="s">
        <v>10249</v>
      </c>
      <c r="B4920" s="9"/>
      <c r="C4920" s="9"/>
      <c r="D4920" s="8"/>
      <c r="E4920" s="8"/>
      <c r="F4920" s="8"/>
      <c r="G4920" s="10"/>
      <c r="H4920" s="8" t="s">
        <v>10250</v>
      </c>
      <c r="I4920" s="10" t="s">
        <v>10251</v>
      </c>
      <c r="J4920" s="11" t="s">
        <v>26</v>
      </c>
      <c r="K4920" s="18">
        <v>12</v>
      </c>
      <c r="L4920" s="12">
        <f t="shared" si="421"/>
        <v>33.599999999999994</v>
      </c>
      <c r="M4920" s="8">
        <v>1</v>
      </c>
      <c r="N4920" s="8" t="s">
        <v>27</v>
      </c>
      <c r="O4920" s="13"/>
      <c r="P4920" s="14">
        <v>0.4</v>
      </c>
      <c r="Q4920" s="15">
        <v>0.5</v>
      </c>
      <c r="R4920" s="16" t="str">
        <f t="shared" si="422"/>
        <v>SKYDANCE</v>
      </c>
      <c r="S4920" s="17"/>
      <c r="T4920" s="10"/>
    </row>
    <row r="4921" spans="1:20" ht="27" customHeight="1" x14ac:dyDescent="0.25">
      <c r="A4921" s="8" t="s">
        <v>6886</v>
      </c>
      <c r="B4921" s="9"/>
      <c r="C4921" s="9"/>
      <c r="D4921" s="8"/>
      <c r="E4921" s="8"/>
      <c r="F4921" s="8"/>
      <c r="G4921" s="10"/>
      <c r="H4921" s="8" t="s">
        <v>124</v>
      </c>
      <c r="I4921" s="10" t="s">
        <v>10252</v>
      </c>
      <c r="J4921" s="11" t="s">
        <v>33</v>
      </c>
      <c r="K4921" s="18">
        <v>120000</v>
      </c>
      <c r="L4921" s="12">
        <f t="shared" ref="L4921:L4939" si="423">K4921*(1+P4921)/(1-Q4921)</f>
        <v>184615.3846153846</v>
      </c>
      <c r="M4921" s="8">
        <v>1</v>
      </c>
      <c r="N4921" s="8" t="s">
        <v>27</v>
      </c>
      <c r="O4921" s="13"/>
      <c r="P4921" s="14">
        <v>0</v>
      </c>
      <c r="Q4921" s="15">
        <v>0.35</v>
      </c>
      <c r="R4921" s="16" t="str">
        <f t="shared" si="422"/>
        <v>MEANWELL</v>
      </c>
      <c r="S4921" s="17"/>
      <c r="T4921" s="10"/>
    </row>
    <row r="4922" spans="1:20" ht="27" customHeight="1" x14ac:dyDescent="0.25">
      <c r="A4922" s="8" t="s">
        <v>6886</v>
      </c>
      <c r="B4922" s="9"/>
      <c r="C4922" s="9"/>
      <c r="D4922" s="8"/>
      <c r="E4922" s="8"/>
      <c r="F4922" s="8"/>
      <c r="G4922" s="10"/>
      <c r="H4922" s="8" t="s">
        <v>127</v>
      </c>
      <c r="I4922" s="10" t="s">
        <v>10253</v>
      </c>
      <c r="J4922" s="11" t="s">
        <v>26</v>
      </c>
      <c r="K4922" s="18">
        <v>8</v>
      </c>
      <c r="L4922" s="12">
        <f t="shared" si="423"/>
        <v>16</v>
      </c>
      <c r="M4922" s="8">
        <v>1</v>
      </c>
      <c r="N4922" s="8" t="s">
        <v>27</v>
      </c>
      <c r="O4922" s="13"/>
      <c r="P4922" s="14">
        <v>0.2</v>
      </c>
      <c r="Q4922" s="15">
        <v>0.4</v>
      </c>
      <c r="R4922" s="16" t="str">
        <f t="shared" si="422"/>
        <v>MEANWELL</v>
      </c>
      <c r="S4922" s="17"/>
      <c r="T4922" s="10"/>
    </row>
    <row r="4923" spans="1:20" ht="27" customHeight="1" x14ac:dyDescent="0.25">
      <c r="A4923" s="8" t="s">
        <v>6886</v>
      </c>
      <c r="B4923" s="9"/>
      <c r="C4923" s="9"/>
      <c r="D4923" s="8"/>
      <c r="E4923" s="8"/>
      <c r="F4923" s="8"/>
      <c r="G4923" s="10"/>
      <c r="H4923" s="8" t="s">
        <v>131</v>
      </c>
      <c r="I4923" s="10" t="s">
        <v>10254</v>
      </c>
      <c r="J4923" s="11" t="s">
        <v>26</v>
      </c>
      <c r="K4923" s="18">
        <v>9</v>
      </c>
      <c r="L4923" s="12">
        <f t="shared" si="423"/>
        <v>18</v>
      </c>
      <c r="M4923" s="8">
        <v>1</v>
      </c>
      <c r="N4923" s="8" t="s">
        <v>27</v>
      </c>
      <c r="O4923" s="13"/>
      <c r="P4923" s="14">
        <v>0.2</v>
      </c>
      <c r="Q4923" s="15">
        <v>0.4</v>
      </c>
      <c r="R4923" s="16" t="str">
        <f t="shared" si="422"/>
        <v>MEANWELL</v>
      </c>
      <c r="S4923" s="17"/>
      <c r="T4923" s="10"/>
    </row>
    <row r="4924" spans="1:20" ht="27" customHeight="1" x14ac:dyDescent="0.25">
      <c r="A4924" s="8" t="s">
        <v>6886</v>
      </c>
      <c r="B4924" s="9"/>
      <c r="C4924" s="9"/>
      <c r="D4924" s="8"/>
      <c r="E4924" s="8"/>
      <c r="F4924" s="8"/>
      <c r="G4924" s="10"/>
      <c r="H4924" s="8" t="s">
        <v>134</v>
      </c>
      <c r="I4924" s="10" t="s">
        <v>10255</v>
      </c>
      <c r="J4924" s="11" t="s">
        <v>26</v>
      </c>
      <c r="K4924" s="18">
        <v>10</v>
      </c>
      <c r="L4924" s="12">
        <f t="shared" si="423"/>
        <v>20</v>
      </c>
      <c r="M4924" s="8">
        <v>1</v>
      </c>
      <c r="N4924" s="8" t="s">
        <v>27</v>
      </c>
      <c r="O4924" s="13"/>
      <c r="P4924" s="14">
        <v>0.2</v>
      </c>
      <c r="Q4924" s="15">
        <v>0.4</v>
      </c>
      <c r="R4924" s="16" t="str">
        <f t="shared" si="422"/>
        <v>MEANWELL</v>
      </c>
      <c r="S4924" s="17"/>
      <c r="T4924" s="10"/>
    </row>
    <row r="4925" spans="1:20" ht="27" customHeight="1" x14ac:dyDescent="0.25">
      <c r="A4925" s="8" t="s">
        <v>8836</v>
      </c>
      <c r="B4925" s="9"/>
      <c r="C4925" s="9"/>
      <c r="D4925" s="8"/>
      <c r="E4925" s="8"/>
      <c r="F4925" s="8"/>
      <c r="G4925" s="10"/>
      <c r="H4925" s="8" t="s">
        <v>10256</v>
      </c>
      <c r="I4925" s="10" t="s">
        <v>10257</v>
      </c>
      <c r="J4925" s="11" t="s">
        <v>33</v>
      </c>
      <c r="K4925" s="18">
        <f>26291*0.9</f>
        <v>23661.9</v>
      </c>
      <c r="L4925" s="12">
        <f t="shared" si="423"/>
        <v>33802.71428571429</v>
      </c>
      <c r="M4925" s="8">
        <v>1</v>
      </c>
      <c r="N4925" s="8" t="s">
        <v>27</v>
      </c>
      <c r="O4925" s="13"/>
      <c r="P4925" s="14">
        <v>0</v>
      </c>
      <c r="Q4925" s="15">
        <v>0.3</v>
      </c>
      <c r="R4925" s="16" t="str">
        <f t="shared" si="422"/>
        <v>TECNOLITE</v>
      </c>
      <c r="S4925" s="17"/>
      <c r="T4925" s="10"/>
    </row>
    <row r="4926" spans="1:20" ht="27" customHeight="1" x14ac:dyDescent="0.25">
      <c r="A4926" s="8" t="s">
        <v>10258</v>
      </c>
      <c r="B4926" s="9"/>
      <c r="C4926" s="9"/>
      <c r="D4926" s="8"/>
      <c r="E4926" s="8"/>
      <c r="F4926" s="8"/>
      <c r="G4926" s="10"/>
      <c r="H4926" s="8" t="s">
        <v>10259</v>
      </c>
      <c r="I4926" s="10" t="s">
        <v>10260</v>
      </c>
      <c r="J4926" s="11" t="s">
        <v>26</v>
      </c>
      <c r="K4926" s="18">
        <v>19.399999999999999</v>
      </c>
      <c r="L4926" s="12">
        <f t="shared" si="423"/>
        <v>45.266666666666666</v>
      </c>
      <c r="M4926" s="8">
        <v>1</v>
      </c>
      <c r="N4926" s="8" t="s">
        <v>27</v>
      </c>
      <c r="O4926" s="13"/>
      <c r="P4926" s="14">
        <v>0.4</v>
      </c>
      <c r="Q4926" s="15">
        <v>0.4</v>
      </c>
      <c r="R4926" s="16" t="str">
        <f t="shared" si="422"/>
        <v>SC_POWER</v>
      </c>
      <c r="S4926" s="17"/>
      <c r="T4926" s="10"/>
    </row>
    <row r="4927" spans="1:20" ht="27" customHeight="1" x14ac:dyDescent="0.25">
      <c r="A4927" s="8" t="s">
        <v>10258</v>
      </c>
      <c r="B4927" s="9"/>
      <c r="C4927" s="9"/>
      <c r="D4927" s="8"/>
      <c r="E4927" s="8"/>
      <c r="F4927" s="8"/>
      <c r="G4927" s="10"/>
      <c r="H4927" s="8" t="s">
        <v>10261</v>
      </c>
      <c r="I4927" s="10" t="s">
        <v>10262</v>
      </c>
      <c r="J4927" s="11" t="s">
        <v>26</v>
      </c>
      <c r="K4927" s="18">
        <v>30.32</v>
      </c>
      <c r="L4927" s="12">
        <f t="shared" si="423"/>
        <v>70.74666666666667</v>
      </c>
      <c r="M4927" s="8">
        <v>1</v>
      </c>
      <c r="N4927" s="8" t="s">
        <v>27</v>
      </c>
      <c r="O4927" s="13"/>
      <c r="P4927" s="14">
        <v>0.4</v>
      </c>
      <c r="Q4927" s="15">
        <v>0.4</v>
      </c>
      <c r="R4927" s="16" t="str">
        <f t="shared" si="422"/>
        <v>SC_POWER</v>
      </c>
      <c r="S4927" s="17"/>
      <c r="T4927" s="10"/>
    </row>
    <row r="4928" spans="1:20" ht="27" customHeight="1" x14ac:dyDescent="0.25">
      <c r="A4928" s="8" t="s">
        <v>10258</v>
      </c>
      <c r="B4928" s="9"/>
      <c r="C4928" s="9"/>
      <c r="D4928" s="8"/>
      <c r="E4928" s="8"/>
      <c r="F4928" s="8"/>
      <c r="G4928" s="10"/>
      <c r="H4928" s="8" t="s">
        <v>10263</v>
      </c>
      <c r="I4928" s="10" t="s">
        <v>10264</v>
      </c>
      <c r="J4928" s="11" t="s">
        <v>26</v>
      </c>
      <c r="K4928" s="18">
        <v>44</v>
      </c>
      <c r="L4928" s="12">
        <f t="shared" si="423"/>
        <v>102.66666666666666</v>
      </c>
      <c r="M4928" s="8">
        <v>1</v>
      </c>
      <c r="N4928" s="8" t="s">
        <v>27</v>
      </c>
      <c r="O4928" s="13"/>
      <c r="P4928" s="14">
        <v>0.4</v>
      </c>
      <c r="Q4928" s="15">
        <v>0.4</v>
      </c>
      <c r="R4928" s="16" t="str">
        <f t="shared" si="422"/>
        <v>SC_POWER</v>
      </c>
      <c r="S4928" s="17"/>
      <c r="T4928" s="10"/>
    </row>
    <row r="4929" spans="1:20" ht="27" customHeight="1" x14ac:dyDescent="0.25">
      <c r="A4929" s="8" t="s">
        <v>10258</v>
      </c>
      <c r="B4929" s="9"/>
      <c r="C4929" s="9"/>
      <c r="D4929" s="8"/>
      <c r="E4929" s="8"/>
      <c r="F4929" s="8"/>
      <c r="G4929" s="10"/>
      <c r="H4929" s="8" t="s">
        <v>10265</v>
      </c>
      <c r="I4929" s="10" t="s">
        <v>10266</v>
      </c>
      <c r="J4929" s="11" t="s">
        <v>26</v>
      </c>
      <c r="K4929" s="18">
        <v>58</v>
      </c>
      <c r="L4929" s="12">
        <f t="shared" si="423"/>
        <v>135.33333333333331</v>
      </c>
      <c r="M4929" s="8">
        <v>1</v>
      </c>
      <c r="N4929" s="8" t="s">
        <v>27</v>
      </c>
      <c r="O4929" s="13"/>
      <c r="P4929" s="14">
        <v>0.4</v>
      </c>
      <c r="Q4929" s="15">
        <v>0.4</v>
      </c>
      <c r="R4929" s="16" t="str">
        <f t="shared" si="422"/>
        <v>SC_POWER</v>
      </c>
      <c r="S4929" s="17"/>
      <c r="T4929" s="10"/>
    </row>
    <row r="4930" spans="1:20" ht="27" customHeight="1" x14ac:dyDescent="0.25">
      <c r="A4930" s="8" t="s">
        <v>10258</v>
      </c>
      <c r="B4930" s="9"/>
      <c r="C4930" s="9"/>
      <c r="D4930" s="8"/>
      <c r="E4930" s="8"/>
      <c r="F4930" s="8"/>
      <c r="G4930" s="10"/>
      <c r="H4930" s="8" t="s">
        <v>10267</v>
      </c>
      <c r="I4930" s="10" t="s">
        <v>10268</v>
      </c>
      <c r="J4930" s="11" t="s">
        <v>26</v>
      </c>
      <c r="K4930" s="18">
        <v>39</v>
      </c>
      <c r="L4930" s="12">
        <f t="shared" si="423"/>
        <v>91</v>
      </c>
      <c r="M4930" s="8">
        <v>1</v>
      </c>
      <c r="N4930" s="8" t="s">
        <v>27</v>
      </c>
      <c r="O4930" s="13"/>
      <c r="P4930" s="14">
        <v>0.4</v>
      </c>
      <c r="Q4930" s="15">
        <v>0.4</v>
      </c>
      <c r="R4930" s="16" t="str">
        <f t="shared" si="422"/>
        <v>SC_POWER</v>
      </c>
      <c r="S4930" s="17"/>
      <c r="T4930" s="10"/>
    </row>
    <row r="4931" spans="1:20" ht="27" customHeight="1" x14ac:dyDescent="0.25">
      <c r="A4931" s="8" t="s">
        <v>10258</v>
      </c>
      <c r="B4931" s="9"/>
      <c r="C4931" s="9"/>
      <c r="D4931" s="8"/>
      <c r="E4931" s="8"/>
      <c r="F4931" s="8"/>
      <c r="G4931" s="10"/>
      <c r="H4931" s="8" t="s">
        <v>10269</v>
      </c>
      <c r="I4931" s="10" t="s">
        <v>10270</v>
      </c>
      <c r="J4931" s="11" t="s">
        <v>26</v>
      </c>
      <c r="K4931" s="18">
        <v>50</v>
      </c>
      <c r="L4931" s="12">
        <f t="shared" si="423"/>
        <v>116.66666666666667</v>
      </c>
      <c r="M4931" s="8">
        <v>1</v>
      </c>
      <c r="N4931" s="8" t="s">
        <v>27</v>
      </c>
      <c r="O4931" s="13"/>
      <c r="P4931" s="14">
        <v>0.4</v>
      </c>
      <c r="Q4931" s="15">
        <v>0.4</v>
      </c>
      <c r="R4931" s="16" t="str">
        <f t="shared" si="422"/>
        <v>SC_POWER</v>
      </c>
      <c r="S4931" s="17"/>
      <c r="T4931" s="10"/>
    </row>
    <row r="4932" spans="1:20" ht="27" customHeight="1" x14ac:dyDescent="0.25">
      <c r="A4932" s="8" t="s">
        <v>5672</v>
      </c>
      <c r="B4932" s="9"/>
      <c r="C4932" s="9"/>
      <c r="D4932" s="8"/>
      <c r="E4932" s="8"/>
      <c r="F4932" s="8"/>
      <c r="G4932" s="10"/>
      <c r="H4932" s="8" t="s">
        <v>10271</v>
      </c>
      <c r="I4932" s="10" t="s">
        <v>10272</v>
      </c>
      <c r="J4932" s="11" t="s">
        <v>26</v>
      </c>
      <c r="K4932" s="57">
        <f>5.5/0.7</f>
        <v>7.8571428571428577</v>
      </c>
      <c r="L4932" s="12">
        <f t="shared" si="423"/>
        <v>15.714285714285715</v>
      </c>
      <c r="M4932" s="8">
        <v>1</v>
      </c>
      <c r="N4932" s="8" t="s">
        <v>27</v>
      </c>
      <c r="O4932" s="13"/>
      <c r="P4932" s="14">
        <v>0.2</v>
      </c>
      <c r="Q4932" s="15">
        <v>0.4</v>
      </c>
      <c r="R4932" s="16" t="str">
        <f t="shared" si="422"/>
        <v>LUTRON</v>
      </c>
      <c r="S4932" s="17"/>
      <c r="T4932" s="10"/>
    </row>
    <row r="4933" spans="1:20" ht="27" customHeight="1" x14ac:dyDescent="0.25">
      <c r="A4933" s="8" t="s">
        <v>5672</v>
      </c>
      <c r="B4933" s="9"/>
      <c r="C4933" s="9"/>
      <c r="D4933" s="8"/>
      <c r="E4933" s="8"/>
      <c r="F4933" s="8"/>
      <c r="G4933" s="10"/>
      <c r="H4933" s="8" t="s">
        <v>10273</v>
      </c>
      <c r="I4933" s="10" t="s">
        <v>10274</v>
      </c>
      <c r="J4933" s="11" t="s">
        <v>26</v>
      </c>
      <c r="K4933" s="57">
        <f>5.5/0.7*2</f>
        <v>15.714285714285715</v>
      </c>
      <c r="L4933" s="12">
        <f t="shared" si="423"/>
        <v>31.428571428571431</v>
      </c>
      <c r="M4933" s="8">
        <v>1</v>
      </c>
      <c r="N4933" s="8" t="s">
        <v>27</v>
      </c>
      <c r="O4933" s="13"/>
      <c r="P4933" s="14">
        <v>0.2</v>
      </c>
      <c r="Q4933" s="15">
        <v>0.4</v>
      </c>
      <c r="R4933" s="16" t="str">
        <f t="shared" si="422"/>
        <v>LUTRON</v>
      </c>
      <c r="S4933" s="17"/>
      <c r="T4933" s="10"/>
    </row>
    <row r="4934" spans="1:20" ht="27" customHeight="1" x14ac:dyDescent="0.25">
      <c r="A4934" s="8" t="s">
        <v>9379</v>
      </c>
      <c r="B4934" s="9"/>
      <c r="C4934" s="9"/>
      <c r="D4934" s="8"/>
      <c r="E4934" s="8"/>
      <c r="F4934" s="8"/>
      <c r="G4934" s="10"/>
      <c r="H4934" s="8" t="s">
        <v>10275</v>
      </c>
      <c r="I4934" s="10" t="s">
        <v>10276</v>
      </c>
      <c r="J4934" s="11" t="s">
        <v>26</v>
      </c>
      <c r="K4934" s="18">
        <v>132</v>
      </c>
      <c r="L4934" s="12">
        <f t="shared" si="423"/>
        <v>206.25</v>
      </c>
      <c r="M4934" s="8">
        <v>1</v>
      </c>
      <c r="N4934" s="8" t="s">
        <v>27</v>
      </c>
      <c r="O4934" s="13"/>
      <c r="P4934" s="14">
        <v>0</v>
      </c>
      <c r="Q4934" s="15">
        <v>0.36</v>
      </c>
      <c r="R4934" s="16" t="str">
        <f t="shared" si="422"/>
        <v>UBIQUITI</v>
      </c>
      <c r="S4934" s="17"/>
      <c r="T4934" s="10"/>
    </row>
    <row r="4935" spans="1:20" ht="27" customHeight="1" x14ac:dyDescent="0.25">
      <c r="A4935" s="8" t="s">
        <v>9379</v>
      </c>
      <c r="B4935" s="9"/>
      <c r="C4935" s="9"/>
      <c r="D4935" s="8"/>
      <c r="E4935" s="8"/>
      <c r="F4935" s="8"/>
      <c r="G4935" s="10"/>
      <c r="H4935" s="8" t="s">
        <v>10277</v>
      </c>
      <c r="I4935" s="10" t="s">
        <v>10278</v>
      </c>
      <c r="J4935" s="11" t="s">
        <v>33</v>
      </c>
      <c r="K4935" s="18">
        <v>58000</v>
      </c>
      <c r="L4935" s="12">
        <f t="shared" si="423"/>
        <v>90625</v>
      </c>
      <c r="M4935" s="8">
        <v>1</v>
      </c>
      <c r="N4935" s="8" t="s">
        <v>27</v>
      </c>
      <c r="O4935" s="13"/>
      <c r="P4935" s="14">
        <v>0</v>
      </c>
      <c r="Q4935" s="15">
        <v>0.36</v>
      </c>
      <c r="R4935" s="16" t="str">
        <f t="shared" si="422"/>
        <v>UBIQUITI</v>
      </c>
      <c r="S4935" s="17"/>
      <c r="T4935" s="10"/>
    </row>
    <row r="4936" spans="1:20" ht="27" customHeight="1" x14ac:dyDescent="0.25">
      <c r="A4936" s="8" t="s">
        <v>9379</v>
      </c>
      <c r="B4936" s="9"/>
      <c r="C4936" s="9"/>
      <c r="D4936" s="8"/>
      <c r="E4936" s="8"/>
      <c r="F4936" s="8"/>
      <c r="G4936" s="10"/>
      <c r="H4936" s="8" t="s">
        <v>10279</v>
      </c>
      <c r="I4936" s="10" t="s">
        <v>10280</v>
      </c>
      <c r="J4936" s="11" t="s">
        <v>33</v>
      </c>
      <c r="K4936" s="18">
        <v>1570000</v>
      </c>
      <c r="L4936" s="12">
        <f t="shared" si="423"/>
        <v>2453125</v>
      </c>
      <c r="M4936" s="8">
        <v>1</v>
      </c>
      <c r="N4936" s="8" t="s">
        <v>27</v>
      </c>
      <c r="O4936" s="13"/>
      <c r="P4936" s="14">
        <v>0</v>
      </c>
      <c r="Q4936" s="15">
        <v>0.36</v>
      </c>
      <c r="R4936" s="16" t="str">
        <f t="shared" si="422"/>
        <v>UBIQUITI</v>
      </c>
      <c r="S4936" s="17"/>
      <c r="T4936" s="10"/>
    </row>
    <row r="4937" spans="1:20" ht="27" customHeight="1" x14ac:dyDescent="0.25">
      <c r="A4937" s="8" t="s">
        <v>7931</v>
      </c>
      <c r="B4937" s="9"/>
      <c r="C4937" s="9"/>
      <c r="D4937" s="8"/>
      <c r="E4937" s="8"/>
      <c r="F4937" s="8"/>
      <c r="G4937" s="10"/>
      <c r="H4937" s="8" t="s">
        <v>10281</v>
      </c>
      <c r="I4937" s="10" t="s">
        <v>10282</v>
      </c>
      <c r="J4937" s="11" t="s">
        <v>33</v>
      </c>
      <c r="K4937" s="18">
        <v>77600</v>
      </c>
      <c r="L4937" s="12">
        <f t="shared" si="423"/>
        <v>110857.14285714287</v>
      </c>
      <c r="M4937" s="8">
        <v>1</v>
      </c>
      <c r="N4937" s="8" t="s">
        <v>27</v>
      </c>
      <c r="O4937" s="13"/>
      <c r="P4937" s="14">
        <v>0</v>
      </c>
      <c r="Q4937" s="15">
        <v>0.3</v>
      </c>
      <c r="R4937" s="16" t="str">
        <f t="shared" si="422"/>
        <v>SYLVANIA</v>
      </c>
      <c r="S4937" s="17"/>
      <c r="T4937" s="10"/>
    </row>
    <row r="4938" spans="1:20" ht="27" customHeight="1" x14ac:dyDescent="0.25">
      <c r="A4938" s="8" t="s">
        <v>7931</v>
      </c>
      <c r="B4938" s="9"/>
      <c r="C4938" s="9"/>
      <c r="D4938" s="8"/>
      <c r="E4938" s="8"/>
      <c r="F4938" s="8"/>
      <c r="G4938" s="10"/>
      <c r="H4938" s="8" t="s">
        <v>8790</v>
      </c>
      <c r="I4938" s="10" t="s">
        <v>10283</v>
      </c>
      <c r="J4938" s="11" t="s">
        <v>33</v>
      </c>
      <c r="K4938" s="18">
        <v>98900</v>
      </c>
      <c r="L4938" s="12">
        <f t="shared" si="423"/>
        <v>141285.71428571429</v>
      </c>
      <c r="M4938" s="8">
        <v>1</v>
      </c>
      <c r="N4938" s="8" t="s">
        <v>27</v>
      </c>
      <c r="O4938" s="13"/>
      <c r="P4938" s="14">
        <v>0</v>
      </c>
      <c r="Q4938" s="15">
        <v>0.3</v>
      </c>
      <c r="R4938" s="16" t="str">
        <f t="shared" si="422"/>
        <v>SYLVANIA</v>
      </c>
      <c r="S4938" s="17"/>
      <c r="T4938" s="10"/>
    </row>
    <row r="4939" spans="1:20" ht="27" customHeight="1" x14ac:dyDescent="0.25">
      <c r="A4939" s="8" t="s">
        <v>7931</v>
      </c>
      <c r="B4939" s="9"/>
      <c r="C4939" s="9"/>
      <c r="D4939" s="8"/>
      <c r="E4939" s="8"/>
      <c r="F4939" s="8"/>
      <c r="G4939" s="10"/>
      <c r="H4939" s="8" t="s">
        <v>10284</v>
      </c>
      <c r="I4939" s="10" t="s">
        <v>10285</v>
      </c>
      <c r="J4939" s="11" t="s">
        <v>33</v>
      </c>
      <c r="K4939" s="18">
        <v>22500</v>
      </c>
      <c r="L4939" s="12">
        <f t="shared" si="423"/>
        <v>32142.857142857145</v>
      </c>
      <c r="M4939" s="8">
        <v>1</v>
      </c>
      <c r="N4939" s="8" t="s">
        <v>27</v>
      </c>
      <c r="O4939" s="13"/>
      <c r="P4939" s="14">
        <v>0</v>
      </c>
      <c r="Q4939" s="15">
        <v>0.3</v>
      </c>
      <c r="R4939" s="16" t="str">
        <f t="shared" si="422"/>
        <v>SYLVANIA</v>
      </c>
      <c r="S4939" s="17"/>
      <c r="T4939" s="10"/>
    </row>
    <row r="4940" spans="1:20" ht="27" customHeight="1" x14ac:dyDescent="0.25">
      <c r="A4940" s="8" t="s">
        <v>2512</v>
      </c>
      <c r="B4940" s="9"/>
      <c r="C4940" s="9"/>
      <c r="D4940" s="8"/>
      <c r="E4940" s="8"/>
      <c r="F4940" s="8" t="s">
        <v>22</v>
      </c>
      <c r="G4940" s="10" t="s">
        <v>2956</v>
      </c>
      <c r="H4940" s="8" t="s">
        <v>10286</v>
      </c>
      <c r="I4940" s="10" t="s">
        <v>10287</v>
      </c>
      <c r="J4940" s="11" t="s">
        <v>33</v>
      </c>
      <c r="K4940" s="18">
        <v>16000</v>
      </c>
      <c r="L4940" s="12">
        <f t="shared" ref="L4940:L4974" si="424">IF(J4940="P",ROUNDUP(K4940/(1-Q4940),-2),K4940*(1+P4940)/(1-Q4940))</f>
        <v>22900</v>
      </c>
      <c r="M4940" s="8">
        <v>1</v>
      </c>
      <c r="N4940" s="8" t="s">
        <v>27</v>
      </c>
      <c r="O4940" s="13"/>
      <c r="P4940" s="14">
        <v>0</v>
      </c>
      <c r="Q4940" s="15">
        <v>0.3</v>
      </c>
      <c r="R4940" s="16" t="str">
        <f t="shared" si="422"/>
        <v>GENERAL</v>
      </c>
      <c r="S4940" s="17"/>
      <c r="T4940" s="10" t="str">
        <f>G4940</f>
        <v>MARCO PARA PANEL LED DE 30X120</v>
      </c>
    </row>
    <row r="4941" spans="1:20" ht="27" customHeight="1" x14ac:dyDescent="0.25">
      <c r="A4941" s="8" t="s">
        <v>3432</v>
      </c>
      <c r="B4941" s="9"/>
      <c r="C4941" s="9"/>
      <c r="D4941" s="8"/>
      <c r="E4941" s="8"/>
      <c r="F4941" s="8"/>
      <c r="G4941" s="10"/>
      <c r="H4941" s="8" t="s">
        <v>10288</v>
      </c>
      <c r="I4941" s="10" t="s">
        <v>10289</v>
      </c>
      <c r="J4941" s="11" t="s">
        <v>33</v>
      </c>
      <c r="K4941" s="18">
        <v>25000</v>
      </c>
      <c r="L4941" s="12">
        <f t="shared" si="424"/>
        <v>41700</v>
      </c>
      <c r="M4941" s="8">
        <v>1</v>
      </c>
      <c r="N4941" s="8" t="s">
        <v>27</v>
      </c>
      <c r="O4941" s="13"/>
      <c r="P4941" s="14">
        <v>0</v>
      </c>
      <c r="Q4941" s="15">
        <v>0.4</v>
      </c>
      <c r="R4941" s="16" t="str">
        <f t="shared" si="422"/>
        <v>GTRADE</v>
      </c>
      <c r="S4941" s="17"/>
      <c r="T4941" s="10"/>
    </row>
    <row r="4942" spans="1:20" ht="27" customHeight="1" x14ac:dyDescent="0.25">
      <c r="A4942" s="8" t="s">
        <v>2512</v>
      </c>
      <c r="B4942" s="9"/>
      <c r="C4942" s="9"/>
      <c r="D4942" s="8"/>
      <c r="E4942" s="8"/>
      <c r="F4942" s="8"/>
      <c r="G4942" s="10"/>
      <c r="H4942" s="8" t="s">
        <v>10290</v>
      </c>
      <c r="I4942" s="10" t="s">
        <v>10291</v>
      </c>
      <c r="J4942" s="11" t="s">
        <v>33</v>
      </c>
      <c r="K4942" s="18">
        <v>2145000</v>
      </c>
      <c r="L4942" s="12">
        <f t="shared" si="424"/>
        <v>2681300</v>
      </c>
      <c r="M4942" s="8">
        <v>1</v>
      </c>
      <c r="N4942" s="8" t="s">
        <v>27</v>
      </c>
      <c r="O4942" s="13"/>
      <c r="P4942" s="14">
        <v>0</v>
      </c>
      <c r="Q4942" s="15">
        <v>0.2</v>
      </c>
      <c r="R4942" s="16" t="str">
        <f t="shared" si="422"/>
        <v>GENERAL</v>
      </c>
      <c r="S4942" s="17"/>
      <c r="T4942" s="10"/>
    </row>
    <row r="4943" spans="1:20" ht="27" customHeight="1" x14ac:dyDescent="0.25">
      <c r="A4943" s="8" t="s">
        <v>2512</v>
      </c>
      <c r="B4943" s="9"/>
      <c r="C4943" s="9"/>
      <c r="D4943" s="8"/>
      <c r="E4943" s="8"/>
      <c r="F4943" s="8"/>
      <c r="G4943" s="10"/>
      <c r="H4943" s="8" t="s">
        <v>10292</v>
      </c>
      <c r="I4943" s="10" t="s">
        <v>10293</v>
      </c>
      <c r="J4943" s="11" t="s">
        <v>33</v>
      </c>
      <c r="K4943" s="18">
        <v>49500.000000000007</v>
      </c>
      <c r="L4943" s="12">
        <f t="shared" si="424"/>
        <v>61900</v>
      </c>
      <c r="M4943" s="8">
        <v>1</v>
      </c>
      <c r="N4943" s="8" t="s">
        <v>27</v>
      </c>
      <c r="O4943" s="13"/>
      <c r="P4943" s="14">
        <v>0</v>
      </c>
      <c r="Q4943" s="15">
        <v>0.2</v>
      </c>
      <c r="R4943" s="16" t="str">
        <f t="shared" si="422"/>
        <v>GENERAL</v>
      </c>
      <c r="S4943" s="17"/>
      <c r="T4943" s="10"/>
    </row>
    <row r="4944" spans="1:20" ht="27" customHeight="1" x14ac:dyDescent="0.25">
      <c r="A4944" s="8" t="s">
        <v>2512</v>
      </c>
      <c r="B4944" s="9"/>
      <c r="C4944" s="9"/>
      <c r="D4944" s="8"/>
      <c r="E4944" s="8"/>
      <c r="F4944" s="8"/>
      <c r="G4944" s="10"/>
      <c r="H4944" s="8" t="s">
        <v>10294</v>
      </c>
      <c r="I4944" s="10" t="s">
        <v>10295</v>
      </c>
      <c r="J4944" s="11" t="s">
        <v>33</v>
      </c>
      <c r="K4944" s="18">
        <v>6270000.0000000009</v>
      </c>
      <c r="L4944" s="12">
        <f t="shared" si="424"/>
        <v>7837500</v>
      </c>
      <c r="M4944" s="8">
        <v>1</v>
      </c>
      <c r="N4944" s="8" t="s">
        <v>27</v>
      </c>
      <c r="O4944" s="13"/>
      <c r="P4944" s="14">
        <v>0</v>
      </c>
      <c r="Q4944" s="15">
        <v>0.2</v>
      </c>
      <c r="R4944" s="16" t="str">
        <f t="shared" si="422"/>
        <v>GENERAL</v>
      </c>
      <c r="S4944" s="17"/>
      <c r="T4944" s="10"/>
    </row>
    <row r="4945" spans="1:20" ht="27" customHeight="1" x14ac:dyDescent="0.25">
      <c r="A4945" s="8" t="s">
        <v>2512</v>
      </c>
      <c r="B4945" s="9"/>
      <c r="C4945" s="9"/>
      <c r="D4945" s="8"/>
      <c r="E4945" s="8"/>
      <c r="F4945" s="8"/>
      <c r="G4945" s="10"/>
      <c r="H4945" s="8" t="s">
        <v>10296</v>
      </c>
      <c r="I4945" s="10" t="s">
        <v>10297</v>
      </c>
      <c r="J4945" s="11" t="s">
        <v>33</v>
      </c>
      <c r="K4945" s="18">
        <v>10450000</v>
      </c>
      <c r="L4945" s="12">
        <f t="shared" si="424"/>
        <v>13062500</v>
      </c>
      <c r="M4945" s="8">
        <v>1</v>
      </c>
      <c r="N4945" s="8" t="s">
        <v>27</v>
      </c>
      <c r="O4945" s="13"/>
      <c r="P4945" s="14">
        <v>0</v>
      </c>
      <c r="Q4945" s="15">
        <v>0.2</v>
      </c>
      <c r="R4945" s="16" t="str">
        <f t="shared" si="422"/>
        <v>GENERAL</v>
      </c>
      <c r="S4945" s="17"/>
      <c r="T4945" s="10"/>
    </row>
    <row r="4946" spans="1:20" ht="27" customHeight="1" x14ac:dyDescent="0.25">
      <c r="A4946" s="8" t="s">
        <v>2512</v>
      </c>
      <c r="B4946" s="9"/>
      <c r="C4946" s="9"/>
      <c r="D4946" s="8"/>
      <c r="E4946" s="8"/>
      <c r="F4946" s="8"/>
      <c r="G4946" s="10"/>
      <c r="H4946" s="8" t="s">
        <v>10298</v>
      </c>
      <c r="I4946" s="10" t="s">
        <v>10299</v>
      </c>
      <c r="J4946" s="11" t="s">
        <v>33</v>
      </c>
      <c r="K4946" s="18">
        <v>104500</v>
      </c>
      <c r="L4946" s="12">
        <f t="shared" si="424"/>
        <v>130700</v>
      </c>
      <c r="M4946" s="8">
        <v>1</v>
      </c>
      <c r="N4946" s="8" t="s">
        <v>27</v>
      </c>
      <c r="O4946" s="13"/>
      <c r="P4946" s="14">
        <v>0</v>
      </c>
      <c r="Q4946" s="15">
        <v>0.2</v>
      </c>
      <c r="R4946" s="16" t="str">
        <f t="shared" si="422"/>
        <v>GENERAL</v>
      </c>
      <c r="S4946" s="17"/>
      <c r="T4946" s="10"/>
    </row>
    <row r="4947" spans="1:20" ht="27" customHeight="1" x14ac:dyDescent="0.25">
      <c r="A4947" s="8" t="s">
        <v>2512</v>
      </c>
      <c r="B4947" s="9"/>
      <c r="C4947" s="9"/>
      <c r="D4947" s="8"/>
      <c r="E4947" s="8"/>
      <c r="F4947" s="8"/>
      <c r="G4947" s="10"/>
      <c r="H4947" s="8" t="s">
        <v>10300</v>
      </c>
      <c r="I4947" s="10" t="s">
        <v>10301</v>
      </c>
      <c r="J4947" s="11" t="s">
        <v>33</v>
      </c>
      <c r="K4947" s="18">
        <v>605000</v>
      </c>
      <c r="L4947" s="12">
        <f t="shared" si="424"/>
        <v>756300</v>
      </c>
      <c r="M4947" s="8">
        <v>1</v>
      </c>
      <c r="N4947" s="8" t="s">
        <v>27</v>
      </c>
      <c r="O4947" s="13"/>
      <c r="P4947" s="14">
        <v>0</v>
      </c>
      <c r="Q4947" s="15">
        <v>0.2</v>
      </c>
      <c r="R4947" s="16" t="str">
        <f t="shared" si="422"/>
        <v>GENERAL</v>
      </c>
      <c r="S4947" s="17"/>
      <c r="T4947" s="10"/>
    </row>
    <row r="4948" spans="1:20" ht="27" customHeight="1" x14ac:dyDescent="0.25">
      <c r="A4948" s="8" t="s">
        <v>2512</v>
      </c>
      <c r="B4948" s="9"/>
      <c r="C4948" s="9"/>
      <c r="D4948" s="8"/>
      <c r="E4948" s="8"/>
      <c r="F4948" s="8"/>
      <c r="G4948" s="10"/>
      <c r="H4948" s="8" t="s">
        <v>10302</v>
      </c>
      <c r="I4948" s="10" t="s">
        <v>10303</v>
      </c>
      <c r="J4948" s="11" t="s">
        <v>33</v>
      </c>
      <c r="K4948" s="18">
        <v>2873750</v>
      </c>
      <c r="L4948" s="12">
        <f t="shared" si="424"/>
        <v>3592200</v>
      </c>
      <c r="M4948" s="8">
        <v>1</v>
      </c>
      <c r="N4948" s="8" t="s">
        <v>27</v>
      </c>
      <c r="O4948" s="13"/>
      <c r="P4948" s="14">
        <v>0</v>
      </c>
      <c r="Q4948" s="15">
        <v>0.2</v>
      </c>
      <c r="R4948" s="16" t="str">
        <f t="shared" si="422"/>
        <v>GENERAL</v>
      </c>
      <c r="S4948" s="17"/>
      <c r="T4948" s="10"/>
    </row>
    <row r="4949" spans="1:20" ht="27" customHeight="1" x14ac:dyDescent="0.25">
      <c r="A4949" s="8" t="s">
        <v>2512</v>
      </c>
      <c r="B4949" s="9"/>
      <c r="C4949" s="9"/>
      <c r="D4949" s="8"/>
      <c r="E4949" s="8"/>
      <c r="F4949" s="8"/>
      <c r="G4949" s="10"/>
      <c r="H4949" s="8" t="s">
        <v>10304</v>
      </c>
      <c r="I4949" s="10" t="s">
        <v>10305</v>
      </c>
      <c r="J4949" s="11" t="s">
        <v>33</v>
      </c>
      <c r="K4949" s="18">
        <v>287375</v>
      </c>
      <c r="L4949" s="12">
        <f t="shared" si="424"/>
        <v>359300</v>
      </c>
      <c r="M4949" s="8">
        <v>1</v>
      </c>
      <c r="N4949" s="8" t="s">
        <v>27</v>
      </c>
      <c r="O4949" s="13"/>
      <c r="P4949" s="14">
        <v>0</v>
      </c>
      <c r="Q4949" s="15">
        <v>0.2</v>
      </c>
      <c r="R4949" s="16" t="str">
        <f t="shared" si="422"/>
        <v>GENERAL</v>
      </c>
      <c r="S4949" s="17"/>
      <c r="T4949" s="10"/>
    </row>
    <row r="4950" spans="1:20" ht="27" customHeight="1" x14ac:dyDescent="0.25">
      <c r="A4950" s="8" t="s">
        <v>2512</v>
      </c>
      <c r="B4950" s="9"/>
      <c r="C4950" s="9"/>
      <c r="D4950" s="8"/>
      <c r="E4950" s="8"/>
      <c r="F4950" s="8"/>
      <c r="G4950" s="10"/>
      <c r="H4950" s="8" t="s">
        <v>10306</v>
      </c>
      <c r="I4950" s="10" t="s">
        <v>10307</v>
      </c>
      <c r="J4950" s="11" t="s">
        <v>33</v>
      </c>
      <c r="K4950" s="18">
        <v>825000.00000000012</v>
      </c>
      <c r="L4950" s="12">
        <f t="shared" si="424"/>
        <v>1031300</v>
      </c>
      <c r="M4950" s="8">
        <v>1</v>
      </c>
      <c r="N4950" s="8" t="s">
        <v>27</v>
      </c>
      <c r="O4950" s="13"/>
      <c r="P4950" s="14">
        <v>0</v>
      </c>
      <c r="Q4950" s="15">
        <v>0.2</v>
      </c>
      <c r="R4950" s="16" t="str">
        <f t="shared" si="422"/>
        <v>GENERAL</v>
      </c>
      <c r="S4950" s="17"/>
      <c r="T4950" s="10"/>
    </row>
    <row r="4951" spans="1:20" ht="27" customHeight="1" x14ac:dyDescent="0.25">
      <c r="A4951" s="8" t="s">
        <v>10308</v>
      </c>
      <c r="B4951" s="9"/>
      <c r="C4951" s="9"/>
      <c r="D4951" s="8"/>
      <c r="E4951" s="8"/>
      <c r="F4951" s="8"/>
      <c r="G4951" s="10"/>
      <c r="H4951" s="8" t="s">
        <v>10309</v>
      </c>
      <c r="I4951" s="10" t="s">
        <v>10310</v>
      </c>
      <c r="J4951" s="11" t="s">
        <v>33</v>
      </c>
      <c r="K4951" s="18">
        <v>183200</v>
      </c>
      <c r="L4951" s="12">
        <f t="shared" si="424"/>
        <v>261800</v>
      </c>
      <c r="M4951" s="8">
        <v>1</v>
      </c>
      <c r="N4951" s="8" t="s">
        <v>27</v>
      </c>
      <c r="O4951" s="13"/>
      <c r="P4951" s="14">
        <v>0</v>
      </c>
      <c r="Q4951" s="15">
        <v>0.3</v>
      </c>
      <c r="R4951" s="16" t="str">
        <f t="shared" si="422"/>
        <v>ROKU</v>
      </c>
      <c r="S4951" s="17"/>
      <c r="T4951" s="10"/>
    </row>
    <row r="4952" spans="1:20" ht="27" customHeight="1" x14ac:dyDescent="0.25">
      <c r="A4952" s="8" t="s">
        <v>9379</v>
      </c>
      <c r="B4952" s="9"/>
      <c r="C4952" s="9"/>
      <c r="D4952" s="8"/>
      <c r="E4952" s="8"/>
      <c r="F4952" s="8"/>
      <c r="G4952" s="10"/>
      <c r="H4952" s="8" t="s">
        <v>10311</v>
      </c>
      <c r="I4952" s="10" t="s">
        <v>10312</v>
      </c>
      <c r="J4952" s="11" t="s">
        <v>33</v>
      </c>
      <c r="K4952" s="18">
        <v>1387000</v>
      </c>
      <c r="L4952" s="12">
        <f t="shared" si="424"/>
        <v>2311700</v>
      </c>
      <c r="M4952" s="8">
        <v>1</v>
      </c>
      <c r="N4952" s="8" t="s">
        <v>27</v>
      </c>
      <c r="O4952" s="13"/>
      <c r="P4952" s="14">
        <v>0</v>
      </c>
      <c r="Q4952" s="15">
        <v>0.4</v>
      </c>
      <c r="R4952" s="16" t="str">
        <f t="shared" si="422"/>
        <v>UBIQUITI</v>
      </c>
      <c r="S4952" s="17"/>
      <c r="T4952" s="10"/>
    </row>
    <row r="4953" spans="1:20" ht="27" customHeight="1" x14ac:dyDescent="0.25">
      <c r="A4953" s="8" t="s">
        <v>9912</v>
      </c>
      <c r="B4953" s="9"/>
      <c r="C4953" s="9"/>
      <c r="D4953" s="8"/>
      <c r="E4953" s="8"/>
      <c r="F4953" s="8"/>
      <c r="G4953" s="10"/>
      <c r="H4953" s="8" t="s">
        <v>9985</v>
      </c>
      <c r="I4953" s="10" t="s">
        <v>10313</v>
      </c>
      <c r="J4953" s="11" t="s">
        <v>33</v>
      </c>
      <c r="K4953" s="18">
        <v>588000</v>
      </c>
      <c r="L4953" s="12">
        <f t="shared" si="424"/>
        <v>1176000</v>
      </c>
      <c r="M4953" s="8">
        <v>1</v>
      </c>
      <c r="N4953" s="8" t="s">
        <v>27</v>
      </c>
      <c r="O4953" s="13"/>
      <c r="P4953" s="14">
        <v>0</v>
      </c>
      <c r="Q4953" s="15">
        <v>0.5</v>
      </c>
      <c r="R4953" s="16" t="str">
        <f t="shared" si="422"/>
        <v>SIETEPRO</v>
      </c>
      <c r="S4953" s="17"/>
      <c r="T4953" s="10"/>
    </row>
    <row r="4954" spans="1:20" ht="27" customHeight="1" x14ac:dyDescent="0.25">
      <c r="A4954" s="8" t="s">
        <v>9592</v>
      </c>
      <c r="B4954" s="9"/>
      <c r="C4954" s="9"/>
      <c r="D4954" s="8"/>
      <c r="E4954" s="8"/>
      <c r="F4954" s="8"/>
      <c r="G4954" s="10"/>
      <c r="H4954" s="8" t="s">
        <v>10314</v>
      </c>
      <c r="I4954" s="10" t="s">
        <v>10315</v>
      </c>
      <c r="J4954" s="11" t="s">
        <v>33</v>
      </c>
      <c r="K4954" s="18">
        <v>1071800</v>
      </c>
      <c r="L4954" s="12">
        <f t="shared" si="424"/>
        <v>1531200</v>
      </c>
      <c r="M4954" s="8">
        <v>1</v>
      </c>
      <c r="N4954" s="8" t="s">
        <v>27</v>
      </c>
      <c r="O4954" s="13"/>
      <c r="P4954" s="14">
        <v>0</v>
      </c>
      <c r="Q4954" s="15">
        <v>0.3</v>
      </c>
      <c r="R4954" s="16" t="str">
        <f t="shared" si="422"/>
        <v>YALE</v>
      </c>
      <c r="S4954" s="17"/>
      <c r="T4954" s="10"/>
    </row>
    <row r="4955" spans="1:20" ht="27" customHeight="1" x14ac:dyDescent="0.25">
      <c r="A4955" s="8" t="s">
        <v>5422</v>
      </c>
      <c r="B4955" s="9"/>
      <c r="C4955" s="9"/>
      <c r="D4955" s="8"/>
      <c r="E4955" s="8"/>
      <c r="F4955" s="8"/>
      <c r="G4955" s="10"/>
      <c r="H4955" s="8" t="s">
        <v>10316</v>
      </c>
      <c r="I4955" s="10" t="s">
        <v>10317</v>
      </c>
      <c r="J4955" s="11" t="s">
        <v>33</v>
      </c>
      <c r="K4955" s="18">
        <v>255000</v>
      </c>
      <c r="L4955" s="12">
        <f t="shared" si="424"/>
        <v>364300</v>
      </c>
      <c r="M4955" s="8">
        <v>1</v>
      </c>
      <c r="N4955" s="8" t="s">
        <v>27</v>
      </c>
      <c r="O4955" s="13"/>
      <c r="P4955" s="14">
        <v>0</v>
      </c>
      <c r="Q4955" s="15">
        <v>0.3</v>
      </c>
      <c r="R4955" s="16" t="str">
        <f t="shared" si="422"/>
        <v>LOGITECH</v>
      </c>
      <c r="S4955" s="17"/>
      <c r="T4955" s="10"/>
    </row>
    <row r="4956" spans="1:20" ht="27" customHeight="1" x14ac:dyDescent="0.25">
      <c r="A4956" s="8" t="s">
        <v>10318</v>
      </c>
      <c r="B4956" s="9"/>
      <c r="C4956" s="9"/>
      <c r="D4956" s="8"/>
      <c r="E4956" s="8"/>
      <c r="F4956" s="8"/>
      <c r="G4956" s="10"/>
      <c r="H4956" s="8" t="s">
        <v>10319</v>
      </c>
      <c r="I4956" s="10" t="s">
        <v>10320</v>
      </c>
      <c r="J4956" s="11" t="s">
        <v>10321</v>
      </c>
      <c r="K4956" s="18">
        <v>743.6</v>
      </c>
      <c r="L4956" s="12">
        <f t="shared" si="424"/>
        <v>1488.0000401757629</v>
      </c>
      <c r="M4956" s="8">
        <v>1</v>
      </c>
      <c r="N4956" s="8" t="s">
        <v>27</v>
      </c>
      <c r="O4956" s="13"/>
      <c r="P4956" s="14">
        <v>0.35</v>
      </c>
      <c r="Q4956" s="15">
        <v>0.3253629214408999</v>
      </c>
      <c r="R4956" s="16" t="str">
        <f t="shared" si="422"/>
        <v>OLEV</v>
      </c>
      <c r="S4956" s="17"/>
      <c r="T4956" s="10"/>
    </row>
    <row r="4957" spans="1:20" ht="27" customHeight="1" x14ac:dyDescent="0.25">
      <c r="A4957" s="8" t="s">
        <v>10318</v>
      </c>
      <c r="B4957" s="9"/>
      <c r="C4957" s="9"/>
      <c r="D4957" s="8"/>
      <c r="E4957" s="8"/>
      <c r="F4957" s="8"/>
      <c r="G4957" s="10"/>
      <c r="H4957" s="8" t="s">
        <v>10322</v>
      </c>
      <c r="I4957" s="10" t="s">
        <v>10323</v>
      </c>
      <c r="J4957" s="11" t="s">
        <v>10321</v>
      </c>
      <c r="K4957" s="18">
        <v>18.48</v>
      </c>
      <c r="L4957" s="12">
        <f t="shared" si="424"/>
        <v>36.979882655255643</v>
      </c>
      <c r="M4957" s="8">
        <v>1</v>
      </c>
      <c r="N4957" s="8" t="s">
        <v>27</v>
      </c>
      <c r="O4957" s="13"/>
      <c r="P4957" s="14">
        <v>0.35</v>
      </c>
      <c r="Q4957" s="15">
        <v>0.3253629214408999</v>
      </c>
      <c r="R4957" s="16" t="str">
        <f t="shared" si="422"/>
        <v>OLEV</v>
      </c>
      <c r="S4957" s="17"/>
      <c r="T4957" s="10"/>
    </row>
    <row r="4958" spans="1:20" ht="27" customHeight="1" x14ac:dyDescent="0.25">
      <c r="A4958" s="8" t="s">
        <v>10318</v>
      </c>
      <c r="B4958" s="9"/>
      <c r="C4958" s="9"/>
      <c r="D4958" s="8"/>
      <c r="E4958" s="8"/>
      <c r="F4958" s="8"/>
      <c r="G4958" s="10"/>
      <c r="H4958" s="8" t="s">
        <v>10324</v>
      </c>
      <c r="I4958" s="10" t="s">
        <v>10325</v>
      </c>
      <c r="J4958" s="11" t="s">
        <v>10321</v>
      </c>
      <c r="K4958" s="18">
        <v>6.6</v>
      </c>
      <c r="L4958" s="12">
        <f t="shared" si="424"/>
        <v>13.207100948305586</v>
      </c>
      <c r="M4958" s="8">
        <v>1</v>
      </c>
      <c r="N4958" s="8" t="s">
        <v>27</v>
      </c>
      <c r="O4958" s="13"/>
      <c r="P4958" s="14">
        <v>0.35</v>
      </c>
      <c r="Q4958" s="15">
        <v>0.3253629214408999</v>
      </c>
      <c r="R4958" s="16" t="str">
        <f t="shared" si="422"/>
        <v>OLEV</v>
      </c>
      <c r="S4958" s="17"/>
      <c r="T4958" s="10"/>
    </row>
    <row r="4959" spans="1:20" ht="27" customHeight="1" x14ac:dyDescent="0.25">
      <c r="A4959" s="8" t="s">
        <v>2413</v>
      </c>
      <c r="B4959" s="9"/>
      <c r="C4959" s="9"/>
      <c r="D4959" s="8"/>
      <c r="E4959" s="8"/>
      <c r="F4959" s="8"/>
      <c r="G4959" s="10"/>
      <c r="H4959" s="8" t="s">
        <v>10326</v>
      </c>
      <c r="I4959" s="10" t="s">
        <v>10327</v>
      </c>
      <c r="J4959" s="11" t="s">
        <v>10321</v>
      </c>
      <c r="K4959" s="18">
        <f>61.2*0.5</f>
        <v>30.6</v>
      </c>
      <c r="L4959" s="12">
        <f t="shared" si="424"/>
        <v>61.200065589572816</v>
      </c>
      <c r="M4959" s="8">
        <v>1</v>
      </c>
      <c r="N4959" s="8" t="s">
        <v>27</v>
      </c>
      <c r="O4959" s="13"/>
      <c r="P4959" s="14">
        <v>0.35</v>
      </c>
      <c r="Q4959" s="15">
        <v>0.32500072341363068</v>
      </c>
      <c r="R4959" s="16" t="str">
        <f t="shared" si="422"/>
        <v>FLOS</v>
      </c>
      <c r="S4959" s="17"/>
      <c r="T4959" s="10">
        <v>61.2</v>
      </c>
    </row>
    <row r="4960" spans="1:20" ht="27" customHeight="1" x14ac:dyDescent="0.25">
      <c r="A4960" s="8" t="s">
        <v>2413</v>
      </c>
      <c r="B4960" s="9"/>
      <c r="C4960" s="9"/>
      <c r="D4960" s="8"/>
      <c r="E4960" s="8"/>
      <c r="F4960" s="8"/>
      <c r="G4960" s="10"/>
      <c r="H4960" s="8" t="s">
        <v>10328</v>
      </c>
      <c r="I4960" s="10" t="s">
        <v>10329</v>
      </c>
      <c r="J4960" s="11" t="s">
        <v>10321</v>
      </c>
      <c r="K4960" s="18">
        <f>80.6*0.5</f>
        <v>40.299999999999997</v>
      </c>
      <c r="L4960" s="12">
        <f t="shared" si="424"/>
        <v>80.600086381038707</v>
      </c>
      <c r="M4960" s="8">
        <v>1</v>
      </c>
      <c r="N4960" s="8" t="s">
        <v>27</v>
      </c>
      <c r="O4960" s="13"/>
      <c r="P4960" s="14">
        <v>0.35</v>
      </c>
      <c r="Q4960" s="15">
        <v>0.32500072341363068</v>
      </c>
      <c r="R4960" s="16" t="str">
        <f t="shared" si="422"/>
        <v>FLOS</v>
      </c>
      <c r="S4960" s="17"/>
      <c r="T4960" s="10">
        <v>80.599999999999994</v>
      </c>
    </row>
    <row r="4961" spans="1:20" ht="27" customHeight="1" x14ac:dyDescent="0.25">
      <c r="A4961" s="8" t="s">
        <v>2413</v>
      </c>
      <c r="B4961" s="9"/>
      <c r="C4961" s="9"/>
      <c r="D4961" s="8"/>
      <c r="E4961" s="8"/>
      <c r="F4961" s="8"/>
      <c r="G4961" s="10"/>
      <c r="H4961" s="8" t="s">
        <v>10330</v>
      </c>
      <c r="I4961" s="10" t="s">
        <v>10331</v>
      </c>
      <c r="J4961" s="11" t="s">
        <v>10321</v>
      </c>
      <c r="K4961" s="18">
        <f>149*0.5</f>
        <v>74.5</v>
      </c>
      <c r="L4961" s="12">
        <f t="shared" si="424"/>
        <v>149.00015968703187</v>
      </c>
      <c r="M4961" s="8">
        <v>1</v>
      </c>
      <c r="N4961" s="8" t="s">
        <v>27</v>
      </c>
      <c r="O4961" s="13"/>
      <c r="P4961" s="14">
        <v>0.35</v>
      </c>
      <c r="Q4961" s="15">
        <v>0.32500072341363068</v>
      </c>
      <c r="R4961" s="16" t="str">
        <f t="shared" si="422"/>
        <v>FLOS</v>
      </c>
      <c r="S4961" s="17"/>
      <c r="T4961" s="10">
        <v>149</v>
      </c>
    </row>
    <row r="4962" spans="1:20" ht="27" customHeight="1" x14ac:dyDescent="0.25">
      <c r="A4962" s="8" t="s">
        <v>2413</v>
      </c>
      <c r="B4962" s="9"/>
      <c r="C4962" s="9"/>
      <c r="D4962" s="8"/>
      <c r="E4962" s="8"/>
      <c r="F4962" s="8"/>
      <c r="G4962" s="10"/>
      <c r="H4962" s="8" t="s">
        <v>10332</v>
      </c>
      <c r="I4962" s="10" t="s">
        <v>10333</v>
      </c>
      <c r="J4962" s="11" t="s">
        <v>10321</v>
      </c>
      <c r="K4962" s="18">
        <f>143*0.5</f>
        <v>71.5</v>
      </c>
      <c r="L4962" s="12">
        <f t="shared" si="424"/>
        <v>143.00015325668159</v>
      </c>
      <c r="M4962" s="8">
        <v>1</v>
      </c>
      <c r="N4962" s="8" t="s">
        <v>27</v>
      </c>
      <c r="O4962" s="13"/>
      <c r="P4962" s="14">
        <v>0.35</v>
      </c>
      <c r="Q4962" s="15">
        <v>0.32500072341363068</v>
      </c>
      <c r="R4962" s="16" t="str">
        <f t="shared" si="422"/>
        <v>FLOS</v>
      </c>
      <c r="S4962" s="17"/>
      <c r="T4962" s="10">
        <v>143</v>
      </c>
    </row>
    <row r="4963" spans="1:20" ht="27" customHeight="1" x14ac:dyDescent="0.25">
      <c r="A4963" s="8" t="s">
        <v>2413</v>
      </c>
      <c r="B4963" s="9"/>
      <c r="C4963" s="9"/>
      <c r="D4963" s="8"/>
      <c r="E4963" s="8"/>
      <c r="F4963" s="8"/>
      <c r="G4963" s="10"/>
      <c r="H4963" s="8" t="s">
        <v>10334</v>
      </c>
      <c r="I4963" s="10" t="s">
        <v>10335</v>
      </c>
      <c r="J4963" s="11" t="s">
        <v>10321</v>
      </c>
      <c r="K4963" s="18">
        <v>96.9</v>
      </c>
      <c r="L4963" s="12">
        <f t="shared" si="424"/>
        <v>193.80020770031396</v>
      </c>
      <c r="M4963" s="8">
        <v>1</v>
      </c>
      <c r="N4963" s="8" t="s">
        <v>27</v>
      </c>
      <c r="O4963" s="13"/>
      <c r="P4963" s="14">
        <v>0.35</v>
      </c>
      <c r="Q4963" s="15">
        <v>0.32500072341363068</v>
      </c>
      <c r="R4963" s="16" t="str">
        <f t="shared" si="422"/>
        <v>FLOS</v>
      </c>
      <c r="S4963" s="17"/>
      <c r="T4963" s="10">
        <v>96.9</v>
      </c>
    </row>
    <row r="4964" spans="1:20" ht="27" customHeight="1" x14ac:dyDescent="0.25">
      <c r="A4964" s="8" t="s">
        <v>2413</v>
      </c>
      <c r="B4964" s="9"/>
      <c r="C4964" s="9"/>
      <c r="D4964" s="8"/>
      <c r="E4964" s="8"/>
      <c r="F4964" s="8"/>
      <c r="G4964" s="10"/>
      <c r="H4964" s="8" t="s">
        <v>10336</v>
      </c>
      <c r="I4964" s="10" t="s">
        <v>10337</v>
      </c>
      <c r="J4964" s="11" t="s">
        <v>10321</v>
      </c>
      <c r="K4964" s="18">
        <f>110*0.5</f>
        <v>55</v>
      </c>
      <c r="L4964" s="12">
        <f t="shared" si="424"/>
        <v>110.00011788975506</v>
      </c>
      <c r="M4964" s="8">
        <v>1</v>
      </c>
      <c r="N4964" s="8" t="s">
        <v>27</v>
      </c>
      <c r="O4964" s="13"/>
      <c r="P4964" s="14">
        <v>0.35</v>
      </c>
      <c r="Q4964" s="15">
        <v>0.32500072341363068</v>
      </c>
      <c r="R4964" s="16" t="str">
        <f t="shared" si="422"/>
        <v>FLOS</v>
      </c>
      <c r="S4964" s="17"/>
      <c r="T4964" s="10">
        <v>110</v>
      </c>
    </row>
    <row r="4965" spans="1:20" ht="27" customHeight="1" x14ac:dyDescent="0.25">
      <c r="A4965" s="8" t="s">
        <v>2413</v>
      </c>
      <c r="B4965" s="9"/>
      <c r="C4965" s="9"/>
      <c r="D4965" s="8"/>
      <c r="E4965" s="8"/>
      <c r="F4965" s="8"/>
      <c r="G4965" s="10"/>
      <c r="H4965" s="8" t="s">
        <v>10338</v>
      </c>
      <c r="I4965" s="10" t="s">
        <v>10339</v>
      </c>
      <c r="J4965" s="11" t="s">
        <v>10321</v>
      </c>
      <c r="K4965" s="18">
        <f>13.3*0.5</f>
        <v>6.65</v>
      </c>
      <c r="L4965" s="12">
        <f t="shared" si="424"/>
        <v>13.300014253943113</v>
      </c>
      <c r="M4965" s="8">
        <v>1</v>
      </c>
      <c r="N4965" s="8" t="s">
        <v>27</v>
      </c>
      <c r="O4965" s="13"/>
      <c r="P4965" s="14">
        <v>0.35</v>
      </c>
      <c r="Q4965" s="15">
        <v>0.32500072341363068</v>
      </c>
      <c r="R4965" s="16" t="str">
        <f t="shared" si="422"/>
        <v>FLOS</v>
      </c>
      <c r="S4965" s="17"/>
      <c r="T4965" s="10">
        <v>13.3</v>
      </c>
    </row>
    <row r="4966" spans="1:20" ht="27" customHeight="1" x14ac:dyDescent="0.25">
      <c r="A4966" s="8" t="s">
        <v>2413</v>
      </c>
      <c r="B4966" s="9"/>
      <c r="C4966" s="9"/>
      <c r="D4966" s="8"/>
      <c r="E4966" s="8"/>
      <c r="F4966" s="8"/>
      <c r="G4966" s="10"/>
      <c r="H4966" s="8" t="s">
        <v>10340</v>
      </c>
      <c r="I4966" s="10" t="s">
        <v>10341</v>
      </c>
      <c r="J4966" s="11" t="s">
        <v>10321</v>
      </c>
      <c r="K4966" s="18">
        <f>26.5*0.5</f>
        <v>13.25</v>
      </c>
      <c r="L4966" s="12">
        <f t="shared" si="424"/>
        <v>26.500028400713724</v>
      </c>
      <c r="M4966" s="8">
        <v>1</v>
      </c>
      <c r="N4966" s="8" t="s">
        <v>27</v>
      </c>
      <c r="O4966" s="13"/>
      <c r="P4966" s="14">
        <v>0.35</v>
      </c>
      <c r="Q4966" s="15">
        <v>0.32500072341363068</v>
      </c>
      <c r="R4966" s="16" t="str">
        <f t="shared" si="422"/>
        <v>FLOS</v>
      </c>
      <c r="S4966" s="17"/>
      <c r="T4966" s="10">
        <v>26.5</v>
      </c>
    </row>
    <row r="4967" spans="1:20" ht="27" customHeight="1" x14ac:dyDescent="0.25">
      <c r="A4967" s="8" t="s">
        <v>2413</v>
      </c>
      <c r="B4967" s="9"/>
      <c r="C4967" s="9"/>
      <c r="D4967" s="8"/>
      <c r="E4967" s="8"/>
      <c r="F4967" s="8"/>
      <c r="G4967" s="10"/>
      <c r="H4967" s="8" t="s">
        <v>10342</v>
      </c>
      <c r="I4967" s="10" t="s">
        <v>10343</v>
      </c>
      <c r="J4967" s="11" t="s">
        <v>10321</v>
      </c>
      <c r="K4967" s="18">
        <f>36.7*0.5</f>
        <v>18.350000000000001</v>
      </c>
      <c r="L4967" s="12">
        <f t="shared" si="424"/>
        <v>36.700039332309196</v>
      </c>
      <c r="M4967" s="8">
        <v>1</v>
      </c>
      <c r="N4967" s="8" t="s">
        <v>27</v>
      </c>
      <c r="O4967" s="13"/>
      <c r="P4967" s="14">
        <v>0.35</v>
      </c>
      <c r="Q4967" s="15">
        <v>0.32500072341363068</v>
      </c>
      <c r="R4967" s="16" t="str">
        <f t="shared" si="422"/>
        <v>FLOS</v>
      </c>
      <c r="S4967" s="17"/>
      <c r="T4967" s="10">
        <v>36.700000000000003</v>
      </c>
    </row>
    <row r="4968" spans="1:20" ht="27" customHeight="1" x14ac:dyDescent="0.25">
      <c r="A4968" s="8" t="s">
        <v>2413</v>
      </c>
      <c r="B4968" s="9"/>
      <c r="C4968" s="9"/>
      <c r="D4968" s="8"/>
      <c r="E4968" s="8"/>
      <c r="F4968" s="8"/>
      <c r="G4968" s="10"/>
      <c r="H4968" s="8" t="s">
        <v>10344</v>
      </c>
      <c r="I4968" s="10" t="s">
        <v>10339</v>
      </c>
      <c r="J4968" s="11" t="s">
        <v>10321</v>
      </c>
      <c r="K4968" s="18">
        <f>16.2*0.5</f>
        <v>8.1</v>
      </c>
      <c r="L4968" s="12">
        <f t="shared" si="424"/>
        <v>16.200017361945747</v>
      </c>
      <c r="M4968" s="8">
        <v>1</v>
      </c>
      <c r="N4968" s="8" t="s">
        <v>27</v>
      </c>
      <c r="O4968" s="13"/>
      <c r="P4968" s="14">
        <v>0.35</v>
      </c>
      <c r="Q4968" s="15">
        <v>0.32500072341363068</v>
      </c>
      <c r="R4968" s="16" t="str">
        <f t="shared" si="422"/>
        <v>FLOS</v>
      </c>
      <c r="S4968" s="17"/>
      <c r="T4968" s="10">
        <v>16.2</v>
      </c>
    </row>
    <row r="4969" spans="1:20" ht="27" customHeight="1" x14ac:dyDescent="0.25">
      <c r="A4969" s="8" t="s">
        <v>2413</v>
      </c>
      <c r="B4969" s="9"/>
      <c r="C4969" s="9"/>
      <c r="D4969" s="8"/>
      <c r="E4969" s="8"/>
      <c r="F4969" s="8"/>
      <c r="G4969" s="10"/>
      <c r="H4969" s="8" t="s">
        <v>10345</v>
      </c>
      <c r="I4969" s="10" t="s">
        <v>10339</v>
      </c>
      <c r="J4969" s="11" t="s">
        <v>10321</v>
      </c>
      <c r="K4969" s="18">
        <f>15.5*0.5</f>
        <v>7.75</v>
      </c>
      <c r="L4969" s="12">
        <f t="shared" si="424"/>
        <v>15.500016611738213</v>
      </c>
      <c r="M4969" s="8">
        <v>1</v>
      </c>
      <c r="N4969" s="8" t="s">
        <v>27</v>
      </c>
      <c r="O4969" s="13"/>
      <c r="P4969" s="14">
        <v>0.35</v>
      </c>
      <c r="Q4969" s="15">
        <v>0.32500072341363068</v>
      </c>
      <c r="R4969" s="16" t="str">
        <f t="shared" si="422"/>
        <v>FLOS</v>
      </c>
      <c r="S4969" s="17"/>
      <c r="T4969" s="10">
        <v>15.5</v>
      </c>
    </row>
    <row r="4970" spans="1:20" ht="27" customHeight="1" x14ac:dyDescent="0.25">
      <c r="A4970" s="8" t="s">
        <v>2413</v>
      </c>
      <c r="B4970" s="9"/>
      <c r="C4970" s="9"/>
      <c r="D4970" s="8"/>
      <c r="E4970" s="8"/>
      <c r="F4970" s="8"/>
      <c r="G4970" s="10"/>
      <c r="H4970" s="8" t="s">
        <v>10346</v>
      </c>
      <c r="I4970" s="10" t="s">
        <v>10347</v>
      </c>
      <c r="J4970" s="11" t="s">
        <v>10321</v>
      </c>
      <c r="K4970" s="18">
        <f>126*0.5</f>
        <v>63</v>
      </c>
      <c r="L4970" s="12">
        <f t="shared" si="424"/>
        <v>126.0001350373558</v>
      </c>
      <c r="M4970" s="8">
        <v>1</v>
      </c>
      <c r="N4970" s="8" t="s">
        <v>27</v>
      </c>
      <c r="O4970" s="13"/>
      <c r="P4970" s="14">
        <v>0.35</v>
      </c>
      <c r="Q4970" s="15">
        <v>0.32500072341363068</v>
      </c>
      <c r="R4970" s="16" t="str">
        <f t="shared" si="422"/>
        <v>FLOS</v>
      </c>
      <c r="S4970" s="17"/>
      <c r="T4970" s="10">
        <v>126</v>
      </c>
    </row>
    <row r="4971" spans="1:20" ht="27" customHeight="1" x14ac:dyDescent="0.25">
      <c r="A4971" s="8" t="s">
        <v>2413</v>
      </c>
      <c r="B4971" s="9"/>
      <c r="C4971" s="9"/>
      <c r="D4971" s="8"/>
      <c r="E4971" s="8"/>
      <c r="F4971" s="8"/>
      <c r="G4971" s="10"/>
      <c r="H4971" s="8" t="s">
        <v>10348</v>
      </c>
      <c r="I4971" s="10" t="s">
        <v>10349</v>
      </c>
      <c r="J4971" s="11" t="s">
        <v>10321</v>
      </c>
      <c r="K4971" s="18">
        <f>126*0.5</f>
        <v>63</v>
      </c>
      <c r="L4971" s="12">
        <f t="shared" si="424"/>
        <v>126.0001350373558</v>
      </c>
      <c r="M4971" s="8">
        <v>1</v>
      </c>
      <c r="N4971" s="8" t="s">
        <v>27</v>
      </c>
      <c r="O4971" s="13"/>
      <c r="P4971" s="14">
        <v>0.35</v>
      </c>
      <c r="Q4971" s="15">
        <v>0.32500072341363068</v>
      </c>
      <c r="R4971" s="16" t="str">
        <f t="shared" si="422"/>
        <v>FLOS</v>
      </c>
      <c r="S4971" s="17"/>
      <c r="T4971" s="10">
        <v>126</v>
      </c>
    </row>
    <row r="4972" spans="1:20" ht="27" customHeight="1" x14ac:dyDescent="0.25">
      <c r="A4972" s="8" t="s">
        <v>2413</v>
      </c>
      <c r="B4972" s="9"/>
      <c r="C4972" s="9"/>
      <c r="D4972" s="8"/>
      <c r="E4972" s="8"/>
      <c r="F4972" s="8"/>
      <c r="G4972" s="10"/>
      <c r="H4972" s="8" t="s">
        <v>10350</v>
      </c>
      <c r="I4972" s="10" t="s">
        <v>10351</v>
      </c>
      <c r="J4972" s="11" t="s">
        <v>10321</v>
      </c>
      <c r="K4972" s="18">
        <f>153/2</f>
        <v>76.5</v>
      </c>
      <c r="L4972" s="12">
        <f t="shared" si="424"/>
        <v>153.00016397393205</v>
      </c>
      <c r="M4972" s="8">
        <v>1</v>
      </c>
      <c r="N4972" s="8" t="s">
        <v>27</v>
      </c>
      <c r="O4972" s="13"/>
      <c r="P4972" s="14">
        <v>0.35</v>
      </c>
      <c r="Q4972" s="15">
        <v>0.32500072341363068</v>
      </c>
      <c r="R4972" s="16" t="str">
        <f t="shared" si="422"/>
        <v>FLOS</v>
      </c>
      <c r="S4972" s="17"/>
      <c r="T4972" s="10">
        <v>153</v>
      </c>
    </row>
    <row r="4973" spans="1:20" ht="27" customHeight="1" x14ac:dyDescent="0.25">
      <c r="A4973" s="8" t="s">
        <v>2413</v>
      </c>
      <c r="B4973" s="9"/>
      <c r="C4973" s="9"/>
      <c r="D4973" s="8"/>
      <c r="E4973" s="8"/>
      <c r="F4973" s="8"/>
      <c r="G4973" s="10"/>
      <c r="H4973" s="8" t="s">
        <v>10352</v>
      </c>
      <c r="I4973" s="10" t="s">
        <v>10351</v>
      </c>
      <c r="J4973" s="11" t="s">
        <v>10321</v>
      </c>
      <c r="K4973" s="18">
        <f>153/2</f>
        <v>76.5</v>
      </c>
      <c r="L4973" s="12">
        <f t="shared" si="424"/>
        <v>153.00016397393205</v>
      </c>
      <c r="M4973" s="8">
        <v>1</v>
      </c>
      <c r="N4973" s="8" t="s">
        <v>27</v>
      </c>
      <c r="O4973" s="13"/>
      <c r="P4973" s="14">
        <v>0.35</v>
      </c>
      <c r="Q4973" s="15">
        <v>0.32500072341363068</v>
      </c>
      <c r="R4973" s="16" t="str">
        <f t="shared" si="422"/>
        <v>FLOS</v>
      </c>
      <c r="S4973" s="17"/>
      <c r="T4973" s="10">
        <v>153</v>
      </c>
    </row>
    <row r="4974" spans="1:20" ht="27" customHeight="1" x14ac:dyDescent="0.25">
      <c r="A4974" s="8" t="s">
        <v>10353</v>
      </c>
      <c r="B4974" s="9"/>
      <c r="C4974" s="9"/>
      <c r="D4974" s="8"/>
      <c r="E4974" s="8"/>
      <c r="F4974" s="8"/>
      <c r="G4974" s="10"/>
      <c r="H4974" s="8" t="s">
        <v>10354</v>
      </c>
      <c r="I4974" s="10" t="s">
        <v>10355</v>
      </c>
      <c r="J4974" s="11" t="s">
        <v>10321</v>
      </c>
      <c r="K4974" s="18">
        <f>48.6*0.5</f>
        <v>24.3</v>
      </c>
      <c r="L4974" s="12">
        <f t="shared" si="424"/>
        <v>48.600052085837234</v>
      </c>
      <c r="M4974" s="8">
        <v>1</v>
      </c>
      <c r="N4974" s="8" t="s">
        <v>27</v>
      </c>
      <c r="O4974" s="13"/>
      <c r="P4974" s="14">
        <v>0.35</v>
      </c>
      <c r="Q4974" s="15">
        <v>0.32500072341363068</v>
      </c>
      <c r="R4974" s="16" t="str">
        <f t="shared" si="422"/>
        <v>MCI</v>
      </c>
      <c r="S4974" s="17"/>
      <c r="T4974" s="10"/>
    </row>
    <row r="4975" spans="1:20" ht="27" customHeight="1" x14ac:dyDescent="0.25">
      <c r="A4975" s="8" t="s">
        <v>10356</v>
      </c>
      <c r="B4975" s="9"/>
      <c r="C4975" s="9"/>
      <c r="D4975" s="8"/>
      <c r="E4975" s="8"/>
      <c r="F4975" s="8"/>
      <c r="G4975" s="10"/>
      <c r="H4975" s="8" t="s">
        <v>10357</v>
      </c>
      <c r="I4975" s="10" t="s">
        <v>10358</v>
      </c>
      <c r="J4975" s="11" t="s">
        <v>33</v>
      </c>
      <c r="K4975" s="18">
        <f>498127*0.7</f>
        <v>348688.89999999997</v>
      </c>
      <c r="L4975" s="12">
        <f t="shared" ref="L4975:L4993" si="425">IF(J4975="P",K4975/(1-Q4975),K4975*(1+P4975)/(1-Q4975))</f>
        <v>498127.00000534015</v>
      </c>
      <c r="M4975" s="8">
        <v>1</v>
      </c>
      <c r="N4975" s="8" t="s">
        <v>27</v>
      </c>
      <c r="O4975" s="13"/>
      <c r="P4975" s="14">
        <v>0.05</v>
      </c>
      <c r="Q4975" s="15">
        <v>0.30000000000750437</v>
      </c>
      <c r="R4975" s="16" t="str">
        <f t="shared" ref="R4975:R5038" si="426">A4975</f>
        <v>LUXYCON</v>
      </c>
      <c r="S4975" s="17"/>
      <c r="T4975" s="10">
        <v>498127</v>
      </c>
    </row>
    <row r="4976" spans="1:20" ht="27" customHeight="1" x14ac:dyDescent="0.25">
      <c r="A4976" s="8" t="s">
        <v>10356</v>
      </c>
      <c r="B4976" s="9"/>
      <c r="C4976" s="9"/>
      <c r="D4976" s="8"/>
      <c r="E4976" s="8"/>
      <c r="F4976" s="8"/>
      <c r="G4976" s="10"/>
      <c r="H4976" s="8" t="s">
        <v>10359</v>
      </c>
      <c r="I4976" s="10" t="s">
        <v>10360</v>
      </c>
      <c r="J4976" s="11" t="s">
        <v>33</v>
      </c>
      <c r="K4976" s="18">
        <f>527886*0.7</f>
        <v>369520.19999999995</v>
      </c>
      <c r="L4976" s="12">
        <f t="shared" si="425"/>
        <v>527886.00000565918</v>
      </c>
      <c r="M4976" s="8">
        <v>1</v>
      </c>
      <c r="N4976" s="8" t="s">
        <v>27</v>
      </c>
      <c r="O4976" s="13"/>
      <c r="P4976" s="14">
        <v>0.05</v>
      </c>
      <c r="Q4976" s="15">
        <v>0.30000000000750437</v>
      </c>
      <c r="R4976" s="16" t="str">
        <f t="shared" si="426"/>
        <v>LUXYCON</v>
      </c>
      <c r="S4976" s="17"/>
      <c r="T4976" s="10">
        <v>527886</v>
      </c>
    </row>
    <row r="4977" spans="1:20" ht="27" customHeight="1" x14ac:dyDescent="0.25">
      <c r="A4977" s="8" t="s">
        <v>10356</v>
      </c>
      <c r="B4977" s="9"/>
      <c r="C4977" s="9"/>
      <c r="D4977" s="8"/>
      <c r="E4977" s="8"/>
      <c r="F4977" s="8"/>
      <c r="G4977" s="10"/>
      <c r="H4977" s="8" t="s">
        <v>10361</v>
      </c>
      <c r="I4977" s="10" t="s">
        <v>10362</v>
      </c>
      <c r="J4977" s="11" t="s">
        <v>33</v>
      </c>
      <c r="K4977" s="18">
        <f>2488887*0.7</f>
        <v>1742220.9</v>
      </c>
      <c r="L4977" s="12">
        <f t="shared" si="425"/>
        <v>2488887.0000266819</v>
      </c>
      <c r="M4977" s="8">
        <v>1</v>
      </c>
      <c r="N4977" s="8" t="s">
        <v>27</v>
      </c>
      <c r="O4977" s="13"/>
      <c r="P4977" s="14">
        <v>0.05</v>
      </c>
      <c r="Q4977" s="15">
        <v>0.30000000000750437</v>
      </c>
      <c r="R4977" s="16" t="str">
        <f t="shared" si="426"/>
        <v>LUXYCON</v>
      </c>
      <c r="S4977" s="17"/>
      <c r="T4977" s="10">
        <v>2488887</v>
      </c>
    </row>
    <row r="4978" spans="1:20" ht="27" customHeight="1" x14ac:dyDescent="0.25">
      <c r="A4978" s="8" t="s">
        <v>10356</v>
      </c>
      <c r="B4978" s="9"/>
      <c r="C4978" s="9"/>
      <c r="D4978" s="8"/>
      <c r="E4978" s="8"/>
      <c r="F4978" s="8"/>
      <c r="G4978" s="10"/>
      <c r="H4978" s="8" t="s">
        <v>10363</v>
      </c>
      <c r="I4978" s="10" t="s">
        <v>10364</v>
      </c>
      <c r="J4978" s="11" t="s">
        <v>33</v>
      </c>
      <c r="K4978" s="18">
        <f>841450*0.7</f>
        <v>589015</v>
      </c>
      <c r="L4978" s="12">
        <f t="shared" si="425"/>
        <v>841450.00000902079</v>
      </c>
      <c r="M4978" s="8">
        <v>1</v>
      </c>
      <c r="N4978" s="8" t="s">
        <v>27</v>
      </c>
      <c r="O4978" s="13"/>
      <c r="P4978" s="14">
        <v>0.05</v>
      </c>
      <c r="Q4978" s="15">
        <v>0.30000000000750437</v>
      </c>
      <c r="R4978" s="16" t="str">
        <f t="shared" si="426"/>
        <v>LUXYCON</v>
      </c>
      <c r="S4978" s="17"/>
      <c r="T4978" s="10">
        <v>841450</v>
      </c>
    </row>
    <row r="4979" spans="1:20" ht="27" customHeight="1" x14ac:dyDescent="0.25">
      <c r="A4979" s="8" t="s">
        <v>10356</v>
      </c>
      <c r="B4979" s="9"/>
      <c r="C4979" s="9"/>
      <c r="D4979" s="8"/>
      <c r="E4979" s="8"/>
      <c r="F4979" s="8"/>
      <c r="G4979" s="10"/>
      <c r="H4979" s="8" t="s">
        <v>10365</v>
      </c>
      <c r="I4979" s="10" t="s">
        <v>10366</v>
      </c>
      <c r="J4979" s="11" t="s">
        <v>33</v>
      </c>
      <c r="K4979" s="18">
        <f>625798*0.7</f>
        <v>438058.6</v>
      </c>
      <c r="L4979" s="12">
        <f t="shared" si="425"/>
        <v>625798.0000067089</v>
      </c>
      <c r="M4979" s="8">
        <v>1</v>
      </c>
      <c r="N4979" s="8" t="s">
        <v>27</v>
      </c>
      <c r="O4979" s="13"/>
      <c r="P4979" s="14">
        <v>0.05</v>
      </c>
      <c r="Q4979" s="15">
        <v>0.30000000000750437</v>
      </c>
      <c r="R4979" s="16" t="str">
        <f t="shared" si="426"/>
        <v>LUXYCON</v>
      </c>
      <c r="S4979" s="17"/>
      <c r="T4979" s="10">
        <v>625798</v>
      </c>
    </row>
    <row r="4980" spans="1:20" ht="27" customHeight="1" x14ac:dyDescent="0.25">
      <c r="A4980" s="8" t="s">
        <v>10367</v>
      </c>
      <c r="B4980" s="9"/>
      <c r="C4980" s="9"/>
      <c r="D4980" s="8"/>
      <c r="E4980" s="8"/>
      <c r="F4980" s="8"/>
      <c r="G4980" s="10"/>
      <c r="H4980" s="8" t="s">
        <v>10368</v>
      </c>
      <c r="I4980" s="10" t="s">
        <v>10369</v>
      </c>
      <c r="J4980" s="11" t="s">
        <v>26</v>
      </c>
      <c r="K4980" s="18">
        <f>51.5*0.5</f>
        <v>25.75</v>
      </c>
      <c r="L4980" s="12">
        <f t="shared" si="425"/>
        <v>51.50005519383987</v>
      </c>
      <c r="M4980" s="8">
        <v>1</v>
      </c>
      <c r="N4980" s="8" t="s">
        <v>27</v>
      </c>
      <c r="O4980" s="13"/>
      <c r="P4980" s="14">
        <v>0.35</v>
      </c>
      <c r="Q4980" s="15">
        <v>0.32500072341363068</v>
      </c>
      <c r="R4980" s="16" t="str">
        <f t="shared" si="426"/>
        <v>COOPER</v>
      </c>
      <c r="S4980" s="17"/>
      <c r="T4980" s="10">
        <v>51.5</v>
      </c>
    </row>
    <row r="4981" spans="1:20" ht="27" customHeight="1" x14ac:dyDescent="0.25">
      <c r="A4981" s="8" t="s">
        <v>10370</v>
      </c>
      <c r="B4981" s="9"/>
      <c r="C4981" s="9"/>
      <c r="D4981" s="8"/>
      <c r="E4981" s="8"/>
      <c r="F4981" s="8"/>
      <c r="G4981" s="10"/>
      <c r="H4981" s="8" t="s">
        <v>10371</v>
      </c>
      <c r="I4981" s="10" t="s">
        <v>10372</v>
      </c>
      <c r="J4981" s="11" t="s">
        <v>26</v>
      </c>
      <c r="K4981" s="18">
        <v>7</v>
      </c>
      <c r="L4981" s="12">
        <f t="shared" si="425"/>
        <v>14.000015004150645</v>
      </c>
      <c r="M4981" s="8">
        <v>1</v>
      </c>
      <c r="N4981" s="8" t="s">
        <v>27</v>
      </c>
      <c r="O4981" s="13"/>
      <c r="P4981" s="14">
        <v>0.35</v>
      </c>
      <c r="Q4981" s="15">
        <v>0.32500072341363068</v>
      </c>
      <c r="R4981" s="16" t="str">
        <f t="shared" si="426"/>
        <v>LEDYI</v>
      </c>
      <c r="S4981" s="17"/>
      <c r="T4981" s="10"/>
    </row>
    <row r="4982" spans="1:20" ht="27" customHeight="1" x14ac:dyDescent="0.25">
      <c r="A4982" s="8" t="s">
        <v>10370</v>
      </c>
      <c r="B4982" s="9"/>
      <c r="C4982" s="9"/>
      <c r="D4982" s="8"/>
      <c r="E4982" s="8"/>
      <c r="F4982" s="8"/>
      <c r="G4982" s="10"/>
      <c r="H4982" s="8" t="s">
        <v>10373</v>
      </c>
      <c r="I4982" s="10" t="s">
        <v>10374</v>
      </c>
      <c r="J4982" s="11" t="s">
        <v>26</v>
      </c>
      <c r="K4982" s="18">
        <v>13.75</v>
      </c>
      <c r="L4982" s="12">
        <f t="shared" si="425"/>
        <v>27.500029472438765</v>
      </c>
      <c r="M4982" s="8">
        <v>1</v>
      </c>
      <c r="N4982" s="8" t="s">
        <v>27</v>
      </c>
      <c r="O4982" s="13"/>
      <c r="P4982" s="14">
        <v>0.35</v>
      </c>
      <c r="Q4982" s="15">
        <v>0.32500072341363068</v>
      </c>
      <c r="R4982" s="16" t="str">
        <f t="shared" si="426"/>
        <v>LEDYI</v>
      </c>
      <c r="S4982" s="17"/>
      <c r="T4982" s="10"/>
    </row>
    <row r="4983" spans="1:20" ht="27" customHeight="1" x14ac:dyDescent="0.25">
      <c r="A4983" s="8" t="s">
        <v>10370</v>
      </c>
      <c r="B4983" s="9"/>
      <c r="C4983" s="9"/>
      <c r="D4983" s="8"/>
      <c r="E4983" s="8"/>
      <c r="F4983" s="8"/>
      <c r="G4983" s="10"/>
      <c r="H4983" s="8" t="s">
        <v>10375</v>
      </c>
      <c r="I4983" s="10" t="s">
        <v>10376</v>
      </c>
      <c r="J4983" s="11" t="s">
        <v>26</v>
      </c>
      <c r="K4983" s="18">
        <v>40.15</v>
      </c>
      <c r="L4983" s="12">
        <f t="shared" si="425"/>
        <v>80.300086059521192</v>
      </c>
      <c r="M4983" s="8">
        <v>1</v>
      </c>
      <c r="N4983" s="8" t="s">
        <v>27</v>
      </c>
      <c r="O4983" s="13"/>
      <c r="P4983" s="14">
        <v>0.35</v>
      </c>
      <c r="Q4983" s="15">
        <v>0.32500072341363068</v>
      </c>
      <c r="R4983" s="16" t="str">
        <f t="shared" si="426"/>
        <v>LEDYI</v>
      </c>
      <c r="S4983" s="17"/>
      <c r="T4983" s="10"/>
    </row>
    <row r="4984" spans="1:20" ht="27" customHeight="1" x14ac:dyDescent="0.25">
      <c r="A4984" s="8" t="s">
        <v>10370</v>
      </c>
      <c r="B4984" s="9"/>
      <c r="C4984" s="9"/>
      <c r="D4984" s="8"/>
      <c r="E4984" s="8"/>
      <c r="F4984" s="8"/>
      <c r="G4984" s="10"/>
      <c r="H4984" s="8" t="s">
        <v>10377</v>
      </c>
      <c r="I4984" s="10" t="s">
        <v>10378</v>
      </c>
      <c r="J4984" s="11" t="s">
        <v>26</v>
      </c>
      <c r="K4984" s="18">
        <v>0.57999999999999996</v>
      </c>
      <c r="L4984" s="12">
        <f t="shared" si="425"/>
        <v>1.1600012432010534</v>
      </c>
      <c r="M4984" s="8">
        <v>1</v>
      </c>
      <c r="N4984" s="8" t="s">
        <v>27</v>
      </c>
      <c r="O4984" s="13"/>
      <c r="P4984" s="14">
        <v>0.35</v>
      </c>
      <c r="Q4984" s="15">
        <v>0.32500072341363068</v>
      </c>
      <c r="R4984" s="16" t="str">
        <f t="shared" si="426"/>
        <v>LEDYI</v>
      </c>
      <c r="S4984" s="17"/>
      <c r="T4984" s="10"/>
    </row>
    <row r="4985" spans="1:20" ht="27" customHeight="1" x14ac:dyDescent="0.25">
      <c r="A4985" s="8" t="s">
        <v>10370</v>
      </c>
      <c r="B4985" s="9"/>
      <c r="C4985" s="9"/>
      <c r="D4985" s="8"/>
      <c r="E4985" s="8"/>
      <c r="F4985" s="8"/>
      <c r="G4985" s="10"/>
      <c r="H4985" s="8" t="s">
        <v>10379</v>
      </c>
      <c r="I4985" s="10" t="s">
        <v>10380</v>
      </c>
      <c r="J4985" s="11" t="s">
        <v>26</v>
      </c>
      <c r="K4985" s="18">
        <v>0.57999999999999996</v>
      </c>
      <c r="L4985" s="12">
        <f t="shared" si="425"/>
        <v>1.1600012432010534</v>
      </c>
      <c r="M4985" s="8">
        <v>1</v>
      </c>
      <c r="N4985" s="8" t="s">
        <v>27</v>
      </c>
      <c r="O4985" s="13"/>
      <c r="P4985" s="14">
        <v>0.35</v>
      </c>
      <c r="Q4985" s="15">
        <v>0.32500072341363068</v>
      </c>
      <c r="R4985" s="16" t="str">
        <f t="shared" si="426"/>
        <v>LEDYI</v>
      </c>
      <c r="S4985" s="17"/>
      <c r="T4985" s="10"/>
    </row>
    <row r="4986" spans="1:20" ht="27" customHeight="1" x14ac:dyDescent="0.25">
      <c r="A4986" s="8" t="s">
        <v>10370</v>
      </c>
      <c r="B4986" s="9"/>
      <c r="C4986" s="9"/>
      <c r="D4986" s="8"/>
      <c r="E4986" s="8"/>
      <c r="F4986" s="8"/>
      <c r="G4986" s="10"/>
      <c r="H4986" s="8" t="s">
        <v>10381</v>
      </c>
      <c r="I4986" s="10" t="s">
        <v>10382</v>
      </c>
      <c r="J4986" s="11" t="s">
        <v>26</v>
      </c>
      <c r="K4986" s="18">
        <v>14.93</v>
      </c>
      <c r="L4986" s="12">
        <f t="shared" si="425"/>
        <v>29.860032001709872</v>
      </c>
      <c r="M4986" s="8">
        <v>1</v>
      </c>
      <c r="N4986" s="8" t="s">
        <v>27</v>
      </c>
      <c r="O4986" s="13"/>
      <c r="P4986" s="14">
        <v>0.35</v>
      </c>
      <c r="Q4986" s="15">
        <v>0.32500072341363068</v>
      </c>
      <c r="R4986" s="16" t="str">
        <f t="shared" si="426"/>
        <v>LEDYI</v>
      </c>
      <c r="S4986" s="17"/>
      <c r="T4986" s="10"/>
    </row>
    <row r="4987" spans="1:20" ht="27" customHeight="1" x14ac:dyDescent="0.25">
      <c r="A4987" s="8" t="s">
        <v>10370</v>
      </c>
      <c r="B4987" s="9"/>
      <c r="C4987" s="9"/>
      <c r="D4987" s="8"/>
      <c r="E4987" s="8"/>
      <c r="F4987" s="8"/>
      <c r="G4987" s="10"/>
      <c r="H4987" s="8" t="s">
        <v>10383</v>
      </c>
      <c r="I4987" s="10" t="s">
        <v>10384</v>
      </c>
      <c r="J4987" s="11" t="s">
        <v>26</v>
      </c>
      <c r="K4987" s="18">
        <v>2.7</v>
      </c>
      <c r="L4987" s="12">
        <f t="shared" si="425"/>
        <v>5.4000057873152487</v>
      </c>
      <c r="M4987" s="8">
        <v>1</v>
      </c>
      <c r="N4987" s="8" t="s">
        <v>27</v>
      </c>
      <c r="O4987" s="13"/>
      <c r="P4987" s="14">
        <v>0.35</v>
      </c>
      <c r="Q4987" s="15">
        <v>0.32500072341363068</v>
      </c>
      <c r="R4987" s="16" t="str">
        <f t="shared" si="426"/>
        <v>LEDYI</v>
      </c>
      <c r="S4987" s="17"/>
      <c r="T4987" s="10"/>
    </row>
    <row r="4988" spans="1:20" ht="27" customHeight="1" x14ac:dyDescent="0.25">
      <c r="A4988" s="8" t="s">
        <v>10370</v>
      </c>
      <c r="B4988" s="9"/>
      <c r="C4988" s="9"/>
      <c r="D4988" s="8"/>
      <c r="E4988" s="8"/>
      <c r="F4988" s="8"/>
      <c r="G4988" s="10"/>
      <c r="H4988" s="8" t="s">
        <v>10385</v>
      </c>
      <c r="I4988" s="10" t="s">
        <v>10386</v>
      </c>
      <c r="J4988" s="11" t="s">
        <v>26</v>
      </c>
      <c r="K4988" s="18">
        <v>6.58</v>
      </c>
      <c r="L4988" s="12">
        <f t="shared" si="425"/>
        <v>13.160014103901606</v>
      </c>
      <c r="M4988" s="8">
        <v>1</v>
      </c>
      <c r="N4988" s="8" t="s">
        <v>27</v>
      </c>
      <c r="O4988" s="13"/>
      <c r="P4988" s="14">
        <v>0.35</v>
      </c>
      <c r="Q4988" s="15">
        <v>0.32500072341363068</v>
      </c>
      <c r="R4988" s="16" t="str">
        <f t="shared" si="426"/>
        <v>LEDYI</v>
      </c>
      <c r="S4988" s="17"/>
      <c r="T4988" s="10"/>
    </row>
    <row r="4989" spans="1:20" ht="27" customHeight="1" x14ac:dyDescent="0.25">
      <c r="A4989" s="8" t="s">
        <v>10370</v>
      </c>
      <c r="B4989" s="9"/>
      <c r="C4989" s="9"/>
      <c r="D4989" s="8"/>
      <c r="E4989" s="8"/>
      <c r="F4989" s="8"/>
      <c r="G4989" s="10"/>
      <c r="H4989" s="8" t="s">
        <v>10387</v>
      </c>
      <c r="I4989" s="10" t="s">
        <v>10388</v>
      </c>
      <c r="J4989" s="11" t="s">
        <v>26</v>
      </c>
      <c r="K4989" s="18">
        <v>14.03</v>
      </c>
      <c r="L4989" s="12">
        <f t="shared" si="425"/>
        <v>28.060030072604789</v>
      </c>
      <c r="M4989" s="8">
        <v>1</v>
      </c>
      <c r="N4989" s="8" t="s">
        <v>27</v>
      </c>
      <c r="O4989" s="13"/>
      <c r="P4989" s="14">
        <v>0.35</v>
      </c>
      <c r="Q4989" s="15">
        <v>0.32500072341363068</v>
      </c>
      <c r="R4989" s="16" t="str">
        <f t="shared" si="426"/>
        <v>LEDYI</v>
      </c>
      <c r="S4989" s="17"/>
      <c r="T4989" s="10"/>
    </row>
    <row r="4990" spans="1:20" ht="27" customHeight="1" x14ac:dyDescent="0.25">
      <c r="A4990" s="8" t="s">
        <v>10370</v>
      </c>
      <c r="B4990" s="9"/>
      <c r="C4990" s="9"/>
      <c r="D4990" s="8"/>
      <c r="E4990" s="8"/>
      <c r="F4990" s="8"/>
      <c r="G4990" s="10"/>
      <c r="H4990" s="8" t="s">
        <v>10389</v>
      </c>
      <c r="I4990" s="10" t="s">
        <v>10390</v>
      </c>
      <c r="J4990" s="11" t="s">
        <v>26</v>
      </c>
      <c r="K4990" s="18">
        <v>14.03</v>
      </c>
      <c r="L4990" s="12">
        <f t="shared" si="425"/>
        <v>28.060030072604789</v>
      </c>
      <c r="M4990" s="8">
        <v>1</v>
      </c>
      <c r="N4990" s="8" t="s">
        <v>27</v>
      </c>
      <c r="O4990" s="13"/>
      <c r="P4990" s="14">
        <v>0.35</v>
      </c>
      <c r="Q4990" s="15">
        <v>0.32500072341363068</v>
      </c>
      <c r="R4990" s="16" t="str">
        <f t="shared" si="426"/>
        <v>LEDYI</v>
      </c>
      <c r="S4990" s="17"/>
      <c r="T4990" s="10"/>
    </row>
    <row r="4991" spans="1:20" ht="27" customHeight="1" x14ac:dyDescent="0.25">
      <c r="A4991" s="8" t="s">
        <v>10370</v>
      </c>
      <c r="B4991" s="9"/>
      <c r="C4991" s="9"/>
      <c r="D4991" s="8"/>
      <c r="E4991" s="8"/>
      <c r="F4991" s="8"/>
      <c r="G4991" s="10"/>
      <c r="H4991" s="8" t="s">
        <v>10391</v>
      </c>
      <c r="I4991" s="10" t="s">
        <v>10392</v>
      </c>
      <c r="J4991" s="11" t="s">
        <v>26</v>
      </c>
      <c r="K4991" s="18">
        <v>4.75</v>
      </c>
      <c r="L4991" s="12">
        <f t="shared" si="425"/>
        <v>9.5000101813879372</v>
      </c>
      <c r="M4991" s="8">
        <v>1</v>
      </c>
      <c r="N4991" s="8" t="s">
        <v>27</v>
      </c>
      <c r="O4991" s="13"/>
      <c r="P4991" s="14">
        <v>0.35</v>
      </c>
      <c r="Q4991" s="15">
        <v>0.32500072341363068</v>
      </c>
      <c r="R4991" s="16" t="str">
        <f t="shared" si="426"/>
        <v>LEDYI</v>
      </c>
      <c r="S4991" s="17"/>
      <c r="T4991" s="10"/>
    </row>
    <row r="4992" spans="1:20" ht="27" customHeight="1" x14ac:dyDescent="0.25">
      <c r="A4992" s="8" t="s">
        <v>10370</v>
      </c>
      <c r="B4992" s="9"/>
      <c r="C4992" s="9"/>
      <c r="D4992" s="8"/>
      <c r="E4992" s="8"/>
      <c r="F4992" s="8"/>
      <c r="G4992" s="10"/>
      <c r="H4992" s="8" t="s">
        <v>10393</v>
      </c>
      <c r="I4992" s="10" t="s">
        <v>10394</v>
      </c>
      <c r="J4992" s="11" t="s">
        <v>26</v>
      </c>
      <c r="K4992" s="18">
        <v>28.58</v>
      </c>
      <c r="L4992" s="12">
        <f t="shared" si="425"/>
        <v>57.160061259803626</v>
      </c>
      <c r="M4992" s="8">
        <v>1</v>
      </c>
      <c r="N4992" s="8" t="s">
        <v>27</v>
      </c>
      <c r="O4992" s="13"/>
      <c r="P4992" s="14">
        <v>0.35</v>
      </c>
      <c r="Q4992" s="15">
        <v>0.32500072341363068</v>
      </c>
      <c r="R4992" s="16" t="str">
        <f t="shared" si="426"/>
        <v>LEDYI</v>
      </c>
      <c r="S4992" s="17"/>
      <c r="T4992" s="10"/>
    </row>
    <row r="4993" spans="1:20" ht="27" customHeight="1" x14ac:dyDescent="0.25">
      <c r="A4993" s="8" t="s">
        <v>10370</v>
      </c>
      <c r="B4993" s="9"/>
      <c r="C4993" s="9"/>
      <c r="D4993" s="8"/>
      <c r="E4993" s="8"/>
      <c r="F4993" s="8"/>
      <c r="G4993" s="10"/>
      <c r="H4993" s="8" t="s">
        <v>10395</v>
      </c>
      <c r="I4993" s="10" t="s">
        <v>10396</v>
      </c>
      <c r="J4993" s="11" t="s">
        <v>26</v>
      </c>
      <c r="K4993" s="18">
        <v>2.2000000000000002</v>
      </c>
      <c r="L4993" s="12">
        <f t="shared" si="425"/>
        <v>4.4000047155902031</v>
      </c>
      <c r="M4993" s="8">
        <v>1</v>
      </c>
      <c r="N4993" s="8" t="s">
        <v>27</v>
      </c>
      <c r="O4993" s="13"/>
      <c r="P4993" s="14">
        <v>0.35</v>
      </c>
      <c r="Q4993" s="15">
        <v>0.32500072341363068</v>
      </c>
      <c r="R4993" s="16" t="str">
        <f t="shared" si="426"/>
        <v>LEDYI</v>
      </c>
      <c r="S4993" s="17"/>
      <c r="T4993" s="10"/>
    </row>
    <row r="4994" spans="1:20" ht="27" customHeight="1" x14ac:dyDescent="0.25">
      <c r="A4994" s="8" t="s">
        <v>7761</v>
      </c>
      <c r="B4994" s="9"/>
      <c r="C4994" s="9"/>
      <c r="D4994" s="8" t="s">
        <v>45</v>
      </c>
      <c r="E4994" s="8"/>
      <c r="F4994" s="8" t="s">
        <v>22</v>
      </c>
      <c r="G4994" s="10" t="s">
        <v>7762</v>
      </c>
      <c r="H4994" s="8" t="s">
        <v>10397</v>
      </c>
      <c r="I4994" s="10" t="s">
        <v>10398</v>
      </c>
      <c r="J4994" s="11" t="s">
        <v>33</v>
      </c>
      <c r="K4994" s="18">
        <v>219000</v>
      </c>
      <c r="L4994" s="12">
        <f>IF(J4994="P",ROUNDUP(K4994/(1-Q4994),-2),K4994*(1+P4994)/(1-Q4994))</f>
        <v>312900</v>
      </c>
      <c r="M4994" s="8">
        <v>1</v>
      </c>
      <c r="N4994" s="8" t="s">
        <v>27</v>
      </c>
      <c r="O4994" s="13" t="s">
        <v>588</v>
      </c>
      <c r="P4994" s="14">
        <v>0</v>
      </c>
      <c r="Q4994" s="15">
        <v>0.3</v>
      </c>
      <c r="R4994" s="16" t="str">
        <f t="shared" si="426"/>
        <v>POWEST</v>
      </c>
      <c r="S4994" s="17"/>
      <c r="T4994" s="10" t="str">
        <f>G4994</f>
        <v>UPS DE 750VA, 360 VATIOS. CON SOFTWARE DE MONITOREO POR USB</v>
      </c>
    </row>
    <row r="4995" spans="1:20" ht="27" customHeight="1" x14ac:dyDescent="0.25">
      <c r="A4995" s="8" t="s">
        <v>2455</v>
      </c>
      <c r="B4995" s="9"/>
      <c r="C4995" s="9"/>
      <c r="D4995" s="8"/>
      <c r="E4995" s="8"/>
      <c r="F4995" s="8"/>
      <c r="G4995" s="10"/>
      <c r="H4995" s="8" t="s">
        <v>10399</v>
      </c>
      <c r="I4995" s="10" t="s">
        <v>10229</v>
      </c>
      <c r="J4995" s="11" t="s">
        <v>33</v>
      </c>
      <c r="K4995" s="18">
        <v>5500</v>
      </c>
      <c r="L4995" s="12">
        <f>IF(J4995="P",ROUNDUP(K4995/(1-Q4995),-2),K4995*(1+P4995)/(1-Q4995))</f>
        <v>9200</v>
      </c>
      <c r="M4995" s="8">
        <v>1</v>
      </c>
      <c r="N4995" s="8" t="s">
        <v>27</v>
      </c>
      <c r="O4995" s="13" t="s">
        <v>588</v>
      </c>
      <c r="P4995" s="14">
        <v>0</v>
      </c>
      <c r="Q4995" s="15">
        <v>0.4</v>
      </c>
      <c r="R4995" s="16" t="str">
        <f t="shared" si="426"/>
        <v>GALICA</v>
      </c>
      <c r="S4995" s="17"/>
      <c r="T4995" s="10"/>
    </row>
    <row r="4996" spans="1:20" ht="27" customHeight="1" x14ac:dyDescent="0.25">
      <c r="A4996" s="8" t="s">
        <v>9379</v>
      </c>
      <c r="B4996" s="9"/>
      <c r="C4996" s="9"/>
      <c r="D4996" s="8"/>
      <c r="E4996" s="8"/>
      <c r="F4996" s="8"/>
      <c r="G4996" s="10"/>
      <c r="H4996" s="8" t="s">
        <v>10277</v>
      </c>
      <c r="I4996" s="10" t="s">
        <v>10400</v>
      </c>
      <c r="J4996" s="11" t="s">
        <v>33</v>
      </c>
      <c r="K4996" s="18">
        <v>55800</v>
      </c>
      <c r="L4996" s="12">
        <f>ROUNDUP(K4996*(1+P4996)/(1-Q4996),0)</f>
        <v>93000</v>
      </c>
      <c r="M4996" s="8">
        <v>1</v>
      </c>
      <c r="N4996" s="8" t="s">
        <v>27</v>
      </c>
      <c r="O4996" s="13"/>
      <c r="P4996" s="14">
        <v>0</v>
      </c>
      <c r="Q4996" s="15">
        <v>0.4</v>
      </c>
      <c r="R4996" s="16" t="str">
        <f t="shared" si="426"/>
        <v>UBIQUITI</v>
      </c>
      <c r="S4996" s="17"/>
      <c r="T4996" s="10"/>
    </row>
    <row r="4997" spans="1:20" ht="27" customHeight="1" x14ac:dyDescent="0.25">
      <c r="A4997" s="8" t="s">
        <v>3561</v>
      </c>
      <c r="B4997" s="9"/>
      <c r="C4997" s="9"/>
      <c r="D4997" s="8"/>
      <c r="E4997" s="8"/>
      <c r="F4997" s="8"/>
      <c r="G4997" s="10"/>
      <c r="H4997" s="8" t="s">
        <v>10401</v>
      </c>
      <c r="I4997" s="10" t="s">
        <v>10402</v>
      </c>
      <c r="J4997" s="11" t="s">
        <v>26</v>
      </c>
      <c r="K4997" s="18">
        <v>70.099999999999994</v>
      </c>
      <c r="L4997" s="12">
        <f>ROUNDUP(K4997*(1+P4997)/(1-Q4997),0)</f>
        <v>141</v>
      </c>
      <c r="M4997" s="8">
        <v>1</v>
      </c>
      <c r="N4997" s="8" t="s">
        <v>27</v>
      </c>
      <c r="O4997" s="13"/>
      <c r="P4997" s="14">
        <v>0.2</v>
      </c>
      <c r="Q4997" s="15">
        <v>0.4</v>
      </c>
      <c r="R4997" s="16" t="str">
        <f t="shared" si="426"/>
        <v>HUBBELL</v>
      </c>
      <c r="S4997" s="17"/>
      <c r="T4997" s="10"/>
    </row>
    <row r="4998" spans="1:20" ht="27" customHeight="1" x14ac:dyDescent="0.25">
      <c r="A4998" s="8" t="s">
        <v>1561</v>
      </c>
      <c r="B4998" s="9"/>
      <c r="C4998" s="9"/>
      <c r="D4998" s="8"/>
      <c r="E4998" s="8"/>
      <c r="F4998" s="8"/>
      <c r="G4998" s="10"/>
      <c r="H4998" s="8" t="s">
        <v>10403</v>
      </c>
      <c r="I4998" s="10" t="s">
        <v>10404</v>
      </c>
      <c r="J4998" s="11" t="s">
        <v>33</v>
      </c>
      <c r="K4998" s="18">
        <v>365400</v>
      </c>
      <c r="L4998" s="12">
        <f>ROUNDUP(K4998*(1+P4998)/(1-Q4998),0)</f>
        <v>609000</v>
      </c>
      <c r="M4998" s="8">
        <v>1</v>
      </c>
      <c r="N4998" s="8" t="s">
        <v>27</v>
      </c>
      <c r="O4998" s="13"/>
      <c r="P4998" s="14">
        <v>0</v>
      </c>
      <c r="Q4998" s="15">
        <v>0.4</v>
      </c>
      <c r="R4998" s="16" t="str">
        <f t="shared" si="426"/>
        <v>DAHUA</v>
      </c>
      <c r="S4998" s="17"/>
      <c r="T4998" s="10"/>
    </row>
    <row r="4999" spans="1:20" ht="27" customHeight="1" x14ac:dyDescent="0.25">
      <c r="A4999" s="8" t="s">
        <v>1561</v>
      </c>
      <c r="B4999" s="9"/>
      <c r="C4999" s="9"/>
      <c r="D4999" s="8"/>
      <c r="E4999" s="8"/>
      <c r="F4999" s="8"/>
      <c r="G4999" s="10"/>
      <c r="H4999" s="8" t="s">
        <v>1692</v>
      </c>
      <c r="I4999" s="10" t="s">
        <v>10405</v>
      </c>
      <c r="J4999" s="11" t="s">
        <v>33</v>
      </c>
      <c r="K4999" s="18">
        <v>55800</v>
      </c>
      <c r="L4999" s="12">
        <f>ROUNDUP(K4999*(1+P4999)/(1-Q4999),0)</f>
        <v>93000</v>
      </c>
      <c r="M4999" s="8">
        <v>1</v>
      </c>
      <c r="N4999" s="8" t="s">
        <v>27</v>
      </c>
      <c r="O4999" s="13"/>
      <c r="P4999" s="14">
        <v>0</v>
      </c>
      <c r="Q4999" s="15">
        <v>0.4</v>
      </c>
      <c r="R4999" s="16" t="str">
        <f t="shared" si="426"/>
        <v>DAHUA</v>
      </c>
      <c r="S4999" s="17"/>
      <c r="T4999" s="10"/>
    </row>
    <row r="5000" spans="1:20" ht="27" customHeight="1" x14ac:dyDescent="0.25">
      <c r="A5000" s="8" t="s">
        <v>1561</v>
      </c>
      <c r="B5000" s="9"/>
      <c r="C5000" s="9"/>
      <c r="D5000" s="8"/>
      <c r="E5000" s="8"/>
      <c r="F5000" s="8"/>
      <c r="G5000" s="10"/>
      <c r="H5000" s="8" t="s">
        <v>10406</v>
      </c>
      <c r="I5000" s="10" t="s">
        <v>10407</v>
      </c>
      <c r="J5000" s="11" t="s">
        <v>33</v>
      </c>
      <c r="K5000" s="18">
        <v>5580</v>
      </c>
      <c r="L5000" s="12">
        <f>ROUNDUP(K5000*(1+P5000)/(1-Q5000),0)</f>
        <v>9300</v>
      </c>
      <c r="M5000" s="8">
        <v>1</v>
      </c>
      <c r="N5000" s="8" t="s">
        <v>27</v>
      </c>
      <c r="O5000" s="13"/>
      <c r="P5000" s="14">
        <v>0</v>
      </c>
      <c r="Q5000" s="15">
        <v>0.4</v>
      </c>
      <c r="R5000" s="16" t="str">
        <f t="shared" si="426"/>
        <v>DAHUA</v>
      </c>
      <c r="S5000" s="17"/>
      <c r="T5000" s="10"/>
    </row>
    <row r="5001" spans="1:20" ht="27" customHeight="1" x14ac:dyDescent="0.25">
      <c r="A5001" s="8" t="s">
        <v>2512</v>
      </c>
      <c r="B5001" s="9"/>
      <c r="C5001" s="9"/>
      <c r="D5001" s="8"/>
      <c r="E5001" s="8"/>
      <c r="F5001" s="8" t="s">
        <v>22</v>
      </c>
      <c r="G5001" s="10" t="s">
        <v>2682</v>
      </c>
      <c r="H5001" s="8" t="s">
        <v>10408</v>
      </c>
      <c r="I5001" s="10" t="s">
        <v>10409</v>
      </c>
      <c r="J5001" s="11" t="s">
        <v>33</v>
      </c>
      <c r="K5001" s="18">
        <v>55000</v>
      </c>
      <c r="L5001" s="12">
        <f t="shared" ref="L5001:L5036" si="427">IF(J5001="P",ROUNDUP(K5001/(1-Q5001),-2),K5001*(1+P5001)/(1-Q5001))</f>
        <v>91700</v>
      </c>
      <c r="M5001" s="8">
        <v>1</v>
      </c>
      <c r="N5001" s="8" t="s">
        <v>27</v>
      </c>
      <c r="O5001" s="13"/>
      <c r="P5001" s="14">
        <v>0</v>
      </c>
      <c r="Q5001" s="15">
        <v>0.4</v>
      </c>
      <c r="R5001" s="16" t="str">
        <f t="shared" si="426"/>
        <v>GENERAL</v>
      </c>
      <c r="S5001" s="17"/>
      <c r="T5001" s="10" t="str">
        <f>G5001</f>
        <v>FUENTE 12V 30 AMPERIOS</v>
      </c>
    </row>
    <row r="5002" spans="1:20" ht="27" customHeight="1" x14ac:dyDescent="0.25">
      <c r="A5002" s="8" t="s">
        <v>2455</v>
      </c>
      <c r="B5002" s="9"/>
      <c r="C5002" s="9"/>
      <c r="D5002" s="8"/>
      <c r="E5002" s="8"/>
      <c r="F5002" s="8"/>
      <c r="G5002" s="10"/>
      <c r="H5002" s="8" t="s">
        <v>10410</v>
      </c>
      <c r="I5002" s="10" t="s">
        <v>10411</v>
      </c>
      <c r="J5002" s="11" t="s">
        <v>33</v>
      </c>
      <c r="K5002" s="18">
        <v>4000</v>
      </c>
      <c r="L5002" s="12">
        <f t="shared" si="427"/>
        <v>6700</v>
      </c>
      <c r="M5002" s="8">
        <v>1</v>
      </c>
      <c r="N5002" s="8" t="s">
        <v>27</v>
      </c>
      <c r="O5002" s="13"/>
      <c r="P5002" s="14">
        <v>0</v>
      </c>
      <c r="Q5002" s="15">
        <v>0.4</v>
      </c>
      <c r="R5002" s="16" t="str">
        <f t="shared" si="426"/>
        <v>GALICA</v>
      </c>
      <c r="S5002" s="17"/>
      <c r="T5002" s="10"/>
    </row>
    <row r="5003" spans="1:20" ht="27" customHeight="1" x14ac:dyDescent="0.25">
      <c r="A5003" s="8" t="s">
        <v>10412</v>
      </c>
      <c r="B5003" s="9"/>
      <c r="C5003" s="9"/>
      <c r="D5003" s="8"/>
      <c r="E5003" s="8"/>
      <c r="F5003" s="8"/>
      <c r="G5003" s="10"/>
      <c r="H5003" s="8" t="s">
        <v>10413</v>
      </c>
      <c r="I5003" s="10" t="s">
        <v>10414</v>
      </c>
      <c r="J5003" s="11" t="s">
        <v>26</v>
      </c>
      <c r="K5003" s="18">
        <v>55</v>
      </c>
      <c r="L5003" s="12">
        <f t="shared" si="427"/>
        <v>110</v>
      </c>
      <c r="M5003" s="8">
        <v>1</v>
      </c>
      <c r="N5003" s="8" t="s">
        <v>27</v>
      </c>
      <c r="O5003" s="13"/>
      <c r="P5003" s="14">
        <v>0.2</v>
      </c>
      <c r="Q5003" s="15">
        <v>0.4</v>
      </c>
      <c r="R5003" s="16" t="str">
        <f t="shared" si="426"/>
        <v>SAVANT</v>
      </c>
      <c r="S5003" s="17"/>
      <c r="T5003" s="10"/>
    </row>
    <row r="5004" spans="1:20" ht="27" customHeight="1" x14ac:dyDescent="0.25">
      <c r="A5004" s="8" t="s">
        <v>10412</v>
      </c>
      <c r="B5004" s="9"/>
      <c r="C5004" s="9"/>
      <c r="D5004" s="8"/>
      <c r="E5004" s="8"/>
      <c r="F5004" s="8"/>
      <c r="G5004" s="10"/>
      <c r="H5004" s="8" t="s">
        <v>10415</v>
      </c>
      <c r="I5004" s="10" t="s">
        <v>10416</v>
      </c>
      <c r="J5004" s="11" t="s">
        <v>26</v>
      </c>
      <c r="K5004" s="18">
        <v>440</v>
      </c>
      <c r="L5004" s="12">
        <f t="shared" si="427"/>
        <v>880</v>
      </c>
      <c r="M5004" s="8">
        <v>1</v>
      </c>
      <c r="N5004" s="8" t="s">
        <v>27</v>
      </c>
      <c r="O5004" s="13"/>
      <c r="P5004" s="14">
        <v>0.2</v>
      </c>
      <c r="Q5004" s="15">
        <v>0.4</v>
      </c>
      <c r="R5004" s="16" t="str">
        <f t="shared" si="426"/>
        <v>SAVANT</v>
      </c>
      <c r="S5004" s="17"/>
      <c r="T5004" s="10"/>
    </row>
    <row r="5005" spans="1:20" ht="27" customHeight="1" x14ac:dyDescent="0.25">
      <c r="A5005" s="8" t="s">
        <v>10412</v>
      </c>
      <c r="B5005" s="9"/>
      <c r="C5005" s="9"/>
      <c r="D5005" s="8"/>
      <c r="E5005" s="8"/>
      <c r="F5005" s="8"/>
      <c r="G5005" s="10"/>
      <c r="H5005" s="8" t="s">
        <v>10417</v>
      </c>
      <c r="I5005" s="10" t="s">
        <v>10418</v>
      </c>
      <c r="J5005" s="11" t="s">
        <v>26</v>
      </c>
      <c r="K5005" s="18">
        <f>587/2</f>
        <v>293.5</v>
      </c>
      <c r="L5005" s="12">
        <f t="shared" si="427"/>
        <v>587</v>
      </c>
      <c r="M5005" s="8">
        <v>1</v>
      </c>
      <c r="N5005" s="8" t="s">
        <v>27</v>
      </c>
      <c r="O5005" s="13"/>
      <c r="P5005" s="14">
        <v>0.2</v>
      </c>
      <c r="Q5005" s="15">
        <v>0.4</v>
      </c>
      <c r="R5005" s="16" t="str">
        <f t="shared" si="426"/>
        <v>SAVANT</v>
      </c>
      <c r="S5005" s="17"/>
      <c r="T5005" s="10"/>
    </row>
    <row r="5006" spans="1:20" ht="27" customHeight="1" x14ac:dyDescent="0.25">
      <c r="A5006" s="8" t="s">
        <v>10412</v>
      </c>
      <c r="B5006" s="9"/>
      <c r="C5006" s="9"/>
      <c r="D5006" s="8"/>
      <c r="E5006" s="8"/>
      <c r="F5006" s="8"/>
      <c r="G5006" s="10"/>
      <c r="H5006" s="8" t="s">
        <v>10419</v>
      </c>
      <c r="I5006" s="10" t="s">
        <v>10420</v>
      </c>
      <c r="J5006" s="11" t="s">
        <v>26</v>
      </c>
      <c r="K5006" s="18">
        <f>2934/2</f>
        <v>1467</v>
      </c>
      <c r="L5006" s="12">
        <f t="shared" si="427"/>
        <v>2934</v>
      </c>
      <c r="M5006" s="8">
        <v>1</v>
      </c>
      <c r="N5006" s="8" t="s">
        <v>27</v>
      </c>
      <c r="O5006" s="13"/>
      <c r="P5006" s="14">
        <v>0.2</v>
      </c>
      <c r="Q5006" s="15">
        <v>0.4</v>
      </c>
      <c r="R5006" s="16" t="str">
        <f t="shared" si="426"/>
        <v>SAVANT</v>
      </c>
      <c r="S5006" s="17"/>
      <c r="T5006" s="10"/>
    </row>
    <row r="5007" spans="1:20" ht="27" customHeight="1" x14ac:dyDescent="0.25">
      <c r="A5007" s="8" t="s">
        <v>9592</v>
      </c>
      <c r="B5007" s="9"/>
      <c r="C5007" s="9"/>
      <c r="D5007" s="8"/>
      <c r="E5007" s="8"/>
      <c r="F5007" s="8"/>
      <c r="G5007" s="10"/>
      <c r="H5007" s="8" t="s">
        <v>10421</v>
      </c>
      <c r="I5007" s="10" t="s">
        <v>10422</v>
      </c>
      <c r="J5007" s="11" t="s">
        <v>26</v>
      </c>
      <c r="K5007" s="18">
        <f>545/2</f>
        <v>272.5</v>
      </c>
      <c r="L5007" s="12">
        <f t="shared" si="427"/>
        <v>545</v>
      </c>
      <c r="M5007" s="8">
        <v>1</v>
      </c>
      <c r="N5007" s="8" t="s">
        <v>27</v>
      </c>
      <c r="O5007" s="13"/>
      <c r="P5007" s="14">
        <v>0.2</v>
      </c>
      <c r="Q5007" s="15">
        <v>0.4</v>
      </c>
      <c r="R5007" s="16" t="str">
        <f t="shared" si="426"/>
        <v>YALE</v>
      </c>
      <c r="S5007" s="17"/>
      <c r="T5007" s="10"/>
    </row>
    <row r="5008" spans="1:20" ht="27" customHeight="1" x14ac:dyDescent="0.25">
      <c r="A5008" s="8" t="s">
        <v>7554</v>
      </c>
      <c r="B5008" s="9"/>
      <c r="C5008" s="9"/>
      <c r="D5008" s="8"/>
      <c r="E5008" s="8"/>
      <c r="F5008" s="8"/>
      <c r="G5008" s="10"/>
      <c r="H5008" s="8" t="s">
        <v>10423</v>
      </c>
      <c r="I5008" s="10" t="s">
        <v>10424</v>
      </c>
      <c r="J5008" s="11" t="s">
        <v>33</v>
      </c>
      <c r="K5008" s="18">
        <v>40000</v>
      </c>
      <c r="L5008" s="12">
        <f t="shared" si="427"/>
        <v>66700</v>
      </c>
      <c r="M5008" s="8">
        <v>1</v>
      </c>
      <c r="N5008" s="8" t="s">
        <v>27</v>
      </c>
      <c r="O5008" s="13"/>
      <c r="P5008" s="14">
        <v>0.2</v>
      </c>
      <c r="Q5008" s="15">
        <v>0.4</v>
      </c>
      <c r="R5008" s="16" t="str">
        <f t="shared" si="426"/>
        <v>OSRAM</v>
      </c>
      <c r="S5008" s="17"/>
      <c r="T5008" s="10"/>
    </row>
    <row r="5009" spans="1:23" ht="27" customHeight="1" x14ac:dyDescent="0.25">
      <c r="A5009" s="8" t="s">
        <v>10425</v>
      </c>
      <c r="B5009" s="9"/>
      <c r="C5009" s="9"/>
      <c r="D5009" s="8"/>
      <c r="E5009" s="8"/>
      <c r="F5009" s="8"/>
      <c r="G5009" s="10"/>
      <c r="H5009" s="8" t="s">
        <v>10426</v>
      </c>
      <c r="I5009" s="10" t="s">
        <v>10427</v>
      </c>
      <c r="J5009" s="11" t="s">
        <v>33</v>
      </c>
      <c r="K5009" s="18">
        <v>50000</v>
      </c>
      <c r="L5009" s="12">
        <f t="shared" si="427"/>
        <v>83400</v>
      </c>
      <c r="M5009" s="8">
        <v>1</v>
      </c>
      <c r="N5009" s="8" t="s">
        <v>27</v>
      </c>
      <c r="O5009" s="13"/>
      <c r="P5009" s="14">
        <v>0.2</v>
      </c>
      <c r="Q5009" s="15">
        <v>0.4</v>
      </c>
      <c r="R5009" s="16" t="str">
        <f t="shared" si="426"/>
        <v>PHILLIPS</v>
      </c>
      <c r="S5009" s="17"/>
      <c r="T5009" s="10"/>
    </row>
    <row r="5010" spans="1:23" ht="27" customHeight="1" x14ac:dyDescent="0.25">
      <c r="A5010" s="8" t="s">
        <v>10428</v>
      </c>
      <c r="B5010" s="9"/>
      <c r="C5010" s="9"/>
      <c r="D5010" s="8"/>
      <c r="E5010" s="8"/>
      <c r="F5010" s="8"/>
      <c r="G5010" s="10"/>
      <c r="H5010" s="8" t="s">
        <v>10429</v>
      </c>
      <c r="I5010" s="10" t="s">
        <v>10430</v>
      </c>
      <c r="J5010" s="11" t="s">
        <v>26</v>
      </c>
      <c r="K5010" s="18">
        <f>390/2</f>
        <v>195</v>
      </c>
      <c r="L5010" s="12">
        <f t="shared" si="427"/>
        <v>390</v>
      </c>
      <c r="M5010" s="8">
        <v>1</v>
      </c>
      <c r="N5010" s="8" t="s">
        <v>27</v>
      </c>
      <c r="O5010" s="13"/>
      <c r="P5010" s="14">
        <v>0.2</v>
      </c>
      <c r="Q5010" s="15">
        <v>0.4</v>
      </c>
      <c r="R5010" s="16" t="str">
        <f t="shared" si="426"/>
        <v>IPort</v>
      </c>
      <c r="S5010" s="17"/>
      <c r="T5010" s="10"/>
    </row>
    <row r="5011" spans="1:23" ht="27" customHeight="1" x14ac:dyDescent="0.25">
      <c r="A5011" s="8" t="s">
        <v>10428</v>
      </c>
      <c r="B5011" s="9"/>
      <c r="C5011" s="9"/>
      <c r="D5011" s="8"/>
      <c r="E5011" s="8"/>
      <c r="F5011" s="8"/>
      <c r="G5011" s="10"/>
      <c r="H5011" s="8" t="s">
        <v>10431</v>
      </c>
      <c r="I5011" s="10" t="s">
        <v>10432</v>
      </c>
      <c r="J5011" s="11" t="s">
        <v>26</v>
      </c>
      <c r="K5011" s="18">
        <f>390/2</f>
        <v>195</v>
      </c>
      <c r="L5011" s="12">
        <f t="shared" si="427"/>
        <v>390</v>
      </c>
      <c r="M5011" s="8">
        <v>1</v>
      </c>
      <c r="N5011" s="8" t="s">
        <v>27</v>
      </c>
      <c r="O5011" s="13"/>
      <c r="P5011" s="14">
        <v>0.2</v>
      </c>
      <c r="Q5011" s="15">
        <v>0.4</v>
      </c>
      <c r="R5011" s="16" t="str">
        <f t="shared" si="426"/>
        <v>IPort</v>
      </c>
      <c r="S5011" s="17"/>
      <c r="T5011" s="10"/>
    </row>
    <row r="5012" spans="1:23" ht="27" customHeight="1" x14ac:dyDescent="0.25">
      <c r="A5012" s="8" t="s">
        <v>7474</v>
      </c>
      <c r="B5012" s="9"/>
      <c r="C5012" s="9"/>
      <c r="D5012" s="8"/>
      <c r="E5012" s="8"/>
      <c r="F5012" s="8"/>
      <c r="G5012" s="10"/>
      <c r="H5012" s="8" t="s">
        <v>10433</v>
      </c>
      <c r="I5012" s="10" t="s">
        <v>10434</v>
      </c>
      <c r="J5012" s="11" t="s">
        <v>26</v>
      </c>
      <c r="K5012" s="18">
        <v>424</v>
      </c>
      <c r="L5012" s="12">
        <f t="shared" si="427"/>
        <v>782.76923076923072</v>
      </c>
      <c r="M5012" s="8">
        <v>1</v>
      </c>
      <c r="N5012" s="8" t="s">
        <v>27</v>
      </c>
      <c r="O5012" s="13"/>
      <c r="P5012" s="14">
        <v>0.2</v>
      </c>
      <c r="Q5012" s="15">
        <v>0.35</v>
      </c>
      <c r="R5012" s="16" t="str">
        <f t="shared" si="426"/>
        <v>ONKYO</v>
      </c>
      <c r="S5012" s="17"/>
      <c r="T5012" s="10"/>
      <c r="V5012" s="21"/>
    </row>
    <row r="5013" spans="1:23" ht="27" customHeight="1" x14ac:dyDescent="0.25">
      <c r="A5013" s="8" t="s">
        <v>7474</v>
      </c>
      <c r="B5013" s="9"/>
      <c r="C5013" s="9"/>
      <c r="D5013" s="8"/>
      <c r="E5013" s="8"/>
      <c r="F5013" s="8"/>
      <c r="G5013" s="10"/>
      <c r="H5013" s="8" t="s">
        <v>10435</v>
      </c>
      <c r="I5013" s="10" t="s">
        <v>10436</v>
      </c>
      <c r="J5013" s="11" t="s">
        <v>26</v>
      </c>
      <c r="K5013" s="18">
        <v>668</v>
      </c>
      <c r="L5013" s="12">
        <f t="shared" si="427"/>
        <v>1336</v>
      </c>
      <c r="M5013" s="8">
        <v>1</v>
      </c>
      <c r="N5013" s="8" t="s">
        <v>27</v>
      </c>
      <c r="O5013" s="13"/>
      <c r="P5013" s="14">
        <v>0.2</v>
      </c>
      <c r="Q5013" s="15">
        <v>0.4</v>
      </c>
      <c r="R5013" s="16" t="str">
        <f t="shared" si="426"/>
        <v>ONKYO</v>
      </c>
      <c r="S5013" s="17"/>
      <c r="T5013" s="10"/>
    </row>
    <row r="5014" spans="1:23" ht="27" customHeight="1" x14ac:dyDescent="0.25">
      <c r="A5014" s="8" t="s">
        <v>7825</v>
      </c>
      <c r="B5014" s="9"/>
      <c r="C5014" s="9"/>
      <c r="D5014" s="8"/>
      <c r="E5014" s="8"/>
      <c r="F5014" s="8"/>
      <c r="G5014" s="10"/>
      <c r="H5014" s="8" t="s">
        <v>10437</v>
      </c>
      <c r="I5014" s="10" t="s">
        <v>10438</v>
      </c>
      <c r="J5014" s="11" t="s">
        <v>26</v>
      </c>
      <c r="K5014" s="18">
        <v>35</v>
      </c>
      <c r="L5014" s="12">
        <f t="shared" si="427"/>
        <v>70</v>
      </c>
      <c r="M5014" s="8">
        <v>1</v>
      </c>
      <c r="N5014" s="8" t="s">
        <v>27</v>
      </c>
      <c r="O5014" s="13"/>
      <c r="P5014" s="14">
        <v>0.2</v>
      </c>
      <c r="Q5014" s="15">
        <v>0.4</v>
      </c>
      <c r="R5014" s="16" t="str">
        <f t="shared" si="426"/>
        <v>PYLE</v>
      </c>
      <c r="S5014" s="17"/>
      <c r="T5014" s="10"/>
    </row>
    <row r="5015" spans="1:23" ht="27" customHeight="1" x14ac:dyDescent="0.25">
      <c r="A5015" s="8" t="s">
        <v>10439</v>
      </c>
      <c r="B5015" s="9"/>
      <c r="C5015" s="9"/>
      <c r="D5015" s="8"/>
      <c r="E5015" s="8"/>
      <c r="F5015" s="8"/>
      <c r="G5015" s="10"/>
      <c r="H5015" s="8" t="s">
        <v>10440</v>
      </c>
      <c r="I5015" s="10" t="s">
        <v>10441</v>
      </c>
      <c r="J5015" s="11" t="s">
        <v>33</v>
      </c>
      <c r="K5015" s="18">
        <v>3000000</v>
      </c>
      <c r="L5015" s="12">
        <f t="shared" si="427"/>
        <v>4285800</v>
      </c>
      <c r="M5015" s="8">
        <v>1</v>
      </c>
      <c r="N5015" s="8" t="s">
        <v>27</v>
      </c>
      <c r="O5015" s="13"/>
      <c r="P5015" s="14">
        <v>0</v>
      </c>
      <c r="Q5015" s="15">
        <v>0.3</v>
      </c>
      <c r="R5015" s="16" t="str">
        <f t="shared" si="426"/>
        <v>RYMEL</v>
      </c>
      <c r="S5015" s="17"/>
      <c r="T5015" s="10"/>
    </row>
    <row r="5016" spans="1:23" ht="27" customHeight="1" x14ac:dyDescent="0.25">
      <c r="A5016" s="8" t="s">
        <v>10439</v>
      </c>
      <c r="B5016" s="9"/>
      <c r="C5016" s="9"/>
      <c r="D5016" s="8"/>
      <c r="E5016" s="8"/>
      <c r="F5016" s="8"/>
      <c r="G5016" s="10"/>
      <c r="H5016" s="8" t="s">
        <v>10442</v>
      </c>
      <c r="I5016" s="10" t="s">
        <v>10443</v>
      </c>
      <c r="J5016" s="11" t="s">
        <v>33</v>
      </c>
      <c r="K5016" s="18">
        <v>95000</v>
      </c>
      <c r="L5016" s="12">
        <f t="shared" si="427"/>
        <v>135800</v>
      </c>
      <c r="M5016" s="8">
        <v>1</v>
      </c>
      <c r="N5016" s="8" t="s">
        <v>27</v>
      </c>
      <c r="O5016" s="13"/>
      <c r="P5016" s="14">
        <v>0</v>
      </c>
      <c r="Q5016" s="15">
        <v>0.3</v>
      </c>
      <c r="R5016" s="16" t="str">
        <f t="shared" si="426"/>
        <v>RYMEL</v>
      </c>
      <c r="S5016" s="17"/>
      <c r="T5016" s="10"/>
    </row>
    <row r="5017" spans="1:23" ht="27" customHeight="1" x14ac:dyDescent="0.25">
      <c r="A5017" s="8" t="s">
        <v>7654</v>
      </c>
      <c r="B5017" s="9"/>
      <c r="C5017" s="9"/>
      <c r="D5017" s="8"/>
      <c r="E5017" s="8"/>
      <c r="F5017" s="8"/>
      <c r="G5017" s="10"/>
      <c r="H5017" s="8" t="s">
        <v>10444</v>
      </c>
      <c r="I5017" s="10" t="s">
        <v>10445</v>
      </c>
      <c r="J5017" s="11" t="s">
        <v>33</v>
      </c>
      <c r="K5017" s="18">
        <v>1000</v>
      </c>
      <c r="L5017" s="12">
        <f t="shared" si="427"/>
        <v>1500</v>
      </c>
      <c r="M5017" s="8">
        <v>1</v>
      </c>
      <c r="N5017" s="8" t="s">
        <v>27</v>
      </c>
      <c r="O5017" s="13"/>
      <c r="P5017" s="14">
        <v>0</v>
      </c>
      <c r="Q5017" s="15">
        <v>0.3</v>
      </c>
      <c r="R5017" s="16" t="str">
        <f t="shared" si="426"/>
        <v>PAVCO</v>
      </c>
      <c r="S5017" s="17"/>
      <c r="T5017" s="10"/>
    </row>
    <row r="5018" spans="1:23" ht="27" customHeight="1" x14ac:dyDescent="0.25">
      <c r="A5018" s="8" t="s">
        <v>2512</v>
      </c>
      <c r="B5018" s="9"/>
      <c r="C5018" s="9"/>
      <c r="D5018" s="8"/>
      <c r="E5018" s="8"/>
      <c r="F5018" s="8"/>
      <c r="G5018" s="10"/>
      <c r="H5018" s="8" t="s">
        <v>10446</v>
      </c>
      <c r="I5018" s="10" t="s">
        <v>10447</v>
      </c>
      <c r="J5018" s="11" t="s">
        <v>33</v>
      </c>
      <c r="K5018" s="18">
        <v>450</v>
      </c>
      <c r="L5018" s="12">
        <f t="shared" si="427"/>
        <v>700</v>
      </c>
      <c r="M5018" s="8">
        <v>1</v>
      </c>
      <c r="N5018" s="8" t="s">
        <v>27</v>
      </c>
      <c r="O5018" s="13"/>
      <c r="P5018" s="14">
        <v>0</v>
      </c>
      <c r="Q5018" s="15">
        <v>0.3</v>
      </c>
      <c r="R5018" s="16" t="str">
        <f t="shared" si="426"/>
        <v>GENERAL</v>
      </c>
      <c r="S5018" s="17"/>
      <c r="T5018" s="10"/>
    </row>
    <row r="5019" spans="1:23" ht="27" customHeight="1" x14ac:dyDescent="0.25">
      <c r="A5019" s="8" t="s">
        <v>2512</v>
      </c>
      <c r="B5019" s="9"/>
      <c r="C5019" s="9"/>
      <c r="D5019" s="8"/>
      <c r="E5019" s="8"/>
      <c r="F5019" s="8"/>
      <c r="G5019" s="10"/>
      <c r="H5019" s="8" t="s">
        <v>10448</v>
      </c>
      <c r="I5019" s="10" t="s">
        <v>10449</v>
      </c>
      <c r="J5019" s="11" t="s">
        <v>26</v>
      </c>
      <c r="K5019" s="18">
        <v>24</v>
      </c>
      <c r="L5019" s="12">
        <f t="shared" si="427"/>
        <v>41.142857142857139</v>
      </c>
      <c r="M5019" s="8">
        <v>1</v>
      </c>
      <c r="N5019" s="8" t="s">
        <v>27</v>
      </c>
      <c r="O5019" s="13"/>
      <c r="P5019" s="14">
        <v>0.2</v>
      </c>
      <c r="Q5019" s="15">
        <v>0.3</v>
      </c>
      <c r="R5019" s="16" t="str">
        <f t="shared" si="426"/>
        <v>GENERAL</v>
      </c>
      <c r="S5019" s="17"/>
      <c r="T5019" s="10"/>
      <c r="W5019" s="39" t="s">
        <v>10450</v>
      </c>
    </row>
    <row r="5020" spans="1:23" ht="27" customHeight="1" x14ac:dyDescent="0.25">
      <c r="A5020" s="8" t="s">
        <v>10370</v>
      </c>
      <c r="B5020" s="9"/>
      <c r="C5020" s="9"/>
      <c r="D5020" s="8"/>
      <c r="E5020" s="8"/>
      <c r="F5020" s="8"/>
      <c r="G5020" s="10"/>
      <c r="H5020" s="8" t="s">
        <v>10451</v>
      </c>
      <c r="I5020" s="10" t="s">
        <v>10452</v>
      </c>
      <c r="J5020" s="11" t="s">
        <v>26</v>
      </c>
      <c r="K5020" s="18">
        <v>5.0076923076923077</v>
      </c>
      <c r="L5020" s="12">
        <f t="shared" si="427"/>
        <v>10.85</v>
      </c>
      <c r="M5020" s="8">
        <v>1</v>
      </c>
      <c r="N5020" s="8" t="s">
        <v>27</v>
      </c>
      <c r="O5020" s="13"/>
      <c r="P5020" s="14">
        <v>0.3</v>
      </c>
      <c r="Q5020" s="15">
        <v>0.4</v>
      </c>
      <c r="R5020" s="16" t="str">
        <f t="shared" si="426"/>
        <v>LEDYI</v>
      </c>
      <c r="S5020" s="17"/>
      <c r="T5020" s="10"/>
      <c r="W5020">
        <v>10.85</v>
      </c>
    </row>
    <row r="5021" spans="1:23" ht="27" customHeight="1" x14ac:dyDescent="0.25">
      <c r="A5021" s="8" t="s">
        <v>10370</v>
      </c>
      <c r="B5021" s="9"/>
      <c r="C5021" s="9"/>
      <c r="D5021" s="8"/>
      <c r="E5021" s="8"/>
      <c r="F5021" s="8"/>
      <c r="G5021" s="10"/>
      <c r="H5021" s="8" t="s">
        <v>10453</v>
      </c>
      <c r="I5021" s="10" t="s">
        <v>10454</v>
      </c>
      <c r="J5021" s="11" t="s">
        <v>26</v>
      </c>
      <c r="K5021" s="18">
        <v>2.7230769230769218</v>
      </c>
      <c r="L5021" s="12">
        <f t="shared" si="427"/>
        <v>5.8999999999999977</v>
      </c>
      <c r="M5021" s="8">
        <v>1</v>
      </c>
      <c r="N5021" s="8" t="s">
        <v>27</v>
      </c>
      <c r="O5021" s="13"/>
      <c r="P5021" s="14">
        <v>0.3</v>
      </c>
      <c r="Q5021" s="15">
        <v>0.4</v>
      </c>
      <c r="R5021" s="16" t="str">
        <f t="shared" si="426"/>
        <v>LEDYI</v>
      </c>
      <c r="S5021" s="17"/>
      <c r="T5021" s="10"/>
      <c r="W5021">
        <v>5.9</v>
      </c>
    </row>
    <row r="5022" spans="1:23" ht="27" customHeight="1" x14ac:dyDescent="0.25">
      <c r="A5022" s="8" t="s">
        <v>10258</v>
      </c>
      <c r="B5022" s="9"/>
      <c r="C5022" s="9"/>
      <c r="D5022" s="8"/>
      <c r="E5022" s="8"/>
      <c r="F5022" s="8"/>
      <c r="G5022" s="10"/>
      <c r="H5022" s="8" t="s">
        <v>10455</v>
      </c>
      <c r="I5022" s="10" t="s">
        <v>10456</v>
      </c>
      <c r="J5022" s="11" t="s">
        <v>26</v>
      </c>
      <c r="K5022" s="18">
        <v>36.92307692307692</v>
      </c>
      <c r="L5022" s="12">
        <f t="shared" si="427"/>
        <v>86.153846153846146</v>
      </c>
      <c r="M5022" s="8">
        <v>1</v>
      </c>
      <c r="N5022" s="8" t="s">
        <v>27</v>
      </c>
      <c r="O5022" s="13"/>
      <c r="P5022" s="14">
        <v>0.4</v>
      </c>
      <c r="Q5022" s="15">
        <v>0.4</v>
      </c>
      <c r="R5022" s="16" t="str">
        <f t="shared" si="426"/>
        <v>SC_POWER</v>
      </c>
      <c r="S5022" s="17"/>
      <c r="T5022" s="10"/>
      <c r="W5022">
        <v>80</v>
      </c>
    </row>
    <row r="5023" spans="1:23" ht="27" customHeight="1" x14ac:dyDescent="0.25">
      <c r="A5023" s="8" t="s">
        <v>10258</v>
      </c>
      <c r="B5023" s="9"/>
      <c r="C5023" s="9"/>
      <c r="D5023" s="8"/>
      <c r="E5023" s="8"/>
      <c r="F5023" s="8"/>
      <c r="G5023" s="10"/>
      <c r="H5023" s="8" t="s">
        <v>10457</v>
      </c>
      <c r="I5023" s="10" t="s">
        <v>10458</v>
      </c>
      <c r="J5023" s="11" t="s">
        <v>26</v>
      </c>
      <c r="K5023" s="18">
        <v>36.92307692307692</v>
      </c>
      <c r="L5023" s="12">
        <f t="shared" si="427"/>
        <v>86.153846153846146</v>
      </c>
      <c r="M5023" s="8">
        <v>1</v>
      </c>
      <c r="N5023" s="8" t="s">
        <v>27</v>
      </c>
      <c r="O5023" s="13"/>
      <c r="P5023" s="14">
        <v>0.4</v>
      </c>
      <c r="Q5023" s="15">
        <v>0.4</v>
      </c>
      <c r="R5023" s="16" t="str">
        <f t="shared" si="426"/>
        <v>SC_POWER</v>
      </c>
      <c r="S5023" s="17"/>
      <c r="T5023" s="10"/>
      <c r="W5023">
        <v>80</v>
      </c>
    </row>
    <row r="5024" spans="1:23" ht="27" customHeight="1" x14ac:dyDescent="0.25">
      <c r="A5024" s="8" t="s">
        <v>10258</v>
      </c>
      <c r="B5024" s="9"/>
      <c r="C5024" s="9"/>
      <c r="D5024" s="8"/>
      <c r="E5024" s="8"/>
      <c r="F5024" s="8"/>
      <c r="G5024" s="10"/>
      <c r="H5024" s="8" t="s">
        <v>10459</v>
      </c>
      <c r="I5024" s="10" t="s">
        <v>10460</v>
      </c>
      <c r="J5024" s="11" t="s">
        <v>26</v>
      </c>
      <c r="K5024" s="18">
        <v>36.92307692307692</v>
      </c>
      <c r="L5024" s="12">
        <f t="shared" si="427"/>
        <v>86.153846153846146</v>
      </c>
      <c r="M5024" s="8">
        <v>1</v>
      </c>
      <c r="N5024" s="8" t="s">
        <v>27</v>
      </c>
      <c r="O5024" s="13"/>
      <c r="P5024" s="14">
        <v>0.4</v>
      </c>
      <c r="Q5024" s="15">
        <v>0.4</v>
      </c>
      <c r="R5024" s="16" t="str">
        <f t="shared" si="426"/>
        <v>SC_POWER</v>
      </c>
      <c r="S5024" s="17"/>
      <c r="T5024" s="10"/>
      <c r="W5024">
        <v>80</v>
      </c>
    </row>
    <row r="5025" spans="1:23" ht="27" customHeight="1" x14ac:dyDescent="0.25">
      <c r="A5025" s="8" t="s">
        <v>10370</v>
      </c>
      <c r="B5025" s="9"/>
      <c r="C5025" s="9"/>
      <c r="D5025" s="8"/>
      <c r="E5025" s="8"/>
      <c r="F5025" s="8"/>
      <c r="G5025" s="10"/>
      <c r="H5025" s="8" t="s">
        <v>10461</v>
      </c>
      <c r="I5025" s="10" t="s">
        <v>10462</v>
      </c>
      <c r="J5025" s="11" t="s">
        <v>26</v>
      </c>
      <c r="K5025" s="18">
        <v>5.0076923076923077</v>
      </c>
      <c r="L5025" s="12">
        <f t="shared" si="427"/>
        <v>10.85</v>
      </c>
      <c r="M5025" s="8">
        <v>1</v>
      </c>
      <c r="N5025" s="8" t="s">
        <v>27</v>
      </c>
      <c r="O5025" s="13"/>
      <c r="P5025" s="14">
        <v>0.3</v>
      </c>
      <c r="Q5025" s="15">
        <v>0.4</v>
      </c>
      <c r="R5025" s="16" t="str">
        <f t="shared" si="426"/>
        <v>LEDYI</v>
      </c>
      <c r="S5025" s="17"/>
      <c r="T5025" s="10"/>
      <c r="W5025">
        <v>10.85</v>
      </c>
    </row>
    <row r="5026" spans="1:23" ht="27" customHeight="1" x14ac:dyDescent="0.25">
      <c r="A5026" s="8" t="s">
        <v>10258</v>
      </c>
      <c r="B5026" s="9"/>
      <c r="C5026" s="9"/>
      <c r="D5026" s="8"/>
      <c r="E5026" s="8"/>
      <c r="F5026" s="8"/>
      <c r="G5026" s="10"/>
      <c r="H5026" s="8" t="s">
        <v>10463</v>
      </c>
      <c r="I5026" s="10" t="s">
        <v>10458</v>
      </c>
      <c r="J5026" s="11" t="s">
        <v>26</v>
      </c>
      <c r="K5026" s="18">
        <v>36.92307692307692</v>
      </c>
      <c r="L5026" s="12">
        <f t="shared" si="427"/>
        <v>86.153846153846146</v>
      </c>
      <c r="M5026" s="8">
        <v>1</v>
      </c>
      <c r="N5026" s="8" t="s">
        <v>27</v>
      </c>
      <c r="O5026" s="13"/>
      <c r="P5026" s="14">
        <v>0.4</v>
      </c>
      <c r="Q5026" s="15">
        <v>0.4</v>
      </c>
      <c r="R5026" s="16" t="str">
        <f t="shared" si="426"/>
        <v>SC_POWER</v>
      </c>
      <c r="S5026" s="17"/>
      <c r="T5026" s="10"/>
      <c r="W5026">
        <v>80</v>
      </c>
    </row>
    <row r="5027" spans="1:23" ht="27" customHeight="1" x14ac:dyDescent="0.25">
      <c r="A5027" s="8" t="s">
        <v>10258</v>
      </c>
      <c r="B5027" s="9"/>
      <c r="C5027" s="9"/>
      <c r="D5027" s="8"/>
      <c r="E5027" s="8"/>
      <c r="F5027" s="8"/>
      <c r="G5027" s="10"/>
      <c r="H5027" s="8" t="s">
        <v>10464</v>
      </c>
      <c r="I5027" s="10" t="s">
        <v>10465</v>
      </c>
      <c r="J5027" s="11" t="s">
        <v>26</v>
      </c>
      <c r="K5027" s="18">
        <v>36.92307692307692</v>
      </c>
      <c r="L5027" s="12">
        <f t="shared" si="427"/>
        <v>86.153846153846146</v>
      </c>
      <c r="M5027" s="8">
        <v>1</v>
      </c>
      <c r="N5027" s="8" t="s">
        <v>27</v>
      </c>
      <c r="O5027" s="13"/>
      <c r="P5027" s="14">
        <v>0.4</v>
      </c>
      <c r="Q5027" s="15">
        <v>0.4</v>
      </c>
      <c r="R5027" s="16" t="str">
        <f t="shared" si="426"/>
        <v>SC_POWER</v>
      </c>
      <c r="S5027" s="17"/>
      <c r="T5027" s="10"/>
      <c r="W5027">
        <v>80</v>
      </c>
    </row>
    <row r="5028" spans="1:23" ht="27" customHeight="1" x14ac:dyDescent="0.25">
      <c r="A5028" s="8" t="s">
        <v>10370</v>
      </c>
      <c r="B5028" s="9"/>
      <c r="C5028" s="9"/>
      <c r="D5028" s="8"/>
      <c r="E5028" s="8"/>
      <c r="F5028" s="8"/>
      <c r="G5028" s="10"/>
      <c r="H5028" s="8" t="s">
        <v>10466</v>
      </c>
      <c r="I5028" s="10" t="s">
        <v>10467</v>
      </c>
      <c r="J5028" s="11" t="s">
        <v>26</v>
      </c>
      <c r="K5028" s="18">
        <v>3.7061538461538448</v>
      </c>
      <c r="L5028" s="12">
        <f t="shared" si="427"/>
        <v>8.0299999999999976</v>
      </c>
      <c r="M5028" s="8">
        <v>1</v>
      </c>
      <c r="N5028" s="8" t="s">
        <v>27</v>
      </c>
      <c r="O5028" s="13"/>
      <c r="P5028" s="14">
        <v>0.3</v>
      </c>
      <c r="Q5028" s="15">
        <v>0.4</v>
      </c>
      <c r="R5028" s="16" t="str">
        <f t="shared" si="426"/>
        <v>LEDYI</v>
      </c>
      <c r="S5028" s="17"/>
      <c r="T5028" s="10"/>
      <c r="W5028">
        <v>8.0299999999999994</v>
      </c>
    </row>
    <row r="5029" spans="1:23" ht="27" customHeight="1" x14ac:dyDescent="0.25">
      <c r="A5029" s="8" t="s">
        <v>10258</v>
      </c>
      <c r="B5029" s="8" t="s">
        <v>10258</v>
      </c>
      <c r="C5029" s="9"/>
      <c r="D5029" s="8"/>
      <c r="E5029" s="8"/>
      <c r="F5029" s="8"/>
      <c r="G5029" s="10"/>
      <c r="H5029" s="8" t="s">
        <v>10468</v>
      </c>
      <c r="I5029" s="10" t="s">
        <v>10465</v>
      </c>
      <c r="J5029" s="11" t="s">
        <v>26</v>
      </c>
      <c r="K5029" s="18">
        <v>36.92307692307692</v>
      </c>
      <c r="L5029" s="12">
        <f t="shared" si="427"/>
        <v>86.153846153846146</v>
      </c>
      <c r="M5029" s="8">
        <v>1</v>
      </c>
      <c r="N5029" s="8" t="s">
        <v>27</v>
      </c>
      <c r="O5029" s="13"/>
      <c r="P5029" s="14">
        <v>0.4</v>
      </c>
      <c r="Q5029" s="15">
        <v>0.4</v>
      </c>
      <c r="R5029" s="16" t="str">
        <f t="shared" si="426"/>
        <v>SC_POWER</v>
      </c>
      <c r="S5029" s="17"/>
      <c r="T5029" s="10"/>
      <c r="W5029">
        <v>80</v>
      </c>
    </row>
    <row r="5030" spans="1:23" ht="27" customHeight="1" x14ac:dyDescent="0.25">
      <c r="A5030" s="8" t="s">
        <v>10367</v>
      </c>
      <c r="B5030" s="9"/>
      <c r="C5030" s="9"/>
      <c r="D5030" s="8"/>
      <c r="E5030" s="8"/>
      <c r="F5030" s="8"/>
      <c r="G5030" s="10"/>
      <c r="H5030" s="8" t="s">
        <v>10469</v>
      </c>
      <c r="I5030" s="10" t="s">
        <v>10470</v>
      </c>
      <c r="J5030" s="11" t="s">
        <v>26</v>
      </c>
      <c r="K5030" s="18">
        <v>27.69230769230769</v>
      </c>
      <c r="L5030" s="12">
        <f t="shared" si="427"/>
        <v>60</v>
      </c>
      <c r="M5030" s="8">
        <v>1</v>
      </c>
      <c r="N5030" s="8" t="s">
        <v>27</v>
      </c>
      <c r="O5030" s="13"/>
      <c r="P5030" s="14">
        <v>0.3</v>
      </c>
      <c r="Q5030" s="15">
        <v>0.4</v>
      </c>
      <c r="R5030" s="16" t="str">
        <f t="shared" si="426"/>
        <v>COOPER</v>
      </c>
      <c r="S5030" s="17"/>
      <c r="T5030" s="10"/>
      <c r="W5030">
        <v>60</v>
      </c>
    </row>
    <row r="5031" spans="1:23" ht="27" customHeight="1" x14ac:dyDescent="0.25">
      <c r="A5031" s="8" t="s">
        <v>10370</v>
      </c>
      <c r="B5031" s="9"/>
      <c r="C5031" s="9"/>
      <c r="D5031" s="8"/>
      <c r="E5031" s="8"/>
      <c r="F5031" s="8"/>
      <c r="G5031" s="10"/>
      <c r="H5031" s="8" t="s">
        <v>10471</v>
      </c>
      <c r="I5031" s="10" t="s">
        <v>10472</v>
      </c>
      <c r="J5031" s="11" t="s">
        <v>26</v>
      </c>
      <c r="K5031" s="18">
        <v>5.4692307692307693</v>
      </c>
      <c r="L5031" s="12">
        <f t="shared" si="427"/>
        <v>11.850000000000001</v>
      </c>
      <c r="M5031" s="8">
        <v>1</v>
      </c>
      <c r="N5031" s="8" t="s">
        <v>27</v>
      </c>
      <c r="O5031" s="13"/>
      <c r="P5031" s="14">
        <v>0.3</v>
      </c>
      <c r="Q5031" s="15">
        <v>0.4</v>
      </c>
      <c r="R5031" s="16" t="str">
        <f t="shared" si="426"/>
        <v>LEDYI</v>
      </c>
      <c r="S5031" s="17"/>
      <c r="T5031" s="10"/>
      <c r="W5031">
        <v>11.85</v>
      </c>
    </row>
    <row r="5032" spans="1:23" ht="27" customHeight="1" x14ac:dyDescent="0.25">
      <c r="A5032" s="8" t="s">
        <v>10370</v>
      </c>
      <c r="B5032" s="9"/>
      <c r="C5032" s="9"/>
      <c r="D5032" s="8"/>
      <c r="E5032" s="8"/>
      <c r="F5032" s="8"/>
      <c r="G5032" s="10"/>
      <c r="H5032" s="8" t="s">
        <v>10473</v>
      </c>
      <c r="I5032" s="10" t="s">
        <v>10474</v>
      </c>
      <c r="J5032" s="11" t="s">
        <v>26</v>
      </c>
      <c r="K5032" s="18">
        <v>2.321538461538462</v>
      </c>
      <c r="L5032" s="12">
        <f t="shared" si="427"/>
        <v>5.0300000000000011</v>
      </c>
      <c r="M5032" s="8">
        <v>1</v>
      </c>
      <c r="N5032" s="8" t="s">
        <v>27</v>
      </c>
      <c r="O5032" s="13"/>
      <c r="P5032" s="14">
        <v>0.3</v>
      </c>
      <c r="Q5032" s="15">
        <v>0.4</v>
      </c>
      <c r="R5032" s="16" t="str">
        <f t="shared" si="426"/>
        <v>LEDYI</v>
      </c>
      <c r="S5032" s="17"/>
      <c r="T5032" s="10"/>
      <c r="W5032">
        <v>5.03</v>
      </c>
    </row>
    <row r="5033" spans="1:23" ht="27" customHeight="1" x14ac:dyDescent="0.25">
      <c r="A5033" s="8" t="s">
        <v>10370</v>
      </c>
      <c r="B5033" s="9"/>
      <c r="C5033" s="9"/>
      <c r="D5033" s="8"/>
      <c r="E5033" s="8"/>
      <c r="F5033" s="8"/>
      <c r="G5033" s="10"/>
      <c r="H5033" s="8" t="s">
        <v>10475</v>
      </c>
      <c r="I5033" s="10" t="s">
        <v>10476</v>
      </c>
      <c r="J5033" s="11" t="s">
        <v>26</v>
      </c>
      <c r="K5033" s="18">
        <v>2.8615384615384611</v>
      </c>
      <c r="L5033" s="12">
        <f t="shared" si="427"/>
        <v>6.2</v>
      </c>
      <c r="M5033" s="8">
        <v>1</v>
      </c>
      <c r="N5033" s="8" t="s">
        <v>27</v>
      </c>
      <c r="O5033" s="13"/>
      <c r="P5033" s="14">
        <v>0.3</v>
      </c>
      <c r="Q5033" s="15">
        <v>0.4</v>
      </c>
      <c r="R5033" s="16" t="str">
        <f t="shared" si="426"/>
        <v>LEDYI</v>
      </c>
      <c r="S5033" s="17"/>
      <c r="T5033" s="10"/>
      <c r="W5033">
        <v>6.2</v>
      </c>
    </row>
    <row r="5034" spans="1:23" ht="27" customHeight="1" x14ac:dyDescent="0.25">
      <c r="A5034" s="8" t="s">
        <v>10258</v>
      </c>
      <c r="B5034" s="9"/>
      <c r="C5034" s="9"/>
      <c r="D5034" s="8"/>
      <c r="E5034" s="8"/>
      <c r="F5034" s="8"/>
      <c r="G5034" s="10"/>
      <c r="H5034" s="8" t="s">
        <v>10477</v>
      </c>
      <c r="I5034" s="10" t="s">
        <v>10465</v>
      </c>
      <c r="J5034" s="11" t="s">
        <v>26</v>
      </c>
      <c r="K5034" s="18">
        <v>41.538461538461533</v>
      </c>
      <c r="L5034" s="12">
        <f t="shared" si="427"/>
        <v>96.923076923076906</v>
      </c>
      <c r="M5034" s="8">
        <v>1</v>
      </c>
      <c r="N5034" s="8" t="s">
        <v>27</v>
      </c>
      <c r="O5034" s="13"/>
      <c r="P5034" s="14">
        <v>0.4</v>
      </c>
      <c r="Q5034" s="15">
        <v>0.4</v>
      </c>
      <c r="R5034" s="16" t="str">
        <f t="shared" si="426"/>
        <v>SC_POWER</v>
      </c>
      <c r="S5034" s="17"/>
      <c r="T5034" s="10"/>
      <c r="W5034">
        <v>90</v>
      </c>
    </row>
    <row r="5035" spans="1:23" ht="27" customHeight="1" x14ac:dyDescent="0.25">
      <c r="A5035" s="8" t="s">
        <v>10367</v>
      </c>
      <c r="B5035" s="9"/>
      <c r="C5035" s="9"/>
      <c r="D5035" s="8"/>
      <c r="E5035" s="8"/>
      <c r="F5035" s="8"/>
      <c r="G5035" s="10"/>
      <c r="H5035" s="8" t="s">
        <v>10478</v>
      </c>
      <c r="I5035" s="10" t="s">
        <v>10479</v>
      </c>
      <c r="J5035" s="11" t="s">
        <v>26</v>
      </c>
      <c r="K5035" s="18">
        <v>25.5</v>
      </c>
      <c r="L5035" s="12">
        <f t="shared" si="427"/>
        <v>55.25</v>
      </c>
      <c r="M5035" s="8">
        <v>1</v>
      </c>
      <c r="N5035" s="8" t="s">
        <v>27</v>
      </c>
      <c r="O5035" s="13"/>
      <c r="P5035" s="14">
        <v>0.3</v>
      </c>
      <c r="Q5035" s="15">
        <v>0.4</v>
      </c>
      <c r="R5035" s="16" t="str">
        <f t="shared" si="426"/>
        <v>COOPER</v>
      </c>
      <c r="S5035" s="17"/>
      <c r="T5035" s="10"/>
      <c r="W5035">
        <v>55</v>
      </c>
    </row>
    <row r="5036" spans="1:23" ht="27" customHeight="1" x14ac:dyDescent="0.25">
      <c r="A5036" s="8" t="s">
        <v>2252</v>
      </c>
      <c r="B5036" s="9" t="s">
        <v>1070</v>
      </c>
      <c r="C5036" s="9"/>
      <c r="D5036" s="8" t="s">
        <v>28</v>
      </c>
      <c r="E5036" s="8">
        <v>2</v>
      </c>
      <c r="F5036" s="8" t="s">
        <v>22</v>
      </c>
      <c r="G5036" s="10" t="s">
        <v>2253</v>
      </c>
      <c r="H5036" s="8" t="s">
        <v>10480</v>
      </c>
      <c r="I5036" s="10" t="s">
        <v>10481</v>
      </c>
      <c r="J5036" s="11" t="s">
        <v>26</v>
      </c>
      <c r="K5036" s="18">
        <f>132/305</f>
        <v>0.43278688524590164</v>
      </c>
      <c r="L5036" s="12">
        <f t="shared" si="427"/>
        <v>0.74192037470725991</v>
      </c>
      <c r="M5036" s="8">
        <v>1</v>
      </c>
      <c r="N5036" s="8" t="s">
        <v>110</v>
      </c>
      <c r="O5036" s="13"/>
      <c r="P5036" s="14">
        <v>0.2</v>
      </c>
      <c r="Q5036" s="15">
        <v>0.3</v>
      </c>
      <c r="R5036" s="16" t="str">
        <f t="shared" si="426"/>
        <v>ELECTROEXPERTS</v>
      </c>
      <c r="S5036" s="17"/>
      <c r="T5036" s="10">
        <f>0.74*4000</f>
        <v>2960</v>
      </c>
      <c r="W5036" s="21"/>
    </row>
    <row r="5037" spans="1:23" ht="27" customHeight="1" x14ac:dyDescent="0.25">
      <c r="A5037" s="8" t="s">
        <v>5672</v>
      </c>
      <c r="B5037" s="9"/>
      <c r="C5037" s="9"/>
      <c r="D5037" s="8"/>
      <c r="E5037" s="8"/>
      <c r="F5037" s="8"/>
      <c r="G5037" s="10"/>
      <c r="H5037" s="8" t="s">
        <v>10482</v>
      </c>
      <c r="I5037" s="10" t="s">
        <v>10483</v>
      </c>
      <c r="J5037" s="11" t="s">
        <v>26</v>
      </c>
      <c r="K5037" s="57">
        <v>33.6</v>
      </c>
      <c r="L5037" s="12">
        <f>ROUNDUP(K5037*(1+P5037)/(1-Q5037),0)</f>
        <v>56</v>
      </c>
      <c r="M5037" s="8">
        <v>1</v>
      </c>
      <c r="N5037" s="8" t="s">
        <v>27</v>
      </c>
      <c r="O5037" s="13"/>
      <c r="P5037" s="14">
        <v>0.2</v>
      </c>
      <c r="Q5037" s="15">
        <v>0.27300000000000002</v>
      </c>
      <c r="R5037" s="16" t="str">
        <f t="shared" si="426"/>
        <v>LUTRON</v>
      </c>
      <c r="S5037" s="17"/>
      <c r="T5037" s="10"/>
    </row>
    <row r="5038" spans="1:23" ht="27" customHeight="1" x14ac:dyDescent="0.25">
      <c r="A5038" s="23" t="s">
        <v>3561</v>
      </c>
      <c r="B5038" s="24"/>
      <c r="C5038" s="24"/>
      <c r="D5038" s="24"/>
      <c r="E5038" s="24"/>
      <c r="F5038" s="24"/>
      <c r="G5038" s="24"/>
      <c r="H5038" s="24" t="s">
        <v>10484</v>
      </c>
      <c r="I5038" s="24" t="s">
        <v>3571</v>
      </c>
      <c r="J5038" s="25" t="s">
        <v>26</v>
      </c>
      <c r="K5038" s="26">
        <v>4.9400000000000004</v>
      </c>
      <c r="L5038" s="27">
        <f t="shared" ref="L5038:L5045" si="428">K5038*(1+P5038)/(1-Q5038)</f>
        <v>9.8800000000000008</v>
      </c>
      <c r="M5038" s="28">
        <v>1</v>
      </c>
      <c r="N5038" s="29" t="s">
        <v>27</v>
      </c>
      <c r="O5038" s="27"/>
      <c r="P5038" s="30">
        <v>0.2</v>
      </c>
      <c r="Q5038" s="31">
        <v>0.4</v>
      </c>
      <c r="R5038" s="16" t="str">
        <f t="shared" si="426"/>
        <v>HUBBELL</v>
      </c>
    </row>
    <row r="5039" spans="1:23" ht="27" customHeight="1" x14ac:dyDescent="0.25">
      <c r="A5039" s="8" t="s">
        <v>3561</v>
      </c>
      <c r="B5039" s="9"/>
      <c r="C5039" s="9"/>
      <c r="D5039" s="8"/>
      <c r="E5039" s="8"/>
      <c r="F5039" s="8"/>
      <c r="G5039" s="10"/>
      <c r="H5039" s="8" t="s">
        <v>10485</v>
      </c>
      <c r="I5039" s="10" t="s">
        <v>3585</v>
      </c>
      <c r="J5039" s="11" t="s">
        <v>26</v>
      </c>
      <c r="K5039" s="18">
        <v>23.71</v>
      </c>
      <c r="L5039" s="12">
        <f t="shared" si="428"/>
        <v>47.42</v>
      </c>
      <c r="M5039" s="8">
        <v>1</v>
      </c>
      <c r="N5039" s="8" t="s">
        <v>27</v>
      </c>
      <c r="O5039" s="13"/>
      <c r="P5039" s="14">
        <v>0.2</v>
      </c>
      <c r="Q5039" s="15">
        <v>0.4</v>
      </c>
      <c r="R5039" s="16" t="str">
        <f t="shared" ref="R5039:R5102" si="429">A5039</f>
        <v>HUBBELL</v>
      </c>
    </row>
    <row r="5040" spans="1:23" ht="27" customHeight="1" x14ac:dyDescent="0.25">
      <c r="A5040" s="32" t="s">
        <v>5672</v>
      </c>
      <c r="H5040" s="32" t="s">
        <v>10486</v>
      </c>
      <c r="I5040" s="33" t="s">
        <v>10487</v>
      </c>
      <c r="J5040" s="34" t="s">
        <v>26</v>
      </c>
      <c r="K5040" s="42">
        <v>17.7</v>
      </c>
      <c r="L5040" s="12">
        <f t="shared" si="428"/>
        <v>35.4</v>
      </c>
      <c r="M5040" s="8">
        <v>1</v>
      </c>
      <c r="N5040" s="8" t="s">
        <v>27</v>
      </c>
      <c r="O5040" s="13"/>
      <c r="P5040" s="14">
        <v>0.2</v>
      </c>
      <c r="Q5040" s="15">
        <v>0.4</v>
      </c>
      <c r="R5040" s="16" t="str">
        <f t="shared" si="429"/>
        <v>LUTRON</v>
      </c>
    </row>
    <row r="5041" spans="1:20" ht="27" customHeight="1" x14ac:dyDescent="0.25">
      <c r="A5041" s="32" t="s">
        <v>5672</v>
      </c>
      <c r="H5041" s="32" t="s">
        <v>10488</v>
      </c>
      <c r="I5041" s="33" t="s">
        <v>10489</v>
      </c>
      <c r="J5041" s="34" t="s">
        <v>26</v>
      </c>
      <c r="K5041" s="42">
        <v>13.25</v>
      </c>
      <c r="L5041" s="12">
        <f t="shared" si="428"/>
        <v>26.5</v>
      </c>
      <c r="M5041" s="8">
        <v>1</v>
      </c>
      <c r="N5041" s="8" t="s">
        <v>27</v>
      </c>
      <c r="O5041" s="13"/>
      <c r="P5041" s="14">
        <v>0.2</v>
      </c>
      <c r="Q5041" s="15">
        <v>0.4</v>
      </c>
      <c r="R5041" s="16" t="str">
        <f t="shared" si="429"/>
        <v>LUTRON</v>
      </c>
    </row>
    <row r="5042" spans="1:20" ht="27" customHeight="1" x14ac:dyDescent="0.25">
      <c r="A5042" s="23" t="s">
        <v>3561</v>
      </c>
      <c r="B5042" s="19"/>
      <c r="C5042" s="19"/>
      <c r="D5042" s="19"/>
      <c r="E5042" s="19"/>
      <c r="F5042" s="19"/>
      <c r="G5042" s="19"/>
      <c r="H5042" s="19" t="s">
        <v>10490</v>
      </c>
      <c r="I5042" s="19" t="s">
        <v>3589</v>
      </c>
      <c r="J5042" s="35" t="s">
        <v>26</v>
      </c>
      <c r="K5042" s="36">
        <v>26.88</v>
      </c>
      <c r="L5042" s="27">
        <f t="shared" si="428"/>
        <v>53.760000000000005</v>
      </c>
      <c r="M5042" s="28">
        <v>1</v>
      </c>
      <c r="N5042" s="29" t="s">
        <v>27</v>
      </c>
      <c r="O5042" s="27"/>
      <c r="P5042" s="30">
        <v>0.2</v>
      </c>
      <c r="Q5042" s="31">
        <v>0.4</v>
      </c>
      <c r="R5042" s="37" t="str">
        <f t="shared" si="429"/>
        <v>HUBBELL</v>
      </c>
      <c r="S5042" s="19"/>
    </row>
    <row r="5043" spans="1:20" ht="27" customHeight="1" x14ac:dyDescent="0.25">
      <c r="A5043" s="32" t="s">
        <v>1321</v>
      </c>
      <c r="H5043" t="s">
        <v>10491</v>
      </c>
      <c r="I5043" s="33" t="s">
        <v>10492</v>
      </c>
      <c r="J5043" s="34" t="s">
        <v>33</v>
      </c>
      <c r="K5043" s="20">
        <v>20000</v>
      </c>
      <c r="L5043" s="27">
        <f t="shared" si="428"/>
        <v>30769.23076923077</v>
      </c>
      <c r="M5043" s="28">
        <v>1</v>
      </c>
      <c r="N5043" s="29" t="s">
        <v>27</v>
      </c>
      <c r="O5043" s="27"/>
      <c r="P5043" s="30">
        <v>0</v>
      </c>
      <c r="Q5043" s="31">
        <v>0.35</v>
      </c>
      <c r="R5043" s="37" t="str">
        <f t="shared" si="429"/>
        <v>CODELCA</v>
      </c>
    </row>
    <row r="5044" spans="1:20" ht="27" customHeight="1" x14ac:dyDescent="0.25">
      <c r="A5044" s="32" t="s">
        <v>1321</v>
      </c>
      <c r="H5044" t="s">
        <v>10493</v>
      </c>
      <c r="I5044" s="33" t="s">
        <v>10494</v>
      </c>
      <c r="J5044" s="34" t="s">
        <v>33</v>
      </c>
      <c r="K5044" s="20">
        <v>15000</v>
      </c>
      <c r="L5044" s="27">
        <f t="shared" si="428"/>
        <v>23076.923076923074</v>
      </c>
      <c r="M5044" s="28">
        <v>1</v>
      </c>
      <c r="N5044" s="29" t="s">
        <v>27</v>
      </c>
      <c r="O5044" s="27"/>
      <c r="P5044" s="30">
        <v>0</v>
      </c>
      <c r="Q5044" s="31">
        <v>0.35</v>
      </c>
      <c r="R5044" s="37" t="str">
        <f t="shared" si="429"/>
        <v>CODELCA</v>
      </c>
    </row>
    <row r="5045" spans="1:20" ht="27" customHeight="1" x14ac:dyDescent="0.25">
      <c r="A5045" s="32" t="s">
        <v>5170</v>
      </c>
      <c r="H5045" t="s">
        <v>10495</v>
      </c>
      <c r="I5045" s="33" t="s">
        <v>10496</v>
      </c>
      <c r="J5045" s="34" t="s">
        <v>26</v>
      </c>
      <c r="K5045" s="20">
        <v>2.11</v>
      </c>
      <c r="L5045" s="27">
        <f t="shared" si="428"/>
        <v>3.617142857142857</v>
      </c>
      <c r="M5045" s="28">
        <v>1</v>
      </c>
      <c r="N5045" s="29" t="s">
        <v>27</v>
      </c>
      <c r="O5045" s="27"/>
      <c r="P5045" s="30">
        <v>0.2</v>
      </c>
      <c r="Q5045" s="31">
        <v>0.3</v>
      </c>
      <c r="R5045" s="37" t="str">
        <f t="shared" si="429"/>
        <v>LEVITON</v>
      </c>
      <c r="S5045" t="s">
        <v>10497</v>
      </c>
    </row>
    <row r="5046" spans="1:20" ht="27" customHeight="1" x14ac:dyDescent="0.25">
      <c r="A5046" s="8" t="s">
        <v>5170</v>
      </c>
      <c r="B5046" s="9" t="s">
        <v>5173</v>
      </c>
      <c r="C5046" s="9"/>
      <c r="D5046" s="8"/>
      <c r="E5046" s="8">
        <v>11</v>
      </c>
      <c r="F5046" s="8" t="s">
        <v>22</v>
      </c>
      <c r="G5046" s="10" t="s">
        <v>5191</v>
      </c>
      <c r="H5046" s="8" t="s">
        <v>10498</v>
      </c>
      <c r="I5046" s="10" t="s">
        <v>5191</v>
      </c>
      <c r="J5046" s="11" t="s">
        <v>33</v>
      </c>
      <c r="K5046" s="18">
        <f>55600/1.19</f>
        <v>46722.689075630253</v>
      </c>
      <c r="L5046" s="12">
        <f>IF(J5046="P",ROUNDUP(K5046/(1-Q5046),-2),K5046*(1+P5046)/(1-Q5046))</f>
        <v>77900</v>
      </c>
      <c r="M5046" s="8">
        <v>1</v>
      </c>
      <c r="N5046" s="8" t="s">
        <v>27</v>
      </c>
      <c r="O5046" s="13"/>
      <c r="P5046" s="14">
        <v>0</v>
      </c>
      <c r="Q5046" s="15">
        <v>0.4</v>
      </c>
      <c r="R5046" s="16" t="str">
        <f t="shared" si="429"/>
        <v>LEVITON</v>
      </c>
      <c r="S5046" s="17"/>
      <c r="T5046" s="10" t="str">
        <f>G5046</f>
        <v>TOMA DOBLE CON POLO GFCI 15A</v>
      </c>
    </row>
    <row r="5047" spans="1:20" ht="27" customHeight="1" x14ac:dyDescent="0.25">
      <c r="A5047" s="8" t="s">
        <v>5672</v>
      </c>
      <c r="B5047" s="9" t="s">
        <v>5666</v>
      </c>
      <c r="C5047" s="9"/>
      <c r="D5047" s="8" t="s">
        <v>5909</v>
      </c>
      <c r="E5047" s="8">
        <v>1</v>
      </c>
      <c r="F5047" s="8" t="s">
        <v>22</v>
      </c>
      <c r="G5047" s="10" t="s">
        <v>6277</v>
      </c>
      <c r="H5047" s="8" t="s">
        <v>10499</v>
      </c>
      <c r="I5047" s="10" t="s">
        <v>10500</v>
      </c>
      <c r="J5047" s="11" t="s">
        <v>26</v>
      </c>
      <c r="K5047" s="57">
        <v>198</v>
      </c>
      <c r="L5047" s="12">
        <f t="shared" ref="L5047:L5052" si="430">ROUNDUP(K5047*(1+P5047)/(1-Q5047),0)</f>
        <v>330</v>
      </c>
      <c r="M5047" s="8">
        <v>1</v>
      </c>
      <c r="N5047" s="8" t="s">
        <v>27</v>
      </c>
      <c r="O5047" s="13"/>
      <c r="P5047" s="14">
        <v>0.2</v>
      </c>
      <c r="Q5047" s="15">
        <v>0.28000000000000003</v>
      </c>
      <c r="R5047" s="16" t="str">
        <f t="shared" si="429"/>
        <v>LUTRON</v>
      </c>
      <c r="S5047" s="17"/>
      <c r="T5047" s="10" t="str">
        <f>G5047</f>
        <v>TECLADO DE 5 BOTONES PARA SUBIDA Y BAJADA CON MANEJO DE ESCENAS.</v>
      </c>
    </row>
    <row r="5048" spans="1:20" ht="27" customHeight="1" x14ac:dyDescent="0.25">
      <c r="A5048" s="32" t="s">
        <v>5672</v>
      </c>
      <c r="H5048" s="8" t="s">
        <v>5938</v>
      </c>
      <c r="I5048" s="33" t="s">
        <v>10065</v>
      </c>
      <c r="J5048" s="34" t="s">
        <v>26</v>
      </c>
      <c r="K5048" s="57">
        <v>29.5</v>
      </c>
      <c r="L5048" s="12">
        <f t="shared" si="430"/>
        <v>59</v>
      </c>
      <c r="M5048" s="8">
        <v>1</v>
      </c>
      <c r="N5048" s="8" t="s">
        <v>27</v>
      </c>
      <c r="O5048" s="13"/>
      <c r="P5048" s="14">
        <v>0.2</v>
      </c>
      <c r="Q5048" s="15">
        <v>0.39109494949494938</v>
      </c>
      <c r="R5048" s="16" t="str">
        <f t="shared" si="429"/>
        <v>LUTRON</v>
      </c>
    </row>
    <row r="5049" spans="1:20" ht="27" customHeight="1" x14ac:dyDescent="0.25">
      <c r="A5049" s="32" t="s">
        <v>8308</v>
      </c>
      <c r="H5049" t="s">
        <v>9988</v>
      </c>
      <c r="I5049" s="33" t="s">
        <v>10501</v>
      </c>
      <c r="J5049" s="34" t="s">
        <v>33</v>
      </c>
      <c r="K5049" s="20">
        <v>3983000</v>
      </c>
      <c r="L5049" s="12">
        <f t="shared" si="430"/>
        <v>5310667</v>
      </c>
      <c r="M5049" s="8">
        <v>1</v>
      </c>
      <c r="N5049" s="8" t="s">
        <v>27</v>
      </c>
      <c r="O5049" s="13"/>
      <c r="P5049" s="14">
        <v>0</v>
      </c>
      <c r="Q5049" s="15">
        <v>0.25</v>
      </c>
      <c r="R5049" s="16" t="str">
        <f t="shared" si="429"/>
        <v>SOLIDVIEW</v>
      </c>
    </row>
    <row r="5050" spans="1:20" ht="27" customHeight="1" x14ac:dyDescent="0.25">
      <c r="A5050" s="32" t="s">
        <v>7483</v>
      </c>
      <c r="H5050" t="s">
        <v>10502</v>
      </c>
      <c r="I5050" s="33" t="s">
        <v>10503</v>
      </c>
      <c r="J5050" s="34" t="s">
        <v>26</v>
      </c>
      <c r="K5050" s="20">
        <v>2933</v>
      </c>
      <c r="L5050" s="12">
        <f t="shared" si="430"/>
        <v>5799</v>
      </c>
      <c r="M5050" s="8">
        <v>1</v>
      </c>
      <c r="N5050" s="8" t="s">
        <v>27</v>
      </c>
      <c r="O5050" s="13"/>
      <c r="P5050" s="14">
        <v>0.2</v>
      </c>
      <c r="Q5050" s="15">
        <v>0.39301479000372008</v>
      </c>
      <c r="R5050" s="16" t="str">
        <f t="shared" si="429"/>
        <v>OPTOMA</v>
      </c>
    </row>
    <row r="5051" spans="1:20" ht="27" customHeight="1" x14ac:dyDescent="0.25">
      <c r="A5051" s="32" t="s">
        <v>2297</v>
      </c>
      <c r="H5051" t="s">
        <v>2349</v>
      </c>
      <c r="I5051" s="33" t="s">
        <v>10504</v>
      </c>
      <c r="J5051" s="34" t="s">
        <v>33</v>
      </c>
      <c r="K5051" s="20">
        <v>7200000</v>
      </c>
      <c r="L5051" s="12">
        <f t="shared" si="430"/>
        <v>12000000</v>
      </c>
      <c r="M5051" s="8">
        <v>1</v>
      </c>
      <c r="N5051" s="8" t="s">
        <v>27</v>
      </c>
      <c r="O5051" s="13"/>
      <c r="P5051" s="14">
        <v>0</v>
      </c>
      <c r="Q5051" s="15">
        <v>0.4</v>
      </c>
      <c r="R5051" s="16" t="str">
        <f t="shared" si="429"/>
        <v>EPSON</v>
      </c>
    </row>
    <row r="5052" spans="1:20" ht="27" customHeight="1" x14ac:dyDescent="0.25">
      <c r="A5052" s="32" t="s">
        <v>5672</v>
      </c>
      <c r="B5052" s="9" t="s">
        <v>5666</v>
      </c>
      <c r="C5052" s="9"/>
      <c r="D5052" s="8" t="s">
        <v>2057</v>
      </c>
      <c r="E5052" s="8">
        <v>31</v>
      </c>
      <c r="F5052" s="8" t="s">
        <v>22</v>
      </c>
      <c r="G5052" s="10" t="s">
        <v>6451</v>
      </c>
      <c r="H5052" s="8" t="s">
        <v>10505</v>
      </c>
      <c r="I5052" s="33" t="s">
        <v>10506</v>
      </c>
      <c r="J5052" s="34" t="s">
        <v>26</v>
      </c>
      <c r="K5052" s="57">
        <v>48.3</v>
      </c>
      <c r="L5052" s="12">
        <f t="shared" si="430"/>
        <v>97</v>
      </c>
      <c r="M5052" s="8">
        <v>1</v>
      </c>
      <c r="N5052" s="8" t="s">
        <v>27</v>
      </c>
      <c r="O5052" s="13"/>
      <c r="P5052" s="14">
        <v>0.2</v>
      </c>
      <c r="Q5052" s="15">
        <v>0.4</v>
      </c>
      <c r="R5052" s="16" t="str">
        <f t="shared" si="429"/>
        <v>LUTRON</v>
      </c>
    </row>
    <row r="5053" spans="1:20" ht="27" customHeight="1" x14ac:dyDescent="0.25">
      <c r="A5053" s="8" t="s">
        <v>5672</v>
      </c>
      <c r="B5053" s="9"/>
      <c r="C5053" s="9"/>
      <c r="D5053" s="8"/>
      <c r="E5053" s="8"/>
      <c r="F5053" s="8"/>
      <c r="G5053" s="10"/>
      <c r="H5053" s="8" t="s">
        <v>10507</v>
      </c>
      <c r="I5053" s="10" t="s">
        <v>6604</v>
      </c>
      <c r="J5053" s="11" t="s">
        <v>26</v>
      </c>
      <c r="K5053" s="57">
        <v>75</v>
      </c>
      <c r="L5053" s="12">
        <f t="shared" ref="L5053:L5084" si="431">K5053*(1+P5053)/(1-Q5053)</f>
        <v>150</v>
      </c>
      <c r="M5053" s="8">
        <v>1</v>
      </c>
      <c r="N5053" s="8" t="s">
        <v>27</v>
      </c>
      <c r="O5053" s="13"/>
      <c r="P5053" s="14">
        <v>0.2</v>
      </c>
      <c r="Q5053" s="15">
        <v>0.4</v>
      </c>
      <c r="R5053" s="16" t="str">
        <f t="shared" si="429"/>
        <v>LUTRON</v>
      </c>
    </row>
    <row r="5054" spans="1:20" ht="27" customHeight="1" x14ac:dyDescent="0.25">
      <c r="A5054" s="32" t="s">
        <v>7870</v>
      </c>
      <c r="H5054" t="s">
        <v>10508</v>
      </c>
      <c r="I5054" t="s">
        <v>10509</v>
      </c>
      <c r="J5054" s="34" t="s">
        <v>33</v>
      </c>
      <c r="K5054" s="20">
        <v>810000</v>
      </c>
      <c r="L5054" s="12">
        <f t="shared" si="431"/>
        <v>1157142.8571428573</v>
      </c>
      <c r="M5054" s="8">
        <v>1</v>
      </c>
      <c r="N5054" s="8" t="s">
        <v>27</v>
      </c>
      <c r="O5054" s="13"/>
      <c r="P5054" s="14">
        <v>0</v>
      </c>
      <c r="Q5054" s="15">
        <v>0.3</v>
      </c>
      <c r="R5054" s="16" t="str">
        <f t="shared" si="429"/>
        <v>QUEST</v>
      </c>
    </row>
    <row r="5055" spans="1:20" ht="27" customHeight="1" x14ac:dyDescent="0.25">
      <c r="A5055" s="32" t="s">
        <v>1561</v>
      </c>
      <c r="H5055" s="38" t="s">
        <v>1723</v>
      </c>
      <c r="I5055" s="38" t="s">
        <v>10510</v>
      </c>
      <c r="J5055" s="34" t="s">
        <v>33</v>
      </c>
      <c r="K5055" s="20">
        <v>400000</v>
      </c>
      <c r="L5055" s="12">
        <f t="shared" si="431"/>
        <v>571428.57142857148</v>
      </c>
      <c r="M5055" s="8">
        <v>1</v>
      </c>
      <c r="N5055" s="8" t="s">
        <v>27</v>
      </c>
      <c r="O5055" s="13"/>
      <c r="P5055" s="14">
        <v>0</v>
      </c>
      <c r="Q5055" s="15">
        <v>0.3</v>
      </c>
      <c r="R5055" s="16" t="str">
        <f t="shared" si="429"/>
        <v>DAHUA</v>
      </c>
    </row>
    <row r="5056" spans="1:20" ht="27" customHeight="1" x14ac:dyDescent="0.25">
      <c r="A5056" s="32" t="s">
        <v>8836</v>
      </c>
      <c r="H5056" t="s">
        <v>10511</v>
      </c>
      <c r="I5056" s="33" t="s">
        <v>10512</v>
      </c>
      <c r="J5056" s="34" t="s">
        <v>33</v>
      </c>
      <c r="K5056" s="20">
        <v>13458</v>
      </c>
      <c r="L5056" s="12">
        <f t="shared" si="431"/>
        <v>19665.999934516298</v>
      </c>
      <c r="M5056" s="8">
        <v>1</v>
      </c>
      <c r="N5056" s="8" t="s">
        <v>27</v>
      </c>
      <c r="O5056" s="13"/>
      <c r="P5056" s="14">
        <v>0</v>
      </c>
      <c r="Q5056" s="15">
        <v>0.31567171540667388</v>
      </c>
      <c r="R5056" s="16" t="str">
        <f t="shared" si="429"/>
        <v>TECNOLITE</v>
      </c>
    </row>
    <row r="5057" spans="1:19" ht="27" customHeight="1" x14ac:dyDescent="0.25">
      <c r="A5057" s="32" t="s">
        <v>8836</v>
      </c>
      <c r="H5057" t="s">
        <v>10513</v>
      </c>
      <c r="I5057" s="33" t="s">
        <v>10514</v>
      </c>
      <c r="J5057" s="34" t="s">
        <v>33</v>
      </c>
      <c r="K5057" s="20">
        <v>27482</v>
      </c>
      <c r="L5057" s="12">
        <f t="shared" si="431"/>
        <v>34352.383789373089</v>
      </c>
      <c r="M5057" s="8">
        <v>1</v>
      </c>
      <c r="N5057" s="8" t="s">
        <v>27</v>
      </c>
      <c r="O5057" s="13"/>
      <c r="P5057" s="14">
        <v>0</v>
      </c>
      <c r="Q5057" s="15">
        <v>0.19999729368121591</v>
      </c>
      <c r="R5057" s="16" t="str">
        <f t="shared" si="429"/>
        <v>TECNOLITE</v>
      </c>
    </row>
    <row r="5058" spans="1:19" ht="27" customHeight="1" x14ac:dyDescent="0.25">
      <c r="A5058" s="32" t="s">
        <v>8836</v>
      </c>
      <c r="H5058" t="s">
        <v>10515</v>
      </c>
      <c r="I5058" s="33" t="s">
        <v>10516</v>
      </c>
      <c r="J5058" s="34" t="s">
        <v>33</v>
      </c>
      <c r="K5058" s="20">
        <v>19521</v>
      </c>
      <c r="L5058" s="12">
        <f t="shared" si="431"/>
        <v>24401.167453327707</v>
      </c>
      <c r="M5058" s="8">
        <v>1</v>
      </c>
      <c r="N5058" s="8" t="s">
        <v>27</v>
      </c>
      <c r="O5058" s="13"/>
      <c r="P5058" s="14">
        <v>0</v>
      </c>
      <c r="Q5058" s="15">
        <v>0.19999729368121591</v>
      </c>
      <c r="R5058" s="16" t="str">
        <f t="shared" si="429"/>
        <v>TECNOLITE</v>
      </c>
    </row>
    <row r="5059" spans="1:19" ht="27" customHeight="1" x14ac:dyDescent="0.25">
      <c r="A5059" s="32" t="s">
        <v>8836</v>
      </c>
      <c r="H5059" t="s">
        <v>10517</v>
      </c>
      <c r="I5059" s="33" t="s">
        <v>10518</v>
      </c>
      <c r="J5059" s="34" t="s">
        <v>33</v>
      </c>
      <c r="K5059" s="20">
        <f>100516*0.9</f>
        <v>90464.400000000009</v>
      </c>
      <c r="L5059" s="12">
        <f t="shared" si="431"/>
        <v>113080.11746144251</v>
      </c>
      <c r="M5059" s="8">
        <v>1</v>
      </c>
      <c r="N5059" s="8" t="s">
        <v>27</v>
      </c>
      <c r="O5059" s="13"/>
      <c r="P5059" s="14">
        <v>0</v>
      </c>
      <c r="Q5059" s="15">
        <v>0.19999729368121591</v>
      </c>
      <c r="R5059" s="16" t="str">
        <f t="shared" si="429"/>
        <v>TECNOLITE</v>
      </c>
    </row>
    <row r="5060" spans="1:19" ht="27" customHeight="1" x14ac:dyDescent="0.25">
      <c r="A5060" s="32" t="s">
        <v>10519</v>
      </c>
      <c r="H5060" t="s">
        <v>10520</v>
      </c>
      <c r="I5060" s="33" t="s">
        <v>10521</v>
      </c>
      <c r="J5060" s="34" t="s">
        <v>33</v>
      </c>
      <c r="K5060" s="20">
        <v>76500.258791733722</v>
      </c>
      <c r="L5060" s="12">
        <f t="shared" si="431"/>
        <v>95624.999999999985</v>
      </c>
      <c r="M5060" s="8">
        <v>1</v>
      </c>
      <c r="N5060" s="8" t="s">
        <v>27</v>
      </c>
      <c r="O5060" s="13"/>
      <c r="P5060" s="14">
        <v>0</v>
      </c>
      <c r="Q5060" s="15">
        <v>0.19999729368121591</v>
      </c>
      <c r="R5060" s="16" t="str">
        <f t="shared" si="429"/>
        <v>ESPELLA</v>
      </c>
    </row>
    <row r="5061" spans="1:19" ht="27" customHeight="1" x14ac:dyDescent="0.25">
      <c r="A5061" s="32" t="s">
        <v>3915</v>
      </c>
      <c r="H5061" t="s">
        <v>10522</v>
      </c>
      <c r="I5061" s="33" t="s">
        <v>10523</v>
      </c>
      <c r="J5061" s="34" t="s">
        <v>26</v>
      </c>
      <c r="K5061" s="20">
        <v>44</v>
      </c>
      <c r="L5061" s="12">
        <f t="shared" si="431"/>
        <v>88</v>
      </c>
      <c r="M5061" s="8">
        <v>1</v>
      </c>
      <c r="N5061" s="8" t="s">
        <v>27</v>
      </c>
      <c r="O5061" s="13"/>
      <c r="P5061" s="14">
        <v>0.2</v>
      </c>
      <c r="Q5061" s="15">
        <v>0.4</v>
      </c>
      <c r="R5061" s="16" t="str">
        <f t="shared" si="429"/>
        <v>KLIPSCH</v>
      </c>
    </row>
    <row r="5062" spans="1:19" ht="27" customHeight="1" x14ac:dyDescent="0.25">
      <c r="A5062" s="32" t="s">
        <v>10524</v>
      </c>
      <c r="H5062" t="s">
        <v>10525</v>
      </c>
      <c r="I5062" s="33" t="s">
        <v>10526</v>
      </c>
      <c r="J5062" s="34" t="s">
        <v>26</v>
      </c>
      <c r="K5062" s="20">
        <v>40</v>
      </c>
      <c r="L5062" s="12">
        <f t="shared" si="431"/>
        <v>80</v>
      </c>
      <c r="M5062" s="8">
        <v>1</v>
      </c>
      <c r="N5062" s="8" t="s">
        <v>27</v>
      </c>
      <c r="O5062" s="13"/>
      <c r="P5062" s="14">
        <v>0.2</v>
      </c>
      <c r="Q5062" s="15">
        <v>0.4</v>
      </c>
      <c r="R5062" s="16" t="str">
        <f t="shared" si="429"/>
        <v>AMAZON</v>
      </c>
    </row>
    <row r="5063" spans="1:19" ht="27" customHeight="1" x14ac:dyDescent="0.25">
      <c r="A5063" s="32" t="s">
        <v>3977</v>
      </c>
      <c r="H5063" t="s">
        <v>10527</v>
      </c>
      <c r="I5063" s="33" t="s">
        <v>10528</v>
      </c>
      <c r="J5063" s="34" t="s">
        <v>33</v>
      </c>
      <c r="K5063" s="20">
        <v>255000</v>
      </c>
      <c r="L5063" s="12">
        <f t="shared" si="431"/>
        <v>425000</v>
      </c>
      <c r="M5063" s="8">
        <v>1</v>
      </c>
      <c r="N5063" s="8" t="s">
        <v>27</v>
      </c>
      <c r="O5063" s="13"/>
      <c r="P5063" s="14">
        <v>0</v>
      </c>
      <c r="Q5063" s="15">
        <v>0.4</v>
      </c>
      <c r="R5063" s="16" t="str">
        <f t="shared" si="429"/>
        <v>KOMODO</v>
      </c>
    </row>
    <row r="5064" spans="1:19" ht="27" customHeight="1" x14ac:dyDescent="0.25">
      <c r="A5064" s="32" t="s">
        <v>7931</v>
      </c>
      <c r="H5064" t="s">
        <v>10529</v>
      </c>
      <c r="I5064" s="33" t="s">
        <v>10530</v>
      </c>
      <c r="J5064" s="34" t="s">
        <v>33</v>
      </c>
      <c r="K5064" s="20">
        <v>138742</v>
      </c>
      <c r="L5064" s="12">
        <f t="shared" si="431"/>
        <v>231236.66666666669</v>
      </c>
      <c r="M5064" s="8">
        <v>1</v>
      </c>
      <c r="N5064" s="8" t="s">
        <v>27</v>
      </c>
      <c r="O5064" s="13"/>
      <c r="P5064" s="14">
        <v>0</v>
      </c>
      <c r="Q5064" s="15">
        <v>0.4</v>
      </c>
      <c r="R5064" s="16" t="str">
        <f t="shared" si="429"/>
        <v>SYLVANIA</v>
      </c>
    </row>
    <row r="5065" spans="1:19" ht="27" customHeight="1" x14ac:dyDescent="0.25">
      <c r="A5065" s="32" t="s">
        <v>7931</v>
      </c>
      <c r="H5065" t="s">
        <v>10531</v>
      </c>
      <c r="I5065" s="33" t="s">
        <v>10532</v>
      </c>
      <c r="J5065" s="34" t="s">
        <v>33</v>
      </c>
      <c r="K5065" s="20">
        <v>73995</v>
      </c>
      <c r="L5065" s="12">
        <f t="shared" si="431"/>
        <v>123325</v>
      </c>
      <c r="M5065" s="8">
        <v>1</v>
      </c>
      <c r="N5065" s="8" t="s">
        <v>27</v>
      </c>
      <c r="O5065" s="13"/>
      <c r="P5065" s="14">
        <v>0</v>
      </c>
      <c r="Q5065" s="15">
        <v>0.4</v>
      </c>
      <c r="R5065" s="16" t="str">
        <f t="shared" si="429"/>
        <v>SYLVANIA</v>
      </c>
    </row>
    <row r="5066" spans="1:19" ht="27" customHeight="1" x14ac:dyDescent="0.25">
      <c r="A5066" s="32" t="s">
        <v>10533</v>
      </c>
      <c r="H5066" t="s">
        <v>10534</v>
      </c>
      <c r="I5066" s="33" t="s">
        <v>10535</v>
      </c>
      <c r="J5066" s="34" t="s">
        <v>26</v>
      </c>
      <c r="K5066" s="20">
        <v>17.600000000000001</v>
      </c>
      <c r="L5066" s="12">
        <f t="shared" si="431"/>
        <v>35.200000000000003</v>
      </c>
      <c r="M5066" s="8">
        <v>1</v>
      </c>
      <c r="N5066" s="8" t="s">
        <v>27</v>
      </c>
      <c r="O5066" s="13"/>
      <c r="P5066" s="14">
        <v>0.2</v>
      </c>
      <c r="Q5066" s="15">
        <v>0.4</v>
      </c>
      <c r="R5066" s="16" t="str">
        <f t="shared" si="429"/>
        <v>QLEE</v>
      </c>
      <c r="S5066" s="39" t="s">
        <v>10536</v>
      </c>
    </row>
    <row r="5067" spans="1:19" ht="27" customHeight="1" x14ac:dyDescent="0.25">
      <c r="A5067" s="32" t="s">
        <v>3915</v>
      </c>
      <c r="H5067">
        <v>1069027</v>
      </c>
      <c r="I5067" s="33" t="s">
        <v>10537</v>
      </c>
      <c r="J5067" s="34" t="s">
        <v>26</v>
      </c>
      <c r="K5067" s="20">
        <v>160</v>
      </c>
      <c r="L5067" s="12">
        <f t="shared" si="431"/>
        <v>249.0000009463302</v>
      </c>
      <c r="M5067" s="8">
        <v>1</v>
      </c>
      <c r="N5067" s="8" t="s">
        <v>27</v>
      </c>
      <c r="O5067" s="13"/>
      <c r="P5067" s="14">
        <v>0.2</v>
      </c>
      <c r="Q5067" s="15">
        <v>0.22891566558112611</v>
      </c>
      <c r="R5067" s="16" t="str">
        <f t="shared" si="429"/>
        <v>KLIPSCH</v>
      </c>
    </row>
    <row r="5068" spans="1:19" ht="27" customHeight="1" x14ac:dyDescent="0.25">
      <c r="A5068" s="32" t="s">
        <v>3915</v>
      </c>
      <c r="H5068" t="s">
        <v>10538</v>
      </c>
      <c r="I5068" s="33" t="s">
        <v>10539</v>
      </c>
      <c r="J5068" s="34" t="s">
        <v>26</v>
      </c>
      <c r="K5068" s="20">
        <v>174</v>
      </c>
      <c r="L5068" s="12">
        <f t="shared" si="431"/>
        <v>618.99999715201159</v>
      </c>
      <c r="M5068" s="8">
        <v>1</v>
      </c>
      <c r="N5068" s="8" t="s">
        <v>27</v>
      </c>
      <c r="O5068" s="13"/>
      <c r="P5068" s="14">
        <v>0.2</v>
      </c>
      <c r="Q5068" s="15">
        <v>0.66268174319761153</v>
      </c>
      <c r="R5068" s="16" t="str">
        <f t="shared" si="429"/>
        <v>KLIPSCH</v>
      </c>
    </row>
    <row r="5069" spans="1:19" ht="27" customHeight="1" x14ac:dyDescent="0.25">
      <c r="A5069" s="32" t="s">
        <v>3915</v>
      </c>
      <c r="H5069" t="s">
        <v>10540</v>
      </c>
      <c r="I5069" s="33" t="s">
        <v>10541</v>
      </c>
      <c r="J5069" s="34" t="s">
        <v>26</v>
      </c>
      <c r="K5069" s="20">
        <v>174</v>
      </c>
      <c r="L5069" s="12">
        <f t="shared" si="431"/>
        <v>618.99999715201159</v>
      </c>
      <c r="M5069" s="8">
        <v>1</v>
      </c>
      <c r="N5069" s="8" t="s">
        <v>27</v>
      </c>
      <c r="O5069" s="13"/>
      <c r="P5069" s="14">
        <v>0.2</v>
      </c>
      <c r="Q5069" s="15">
        <v>0.66268174319761153</v>
      </c>
      <c r="R5069" s="16" t="str">
        <f t="shared" si="429"/>
        <v>KLIPSCH</v>
      </c>
    </row>
    <row r="5070" spans="1:19" ht="27" customHeight="1" x14ac:dyDescent="0.25">
      <c r="A5070" s="32" t="s">
        <v>3821</v>
      </c>
      <c r="H5070" t="s">
        <v>3870</v>
      </c>
      <c r="I5070" s="33" t="s">
        <v>10542</v>
      </c>
      <c r="J5070" s="34" t="s">
        <v>26</v>
      </c>
      <c r="K5070" s="20">
        <v>222</v>
      </c>
      <c r="L5070" s="12">
        <f t="shared" si="431"/>
        <v>599.00001966780599</v>
      </c>
      <c r="M5070" s="8">
        <v>1</v>
      </c>
      <c r="N5070" s="8" t="s">
        <v>27</v>
      </c>
      <c r="O5070" s="13"/>
      <c r="P5070" s="14">
        <v>0.2</v>
      </c>
      <c r="Q5070" s="15">
        <v>0.55525877921049094</v>
      </c>
      <c r="R5070" s="16" t="str">
        <f t="shared" si="429"/>
        <v>KEF</v>
      </c>
    </row>
    <row r="5071" spans="1:19" ht="27" customHeight="1" x14ac:dyDescent="0.25">
      <c r="A5071" s="32" t="s">
        <v>3821</v>
      </c>
      <c r="H5071" t="s">
        <v>10543</v>
      </c>
      <c r="I5071" s="33" t="s">
        <v>10542</v>
      </c>
      <c r="J5071" s="34" t="s">
        <v>26</v>
      </c>
      <c r="K5071" s="20">
        <v>296</v>
      </c>
      <c r="L5071" s="12">
        <f t="shared" si="431"/>
        <v>798.66669289040806</v>
      </c>
      <c r="M5071" s="8">
        <v>1</v>
      </c>
      <c r="N5071" s="8" t="s">
        <v>27</v>
      </c>
      <c r="O5071" s="13"/>
      <c r="P5071" s="14">
        <v>0.2</v>
      </c>
      <c r="Q5071" s="15">
        <v>0.55525877921049094</v>
      </c>
      <c r="R5071" s="16" t="str">
        <f t="shared" si="429"/>
        <v>KEF</v>
      </c>
    </row>
    <row r="5072" spans="1:19" ht="27" customHeight="1" x14ac:dyDescent="0.25">
      <c r="A5072" s="32" t="s">
        <v>3821</v>
      </c>
      <c r="H5072" t="s">
        <v>10544</v>
      </c>
      <c r="I5072" s="33" t="s">
        <v>10545</v>
      </c>
      <c r="J5072" s="34" t="s">
        <v>26</v>
      </c>
      <c r="K5072" s="20">
        <f>369/2</f>
        <v>184.5</v>
      </c>
      <c r="L5072" s="12">
        <f t="shared" si="431"/>
        <v>497.8175839131091</v>
      </c>
      <c r="M5072" s="8">
        <v>1</v>
      </c>
      <c r="N5072" s="8" t="s">
        <v>27</v>
      </c>
      <c r="O5072" s="13"/>
      <c r="P5072" s="14">
        <v>0.2</v>
      </c>
      <c r="Q5072" s="15">
        <v>0.55525877921049094</v>
      </c>
      <c r="R5072" s="16" t="str">
        <f t="shared" si="429"/>
        <v>KEF</v>
      </c>
    </row>
    <row r="5073" spans="1:21" ht="27" customHeight="1" x14ac:dyDescent="0.25">
      <c r="A5073" s="32" t="s">
        <v>3821</v>
      </c>
      <c r="H5073" t="s">
        <v>10546</v>
      </c>
      <c r="I5073" s="33" t="s">
        <v>10547</v>
      </c>
      <c r="J5073" s="34" t="s">
        <v>26</v>
      </c>
      <c r="K5073" s="20">
        <v>531</v>
      </c>
      <c r="L5073" s="12">
        <f t="shared" si="431"/>
        <v>999.00000739464349</v>
      </c>
      <c r="M5073" s="8">
        <v>1</v>
      </c>
      <c r="N5073" s="8" t="s">
        <v>27</v>
      </c>
      <c r="O5073" s="13"/>
      <c r="P5073" s="14">
        <v>0.2</v>
      </c>
      <c r="Q5073" s="15">
        <v>0.36216216688346697</v>
      </c>
      <c r="R5073" s="16" t="str">
        <f t="shared" si="429"/>
        <v>KEF</v>
      </c>
    </row>
    <row r="5074" spans="1:21" ht="27" customHeight="1" x14ac:dyDescent="0.25">
      <c r="A5074" s="32" t="s">
        <v>10103</v>
      </c>
      <c r="H5074" t="s">
        <v>10548</v>
      </c>
      <c r="I5074" s="33" t="s">
        <v>10549</v>
      </c>
      <c r="J5074" s="34" t="s">
        <v>26</v>
      </c>
      <c r="K5074" s="20">
        <v>200</v>
      </c>
      <c r="L5074" s="12">
        <f t="shared" si="431"/>
        <v>363.00000567867596</v>
      </c>
      <c r="M5074" s="8">
        <v>1</v>
      </c>
      <c r="N5074" s="8" t="s">
        <v>27</v>
      </c>
      <c r="O5074" s="13"/>
      <c r="P5074" s="14">
        <v>0</v>
      </c>
      <c r="Q5074" s="15">
        <v>0.4490358212913142</v>
      </c>
      <c r="R5074" s="16" t="str">
        <f t="shared" si="429"/>
        <v>MONITOR</v>
      </c>
    </row>
    <row r="5075" spans="1:21" ht="27" customHeight="1" x14ac:dyDescent="0.25">
      <c r="A5075" s="32" t="s">
        <v>10103</v>
      </c>
      <c r="H5075" t="s">
        <v>10550</v>
      </c>
      <c r="I5075" s="33" t="s">
        <v>10551</v>
      </c>
      <c r="J5075" s="34" t="s">
        <v>26</v>
      </c>
      <c r="K5075" s="20">
        <v>163</v>
      </c>
      <c r="L5075" s="12">
        <f t="shared" si="431"/>
        <v>295.84500462812088</v>
      </c>
      <c r="M5075" s="8">
        <v>1</v>
      </c>
      <c r="N5075" s="8" t="s">
        <v>27</v>
      </c>
      <c r="O5075" s="13"/>
      <c r="P5075" s="14">
        <v>0</v>
      </c>
      <c r="Q5075" s="15">
        <v>0.4490358212913142</v>
      </c>
      <c r="R5075" s="16" t="str">
        <f t="shared" si="429"/>
        <v>MONITOR</v>
      </c>
    </row>
    <row r="5076" spans="1:21" ht="27" customHeight="1" x14ac:dyDescent="0.25">
      <c r="A5076" s="32" t="s">
        <v>10103</v>
      </c>
      <c r="H5076" t="s">
        <v>10552</v>
      </c>
      <c r="I5076" s="33" t="s">
        <v>10553</v>
      </c>
      <c r="J5076" s="34" t="s">
        <v>26</v>
      </c>
      <c r="K5076" s="20">
        <v>333</v>
      </c>
      <c r="L5076" s="12">
        <f t="shared" si="431"/>
        <v>462.0009880851664</v>
      </c>
      <c r="M5076" s="8">
        <v>1</v>
      </c>
      <c r="N5076" s="8" t="s">
        <v>27</v>
      </c>
      <c r="O5076" s="13"/>
      <c r="P5076" s="14">
        <v>0</v>
      </c>
      <c r="Q5076" s="15">
        <v>0.27922232075699821</v>
      </c>
      <c r="R5076" s="16" t="str">
        <f t="shared" si="429"/>
        <v>MONITOR</v>
      </c>
    </row>
    <row r="5077" spans="1:21" ht="27" customHeight="1" x14ac:dyDescent="0.25">
      <c r="A5077" s="32" t="s">
        <v>9831</v>
      </c>
      <c r="H5077" t="s">
        <v>10554</v>
      </c>
      <c r="I5077" s="33" t="s">
        <v>10555</v>
      </c>
      <c r="J5077" s="34" t="s">
        <v>26</v>
      </c>
      <c r="K5077" s="20">
        <v>790</v>
      </c>
      <c r="L5077" s="12">
        <f t="shared" si="431"/>
        <v>1300.000908092444</v>
      </c>
      <c r="M5077" s="8">
        <v>1</v>
      </c>
      <c r="N5077" s="8" t="s">
        <v>27</v>
      </c>
      <c r="O5077" s="13"/>
      <c r="P5077" s="14">
        <v>0.2</v>
      </c>
      <c r="Q5077" s="15">
        <v>0.27076974016037603</v>
      </c>
      <c r="R5077" s="16" t="str">
        <f t="shared" si="429"/>
        <v>INTEGRA</v>
      </c>
    </row>
    <row r="5078" spans="1:21" ht="27" customHeight="1" x14ac:dyDescent="0.25">
      <c r="A5078" s="32" t="s">
        <v>7474</v>
      </c>
      <c r="H5078" t="s">
        <v>10556</v>
      </c>
      <c r="I5078" s="33" t="s">
        <v>10557</v>
      </c>
      <c r="J5078" s="34" t="s">
        <v>26</v>
      </c>
      <c r="K5078" s="20">
        <v>508</v>
      </c>
      <c r="L5078" s="12">
        <f t="shared" si="431"/>
        <v>835.94995102653354</v>
      </c>
      <c r="M5078" s="8">
        <v>1</v>
      </c>
      <c r="N5078" s="8" t="s">
        <v>27</v>
      </c>
      <c r="O5078" s="13"/>
      <c r="P5078" s="14">
        <v>0.2</v>
      </c>
      <c r="Q5078" s="15">
        <v>0.27076974016037603</v>
      </c>
      <c r="R5078" s="16" t="str">
        <f t="shared" si="429"/>
        <v>ONKYO</v>
      </c>
    </row>
    <row r="5079" spans="1:21" ht="27" customHeight="1" x14ac:dyDescent="0.25">
      <c r="A5079" s="32" t="s">
        <v>3915</v>
      </c>
      <c r="H5079" t="s">
        <v>10558</v>
      </c>
      <c r="I5079" s="33" t="s">
        <v>10559</v>
      </c>
      <c r="J5079" s="34" t="s">
        <v>26</v>
      </c>
      <c r="K5079" s="20">
        <v>77</v>
      </c>
      <c r="L5079" s="12">
        <f t="shared" si="431"/>
        <v>184.79999999999998</v>
      </c>
      <c r="M5079" s="8">
        <v>1</v>
      </c>
      <c r="N5079" s="8" t="s">
        <v>27</v>
      </c>
      <c r="O5079" s="13"/>
      <c r="P5079" s="14">
        <v>0.2</v>
      </c>
      <c r="Q5079" s="15">
        <v>0.5</v>
      </c>
      <c r="R5079" s="16" t="str">
        <f t="shared" si="429"/>
        <v>KLIPSCH</v>
      </c>
    </row>
    <row r="5080" spans="1:21" ht="27" customHeight="1" x14ac:dyDescent="0.25">
      <c r="A5080" s="32" t="s">
        <v>3915</v>
      </c>
      <c r="H5080" t="s">
        <v>10560</v>
      </c>
      <c r="I5080" s="33" t="s">
        <v>10561</v>
      </c>
      <c r="J5080" s="34" t="s">
        <v>26</v>
      </c>
      <c r="K5080" s="20">
        <v>77</v>
      </c>
      <c r="L5080" s="12">
        <f t="shared" si="431"/>
        <v>184.79999999999998</v>
      </c>
      <c r="M5080" s="8">
        <v>1</v>
      </c>
      <c r="N5080" s="8" t="s">
        <v>27</v>
      </c>
      <c r="O5080" s="13"/>
      <c r="P5080" s="14">
        <v>0.2</v>
      </c>
      <c r="Q5080" s="15">
        <v>0.5</v>
      </c>
      <c r="R5080" s="16" t="str">
        <f t="shared" si="429"/>
        <v>KLIPSCH</v>
      </c>
    </row>
    <row r="5081" spans="1:21" ht="27" customHeight="1" x14ac:dyDescent="0.25">
      <c r="A5081" s="32" t="s">
        <v>3915</v>
      </c>
      <c r="H5081" t="s">
        <v>9799</v>
      </c>
      <c r="I5081" s="33" t="s">
        <v>10562</v>
      </c>
      <c r="J5081" s="34" t="s">
        <v>26</v>
      </c>
      <c r="K5081" s="20">
        <v>355</v>
      </c>
      <c r="L5081" s="12">
        <f t="shared" si="431"/>
        <v>608.57142857142856</v>
      </c>
      <c r="M5081" s="8">
        <v>1</v>
      </c>
      <c r="N5081" s="8" t="s">
        <v>27</v>
      </c>
      <c r="O5081" s="13"/>
      <c r="P5081" s="14">
        <v>0.2</v>
      </c>
      <c r="Q5081" s="15">
        <v>0.3</v>
      </c>
      <c r="R5081" s="16" t="str">
        <f t="shared" si="429"/>
        <v>KLIPSCH</v>
      </c>
    </row>
    <row r="5082" spans="1:21" ht="27" customHeight="1" x14ac:dyDescent="0.25">
      <c r="A5082" s="32" t="s">
        <v>7761</v>
      </c>
      <c r="H5082" t="s">
        <v>10563</v>
      </c>
      <c r="I5082" s="33" t="s">
        <v>10564</v>
      </c>
      <c r="J5082" s="34" t="s">
        <v>33</v>
      </c>
      <c r="K5082" s="20">
        <v>120000</v>
      </c>
      <c r="L5082" s="12">
        <f t="shared" si="431"/>
        <v>171428.57142857145</v>
      </c>
      <c r="M5082" s="8">
        <v>1</v>
      </c>
      <c r="N5082" s="8" t="s">
        <v>27</v>
      </c>
      <c r="O5082" s="13"/>
      <c r="P5082" s="14">
        <v>0</v>
      </c>
      <c r="Q5082" s="15">
        <v>0.3</v>
      </c>
      <c r="R5082" s="16" t="str">
        <f t="shared" si="429"/>
        <v>POWEST</v>
      </c>
      <c r="U5082" s="21">
        <v>354</v>
      </c>
    </row>
    <row r="5083" spans="1:21" ht="27" customHeight="1" x14ac:dyDescent="0.25">
      <c r="A5083" s="32" t="s">
        <v>10565</v>
      </c>
      <c r="H5083" t="s">
        <v>10566</v>
      </c>
      <c r="I5083" t="s">
        <v>10567</v>
      </c>
      <c r="J5083" s="34" t="s">
        <v>26</v>
      </c>
      <c r="K5083" s="20">
        <f>16.6+U5083</f>
        <v>25.957324840764333</v>
      </c>
      <c r="L5083" s="12">
        <f t="shared" si="431"/>
        <v>54.0777600849257</v>
      </c>
      <c r="M5083" s="8">
        <v>1</v>
      </c>
      <c r="N5083" s="8" t="s">
        <v>27</v>
      </c>
      <c r="O5083" s="13"/>
      <c r="P5083" s="14">
        <v>0.25</v>
      </c>
      <c r="Q5083" s="15">
        <v>0.4</v>
      </c>
      <c r="R5083" s="16" t="str">
        <f t="shared" si="429"/>
        <v>ZHUHAI</v>
      </c>
      <c r="S5083" s="21">
        <f>K5083*20</f>
        <v>519.1464968152867</v>
      </c>
      <c r="U5083" s="21">
        <v>9.3573248407643312</v>
      </c>
    </row>
    <row r="5084" spans="1:21" ht="27" customHeight="1" x14ac:dyDescent="0.25">
      <c r="A5084" s="32" t="s">
        <v>10565</v>
      </c>
      <c r="H5084" t="s">
        <v>10568</v>
      </c>
      <c r="I5084" t="s">
        <v>10569</v>
      </c>
      <c r="J5084" s="34" t="s">
        <v>26</v>
      </c>
      <c r="K5084" s="20">
        <f>14.8+U5084</f>
        <v>23.142675159235669</v>
      </c>
      <c r="L5084" s="12">
        <f t="shared" si="431"/>
        <v>48.213906581740979</v>
      </c>
      <c r="M5084" s="8">
        <v>1</v>
      </c>
      <c r="N5084" s="8" t="s">
        <v>27</v>
      </c>
      <c r="O5084" s="13"/>
      <c r="P5084" s="14">
        <v>0.25</v>
      </c>
      <c r="Q5084" s="15">
        <v>0.4</v>
      </c>
      <c r="R5084" s="16" t="str">
        <f t="shared" si="429"/>
        <v>ZHUHAI</v>
      </c>
      <c r="S5084" s="21">
        <f>K5084*20</f>
        <v>462.85350318471336</v>
      </c>
      <c r="U5084" s="21">
        <v>8.342675159235668</v>
      </c>
    </row>
    <row r="5085" spans="1:21" ht="27" customHeight="1" x14ac:dyDescent="0.25">
      <c r="A5085" s="32" t="s">
        <v>7474</v>
      </c>
      <c r="H5085" t="s">
        <v>10570</v>
      </c>
      <c r="I5085" s="33" t="s">
        <v>10571</v>
      </c>
      <c r="J5085" s="34" t="s">
        <v>26</v>
      </c>
      <c r="K5085" s="20">
        <v>811</v>
      </c>
      <c r="L5085" s="12">
        <f t="shared" ref="L5085:L5106" si="432">K5085*(1+P5085)/(1-Q5085)</f>
        <v>1399.0000072096564</v>
      </c>
      <c r="M5085" s="8">
        <v>1</v>
      </c>
      <c r="N5085" s="8" t="s">
        <v>27</v>
      </c>
      <c r="O5085" s="13"/>
      <c r="P5085" s="14">
        <v>0.2</v>
      </c>
      <c r="Q5085" s="15">
        <v>0.30436026091159651</v>
      </c>
      <c r="R5085" s="16" t="str">
        <f t="shared" si="429"/>
        <v>ONKYO</v>
      </c>
      <c r="S5085" s="21">
        <f>SUM(S5083:S5084)</f>
        <v>982</v>
      </c>
    </row>
    <row r="5086" spans="1:21" ht="27" customHeight="1" x14ac:dyDescent="0.25">
      <c r="A5086" s="32" t="s">
        <v>3915</v>
      </c>
      <c r="H5086" t="s">
        <v>10572</v>
      </c>
      <c r="I5086" s="33" t="s">
        <v>10573</v>
      </c>
      <c r="J5086" s="34" t="s">
        <v>26</v>
      </c>
      <c r="K5086" s="20">
        <v>342</v>
      </c>
      <c r="L5086" s="12">
        <f t="shared" si="432"/>
        <v>659.00000094168979</v>
      </c>
      <c r="M5086" s="8">
        <v>1</v>
      </c>
      <c r="N5086" s="8" t="s">
        <v>27</v>
      </c>
      <c r="O5086" s="13"/>
      <c r="P5086" s="14">
        <v>0.2</v>
      </c>
      <c r="Q5086" s="15">
        <v>0.37723824064711442</v>
      </c>
      <c r="R5086" s="16" t="str">
        <f t="shared" si="429"/>
        <v>KLIPSCH</v>
      </c>
    </row>
    <row r="5087" spans="1:21" ht="27" customHeight="1" x14ac:dyDescent="0.25">
      <c r="A5087" s="32" t="s">
        <v>3915</v>
      </c>
      <c r="H5087" t="s">
        <v>3972</v>
      </c>
      <c r="I5087" s="33" t="s">
        <v>10574</v>
      </c>
      <c r="J5087" s="34" t="s">
        <v>26</v>
      </c>
      <c r="K5087" s="20">
        <v>27</v>
      </c>
      <c r="L5087" s="12">
        <f t="shared" si="432"/>
        <v>80.999999999999986</v>
      </c>
      <c r="M5087" s="8">
        <v>1</v>
      </c>
      <c r="N5087" s="8" t="s">
        <v>27</v>
      </c>
      <c r="O5087" s="13"/>
      <c r="P5087" s="14">
        <v>0.2</v>
      </c>
      <c r="Q5087" s="15">
        <v>0.6</v>
      </c>
      <c r="R5087" s="16" t="str">
        <f t="shared" si="429"/>
        <v>KLIPSCH</v>
      </c>
    </row>
    <row r="5088" spans="1:21" ht="27" customHeight="1" x14ac:dyDescent="0.25">
      <c r="A5088" s="32" t="s">
        <v>5672</v>
      </c>
      <c r="H5088" t="s">
        <v>10575</v>
      </c>
      <c r="I5088" s="33" t="s">
        <v>10576</v>
      </c>
      <c r="J5088" s="34" t="s">
        <v>26</v>
      </c>
      <c r="K5088" s="42">
        <v>186.3</v>
      </c>
      <c r="L5088" s="12">
        <f t="shared" si="432"/>
        <v>345.0000970492257</v>
      </c>
      <c r="M5088" s="8">
        <v>1</v>
      </c>
      <c r="N5088" s="8" t="s">
        <v>27</v>
      </c>
      <c r="O5088" s="13"/>
      <c r="P5088" s="14">
        <v>0.2</v>
      </c>
      <c r="Q5088" s="15">
        <v>0.35200018228371183</v>
      </c>
      <c r="R5088" s="16" t="str">
        <f t="shared" si="429"/>
        <v>LUTRON</v>
      </c>
    </row>
    <row r="5089" spans="1:21" ht="27" customHeight="1" x14ac:dyDescent="0.25">
      <c r="A5089" s="32" t="s">
        <v>5672</v>
      </c>
      <c r="H5089" t="s">
        <v>10577</v>
      </c>
      <c r="I5089" s="33" t="s">
        <v>10578</v>
      </c>
      <c r="J5089" s="34" t="s">
        <v>26</v>
      </c>
      <c r="K5089" s="42">
        <v>222.75</v>
      </c>
      <c r="L5089" s="12">
        <f t="shared" si="432"/>
        <v>405.00000028400518</v>
      </c>
      <c r="M5089" s="8">
        <v>1</v>
      </c>
      <c r="N5089" s="8" t="s">
        <v>27</v>
      </c>
      <c r="O5089" s="13"/>
      <c r="P5089" s="14">
        <v>0.2</v>
      </c>
      <c r="Q5089" s="15">
        <v>0.34000000046282319</v>
      </c>
      <c r="R5089" s="16" t="str">
        <f t="shared" si="429"/>
        <v>LUTRON</v>
      </c>
    </row>
    <row r="5090" spans="1:21" ht="27" customHeight="1" x14ac:dyDescent="0.25">
      <c r="A5090" s="32" t="s">
        <v>3977</v>
      </c>
      <c r="H5090" t="s">
        <v>10579</v>
      </c>
      <c r="I5090" s="33" t="s">
        <v>10580</v>
      </c>
      <c r="J5090" s="34" t="s">
        <v>26</v>
      </c>
      <c r="K5090" s="20">
        <v>100</v>
      </c>
      <c r="L5090" s="12">
        <f t="shared" si="432"/>
        <v>181.81818194568132</v>
      </c>
      <c r="M5090" s="8">
        <v>1</v>
      </c>
      <c r="N5090" s="8" t="s">
        <v>27</v>
      </c>
      <c r="O5090" s="13"/>
      <c r="P5090" s="14">
        <v>0.2</v>
      </c>
      <c r="Q5090" s="15">
        <v>0.34000000046282319</v>
      </c>
      <c r="R5090" s="16" t="str">
        <f t="shared" si="429"/>
        <v>KOMODO</v>
      </c>
    </row>
    <row r="5091" spans="1:21" ht="27" customHeight="1" x14ac:dyDescent="0.25">
      <c r="A5091" s="32" t="s">
        <v>10370</v>
      </c>
      <c r="H5091" t="s">
        <v>10581</v>
      </c>
      <c r="I5091" s="33" t="s">
        <v>10582</v>
      </c>
      <c r="J5091" s="34" t="s">
        <v>26</v>
      </c>
      <c r="K5091" s="20">
        <f>10.65*0.4</f>
        <v>4.2600000000000007</v>
      </c>
      <c r="L5091" s="12">
        <f t="shared" si="432"/>
        <v>10.850007814284458</v>
      </c>
      <c r="M5091" s="8">
        <v>1</v>
      </c>
      <c r="N5091" s="8" t="s">
        <v>27</v>
      </c>
      <c r="O5091" s="13"/>
      <c r="P5091" s="14">
        <v>0.25</v>
      </c>
      <c r="Q5091" s="15">
        <v>0.50921694332888578</v>
      </c>
      <c r="R5091" s="16" t="str">
        <f t="shared" si="429"/>
        <v>LEDYI</v>
      </c>
    </row>
    <row r="5092" spans="1:21" ht="27" customHeight="1" x14ac:dyDescent="0.25">
      <c r="A5092" s="32" t="s">
        <v>10370</v>
      </c>
      <c r="H5092" t="s">
        <v>10475</v>
      </c>
      <c r="I5092" s="33" t="s">
        <v>10583</v>
      </c>
      <c r="J5092" s="34" t="s">
        <v>26</v>
      </c>
      <c r="K5092" s="20">
        <f>6.9*0.4</f>
        <v>2.7600000000000002</v>
      </c>
      <c r="L5092" s="12">
        <f t="shared" si="432"/>
        <v>6.9000086561910701</v>
      </c>
      <c r="M5092" s="8">
        <v>1</v>
      </c>
      <c r="N5092" s="8" t="s">
        <v>27</v>
      </c>
      <c r="O5092" s="13"/>
      <c r="P5092" s="14">
        <v>0.25</v>
      </c>
      <c r="Q5092" s="15">
        <v>0.5000006272594355</v>
      </c>
      <c r="R5092" s="16" t="str">
        <f t="shared" si="429"/>
        <v>LEDYI</v>
      </c>
    </row>
    <row r="5093" spans="1:21" ht="27" customHeight="1" x14ac:dyDescent="0.25">
      <c r="A5093" s="8" t="s">
        <v>10258</v>
      </c>
      <c r="H5093" t="s">
        <v>10584</v>
      </c>
      <c r="I5093" s="33" t="s">
        <v>10585</v>
      </c>
      <c r="J5093" s="34" t="s">
        <v>26</v>
      </c>
      <c r="K5093" s="20">
        <f>37.9*0.4</f>
        <v>15.16</v>
      </c>
      <c r="L5093" s="12">
        <f t="shared" si="432"/>
        <v>35.373333333333335</v>
      </c>
      <c r="M5093" s="8">
        <v>1</v>
      </c>
      <c r="N5093" s="8" t="s">
        <v>27</v>
      </c>
      <c r="O5093" s="13"/>
      <c r="P5093" s="14">
        <v>0.4</v>
      </c>
      <c r="Q5093" s="15">
        <v>0.4</v>
      </c>
      <c r="R5093" s="16" t="str">
        <f t="shared" si="429"/>
        <v>SC_POWER</v>
      </c>
    </row>
    <row r="5094" spans="1:21" ht="27" customHeight="1" x14ac:dyDescent="0.25">
      <c r="A5094" s="8" t="s">
        <v>10258</v>
      </c>
      <c r="H5094" t="s">
        <v>10586</v>
      </c>
      <c r="I5094" s="33" t="s">
        <v>10587</v>
      </c>
      <c r="J5094" s="34" t="s">
        <v>26</v>
      </c>
      <c r="K5094" s="20">
        <f>110*0.4</f>
        <v>44</v>
      </c>
      <c r="L5094" s="12">
        <f t="shared" si="432"/>
        <v>102.66666666666666</v>
      </c>
      <c r="M5094" s="8">
        <v>1</v>
      </c>
      <c r="N5094" s="8" t="s">
        <v>27</v>
      </c>
      <c r="O5094" s="13"/>
      <c r="P5094" s="14">
        <v>0.4</v>
      </c>
      <c r="Q5094" s="15">
        <v>0.4</v>
      </c>
      <c r="R5094" s="16" t="str">
        <f t="shared" si="429"/>
        <v>SC_POWER</v>
      </c>
    </row>
    <row r="5095" spans="1:21" ht="27" customHeight="1" x14ac:dyDescent="0.25">
      <c r="A5095" s="8" t="s">
        <v>10258</v>
      </c>
      <c r="H5095" t="s">
        <v>10588</v>
      </c>
      <c r="I5095" s="33" t="s">
        <v>10589</v>
      </c>
      <c r="J5095" s="34" t="s">
        <v>26</v>
      </c>
      <c r="K5095" s="20">
        <f>110*0.4</f>
        <v>44</v>
      </c>
      <c r="L5095" s="12">
        <f t="shared" si="432"/>
        <v>102.66666666666666</v>
      </c>
      <c r="M5095" s="8">
        <v>1</v>
      </c>
      <c r="N5095" s="8" t="s">
        <v>27</v>
      </c>
      <c r="O5095" s="13"/>
      <c r="P5095" s="14">
        <v>0.4</v>
      </c>
      <c r="Q5095" s="15">
        <v>0.4</v>
      </c>
      <c r="R5095" s="16" t="str">
        <f t="shared" si="429"/>
        <v>SC_POWER</v>
      </c>
    </row>
    <row r="5096" spans="1:21" ht="27" customHeight="1" x14ac:dyDescent="0.25">
      <c r="A5096" s="8" t="s">
        <v>10258</v>
      </c>
      <c r="H5096" t="s">
        <v>10590</v>
      </c>
      <c r="I5096" s="33" t="s">
        <v>10591</v>
      </c>
      <c r="J5096" s="34" t="s">
        <v>26</v>
      </c>
      <c r="K5096" s="20">
        <f>66.5*0.4</f>
        <v>26.6</v>
      </c>
      <c r="L5096" s="12">
        <f t="shared" si="432"/>
        <v>62.06666666666667</v>
      </c>
      <c r="M5096" s="8">
        <v>1</v>
      </c>
      <c r="N5096" s="8" t="s">
        <v>27</v>
      </c>
      <c r="O5096" s="13"/>
      <c r="P5096" s="14">
        <v>0.4</v>
      </c>
      <c r="Q5096" s="15">
        <v>0.4</v>
      </c>
      <c r="R5096" s="16" t="str">
        <f t="shared" si="429"/>
        <v>SC_POWER</v>
      </c>
    </row>
    <row r="5097" spans="1:21" ht="27" customHeight="1" x14ac:dyDescent="0.25">
      <c r="A5097" s="32" t="s">
        <v>10370</v>
      </c>
      <c r="H5097" t="s">
        <v>10592</v>
      </c>
      <c r="I5097" s="33" t="s">
        <v>10593</v>
      </c>
      <c r="J5097" s="34" t="s">
        <v>26</v>
      </c>
      <c r="K5097" s="20">
        <f>9.35*0.4</f>
        <v>3.74</v>
      </c>
      <c r="L5097" s="12">
        <f t="shared" si="432"/>
        <v>9.3500117297661607</v>
      </c>
      <c r="M5097" s="8">
        <v>1</v>
      </c>
      <c r="N5097" s="8" t="s">
        <v>27</v>
      </c>
      <c r="O5097" s="13"/>
      <c r="P5097" s="14">
        <v>0.25</v>
      </c>
      <c r="Q5097" s="15">
        <v>0.5000006272594355</v>
      </c>
      <c r="R5097" s="16" t="str">
        <f t="shared" si="429"/>
        <v>LEDYI</v>
      </c>
    </row>
    <row r="5098" spans="1:21" ht="27" customHeight="1" x14ac:dyDescent="0.25">
      <c r="A5098" s="32" t="s">
        <v>10370</v>
      </c>
      <c r="H5098" t="s">
        <v>10594</v>
      </c>
      <c r="I5098" s="33" t="s">
        <v>10595</v>
      </c>
      <c r="J5098" s="34" t="s">
        <v>26</v>
      </c>
      <c r="K5098" s="20">
        <f>23.7*0.4</f>
        <v>9.48</v>
      </c>
      <c r="L5098" s="12">
        <f t="shared" si="432"/>
        <v>23.700029732134546</v>
      </c>
      <c r="M5098" s="8">
        <v>1</v>
      </c>
      <c r="N5098" s="8" t="s">
        <v>27</v>
      </c>
      <c r="O5098" s="13"/>
      <c r="P5098" s="14">
        <v>0.25</v>
      </c>
      <c r="Q5098" s="15">
        <v>0.5000006272594355</v>
      </c>
      <c r="R5098" s="16" t="str">
        <f t="shared" si="429"/>
        <v>LEDYI</v>
      </c>
    </row>
    <row r="5099" spans="1:21" ht="27" customHeight="1" x14ac:dyDescent="0.25">
      <c r="A5099" s="8" t="s">
        <v>10258</v>
      </c>
      <c r="H5099" t="s">
        <v>10596</v>
      </c>
      <c r="I5099" s="33" t="s">
        <v>10597</v>
      </c>
      <c r="J5099" s="34" t="s">
        <v>26</v>
      </c>
      <c r="K5099" s="20">
        <f>220*0.4</f>
        <v>88</v>
      </c>
      <c r="L5099" s="12">
        <f t="shared" si="432"/>
        <v>205.33333333333331</v>
      </c>
      <c r="M5099" s="8">
        <v>1</v>
      </c>
      <c r="N5099" s="8" t="s">
        <v>27</v>
      </c>
      <c r="O5099" s="13"/>
      <c r="P5099" s="14">
        <v>0.4</v>
      </c>
      <c r="Q5099" s="15">
        <v>0.4</v>
      </c>
      <c r="R5099" s="16" t="str">
        <f t="shared" si="429"/>
        <v>SC_POWER</v>
      </c>
    </row>
    <row r="5100" spans="1:21" ht="27" customHeight="1" x14ac:dyDescent="0.25">
      <c r="A5100" s="8" t="s">
        <v>10258</v>
      </c>
      <c r="H5100" t="s">
        <v>10598</v>
      </c>
      <c r="I5100" s="33" t="s">
        <v>10599</v>
      </c>
      <c r="J5100" s="34" t="s">
        <v>26</v>
      </c>
      <c r="K5100" s="20">
        <f>77.5*0.4</f>
        <v>31</v>
      </c>
      <c r="L5100" s="12">
        <f t="shared" si="432"/>
        <v>72.333333333333329</v>
      </c>
      <c r="M5100" s="8">
        <v>1</v>
      </c>
      <c r="N5100" s="8" t="s">
        <v>27</v>
      </c>
      <c r="O5100" s="13"/>
      <c r="P5100" s="14">
        <v>0.4</v>
      </c>
      <c r="Q5100" s="15">
        <v>0.4</v>
      </c>
      <c r="R5100" s="16" t="str">
        <f t="shared" si="429"/>
        <v>SC_POWER</v>
      </c>
    </row>
    <row r="5101" spans="1:21" ht="27" customHeight="1" x14ac:dyDescent="0.25">
      <c r="A5101" s="32" t="s">
        <v>10370</v>
      </c>
      <c r="H5101" t="s">
        <v>10600</v>
      </c>
      <c r="I5101" s="33" t="s">
        <v>10601</v>
      </c>
      <c r="J5101" s="34" t="s">
        <v>26</v>
      </c>
      <c r="K5101" s="20">
        <f>5.5*0.4</f>
        <v>2.2000000000000002</v>
      </c>
      <c r="L5101" s="12">
        <f t="shared" si="432"/>
        <v>5.5000068998624467</v>
      </c>
      <c r="M5101" s="8">
        <v>1</v>
      </c>
      <c r="N5101" s="8" t="s">
        <v>27</v>
      </c>
      <c r="O5101" s="13"/>
      <c r="P5101" s="14">
        <v>0.25</v>
      </c>
      <c r="Q5101" s="15">
        <v>0.5000006272594355</v>
      </c>
      <c r="R5101" s="16" t="str">
        <f t="shared" si="429"/>
        <v>LEDYI</v>
      </c>
    </row>
    <row r="5102" spans="1:21" ht="27" customHeight="1" x14ac:dyDescent="0.25">
      <c r="A5102" s="32" t="s">
        <v>10370</v>
      </c>
      <c r="H5102" t="s">
        <v>10453</v>
      </c>
      <c r="I5102" s="33" t="s">
        <v>10602</v>
      </c>
      <c r="J5102" s="34" t="s">
        <v>26</v>
      </c>
      <c r="K5102" s="20">
        <f>7.5*0.4</f>
        <v>3</v>
      </c>
      <c r="L5102" s="12">
        <f t="shared" si="432"/>
        <v>7.5000094089033364</v>
      </c>
      <c r="M5102" s="8">
        <v>1</v>
      </c>
      <c r="N5102" s="8" t="s">
        <v>27</v>
      </c>
      <c r="O5102" s="13"/>
      <c r="P5102" s="14">
        <v>0.25</v>
      </c>
      <c r="Q5102" s="15">
        <v>0.5000006272594355</v>
      </c>
      <c r="R5102" s="16" t="str">
        <f t="shared" si="429"/>
        <v>LEDYI</v>
      </c>
    </row>
    <row r="5103" spans="1:21" ht="27" customHeight="1" x14ac:dyDescent="0.25">
      <c r="A5103" s="8" t="s">
        <v>10258</v>
      </c>
      <c r="H5103" t="s">
        <v>10603</v>
      </c>
      <c r="I5103" s="33" t="s">
        <v>10599</v>
      </c>
      <c r="J5103" s="34" t="s">
        <v>26</v>
      </c>
      <c r="K5103" s="20">
        <f>27.3*0.4</f>
        <v>10.920000000000002</v>
      </c>
      <c r="L5103" s="12">
        <f t="shared" si="432"/>
        <v>25.480000000000004</v>
      </c>
      <c r="M5103" s="8">
        <v>1</v>
      </c>
      <c r="N5103" s="8" t="s">
        <v>27</v>
      </c>
      <c r="O5103" s="13"/>
      <c r="P5103" s="14">
        <v>0.4</v>
      </c>
      <c r="Q5103" s="15">
        <v>0.4</v>
      </c>
      <c r="R5103" s="16" t="str">
        <f t="shared" ref="R5103:R5166" si="433">A5103</f>
        <v>SC_POWER</v>
      </c>
    </row>
    <row r="5104" spans="1:21" ht="27" customHeight="1" x14ac:dyDescent="0.25">
      <c r="A5104" s="8" t="s">
        <v>10258</v>
      </c>
      <c r="H5104" t="s">
        <v>10604</v>
      </c>
      <c r="I5104" s="33" t="s">
        <v>10605</v>
      </c>
      <c r="J5104" t="s">
        <v>26</v>
      </c>
      <c r="K5104">
        <f>28.45*0.4</f>
        <v>11.38</v>
      </c>
      <c r="L5104" s="12">
        <f t="shared" si="432"/>
        <v>26.553333333333335</v>
      </c>
      <c r="M5104" s="8">
        <v>1</v>
      </c>
      <c r="N5104" s="8" t="s">
        <v>27</v>
      </c>
      <c r="O5104" s="13"/>
      <c r="P5104" s="14">
        <v>0.4</v>
      </c>
      <c r="Q5104" s="15">
        <v>0.4</v>
      </c>
      <c r="R5104" s="16" t="str">
        <f t="shared" si="433"/>
        <v>SC_POWER</v>
      </c>
      <c r="T5104">
        <v>20</v>
      </c>
      <c r="U5104">
        <f>+K5104*T5104</f>
        <v>227.60000000000002</v>
      </c>
    </row>
    <row r="5105" spans="1:21" ht="27" customHeight="1" x14ac:dyDescent="0.25">
      <c r="A5105" s="8" t="s">
        <v>10258</v>
      </c>
      <c r="H5105" t="s">
        <v>10606</v>
      </c>
      <c r="I5105" s="33" t="s">
        <v>10607</v>
      </c>
      <c r="J5105" t="s">
        <v>26</v>
      </c>
      <c r="K5105">
        <f>36*0.4</f>
        <v>14.4</v>
      </c>
      <c r="L5105" s="12">
        <f t="shared" si="432"/>
        <v>33.6</v>
      </c>
      <c r="M5105" s="8">
        <v>1</v>
      </c>
      <c r="N5105" s="8" t="s">
        <v>27</v>
      </c>
      <c r="O5105" s="13"/>
      <c r="P5105" s="14">
        <v>0.4</v>
      </c>
      <c r="Q5105" s="15">
        <v>0.4</v>
      </c>
      <c r="R5105" s="16" t="str">
        <f t="shared" si="433"/>
        <v>SC_POWER</v>
      </c>
      <c r="S5105">
        <f>15*1.3/0.75</f>
        <v>26</v>
      </c>
      <c r="T5105">
        <v>30</v>
      </c>
      <c r="U5105">
        <f>+K5105*T5105</f>
        <v>432</v>
      </c>
    </row>
    <row r="5106" spans="1:21" ht="27" customHeight="1" x14ac:dyDescent="0.25">
      <c r="A5106" s="32" t="s">
        <v>2413</v>
      </c>
      <c r="H5106" t="s">
        <v>10608</v>
      </c>
      <c r="I5106" s="33" t="s">
        <v>10609</v>
      </c>
      <c r="J5106" s="34" t="s">
        <v>26</v>
      </c>
      <c r="K5106">
        <f>117.52*0.5</f>
        <v>58.76</v>
      </c>
      <c r="L5106" s="12">
        <f t="shared" si="432"/>
        <v>117.52000713262881</v>
      </c>
      <c r="M5106" s="8">
        <v>1</v>
      </c>
      <c r="N5106" s="8" t="s">
        <v>27</v>
      </c>
      <c r="O5106" s="13"/>
      <c r="P5106" s="14">
        <v>0.25</v>
      </c>
      <c r="Q5106" s="15">
        <v>0.37500003793305592</v>
      </c>
      <c r="R5106" s="16" t="str">
        <f t="shared" si="433"/>
        <v>FLOS</v>
      </c>
    </row>
    <row r="5107" spans="1:21" ht="27" customHeight="1" x14ac:dyDescent="0.25">
      <c r="A5107" s="32" t="s">
        <v>2413</v>
      </c>
      <c r="H5107" t="s">
        <v>10610</v>
      </c>
      <c r="I5107" s="10" t="s">
        <v>10339</v>
      </c>
      <c r="J5107" s="11" t="s">
        <v>26</v>
      </c>
      <c r="K5107" s="18">
        <f>18.75*0.5</f>
        <v>9.375</v>
      </c>
      <c r="L5107" s="12">
        <f t="shared" ref="L5107:L5138" si="434">IF(J5107="P",ROUNDUP(K5107/(1-Q5107),-2),K5107*(1+P5107)/(1-Q5107))</f>
        <v>18.750020094844611</v>
      </c>
      <c r="M5107" s="8">
        <v>1</v>
      </c>
      <c r="N5107" s="8" t="s">
        <v>27</v>
      </c>
      <c r="O5107" s="13"/>
      <c r="P5107" s="14">
        <v>0.35</v>
      </c>
      <c r="Q5107" s="15">
        <v>0.32500072341363068</v>
      </c>
      <c r="R5107" s="16" t="str">
        <f t="shared" si="433"/>
        <v>FLOS</v>
      </c>
      <c r="S5107" s="17"/>
      <c r="T5107" s="10">
        <v>15.5</v>
      </c>
    </row>
    <row r="5108" spans="1:21" ht="27" customHeight="1" x14ac:dyDescent="0.25">
      <c r="A5108" s="32" t="s">
        <v>2413</v>
      </c>
      <c r="H5108" t="s">
        <v>10611</v>
      </c>
      <c r="I5108" s="33" t="s">
        <v>10612</v>
      </c>
      <c r="J5108" s="11" t="s">
        <v>26</v>
      </c>
      <c r="K5108" s="18">
        <f>320.92*0.5</f>
        <v>160.46</v>
      </c>
      <c r="L5108" s="12">
        <f t="shared" si="434"/>
        <v>320.92034393800179</v>
      </c>
      <c r="M5108" s="8">
        <v>1</v>
      </c>
      <c r="N5108" s="8" t="s">
        <v>27</v>
      </c>
      <c r="O5108" s="13"/>
      <c r="P5108" s="14">
        <v>0.35</v>
      </c>
      <c r="Q5108" s="15">
        <v>0.32500072341363068</v>
      </c>
      <c r="R5108" s="16" t="str">
        <f t="shared" si="433"/>
        <v>FLOS</v>
      </c>
    </row>
    <row r="5109" spans="1:21" ht="27" customHeight="1" x14ac:dyDescent="0.25">
      <c r="A5109" s="32" t="s">
        <v>2413</v>
      </c>
      <c r="H5109" t="s">
        <v>10613</v>
      </c>
      <c r="I5109" s="33" t="s">
        <v>10614</v>
      </c>
      <c r="J5109" s="11" t="s">
        <v>26</v>
      </c>
      <c r="K5109" s="18">
        <f>79.1*0.5</f>
        <v>39.549999999999997</v>
      </c>
      <c r="L5109" s="12">
        <f t="shared" si="434"/>
        <v>79.10008477345113</v>
      </c>
      <c r="M5109" s="8">
        <v>1</v>
      </c>
      <c r="N5109" s="8" t="s">
        <v>27</v>
      </c>
      <c r="O5109" s="13"/>
      <c r="P5109" s="14">
        <v>0.35</v>
      </c>
      <c r="Q5109" s="15">
        <v>0.32500072341363068</v>
      </c>
      <c r="R5109" s="16" t="str">
        <f t="shared" si="433"/>
        <v>FLOS</v>
      </c>
    </row>
    <row r="5110" spans="1:21" ht="27" customHeight="1" x14ac:dyDescent="0.25">
      <c r="A5110" s="32" t="s">
        <v>2413</v>
      </c>
      <c r="H5110" t="s">
        <v>10615</v>
      </c>
      <c r="I5110" s="33" t="s">
        <v>10616</v>
      </c>
      <c r="J5110" s="11" t="s">
        <v>26</v>
      </c>
      <c r="K5110" s="18">
        <f>170.63*0.5</f>
        <v>85.314999999999998</v>
      </c>
      <c r="L5110" s="12">
        <f t="shared" si="434"/>
        <v>170.63018286844459</v>
      </c>
      <c r="M5110" s="8">
        <v>1</v>
      </c>
      <c r="N5110" s="8" t="s">
        <v>27</v>
      </c>
      <c r="O5110" s="13"/>
      <c r="P5110" s="14">
        <v>0.35</v>
      </c>
      <c r="Q5110" s="15">
        <v>0.32500072341363068</v>
      </c>
      <c r="R5110" s="16" t="str">
        <f t="shared" si="433"/>
        <v>FLOS</v>
      </c>
    </row>
    <row r="5111" spans="1:21" ht="27" customHeight="1" x14ac:dyDescent="0.25">
      <c r="A5111" s="32" t="s">
        <v>2413</v>
      </c>
      <c r="H5111" t="s">
        <v>10617</v>
      </c>
      <c r="I5111" s="33" t="s">
        <v>10618</v>
      </c>
      <c r="J5111" s="11" t="s">
        <v>26</v>
      </c>
      <c r="K5111" s="18">
        <f>32.09*0.5</f>
        <v>16.045000000000002</v>
      </c>
      <c r="L5111" s="12">
        <f t="shared" si="434"/>
        <v>32.090034391656729</v>
      </c>
      <c r="M5111" s="8">
        <v>1</v>
      </c>
      <c r="N5111" s="8" t="s">
        <v>27</v>
      </c>
      <c r="O5111" s="13"/>
      <c r="P5111" s="14">
        <v>0.35</v>
      </c>
      <c r="Q5111" s="15">
        <v>0.32500072341363068</v>
      </c>
      <c r="R5111" s="16" t="str">
        <f t="shared" si="433"/>
        <v>FLOS</v>
      </c>
    </row>
    <row r="5112" spans="1:21" ht="27" customHeight="1" x14ac:dyDescent="0.25">
      <c r="A5112" s="32" t="s">
        <v>2413</v>
      </c>
      <c r="H5112" t="s">
        <v>10619</v>
      </c>
      <c r="I5112" s="33" t="s">
        <v>10620</v>
      </c>
      <c r="J5112" s="11" t="s">
        <v>26</v>
      </c>
      <c r="K5112" s="18">
        <f>591.56*0.5</f>
        <v>295.77999999999997</v>
      </c>
      <c r="L5112" s="12">
        <f t="shared" si="434"/>
        <v>591.56063398966819</v>
      </c>
      <c r="M5112" s="8">
        <v>1</v>
      </c>
      <c r="N5112" s="8" t="s">
        <v>27</v>
      </c>
      <c r="O5112" s="13"/>
      <c r="P5112" s="14">
        <v>0.35</v>
      </c>
      <c r="Q5112" s="15">
        <v>0.32500072341363068</v>
      </c>
      <c r="R5112" s="16" t="str">
        <f t="shared" si="433"/>
        <v>FLOS</v>
      </c>
    </row>
    <row r="5113" spans="1:21" ht="27" customHeight="1" x14ac:dyDescent="0.25">
      <c r="A5113" s="32" t="s">
        <v>2413</v>
      </c>
      <c r="H5113" t="s">
        <v>10621</v>
      </c>
      <c r="I5113" s="33" t="s">
        <v>10622</v>
      </c>
      <c r="J5113" s="11" t="s">
        <v>26</v>
      </c>
      <c r="K5113" s="18">
        <f>355.95*0.5</f>
        <v>177.97499999999999</v>
      </c>
      <c r="L5113" s="12">
        <f t="shared" si="434"/>
        <v>355.95038148053015</v>
      </c>
      <c r="M5113" s="8">
        <v>1</v>
      </c>
      <c r="N5113" s="8" t="s">
        <v>27</v>
      </c>
      <c r="O5113" s="13"/>
      <c r="P5113" s="14">
        <v>0.35</v>
      </c>
      <c r="Q5113" s="15">
        <v>0.32500072341363068</v>
      </c>
      <c r="R5113" s="16" t="str">
        <f t="shared" si="433"/>
        <v>FLOS</v>
      </c>
    </row>
    <row r="5114" spans="1:21" ht="27" customHeight="1" x14ac:dyDescent="0.25">
      <c r="A5114" s="32" t="s">
        <v>8836</v>
      </c>
      <c r="H5114" t="s">
        <v>10623</v>
      </c>
      <c r="I5114" s="33" t="s">
        <v>10624</v>
      </c>
      <c r="J5114" s="41" t="s">
        <v>33</v>
      </c>
      <c r="K5114" s="20">
        <f>92191*0.9</f>
        <v>82971.900000000009</v>
      </c>
      <c r="L5114" s="12">
        <f t="shared" si="434"/>
        <v>118600</v>
      </c>
      <c r="M5114" s="8">
        <v>1</v>
      </c>
      <c r="N5114" s="8" t="s">
        <v>27</v>
      </c>
      <c r="O5114" s="13"/>
      <c r="P5114" s="14">
        <v>0</v>
      </c>
      <c r="Q5114" s="15">
        <v>0.3</v>
      </c>
      <c r="R5114" s="40" t="str">
        <f t="shared" si="433"/>
        <v>TECNOLITE</v>
      </c>
      <c r="S5114" s="21">
        <f>L5114/4000</f>
        <v>29.65</v>
      </c>
    </row>
    <row r="5115" spans="1:21" ht="27" customHeight="1" x14ac:dyDescent="0.25">
      <c r="A5115" s="32" t="s">
        <v>10356</v>
      </c>
      <c r="H5115" t="s">
        <v>10625</v>
      </c>
      <c r="I5115" s="33" t="s">
        <v>10626</v>
      </c>
      <c r="J5115" s="41" t="s">
        <v>26</v>
      </c>
      <c r="K5115" s="20">
        <f>351.2*0.7</f>
        <v>245.83999999999997</v>
      </c>
      <c r="L5115" s="12">
        <f t="shared" si="434"/>
        <v>351.2</v>
      </c>
      <c r="M5115" s="8">
        <v>1</v>
      </c>
      <c r="N5115" s="8" t="s">
        <v>27</v>
      </c>
      <c r="O5115" s="13"/>
      <c r="P5115" s="14">
        <v>0</v>
      </c>
      <c r="Q5115" s="15">
        <v>0.3</v>
      </c>
      <c r="R5115" s="40" t="str">
        <f t="shared" si="433"/>
        <v>LUXYCON</v>
      </c>
    </row>
    <row r="5116" spans="1:21" ht="27" customHeight="1" x14ac:dyDescent="0.25">
      <c r="A5116" s="32" t="s">
        <v>10356</v>
      </c>
      <c r="H5116" t="s">
        <v>10627</v>
      </c>
      <c r="I5116" t="s">
        <v>10628</v>
      </c>
      <c r="J5116" s="41" t="s">
        <v>26</v>
      </c>
      <c r="K5116" s="20">
        <f>175.48*0.7</f>
        <v>122.83599999999998</v>
      </c>
      <c r="L5116" s="12">
        <f t="shared" si="434"/>
        <v>175.48</v>
      </c>
      <c r="M5116" s="8">
        <v>1</v>
      </c>
      <c r="N5116" s="8" t="s">
        <v>27</v>
      </c>
      <c r="O5116" s="13"/>
      <c r="P5116" s="14">
        <v>0</v>
      </c>
      <c r="Q5116" s="15">
        <v>0.3</v>
      </c>
      <c r="R5116" s="40" t="str">
        <f t="shared" si="433"/>
        <v>LUXYCON</v>
      </c>
      <c r="T5116" t="str">
        <f t="shared" ref="T5116:T5127" si="435">UPPER(I5116)</f>
        <v>NEVADA ALTO CONTRASTE 15CM PARA RIEL MAGNÉTICO</v>
      </c>
    </row>
    <row r="5117" spans="1:21" ht="27" customHeight="1" x14ac:dyDescent="0.25">
      <c r="A5117" s="32" t="s">
        <v>10356</v>
      </c>
      <c r="H5117" t="s">
        <v>10629</v>
      </c>
      <c r="I5117" t="s">
        <v>10630</v>
      </c>
      <c r="J5117" s="41" t="s">
        <v>26</v>
      </c>
      <c r="K5117" s="20">
        <f>144.97*0.7</f>
        <v>101.479</v>
      </c>
      <c r="L5117" s="12">
        <f t="shared" si="434"/>
        <v>144.97</v>
      </c>
      <c r="M5117" s="8">
        <v>1</v>
      </c>
      <c r="N5117" s="8" t="s">
        <v>27</v>
      </c>
      <c r="O5117" s="13"/>
      <c r="P5117" s="14">
        <v>0</v>
      </c>
      <c r="Q5117" s="15">
        <v>0.3</v>
      </c>
      <c r="R5117" s="40" t="str">
        <f t="shared" si="433"/>
        <v>LUXYCON</v>
      </c>
      <c r="T5117" t="str">
        <f t="shared" si="435"/>
        <v>SPOT COX PARA RIEL MAGNETICO</v>
      </c>
    </row>
    <row r="5118" spans="1:21" ht="27" customHeight="1" x14ac:dyDescent="0.25">
      <c r="A5118" s="32" t="s">
        <v>10356</v>
      </c>
      <c r="H5118" t="s">
        <v>10631</v>
      </c>
      <c r="I5118" t="s">
        <v>10632</v>
      </c>
      <c r="J5118" s="41" t="s">
        <v>26</v>
      </c>
      <c r="K5118" s="20">
        <f>286.4*0.7</f>
        <v>200.47999999999996</v>
      </c>
      <c r="L5118" s="12">
        <f t="shared" si="434"/>
        <v>286.39999999999998</v>
      </c>
      <c r="M5118" s="8">
        <v>1</v>
      </c>
      <c r="N5118" s="8" t="s">
        <v>27</v>
      </c>
      <c r="O5118" s="13"/>
      <c r="P5118" s="14">
        <v>0</v>
      </c>
      <c r="Q5118" s="15">
        <v>0.3</v>
      </c>
      <c r="R5118" s="40" t="str">
        <f t="shared" si="433"/>
        <v>LUXYCON</v>
      </c>
      <c r="T5118" t="str">
        <f t="shared" si="435"/>
        <v>RIEL MAGNETICO DE SUSPENDER X 4 METROS.</v>
      </c>
    </row>
    <row r="5119" spans="1:21" ht="27" customHeight="1" x14ac:dyDescent="0.25">
      <c r="A5119" s="32" t="s">
        <v>10370</v>
      </c>
      <c r="H5119" t="s">
        <v>10633</v>
      </c>
      <c r="I5119" t="s">
        <v>10634</v>
      </c>
      <c r="J5119" s="41" t="s">
        <v>26</v>
      </c>
      <c r="K5119" s="20">
        <f>33.25*0.4</f>
        <v>13.3</v>
      </c>
      <c r="L5119" s="12">
        <f t="shared" si="434"/>
        <v>33.25</v>
      </c>
      <c r="M5119" s="8">
        <v>1</v>
      </c>
      <c r="N5119" s="8" t="s">
        <v>27</v>
      </c>
      <c r="O5119" s="13"/>
      <c r="P5119" s="14">
        <v>0.25</v>
      </c>
      <c r="Q5119" s="15">
        <v>0.5</v>
      </c>
      <c r="R5119" s="40" t="str">
        <f t="shared" si="433"/>
        <v>LEDYI</v>
      </c>
      <c r="T5119" t="str">
        <f t="shared" si="435"/>
        <v>METRO DE PERFIL DE INCRUSTAR CON DIFUSOR OPAL.</v>
      </c>
    </row>
    <row r="5120" spans="1:21" ht="27" customHeight="1" x14ac:dyDescent="0.25">
      <c r="A5120" s="32" t="s">
        <v>10370</v>
      </c>
      <c r="H5120" t="s">
        <v>10635</v>
      </c>
      <c r="I5120" t="s">
        <v>10636</v>
      </c>
      <c r="J5120" s="41" t="s">
        <v>26</v>
      </c>
      <c r="K5120" s="20">
        <f>11.15*0.4</f>
        <v>4.46</v>
      </c>
      <c r="L5120" s="12">
        <f t="shared" si="434"/>
        <v>11.15</v>
      </c>
      <c r="M5120" s="8">
        <v>1</v>
      </c>
      <c r="N5120" s="8" t="s">
        <v>27</v>
      </c>
      <c r="O5120" s="13"/>
      <c r="P5120" s="14">
        <v>0.25</v>
      </c>
      <c r="Q5120" s="15">
        <v>0.5</v>
      </c>
      <c r="R5120" s="40" t="str">
        <f t="shared" si="433"/>
        <v>LEDYI</v>
      </c>
      <c r="T5120" t="str">
        <f t="shared" si="435"/>
        <v>METRO DE PERFIL LED DE ALUMINIO DESCOLGADO CON DIFUSOR OPAL.</v>
      </c>
    </row>
    <row r="5121" spans="1:21" ht="27" customHeight="1" x14ac:dyDescent="0.25">
      <c r="A5121" s="32" t="s">
        <v>10370</v>
      </c>
      <c r="H5121" t="s">
        <v>10473</v>
      </c>
      <c r="I5121" t="s">
        <v>10637</v>
      </c>
      <c r="J5121" s="41" t="s">
        <v>26</v>
      </c>
      <c r="K5121" s="20">
        <f>5.6*0.4</f>
        <v>2.2399999999999998</v>
      </c>
      <c r="L5121" s="12">
        <f t="shared" si="434"/>
        <v>5.6</v>
      </c>
      <c r="M5121" s="8">
        <v>1</v>
      </c>
      <c r="N5121" s="8" t="s">
        <v>27</v>
      </c>
      <c r="O5121" s="13"/>
      <c r="P5121" s="14">
        <v>0.25</v>
      </c>
      <c r="Q5121" s="15">
        <v>0.5</v>
      </c>
      <c r="R5121" s="40" t="str">
        <f t="shared" si="433"/>
        <v>LEDYI</v>
      </c>
      <c r="T5121" t="str">
        <f t="shared" si="435"/>
        <v>METRO DE PERFIL LED ALUMINIO CON DIFUSOR OPAL.</v>
      </c>
    </row>
    <row r="5122" spans="1:21" ht="27" customHeight="1" x14ac:dyDescent="0.25">
      <c r="A5122" s="32" t="s">
        <v>10370</v>
      </c>
      <c r="H5122" t="s">
        <v>10466</v>
      </c>
      <c r="I5122" t="s">
        <v>10638</v>
      </c>
      <c r="J5122" s="41" t="s">
        <v>26</v>
      </c>
      <c r="K5122" s="20">
        <f>8.95*0.4</f>
        <v>3.58</v>
      </c>
      <c r="L5122" s="12">
        <f t="shared" si="434"/>
        <v>8.9499999999999993</v>
      </c>
      <c r="M5122" s="8">
        <v>1</v>
      </c>
      <c r="N5122" s="8" t="s">
        <v>27</v>
      </c>
      <c r="O5122" s="13"/>
      <c r="P5122" s="14">
        <v>0.25</v>
      </c>
      <c r="Q5122" s="15">
        <v>0.5</v>
      </c>
      <c r="R5122" s="40" t="str">
        <f t="shared" si="433"/>
        <v>LEDYI</v>
      </c>
      <c r="T5122" t="str">
        <f t="shared" si="435"/>
        <v>METRO DE PERFIL LED A 45° EN ALUMINIO CON DIFUSOR OPAL.</v>
      </c>
    </row>
    <row r="5123" spans="1:21" ht="27" customHeight="1" x14ac:dyDescent="0.25">
      <c r="A5123" s="32" t="s">
        <v>10370</v>
      </c>
      <c r="H5123" t="s">
        <v>10639</v>
      </c>
      <c r="I5123" t="s">
        <v>10640</v>
      </c>
      <c r="J5123" s="41" t="s">
        <v>26</v>
      </c>
      <c r="K5123" s="20">
        <f>22.9*0.4</f>
        <v>9.16</v>
      </c>
      <c r="L5123" s="12">
        <f t="shared" si="434"/>
        <v>22.9</v>
      </c>
      <c r="M5123" s="8">
        <v>1</v>
      </c>
      <c r="N5123" s="8" t="s">
        <v>27</v>
      </c>
      <c r="O5123" s="13"/>
      <c r="P5123" s="14">
        <v>0.25</v>
      </c>
      <c r="Q5123" s="15">
        <v>0.5</v>
      </c>
      <c r="R5123" s="40" t="str">
        <f t="shared" si="433"/>
        <v>LEDYI</v>
      </c>
      <c r="T5123" t="str">
        <f t="shared" si="435"/>
        <v>METRO DE PERFIL LED UP/DOWN, EN ALUMINIO.</v>
      </c>
    </row>
    <row r="5124" spans="1:21" ht="27" customHeight="1" x14ac:dyDescent="0.25">
      <c r="A5124" s="32" t="s">
        <v>10370</v>
      </c>
      <c r="H5124" t="s">
        <v>10641</v>
      </c>
      <c r="I5124" t="s">
        <v>10642</v>
      </c>
      <c r="J5124" s="41" t="s">
        <v>26</v>
      </c>
      <c r="K5124" s="20">
        <f>7*0.4</f>
        <v>2.8000000000000003</v>
      </c>
      <c r="L5124" s="12">
        <f t="shared" si="434"/>
        <v>7.0000000000000009</v>
      </c>
      <c r="M5124" s="8">
        <v>1</v>
      </c>
      <c r="N5124" s="8" t="s">
        <v>27</v>
      </c>
      <c r="O5124" s="13"/>
      <c r="P5124" s="14">
        <v>0.25</v>
      </c>
      <c r="Q5124" s="15">
        <v>0.5</v>
      </c>
      <c r="R5124" s="40" t="str">
        <f t="shared" si="433"/>
        <v>LEDYI</v>
      </c>
      <c r="T5124" t="str">
        <f t="shared" si="435"/>
        <v>METRO DE CINTA LED SMD 8MM 120LED/MT 2700K IP65</v>
      </c>
    </row>
    <row r="5125" spans="1:21" ht="27" customHeight="1" x14ac:dyDescent="0.25">
      <c r="A5125" s="32" t="s">
        <v>10370</v>
      </c>
      <c r="H5125" t="s">
        <v>10451</v>
      </c>
      <c r="I5125" t="s">
        <v>10643</v>
      </c>
      <c r="J5125" s="41" t="s">
        <v>26</v>
      </c>
      <c r="K5125" s="20">
        <f>10.85*0.4</f>
        <v>4.34</v>
      </c>
      <c r="L5125" s="12">
        <f t="shared" si="434"/>
        <v>10.85</v>
      </c>
      <c r="M5125" s="8">
        <v>1</v>
      </c>
      <c r="N5125" s="8" t="s">
        <v>27</v>
      </c>
      <c r="O5125" s="13"/>
      <c r="P5125" s="14">
        <v>0.25</v>
      </c>
      <c r="Q5125" s="15">
        <v>0.5</v>
      </c>
      <c r="R5125" s="40" t="str">
        <f t="shared" si="433"/>
        <v>LEDYI</v>
      </c>
      <c r="T5125" t="str">
        <f t="shared" si="435"/>
        <v>METRO DE CINTA LED SMD 10MM 240LED/MT 2700K IP65</v>
      </c>
    </row>
    <row r="5126" spans="1:21" ht="27" customHeight="1" x14ac:dyDescent="0.25">
      <c r="A5126" s="32" t="s">
        <v>10370</v>
      </c>
      <c r="H5126" t="s">
        <v>10471</v>
      </c>
      <c r="I5126" t="s">
        <v>10644</v>
      </c>
      <c r="J5126" s="41" t="s">
        <v>26</v>
      </c>
      <c r="K5126" s="20">
        <f>13.75*0.4</f>
        <v>5.5</v>
      </c>
      <c r="L5126" s="12">
        <f t="shared" si="434"/>
        <v>13.75</v>
      </c>
      <c r="M5126" s="8">
        <v>1</v>
      </c>
      <c r="N5126" s="8" t="s">
        <v>27</v>
      </c>
      <c r="O5126" s="13"/>
      <c r="P5126" s="14">
        <v>0.25</v>
      </c>
      <c r="Q5126" s="15">
        <v>0.5</v>
      </c>
      <c r="R5126" s="40" t="str">
        <f t="shared" si="433"/>
        <v>LEDYI</v>
      </c>
      <c r="T5126" t="str">
        <f t="shared" si="435"/>
        <v>METRO DE CINTA LED COB 4MM 480LED/MT 2700K</v>
      </c>
    </row>
    <row r="5127" spans="1:21" ht="27" customHeight="1" x14ac:dyDescent="0.25">
      <c r="A5127" s="32" t="s">
        <v>10370</v>
      </c>
      <c r="H5127" t="s">
        <v>10645</v>
      </c>
      <c r="I5127" t="s">
        <v>10646</v>
      </c>
      <c r="J5127" s="41" t="s">
        <v>26</v>
      </c>
      <c r="K5127" s="20">
        <f>8.25*0.4</f>
        <v>3.3000000000000003</v>
      </c>
      <c r="L5127" s="12">
        <f t="shared" si="434"/>
        <v>8.25</v>
      </c>
      <c r="M5127" s="8">
        <v>1</v>
      </c>
      <c r="N5127" s="8" t="s">
        <v>27</v>
      </c>
      <c r="O5127" s="13"/>
      <c r="P5127" s="14">
        <v>0.25</v>
      </c>
      <c r="Q5127" s="15">
        <v>0.5</v>
      </c>
      <c r="R5127" s="40" t="str">
        <f t="shared" si="433"/>
        <v>LEDYI</v>
      </c>
      <c r="T5127" t="str">
        <f t="shared" si="435"/>
        <v>METRO DE CINTA LED LED SMD 8MM 96LED/MT 2700K</v>
      </c>
    </row>
    <row r="5128" spans="1:21" ht="27" customHeight="1" x14ac:dyDescent="0.25">
      <c r="A5128" s="32" t="s">
        <v>10370</v>
      </c>
      <c r="H5128" t="s">
        <v>10647</v>
      </c>
      <c r="I5128" t="s">
        <v>10648</v>
      </c>
      <c r="J5128" s="41" t="s">
        <v>26</v>
      </c>
      <c r="K5128" s="20">
        <f>25.73*0.4</f>
        <v>10.292000000000002</v>
      </c>
      <c r="L5128" s="12">
        <f t="shared" si="434"/>
        <v>25.730000000000004</v>
      </c>
      <c r="M5128" s="8">
        <v>1</v>
      </c>
      <c r="N5128" s="8" t="s">
        <v>27</v>
      </c>
      <c r="O5128" s="13"/>
      <c r="P5128" s="14">
        <v>0.25</v>
      </c>
      <c r="Q5128" s="15">
        <v>0.5</v>
      </c>
      <c r="R5128" s="40" t="str">
        <f t="shared" si="433"/>
        <v>LEDYI</v>
      </c>
    </row>
    <row r="5129" spans="1:21" ht="27" customHeight="1" x14ac:dyDescent="0.25">
      <c r="A5129" s="32" t="s">
        <v>10370</v>
      </c>
      <c r="H5129" t="s">
        <v>10649</v>
      </c>
      <c r="I5129" t="s">
        <v>10650</v>
      </c>
      <c r="J5129" s="41" t="s">
        <v>26</v>
      </c>
      <c r="K5129" s="42">
        <f>0.28*0.4</f>
        <v>0.11200000000000002</v>
      </c>
      <c r="L5129" s="12">
        <f t="shared" si="434"/>
        <v>0.28000000000000003</v>
      </c>
      <c r="M5129" s="8">
        <v>1</v>
      </c>
      <c r="N5129" s="8" t="s">
        <v>27</v>
      </c>
      <c r="O5129" s="13"/>
      <c r="P5129" s="14">
        <v>0.25</v>
      </c>
      <c r="Q5129" s="15">
        <v>0.5</v>
      </c>
      <c r="R5129" s="40" t="str">
        <f t="shared" si="433"/>
        <v>LEDYI</v>
      </c>
    </row>
    <row r="5130" spans="1:21" ht="27" customHeight="1" x14ac:dyDescent="0.25">
      <c r="A5130" s="32" t="s">
        <v>10370</v>
      </c>
      <c r="H5130" t="s">
        <v>10651</v>
      </c>
      <c r="I5130" t="s">
        <v>10652</v>
      </c>
      <c r="J5130" s="41" t="s">
        <v>26</v>
      </c>
      <c r="K5130" s="42">
        <f>7.43*0.4</f>
        <v>2.972</v>
      </c>
      <c r="L5130" s="12">
        <f t="shared" si="434"/>
        <v>7.43</v>
      </c>
      <c r="M5130" s="8">
        <v>1</v>
      </c>
      <c r="N5130" s="8" t="s">
        <v>27</v>
      </c>
      <c r="O5130" s="13"/>
      <c r="P5130" s="14">
        <v>0.25</v>
      </c>
      <c r="Q5130" s="15">
        <v>0.5</v>
      </c>
      <c r="R5130" s="40" t="str">
        <f t="shared" si="433"/>
        <v>LEDYI</v>
      </c>
    </row>
    <row r="5131" spans="1:21" ht="27" customHeight="1" x14ac:dyDescent="0.25">
      <c r="A5131" s="32" t="s">
        <v>10370</v>
      </c>
      <c r="H5131" t="s">
        <v>10653</v>
      </c>
      <c r="I5131" t="s">
        <v>10654</v>
      </c>
      <c r="J5131" s="41" t="s">
        <v>26</v>
      </c>
      <c r="K5131" s="20">
        <f>3.72*0.4</f>
        <v>1.4880000000000002</v>
      </c>
      <c r="L5131" s="12">
        <f t="shared" si="434"/>
        <v>3.7200000000000006</v>
      </c>
      <c r="M5131" s="8">
        <v>1</v>
      </c>
      <c r="N5131" s="8" t="s">
        <v>27</v>
      </c>
      <c r="O5131" s="13"/>
      <c r="P5131" s="14">
        <v>0.25</v>
      </c>
      <c r="Q5131" s="15">
        <v>0.5</v>
      </c>
      <c r="R5131" s="40" t="str">
        <f t="shared" si="433"/>
        <v>LEDYI</v>
      </c>
    </row>
    <row r="5132" spans="1:21" ht="27" customHeight="1" x14ac:dyDescent="0.25">
      <c r="A5132" s="8" t="s">
        <v>10258</v>
      </c>
      <c r="H5132" t="s">
        <v>10655</v>
      </c>
      <c r="I5132" t="s">
        <v>10656</v>
      </c>
      <c r="J5132" s="41" t="s">
        <v>26</v>
      </c>
      <c r="K5132" s="20">
        <f>145*0.4</f>
        <v>58</v>
      </c>
      <c r="L5132" s="12">
        <f t="shared" si="434"/>
        <v>135.33333333333331</v>
      </c>
      <c r="M5132" s="8">
        <v>1</v>
      </c>
      <c r="N5132" s="8" t="s">
        <v>27</v>
      </c>
      <c r="O5132" s="13"/>
      <c r="P5132" s="14">
        <v>0.4</v>
      </c>
      <c r="Q5132" s="15">
        <v>0.4</v>
      </c>
      <c r="R5132" s="40" t="str">
        <f t="shared" si="433"/>
        <v>SC_POWER</v>
      </c>
    </row>
    <row r="5133" spans="1:21" ht="27" customHeight="1" x14ac:dyDescent="0.25">
      <c r="A5133" s="8" t="s">
        <v>10258</v>
      </c>
      <c r="H5133" t="s">
        <v>10657</v>
      </c>
      <c r="I5133" t="s">
        <v>10658</v>
      </c>
      <c r="J5133" s="41" t="s">
        <v>26</v>
      </c>
      <c r="K5133" s="20">
        <f>42.45*0.4</f>
        <v>16.98</v>
      </c>
      <c r="L5133" s="12">
        <f t="shared" si="434"/>
        <v>39.619999999999997</v>
      </c>
      <c r="M5133" s="8">
        <v>1</v>
      </c>
      <c r="N5133" s="8" t="s">
        <v>27</v>
      </c>
      <c r="O5133" s="13"/>
      <c r="P5133" s="14">
        <v>0.4</v>
      </c>
      <c r="Q5133" s="15">
        <v>0.4</v>
      </c>
      <c r="R5133" s="40" t="str">
        <f t="shared" si="433"/>
        <v>SC_POWER</v>
      </c>
      <c r="T5133">
        <v>50</v>
      </c>
      <c r="U5133">
        <f>+K5133*T5133</f>
        <v>849</v>
      </c>
    </row>
    <row r="5134" spans="1:21" ht="27" customHeight="1" x14ac:dyDescent="0.25">
      <c r="A5134" s="32" t="s">
        <v>10367</v>
      </c>
      <c r="H5134" t="s">
        <v>10478</v>
      </c>
      <c r="I5134" t="s">
        <v>10659</v>
      </c>
      <c r="J5134" s="41" t="s">
        <v>26</v>
      </c>
      <c r="K5134" s="20">
        <f>55*0.4</f>
        <v>22</v>
      </c>
      <c r="L5134" s="12">
        <f t="shared" si="434"/>
        <v>55</v>
      </c>
      <c r="M5134" s="8">
        <v>1</v>
      </c>
      <c r="N5134" s="8" t="s">
        <v>27</v>
      </c>
      <c r="O5134" s="13"/>
      <c r="P5134" s="14">
        <v>0.25</v>
      </c>
      <c r="Q5134" s="15">
        <v>0.5</v>
      </c>
      <c r="R5134" s="40" t="str">
        <f t="shared" si="433"/>
        <v>COOPER</v>
      </c>
    </row>
    <row r="5135" spans="1:21" ht="27" customHeight="1" x14ac:dyDescent="0.25">
      <c r="A5135" s="32" t="s">
        <v>2413</v>
      </c>
      <c r="H5135" t="s">
        <v>10660</v>
      </c>
      <c r="I5135" t="s">
        <v>10661</v>
      </c>
      <c r="J5135" s="41" t="s">
        <v>26</v>
      </c>
      <c r="K5135" s="20">
        <f>346.91*0.5</f>
        <v>173.45500000000001</v>
      </c>
      <c r="L5135" s="12">
        <f t="shared" si="434"/>
        <v>346.91004327236914</v>
      </c>
      <c r="M5135" s="8">
        <v>1</v>
      </c>
      <c r="N5135" s="8" t="s">
        <v>27</v>
      </c>
      <c r="O5135" s="13"/>
      <c r="P5135" s="14">
        <v>0.25</v>
      </c>
      <c r="Q5135" s="15">
        <v>0.37500007796035661</v>
      </c>
      <c r="R5135" s="40" t="str">
        <f t="shared" si="433"/>
        <v>FLOS</v>
      </c>
    </row>
    <row r="5136" spans="1:21" ht="27" customHeight="1" x14ac:dyDescent="0.25">
      <c r="A5136" s="32" t="s">
        <v>8836</v>
      </c>
      <c r="H5136" t="s">
        <v>10662</v>
      </c>
      <c r="I5136" s="33" t="s">
        <v>10663</v>
      </c>
      <c r="J5136" s="34" t="s">
        <v>33</v>
      </c>
      <c r="K5136" s="20">
        <f>350638*0.9</f>
        <v>315574.2</v>
      </c>
      <c r="L5136" s="12">
        <f t="shared" si="434"/>
        <v>394500</v>
      </c>
      <c r="M5136" s="8">
        <v>1</v>
      </c>
      <c r="N5136" s="8" t="s">
        <v>27</v>
      </c>
      <c r="O5136" s="13"/>
      <c r="P5136" s="14">
        <v>0</v>
      </c>
      <c r="Q5136" s="15">
        <v>0.2</v>
      </c>
      <c r="R5136" s="40" t="str">
        <f t="shared" si="433"/>
        <v>TECNOLITE</v>
      </c>
    </row>
    <row r="5137" spans="1:28" ht="27" customHeight="1" x14ac:dyDescent="0.25">
      <c r="A5137" s="32" t="s">
        <v>8836</v>
      </c>
      <c r="H5137" t="s">
        <v>10664</v>
      </c>
      <c r="I5137" s="33" t="s">
        <v>10665</v>
      </c>
      <c r="J5137" s="34" t="s">
        <v>33</v>
      </c>
      <c r="K5137" s="20">
        <f>183323*0.9</f>
        <v>164990.70000000001</v>
      </c>
      <c r="L5137" s="12">
        <f t="shared" si="434"/>
        <v>206300</v>
      </c>
      <c r="M5137" s="8">
        <v>1</v>
      </c>
      <c r="N5137" s="8" t="s">
        <v>27</v>
      </c>
      <c r="O5137" s="13"/>
      <c r="P5137" s="14">
        <v>0</v>
      </c>
      <c r="Q5137" s="15">
        <v>0.2</v>
      </c>
      <c r="R5137" s="40" t="str">
        <f t="shared" si="433"/>
        <v>TECNOLITE</v>
      </c>
    </row>
    <row r="5138" spans="1:28" ht="27" customHeight="1" x14ac:dyDescent="0.25">
      <c r="A5138" s="32" t="s">
        <v>8836</v>
      </c>
      <c r="H5138" t="s">
        <v>10666</v>
      </c>
      <c r="I5138" s="33" t="s">
        <v>10667</v>
      </c>
      <c r="J5138" s="34" t="s">
        <v>33</v>
      </c>
      <c r="K5138" s="20">
        <f>103000*0.9</f>
        <v>92700</v>
      </c>
      <c r="L5138" s="12">
        <f t="shared" si="434"/>
        <v>115900</v>
      </c>
      <c r="M5138" s="8">
        <v>1</v>
      </c>
      <c r="N5138" s="8" t="s">
        <v>27</v>
      </c>
      <c r="O5138" s="13"/>
      <c r="P5138" s="14">
        <v>0</v>
      </c>
      <c r="Q5138" s="15">
        <v>0.2</v>
      </c>
      <c r="R5138" s="40" t="str">
        <f t="shared" si="433"/>
        <v>TECNOLITE</v>
      </c>
      <c r="AB5138" s="112">
        <v>7</v>
      </c>
    </row>
    <row r="5139" spans="1:28" ht="27" customHeight="1" x14ac:dyDescent="0.25">
      <c r="A5139" s="32" t="s">
        <v>3432</v>
      </c>
      <c r="H5139" t="s">
        <v>10668</v>
      </c>
      <c r="I5139" s="33" t="s">
        <v>10669</v>
      </c>
      <c r="J5139" s="34" t="s">
        <v>33</v>
      </c>
      <c r="K5139" s="20">
        <v>25000</v>
      </c>
      <c r="L5139" s="12">
        <f t="shared" ref="L5139:L5158" si="436">IF(J5139="P",ROUNDUP(K5139/(1-Q5139),-2),K5139*(1+P5139)/(1-Q5139))</f>
        <v>35800</v>
      </c>
      <c r="M5139" s="8">
        <v>1</v>
      </c>
      <c r="N5139" s="8" t="s">
        <v>27</v>
      </c>
      <c r="O5139" s="13"/>
      <c r="P5139" s="14">
        <v>0</v>
      </c>
      <c r="Q5139" s="15">
        <v>0.3</v>
      </c>
      <c r="R5139" s="40" t="str">
        <f t="shared" si="433"/>
        <v>GTRADE</v>
      </c>
    </row>
    <row r="5140" spans="1:28" ht="27" customHeight="1" x14ac:dyDescent="0.25">
      <c r="A5140" s="32" t="s">
        <v>5672</v>
      </c>
      <c r="H5140" t="s">
        <v>10670</v>
      </c>
      <c r="I5140" s="33" t="s">
        <v>10671</v>
      </c>
      <c r="J5140" s="34" t="s">
        <v>26</v>
      </c>
      <c r="K5140" s="42">
        <v>60</v>
      </c>
      <c r="L5140" s="12">
        <f t="shared" si="436"/>
        <v>100.00000101565048</v>
      </c>
      <c r="M5140" s="8">
        <v>1</v>
      </c>
      <c r="N5140" s="8" t="s">
        <v>27</v>
      </c>
      <c r="O5140" s="13"/>
      <c r="P5140" s="14">
        <v>0.2</v>
      </c>
      <c r="Q5140" s="15">
        <v>0.28000000731268332</v>
      </c>
      <c r="R5140" s="40" t="str">
        <f t="shared" si="433"/>
        <v>LUTRON</v>
      </c>
    </row>
    <row r="5141" spans="1:28" ht="27" customHeight="1" x14ac:dyDescent="0.25">
      <c r="A5141" s="32" t="s">
        <v>5672</v>
      </c>
      <c r="H5141" s="8" t="s">
        <v>10672</v>
      </c>
      <c r="I5141" s="33" t="s">
        <v>10673</v>
      </c>
      <c r="J5141" s="34" t="s">
        <v>26</v>
      </c>
      <c r="K5141" s="42">
        <v>35.4</v>
      </c>
      <c r="L5141" s="12">
        <f t="shared" si="436"/>
        <v>59.000000599233779</v>
      </c>
      <c r="M5141" s="8">
        <v>1</v>
      </c>
      <c r="N5141" s="8" t="s">
        <v>27</v>
      </c>
      <c r="O5141" s="13"/>
      <c r="P5141" s="14">
        <v>0.2</v>
      </c>
      <c r="Q5141" s="15">
        <v>0.28000000731268332</v>
      </c>
      <c r="R5141" s="40" t="str">
        <f t="shared" si="433"/>
        <v>LUTRON</v>
      </c>
    </row>
    <row r="5142" spans="1:28" ht="27" customHeight="1" x14ac:dyDescent="0.25">
      <c r="A5142" s="32" t="s">
        <v>5672</v>
      </c>
      <c r="H5142" s="8" t="s">
        <v>10674</v>
      </c>
      <c r="I5142" s="33" t="s">
        <v>10673</v>
      </c>
      <c r="J5142" s="34" t="s">
        <v>26</v>
      </c>
      <c r="K5142" s="42">
        <v>35.4</v>
      </c>
      <c r="L5142" s="12">
        <f t="shared" si="436"/>
        <v>59.000000599233779</v>
      </c>
      <c r="M5142" s="8">
        <v>1</v>
      </c>
      <c r="N5142" s="8" t="s">
        <v>27</v>
      </c>
      <c r="O5142" s="13"/>
      <c r="P5142" s="14">
        <v>0.2</v>
      </c>
      <c r="Q5142" s="15">
        <v>0.28000000731268332</v>
      </c>
      <c r="R5142" s="40" t="str">
        <f t="shared" si="433"/>
        <v>LUTRON</v>
      </c>
    </row>
    <row r="5143" spans="1:28" ht="27" customHeight="1" x14ac:dyDescent="0.25">
      <c r="A5143" s="32" t="s">
        <v>5672</v>
      </c>
      <c r="H5143" s="8" t="s">
        <v>10482</v>
      </c>
      <c r="I5143" s="33" t="s">
        <v>10673</v>
      </c>
      <c r="J5143" s="34" t="s">
        <v>26</v>
      </c>
      <c r="K5143" s="42">
        <v>35.4</v>
      </c>
      <c r="L5143" s="12">
        <f t="shared" si="436"/>
        <v>59.000000599233779</v>
      </c>
      <c r="M5143" s="8">
        <v>1</v>
      </c>
      <c r="N5143" s="8" t="s">
        <v>27</v>
      </c>
      <c r="O5143" s="13"/>
      <c r="P5143" s="14">
        <v>0.2</v>
      </c>
      <c r="Q5143" s="15">
        <v>0.28000000731268332</v>
      </c>
      <c r="R5143" s="40" t="str">
        <f t="shared" si="433"/>
        <v>LUTRON</v>
      </c>
    </row>
    <row r="5144" spans="1:28" ht="27" customHeight="1" x14ac:dyDescent="0.25">
      <c r="A5144" s="32" t="s">
        <v>8404</v>
      </c>
      <c r="H5144" s="8" t="s">
        <v>10675</v>
      </c>
      <c r="I5144" s="33" t="s">
        <v>10676</v>
      </c>
      <c r="J5144" s="34" t="s">
        <v>26</v>
      </c>
      <c r="K5144" s="20">
        <v>390</v>
      </c>
      <c r="L5144" s="12">
        <f t="shared" si="436"/>
        <v>520.40438156602443</v>
      </c>
      <c r="M5144" s="8">
        <v>1</v>
      </c>
      <c r="N5144" s="8" t="s">
        <v>27</v>
      </c>
      <c r="O5144" s="13"/>
      <c r="P5144" s="14">
        <v>0.2</v>
      </c>
      <c r="Q5144" s="15">
        <v>0.1006993473197263</v>
      </c>
      <c r="R5144" s="40" t="str">
        <f t="shared" si="433"/>
        <v>SONOS</v>
      </c>
    </row>
    <row r="5145" spans="1:28" ht="27" customHeight="1" x14ac:dyDescent="0.25">
      <c r="A5145" s="32" t="s">
        <v>10677</v>
      </c>
      <c r="H5145" s="8" t="s">
        <v>10678</v>
      </c>
      <c r="I5145" s="33" t="s">
        <v>10679</v>
      </c>
      <c r="J5145" s="34" t="s">
        <v>26</v>
      </c>
      <c r="K5145" s="20">
        <v>183</v>
      </c>
      <c r="L5145" s="12">
        <f t="shared" si="436"/>
        <v>313.71428571428572</v>
      </c>
      <c r="M5145" s="8">
        <v>1</v>
      </c>
      <c r="N5145" s="8" t="s">
        <v>27</v>
      </c>
      <c r="O5145" s="13"/>
      <c r="P5145" s="14">
        <v>0.2</v>
      </c>
      <c r="Q5145" s="15">
        <v>0.3</v>
      </c>
      <c r="R5145" s="40" t="str">
        <f t="shared" si="433"/>
        <v>SONANCE</v>
      </c>
    </row>
    <row r="5146" spans="1:28" ht="27" customHeight="1" x14ac:dyDescent="0.25">
      <c r="A5146" s="32" t="s">
        <v>10677</v>
      </c>
      <c r="H5146" s="8" t="s">
        <v>10680</v>
      </c>
      <c r="I5146" s="33" t="s">
        <v>10681</v>
      </c>
      <c r="J5146" s="34" t="s">
        <v>26</v>
      </c>
      <c r="K5146" s="20">
        <v>212</v>
      </c>
      <c r="L5146" s="12">
        <f t="shared" si="436"/>
        <v>363.42857142857144</v>
      </c>
      <c r="M5146" s="8">
        <v>1</v>
      </c>
      <c r="N5146" s="8" t="s">
        <v>27</v>
      </c>
      <c r="O5146" s="13"/>
      <c r="P5146" s="14">
        <v>0.2</v>
      </c>
      <c r="Q5146" s="15">
        <v>0.3</v>
      </c>
      <c r="R5146" s="40" t="str">
        <f t="shared" si="433"/>
        <v>SONANCE</v>
      </c>
    </row>
    <row r="5147" spans="1:28" ht="27" customHeight="1" x14ac:dyDescent="0.25">
      <c r="A5147" s="32" t="s">
        <v>10677</v>
      </c>
      <c r="H5147" s="8" t="s">
        <v>10682</v>
      </c>
      <c r="I5147" s="33" t="s">
        <v>10683</v>
      </c>
      <c r="J5147" s="34" t="s">
        <v>26</v>
      </c>
      <c r="K5147" s="20">
        <v>700</v>
      </c>
      <c r="L5147" s="12">
        <f t="shared" si="436"/>
        <v>1200</v>
      </c>
      <c r="M5147" s="8">
        <v>1</v>
      </c>
      <c r="N5147" s="8" t="s">
        <v>27</v>
      </c>
      <c r="O5147" s="13"/>
      <c r="P5147" s="14">
        <v>0.2</v>
      </c>
      <c r="Q5147" s="15">
        <v>0.3</v>
      </c>
      <c r="R5147" s="40" t="str">
        <f t="shared" si="433"/>
        <v>SONANCE</v>
      </c>
    </row>
    <row r="5148" spans="1:28" ht="27" customHeight="1" x14ac:dyDescent="0.25">
      <c r="A5148" s="32" t="s">
        <v>10677</v>
      </c>
      <c r="H5148" s="8" t="s">
        <v>10684</v>
      </c>
      <c r="I5148" s="33" t="s">
        <v>10685</v>
      </c>
      <c r="J5148" s="34" t="s">
        <v>26</v>
      </c>
      <c r="K5148" s="20">
        <v>21</v>
      </c>
      <c r="L5148" s="12">
        <f t="shared" si="436"/>
        <v>36</v>
      </c>
      <c r="M5148" s="8">
        <v>1</v>
      </c>
      <c r="N5148" s="8" t="s">
        <v>27</v>
      </c>
      <c r="O5148" s="13"/>
      <c r="P5148" s="14">
        <v>0.2</v>
      </c>
      <c r="Q5148" s="15">
        <v>0.3</v>
      </c>
      <c r="R5148" s="40" t="str">
        <f t="shared" si="433"/>
        <v>SONANCE</v>
      </c>
    </row>
    <row r="5149" spans="1:28" ht="27" customHeight="1" x14ac:dyDescent="0.25">
      <c r="A5149" s="32" t="s">
        <v>8404</v>
      </c>
      <c r="H5149" s="8" t="s">
        <v>10686</v>
      </c>
      <c r="I5149" s="33" t="s">
        <v>10687</v>
      </c>
      <c r="J5149" s="34" t="s">
        <v>26</v>
      </c>
      <c r="K5149" s="20">
        <v>840</v>
      </c>
      <c r="L5149" s="12">
        <f t="shared" si="436"/>
        <v>1120</v>
      </c>
      <c r="M5149" s="8">
        <v>1</v>
      </c>
      <c r="N5149" s="8" t="s">
        <v>27</v>
      </c>
      <c r="O5149" s="13"/>
      <c r="P5149" s="14">
        <v>0.2</v>
      </c>
      <c r="Q5149" s="15">
        <v>0.1</v>
      </c>
      <c r="R5149" s="40" t="str">
        <f t="shared" si="433"/>
        <v>SONOS</v>
      </c>
    </row>
    <row r="5150" spans="1:28" ht="27" customHeight="1" x14ac:dyDescent="0.25">
      <c r="A5150" s="32" t="s">
        <v>8404</v>
      </c>
      <c r="H5150" s="8" t="s">
        <v>10688</v>
      </c>
      <c r="I5150" s="33" t="s">
        <v>10689</v>
      </c>
      <c r="J5150" s="34" t="s">
        <v>26</v>
      </c>
      <c r="K5150" s="20">
        <v>840</v>
      </c>
      <c r="L5150" s="12">
        <f t="shared" si="436"/>
        <v>1120</v>
      </c>
      <c r="M5150" s="8">
        <v>1</v>
      </c>
      <c r="N5150" s="8" t="s">
        <v>27</v>
      </c>
      <c r="O5150" s="13"/>
      <c r="P5150" s="14">
        <v>0.2</v>
      </c>
      <c r="Q5150" s="15">
        <v>0.1</v>
      </c>
      <c r="R5150" s="40" t="str">
        <f t="shared" si="433"/>
        <v>SONOS</v>
      </c>
    </row>
    <row r="5151" spans="1:28" ht="27" customHeight="1" x14ac:dyDescent="0.25">
      <c r="A5151" s="32" t="s">
        <v>8404</v>
      </c>
      <c r="H5151" s="8" t="s">
        <v>10690</v>
      </c>
      <c r="I5151" s="33" t="s">
        <v>10691</v>
      </c>
      <c r="J5151" s="34" t="s">
        <v>26</v>
      </c>
      <c r="K5151" s="20">
        <v>59</v>
      </c>
      <c r="L5151" s="12">
        <f t="shared" si="436"/>
        <v>78.666666666666657</v>
      </c>
      <c r="M5151" s="8">
        <v>1</v>
      </c>
      <c r="N5151" s="8" t="s">
        <v>27</v>
      </c>
      <c r="O5151" s="13"/>
      <c r="P5151" s="14">
        <v>0.2</v>
      </c>
      <c r="Q5151" s="15">
        <v>0.1</v>
      </c>
      <c r="R5151" s="40" t="str">
        <f t="shared" si="433"/>
        <v>SONOS</v>
      </c>
    </row>
    <row r="5152" spans="1:28" ht="27" customHeight="1" x14ac:dyDescent="0.25">
      <c r="A5152" s="32" t="s">
        <v>8404</v>
      </c>
      <c r="H5152" s="8" t="s">
        <v>10692</v>
      </c>
      <c r="I5152" s="33" t="s">
        <v>10693</v>
      </c>
      <c r="J5152" s="34" t="s">
        <v>26</v>
      </c>
      <c r="K5152" s="20">
        <v>567</v>
      </c>
      <c r="L5152" s="12">
        <f t="shared" si="436"/>
        <v>749.00046160677527</v>
      </c>
      <c r="M5152" s="8">
        <v>1</v>
      </c>
      <c r="N5152" s="8" t="s">
        <v>27</v>
      </c>
      <c r="O5152" s="13"/>
      <c r="P5152" s="14">
        <v>0.2</v>
      </c>
      <c r="Q5152" s="15">
        <v>9.1589344897881383E-2</v>
      </c>
      <c r="R5152" s="40" t="str">
        <f t="shared" si="433"/>
        <v>SONOS</v>
      </c>
    </row>
    <row r="5153" spans="1:20" ht="27" customHeight="1" x14ac:dyDescent="0.25">
      <c r="A5153" s="32" t="s">
        <v>10694</v>
      </c>
      <c r="H5153" s="8" t="s">
        <v>10695</v>
      </c>
      <c r="I5153" s="33" t="s">
        <v>10696</v>
      </c>
      <c r="J5153" s="34" t="s">
        <v>26</v>
      </c>
      <c r="K5153" s="20">
        <v>36</v>
      </c>
      <c r="L5153" s="12">
        <f t="shared" si="436"/>
        <v>72</v>
      </c>
      <c r="M5153" s="8">
        <v>1</v>
      </c>
      <c r="N5153" s="8" t="s">
        <v>27</v>
      </c>
      <c r="O5153" s="13"/>
      <c r="P5153" s="14">
        <v>0.2</v>
      </c>
      <c r="Q5153" s="15">
        <v>0.4</v>
      </c>
      <c r="R5153" s="40" t="str">
        <f t="shared" si="433"/>
        <v>AVIDGRAM</v>
      </c>
      <c r="S5153" t="s">
        <v>10697</v>
      </c>
    </row>
    <row r="5154" spans="1:20" ht="27" customHeight="1" x14ac:dyDescent="0.25">
      <c r="A5154" s="32" t="s">
        <v>9990</v>
      </c>
      <c r="H5154" s="8" t="s">
        <v>10698</v>
      </c>
      <c r="I5154" s="33" t="s">
        <v>10699</v>
      </c>
      <c r="J5154" s="34" t="s">
        <v>26</v>
      </c>
      <c r="K5154" s="20">
        <v>1546</v>
      </c>
      <c r="L5154" s="12">
        <f t="shared" si="436"/>
        <v>2650.2857142857142</v>
      </c>
      <c r="M5154" s="8">
        <v>1</v>
      </c>
      <c r="N5154" s="8" t="s">
        <v>27</v>
      </c>
      <c r="O5154" s="13"/>
      <c r="P5154" s="14">
        <v>0.2</v>
      </c>
      <c r="Q5154" s="15">
        <v>0.3</v>
      </c>
      <c r="R5154" s="40" t="str">
        <f t="shared" si="433"/>
        <v>ELITE SCREENS</v>
      </c>
    </row>
    <row r="5155" spans="1:20" ht="27" customHeight="1" x14ac:dyDescent="0.25">
      <c r="A5155" s="32" t="s">
        <v>7483</v>
      </c>
      <c r="H5155" s="8" t="s">
        <v>10700</v>
      </c>
      <c r="I5155" s="33" t="s">
        <v>10701</v>
      </c>
      <c r="J5155" s="34" t="s">
        <v>26</v>
      </c>
      <c r="K5155" s="20">
        <v>799</v>
      </c>
      <c r="L5155" s="12">
        <f t="shared" si="436"/>
        <v>1398.9999968559612</v>
      </c>
      <c r="M5155" s="8">
        <v>1</v>
      </c>
      <c r="N5155" s="8" t="s">
        <v>27</v>
      </c>
      <c r="O5155" s="13"/>
      <c r="P5155" s="14">
        <v>0.2</v>
      </c>
      <c r="Q5155" s="15">
        <v>0.31465332226250431</v>
      </c>
      <c r="R5155" s="40" t="str">
        <f t="shared" si="433"/>
        <v>OPTOMA</v>
      </c>
    </row>
    <row r="5156" spans="1:20" ht="27" customHeight="1" x14ac:dyDescent="0.25">
      <c r="A5156" s="32" t="s">
        <v>10677</v>
      </c>
      <c r="H5156" s="8" t="s">
        <v>10702</v>
      </c>
      <c r="I5156" s="33" t="s">
        <v>10703</v>
      </c>
      <c r="J5156" s="34" t="s">
        <v>26</v>
      </c>
      <c r="K5156" s="20">
        <f>477/2</f>
        <v>238.5</v>
      </c>
      <c r="L5156" s="12">
        <f t="shared" si="436"/>
        <v>408.85714285714289</v>
      </c>
      <c r="M5156" s="8">
        <v>1</v>
      </c>
      <c r="N5156" s="8" t="s">
        <v>27</v>
      </c>
      <c r="O5156" s="13"/>
      <c r="P5156" s="14">
        <v>0.2</v>
      </c>
      <c r="Q5156" s="15">
        <v>0.3</v>
      </c>
      <c r="R5156" s="40" t="str">
        <f t="shared" si="433"/>
        <v>SONANCE</v>
      </c>
    </row>
    <row r="5157" spans="1:20" ht="27" customHeight="1" x14ac:dyDescent="0.25">
      <c r="A5157" s="32" t="s">
        <v>10677</v>
      </c>
      <c r="H5157" s="8" t="s">
        <v>10704</v>
      </c>
      <c r="I5157" s="33" t="s">
        <v>10685</v>
      </c>
      <c r="J5157" s="34" t="s">
        <v>26</v>
      </c>
      <c r="K5157" s="20">
        <f>59/2</f>
        <v>29.5</v>
      </c>
      <c r="L5157" s="12">
        <f t="shared" si="436"/>
        <v>50.571428571428569</v>
      </c>
      <c r="M5157" s="8">
        <v>1</v>
      </c>
      <c r="N5157" s="8" t="s">
        <v>27</v>
      </c>
      <c r="O5157" s="13"/>
      <c r="P5157" s="14">
        <v>0.2</v>
      </c>
      <c r="Q5157" s="15">
        <v>0.3</v>
      </c>
      <c r="R5157" s="40" t="str">
        <f t="shared" si="433"/>
        <v>SONANCE</v>
      </c>
    </row>
    <row r="5158" spans="1:20" ht="27" customHeight="1" x14ac:dyDescent="0.25">
      <c r="A5158" s="32" t="s">
        <v>10677</v>
      </c>
      <c r="H5158" s="8" t="s">
        <v>10705</v>
      </c>
      <c r="I5158" s="33" t="s">
        <v>10706</v>
      </c>
      <c r="J5158" s="34" t="s">
        <v>26</v>
      </c>
      <c r="K5158" s="20">
        <v>2589</v>
      </c>
      <c r="L5158" s="12">
        <f t="shared" si="436"/>
        <v>4438.2857142857138</v>
      </c>
      <c r="M5158" s="8">
        <v>1</v>
      </c>
      <c r="N5158" s="8" t="s">
        <v>27</v>
      </c>
      <c r="O5158" s="13"/>
      <c r="P5158" s="14">
        <v>0.2</v>
      </c>
      <c r="Q5158" s="15">
        <v>0.3</v>
      </c>
      <c r="R5158" s="40" t="str">
        <f t="shared" si="433"/>
        <v>SONANCE</v>
      </c>
    </row>
    <row r="5159" spans="1:20" ht="27" customHeight="1" x14ac:dyDescent="0.25">
      <c r="A5159" s="32" t="s">
        <v>7931</v>
      </c>
      <c r="H5159" s="8" t="s">
        <v>10707</v>
      </c>
      <c r="I5159" s="33" t="s">
        <v>10708</v>
      </c>
      <c r="J5159" s="34" t="s">
        <v>33</v>
      </c>
      <c r="K5159" s="20">
        <f>46243*0.9</f>
        <v>41618.700000000004</v>
      </c>
      <c r="L5159" s="27">
        <f t="shared" ref="L5159:L5165" si="437">K5159*(1+P5159)/(1-Q5159)</f>
        <v>59455.285714285725</v>
      </c>
      <c r="M5159" s="28">
        <v>1</v>
      </c>
      <c r="N5159" s="29" t="s">
        <v>27</v>
      </c>
      <c r="O5159" s="27"/>
      <c r="P5159" s="30">
        <v>0</v>
      </c>
      <c r="Q5159" s="31">
        <v>0.3</v>
      </c>
      <c r="R5159" s="40" t="str">
        <f t="shared" si="433"/>
        <v>SYLVANIA</v>
      </c>
    </row>
    <row r="5160" spans="1:20" ht="27" customHeight="1" x14ac:dyDescent="0.25">
      <c r="A5160" s="32" t="s">
        <v>8836</v>
      </c>
      <c r="H5160" s="8" t="s">
        <v>9198</v>
      </c>
      <c r="I5160" s="33" t="s">
        <v>10709</v>
      </c>
      <c r="J5160" s="34" t="s">
        <v>33</v>
      </c>
      <c r="K5160" s="20">
        <f>49700*0.9</f>
        <v>44730</v>
      </c>
      <c r="L5160" s="27">
        <f t="shared" si="437"/>
        <v>63900.000000000007</v>
      </c>
      <c r="M5160" s="28">
        <v>1</v>
      </c>
      <c r="N5160" s="29" t="s">
        <v>27</v>
      </c>
      <c r="O5160" s="27"/>
      <c r="P5160" s="30">
        <v>0</v>
      </c>
      <c r="Q5160" s="31">
        <v>0.3</v>
      </c>
      <c r="R5160" s="40" t="str">
        <f t="shared" si="433"/>
        <v>TECNOLITE</v>
      </c>
    </row>
    <row r="5161" spans="1:20" ht="27" customHeight="1" x14ac:dyDescent="0.25">
      <c r="A5161" s="32" t="s">
        <v>5672</v>
      </c>
      <c r="H5161" s="8" t="s">
        <v>10710</v>
      </c>
      <c r="I5161" s="33" t="s">
        <v>10711</v>
      </c>
      <c r="J5161" s="34" t="s">
        <v>26</v>
      </c>
      <c r="K5161" s="42">
        <v>35</v>
      </c>
      <c r="L5161" s="27">
        <f t="shared" si="437"/>
        <v>70</v>
      </c>
      <c r="M5161" s="28">
        <v>1</v>
      </c>
      <c r="N5161" s="29" t="s">
        <v>27</v>
      </c>
      <c r="O5161" s="27"/>
      <c r="P5161" s="30">
        <v>0.2</v>
      </c>
      <c r="Q5161" s="31">
        <v>0.4</v>
      </c>
      <c r="R5161" s="40" t="str">
        <f t="shared" si="433"/>
        <v>LUTRON</v>
      </c>
    </row>
    <row r="5162" spans="1:20" ht="27" customHeight="1" x14ac:dyDescent="0.25">
      <c r="A5162" s="32" t="s">
        <v>2263</v>
      </c>
      <c r="H5162" s="8" t="s">
        <v>10712</v>
      </c>
      <c r="I5162" s="33" t="s">
        <v>10713</v>
      </c>
      <c r="J5162" s="34" t="s">
        <v>33</v>
      </c>
      <c r="K5162" s="20">
        <v>123000</v>
      </c>
      <c r="L5162" s="27">
        <f t="shared" si="437"/>
        <v>175714.28571428574</v>
      </c>
      <c r="M5162" s="28">
        <v>1</v>
      </c>
      <c r="N5162" s="29" t="s">
        <v>27</v>
      </c>
      <c r="O5162" s="27"/>
      <c r="P5162" s="30">
        <v>0</v>
      </c>
      <c r="Q5162" s="31">
        <v>0.3</v>
      </c>
      <c r="R5162" s="40" t="str">
        <f t="shared" si="433"/>
        <v>ELICENT</v>
      </c>
    </row>
    <row r="5163" spans="1:20" ht="27" customHeight="1" x14ac:dyDescent="0.25">
      <c r="A5163" s="32" t="s">
        <v>10714</v>
      </c>
      <c r="H5163" s="8" t="s">
        <v>10715</v>
      </c>
      <c r="I5163" s="33" t="s">
        <v>10716</v>
      </c>
      <c r="J5163" s="34" t="s">
        <v>26</v>
      </c>
      <c r="K5163" s="20">
        <v>470</v>
      </c>
      <c r="L5163" s="27">
        <f t="shared" si="437"/>
        <v>783.33333333333337</v>
      </c>
      <c r="M5163" s="28">
        <v>1</v>
      </c>
      <c r="N5163" s="29" t="s">
        <v>27</v>
      </c>
      <c r="O5163" s="27"/>
      <c r="P5163" s="30">
        <v>0</v>
      </c>
      <c r="Q5163" s="31">
        <v>0.4</v>
      </c>
      <c r="R5163" s="40" t="str">
        <f t="shared" si="433"/>
        <v>ABLEREX</v>
      </c>
    </row>
    <row r="5164" spans="1:20" ht="27" customHeight="1" x14ac:dyDescent="0.25">
      <c r="A5164" s="32" t="s">
        <v>10717</v>
      </c>
      <c r="H5164" s="8" t="s">
        <v>10718</v>
      </c>
      <c r="I5164" s="33" t="s">
        <v>10719</v>
      </c>
      <c r="J5164" s="34" t="s">
        <v>33</v>
      </c>
      <c r="K5164" s="20">
        <v>2539</v>
      </c>
      <c r="L5164" s="12">
        <f t="shared" si="437"/>
        <v>2821.1111111111109</v>
      </c>
      <c r="M5164" s="8">
        <v>1</v>
      </c>
      <c r="N5164" s="8" t="s">
        <v>27</v>
      </c>
      <c r="O5164" s="13"/>
      <c r="P5164" s="14">
        <v>0</v>
      </c>
      <c r="Q5164" s="15">
        <v>0.1</v>
      </c>
      <c r="R5164" s="16" t="str">
        <f t="shared" si="433"/>
        <v>NEXANS</v>
      </c>
    </row>
    <row r="5165" spans="1:20" ht="27" customHeight="1" x14ac:dyDescent="0.25">
      <c r="A5165" s="32" t="s">
        <v>10720</v>
      </c>
      <c r="H5165" s="8" t="s">
        <v>10721</v>
      </c>
      <c r="I5165" s="33" t="s">
        <v>10722</v>
      </c>
      <c r="J5165" s="34" t="s">
        <v>26</v>
      </c>
      <c r="K5165" s="20">
        <f>423*0.6*1.1</f>
        <v>279.18</v>
      </c>
      <c r="L5165" s="12">
        <f t="shared" si="437"/>
        <v>581.62500000000011</v>
      </c>
      <c r="M5165" s="8">
        <v>1</v>
      </c>
      <c r="N5165" s="8" t="s">
        <v>27</v>
      </c>
      <c r="O5165" s="13"/>
      <c r="P5165" s="14">
        <v>0.25</v>
      </c>
      <c r="Q5165" s="15">
        <v>0.4</v>
      </c>
      <c r="R5165" s="16" t="str">
        <f t="shared" si="433"/>
        <v>LIGMAN</v>
      </c>
      <c r="T5165" s="21"/>
    </row>
    <row r="5166" spans="1:20" ht="27" customHeight="1" x14ac:dyDescent="0.25">
      <c r="A5166" s="32" t="s">
        <v>10720</v>
      </c>
      <c r="H5166" s="8" t="s">
        <v>10723</v>
      </c>
      <c r="I5166" s="33" t="s">
        <v>10724</v>
      </c>
      <c r="J5166" s="34" t="s">
        <v>26</v>
      </c>
      <c r="K5166" s="20"/>
      <c r="R5166" s="40" t="str">
        <f t="shared" si="433"/>
        <v>LIGMAN</v>
      </c>
    </row>
    <row r="5167" spans="1:20" ht="27" customHeight="1" x14ac:dyDescent="0.25">
      <c r="A5167" s="32" t="s">
        <v>10720</v>
      </c>
      <c r="H5167" s="8" t="s">
        <v>10725</v>
      </c>
      <c r="I5167" s="33" t="s">
        <v>10726</v>
      </c>
      <c r="J5167" s="34" t="s">
        <v>26</v>
      </c>
      <c r="K5167" s="20"/>
      <c r="R5167" s="40" t="str">
        <f t="shared" ref="R5167:R5230" si="438">A5167</f>
        <v>LIGMAN</v>
      </c>
    </row>
    <row r="5168" spans="1:20" ht="27" customHeight="1" x14ac:dyDescent="0.25">
      <c r="A5168" s="32" t="s">
        <v>4994</v>
      </c>
      <c r="H5168" s="8" t="s">
        <v>10727</v>
      </c>
      <c r="I5168" s="33" t="s">
        <v>10728</v>
      </c>
      <c r="J5168" s="46" t="s">
        <v>33</v>
      </c>
      <c r="K5168" s="47">
        <v>582412</v>
      </c>
      <c r="L5168" s="12">
        <f>K5168*(1+P5168)/(1-Q5168)</f>
        <v>728015</v>
      </c>
      <c r="M5168" s="8">
        <v>1</v>
      </c>
      <c r="N5168" s="8" t="s">
        <v>27</v>
      </c>
      <c r="O5168" s="13"/>
      <c r="P5168" s="14">
        <v>0</v>
      </c>
      <c r="Q5168" s="15">
        <v>0.2</v>
      </c>
      <c r="R5168" s="16" t="str">
        <f t="shared" si="438"/>
        <v>LAMP</v>
      </c>
    </row>
    <row r="5169" spans="1:18" ht="27" customHeight="1" x14ac:dyDescent="0.25">
      <c r="A5169" s="32" t="s">
        <v>4994</v>
      </c>
      <c r="H5169" s="8" t="s">
        <v>10729</v>
      </c>
      <c r="I5169" s="33" t="s">
        <v>10730</v>
      </c>
      <c r="J5169" s="46" t="s">
        <v>33</v>
      </c>
      <c r="K5169" s="47">
        <v>659456</v>
      </c>
      <c r="L5169" s="12">
        <f>K5169*(1+P5169)/(1-Q5169)</f>
        <v>824320</v>
      </c>
      <c r="M5169" s="8">
        <v>1</v>
      </c>
      <c r="N5169" s="8" t="s">
        <v>27</v>
      </c>
      <c r="O5169" s="13"/>
      <c r="P5169" s="14">
        <v>0</v>
      </c>
      <c r="Q5169" s="15">
        <v>0.2</v>
      </c>
      <c r="R5169" s="16" t="str">
        <f t="shared" si="438"/>
        <v>LAMP</v>
      </c>
    </row>
    <row r="5170" spans="1:18" ht="27" customHeight="1" x14ac:dyDescent="0.25">
      <c r="A5170" s="32" t="s">
        <v>4994</v>
      </c>
      <c r="H5170" s="8" t="s">
        <v>10731</v>
      </c>
      <c r="I5170" s="33" t="s">
        <v>10732</v>
      </c>
      <c r="J5170" s="46" t="s">
        <v>33</v>
      </c>
      <c r="K5170" s="47">
        <v>781165</v>
      </c>
      <c r="L5170" s="12">
        <f>K5170*(1+P5170)/(1-Q5170)</f>
        <v>976456.25</v>
      </c>
      <c r="M5170" s="8">
        <v>1</v>
      </c>
      <c r="N5170" s="8" t="s">
        <v>27</v>
      </c>
      <c r="O5170" s="13"/>
      <c r="P5170" s="14">
        <v>0</v>
      </c>
      <c r="Q5170" s="15">
        <v>0.2</v>
      </c>
      <c r="R5170" s="16" t="str">
        <f t="shared" si="438"/>
        <v>LAMP</v>
      </c>
    </row>
    <row r="5171" spans="1:18" ht="27" customHeight="1" x14ac:dyDescent="0.25">
      <c r="A5171" s="32" t="s">
        <v>9979</v>
      </c>
      <c r="H5171" s="8" t="s">
        <v>10733</v>
      </c>
      <c r="I5171" s="33" t="s">
        <v>10734</v>
      </c>
      <c r="J5171" s="34" t="s">
        <v>26</v>
      </c>
      <c r="K5171" s="20"/>
      <c r="R5171" s="40" t="str">
        <f t="shared" si="438"/>
        <v>ILTEC</v>
      </c>
    </row>
    <row r="5172" spans="1:18" ht="27" customHeight="1" x14ac:dyDescent="0.25">
      <c r="A5172" s="32" t="s">
        <v>10735</v>
      </c>
      <c r="H5172" s="8" t="s">
        <v>10736</v>
      </c>
      <c r="I5172" s="33" t="s">
        <v>10737</v>
      </c>
      <c r="J5172" s="34" t="s">
        <v>26</v>
      </c>
      <c r="K5172" s="20"/>
      <c r="R5172" s="40" t="str">
        <f t="shared" si="438"/>
        <v>FOR_LIGHT</v>
      </c>
    </row>
    <row r="5173" spans="1:18" ht="27" customHeight="1" x14ac:dyDescent="0.25">
      <c r="A5173" s="32" t="s">
        <v>10735</v>
      </c>
      <c r="H5173" s="8" t="s">
        <v>10738</v>
      </c>
      <c r="I5173" s="33" t="s">
        <v>10739</v>
      </c>
      <c r="J5173" s="34" t="s">
        <v>26</v>
      </c>
      <c r="K5173" s="20"/>
      <c r="R5173" s="40" t="str">
        <f t="shared" si="438"/>
        <v>FOR_LIGHT</v>
      </c>
    </row>
    <row r="5174" spans="1:18" ht="27" customHeight="1" x14ac:dyDescent="0.25">
      <c r="A5174" s="32" t="s">
        <v>7931</v>
      </c>
      <c r="H5174" s="8" t="s">
        <v>10740</v>
      </c>
      <c r="I5174" s="33" t="s">
        <v>10741</v>
      </c>
      <c r="J5174" s="34" t="s">
        <v>33</v>
      </c>
      <c r="K5174" s="20">
        <v>22858</v>
      </c>
      <c r="L5174" s="12">
        <f t="shared" ref="L5174:L5205" si="439">K5174*(1+P5174)/(1-Q5174)</f>
        <v>28572.5</v>
      </c>
      <c r="M5174" s="8">
        <v>1</v>
      </c>
      <c r="N5174" s="8" t="s">
        <v>27</v>
      </c>
      <c r="O5174" s="13"/>
      <c r="P5174" s="14">
        <v>0</v>
      </c>
      <c r="Q5174" s="15">
        <v>0.2</v>
      </c>
      <c r="R5174" s="40" t="str">
        <f t="shared" si="438"/>
        <v>SYLVANIA</v>
      </c>
    </row>
    <row r="5175" spans="1:18" ht="27" customHeight="1" x14ac:dyDescent="0.25">
      <c r="A5175" s="32" t="s">
        <v>10735</v>
      </c>
      <c r="H5175" s="8" t="s">
        <v>10742</v>
      </c>
      <c r="I5175" s="33" t="s">
        <v>10743</v>
      </c>
      <c r="J5175" s="34" t="s">
        <v>26</v>
      </c>
      <c r="K5175" s="20">
        <v>0</v>
      </c>
      <c r="L5175" s="12">
        <f t="shared" si="439"/>
        <v>0</v>
      </c>
      <c r="M5175" s="8">
        <v>1</v>
      </c>
      <c r="N5175" s="8" t="s">
        <v>27</v>
      </c>
      <c r="O5175" s="13"/>
      <c r="P5175" s="14">
        <v>0</v>
      </c>
      <c r="Q5175" s="15">
        <v>0.2</v>
      </c>
      <c r="R5175" s="40" t="str">
        <f t="shared" si="438"/>
        <v>FOR_LIGHT</v>
      </c>
    </row>
    <row r="5176" spans="1:18" ht="27" customHeight="1" x14ac:dyDescent="0.25">
      <c r="A5176" s="32" t="s">
        <v>10735</v>
      </c>
      <c r="H5176" s="8" t="s">
        <v>10744</v>
      </c>
      <c r="I5176" s="33" t="s">
        <v>10745</v>
      </c>
      <c r="J5176" s="34" t="s">
        <v>26</v>
      </c>
      <c r="K5176" s="20">
        <v>0</v>
      </c>
      <c r="L5176" s="12">
        <f t="shared" si="439"/>
        <v>0</v>
      </c>
      <c r="M5176" s="8">
        <v>1</v>
      </c>
      <c r="N5176" s="8" t="s">
        <v>27</v>
      </c>
      <c r="O5176" s="13"/>
      <c r="P5176" s="14">
        <v>0</v>
      </c>
      <c r="Q5176" s="15">
        <v>0.2</v>
      </c>
      <c r="R5176" s="40" t="str">
        <f t="shared" si="438"/>
        <v>FOR_LIGHT</v>
      </c>
    </row>
    <row r="5177" spans="1:18" ht="27" customHeight="1" x14ac:dyDescent="0.25">
      <c r="A5177" s="32" t="s">
        <v>10735</v>
      </c>
      <c r="H5177" s="8" t="s">
        <v>10746</v>
      </c>
      <c r="I5177" s="33" t="s">
        <v>10747</v>
      </c>
      <c r="J5177" s="34" t="s">
        <v>26</v>
      </c>
      <c r="K5177" s="20">
        <v>0</v>
      </c>
      <c r="L5177" s="12">
        <f t="shared" si="439"/>
        <v>0</v>
      </c>
      <c r="M5177" s="8">
        <v>1</v>
      </c>
      <c r="N5177" s="8" t="s">
        <v>27</v>
      </c>
      <c r="O5177" s="13"/>
      <c r="P5177" s="14">
        <v>0</v>
      </c>
      <c r="Q5177" s="15">
        <v>0.2</v>
      </c>
      <c r="R5177" s="16" t="str">
        <f t="shared" si="438"/>
        <v>FOR_LIGHT</v>
      </c>
    </row>
    <row r="5178" spans="1:18" ht="27" customHeight="1" x14ac:dyDescent="0.25">
      <c r="A5178" s="32" t="s">
        <v>10370</v>
      </c>
      <c r="H5178" s="8" t="s">
        <v>10748</v>
      </c>
      <c r="I5178" s="33" t="s">
        <v>10749</v>
      </c>
      <c r="J5178" s="34" t="s">
        <v>26</v>
      </c>
      <c r="K5178" s="20">
        <f>20.43*0.4</f>
        <v>8.1720000000000006</v>
      </c>
      <c r="L5178" s="12">
        <f t="shared" si="439"/>
        <v>20.43</v>
      </c>
      <c r="M5178" s="8">
        <v>1</v>
      </c>
      <c r="N5178" s="8" t="s">
        <v>27</v>
      </c>
      <c r="O5178" s="13"/>
      <c r="P5178" s="14">
        <v>0.25</v>
      </c>
      <c r="Q5178" s="15">
        <v>0.5</v>
      </c>
      <c r="R5178" s="16" t="str">
        <f t="shared" si="438"/>
        <v>LEDYI</v>
      </c>
    </row>
    <row r="5179" spans="1:18" ht="27" customHeight="1" x14ac:dyDescent="0.25">
      <c r="A5179" s="32" t="s">
        <v>10370</v>
      </c>
      <c r="H5179" s="8" t="s">
        <v>10750</v>
      </c>
      <c r="I5179" s="33" t="s">
        <v>10751</v>
      </c>
      <c r="J5179" s="34" t="s">
        <v>26</v>
      </c>
      <c r="K5179" s="20">
        <v>0</v>
      </c>
      <c r="L5179" s="12">
        <f t="shared" si="439"/>
        <v>0</v>
      </c>
      <c r="M5179" s="8">
        <v>1</v>
      </c>
      <c r="N5179" s="8" t="s">
        <v>27</v>
      </c>
      <c r="O5179" s="13"/>
      <c r="P5179" s="14">
        <v>0</v>
      </c>
      <c r="Q5179" s="15">
        <v>0.2</v>
      </c>
      <c r="R5179" s="16" t="str">
        <f t="shared" si="438"/>
        <v>LEDYI</v>
      </c>
    </row>
    <row r="5180" spans="1:18" ht="27" customHeight="1" x14ac:dyDescent="0.25">
      <c r="A5180" s="8" t="s">
        <v>10258</v>
      </c>
      <c r="H5180" s="8" t="s">
        <v>10752</v>
      </c>
      <c r="I5180" s="33" t="s">
        <v>10753</v>
      </c>
      <c r="J5180" s="34" t="s">
        <v>26</v>
      </c>
      <c r="K5180" s="20">
        <v>34.1</v>
      </c>
      <c r="L5180" s="12">
        <f t="shared" si="439"/>
        <v>79.566666666666677</v>
      </c>
      <c r="M5180" s="8">
        <v>1</v>
      </c>
      <c r="N5180" s="8" t="s">
        <v>27</v>
      </c>
      <c r="O5180" s="13"/>
      <c r="P5180" s="14">
        <v>0.4</v>
      </c>
      <c r="Q5180" s="15">
        <v>0.4</v>
      </c>
      <c r="R5180" s="16" t="str">
        <f t="shared" si="438"/>
        <v>SC_POWER</v>
      </c>
    </row>
    <row r="5181" spans="1:18" ht="27" customHeight="1" x14ac:dyDescent="0.25">
      <c r="A5181" s="8" t="s">
        <v>10258</v>
      </c>
      <c r="H5181" s="8" t="s">
        <v>10754</v>
      </c>
      <c r="I5181" s="33" t="s">
        <v>10755</v>
      </c>
      <c r="J5181" s="34" t="s">
        <v>26</v>
      </c>
      <c r="K5181" s="20">
        <v>40.5</v>
      </c>
      <c r="L5181" s="12">
        <f t="shared" si="439"/>
        <v>94.5</v>
      </c>
      <c r="M5181" s="8">
        <v>1</v>
      </c>
      <c r="N5181" s="8" t="s">
        <v>27</v>
      </c>
      <c r="O5181" s="13"/>
      <c r="P5181" s="14">
        <v>0.4</v>
      </c>
      <c r="Q5181" s="15">
        <v>0.4</v>
      </c>
      <c r="R5181" s="16" t="str">
        <f t="shared" si="438"/>
        <v>SC_POWER</v>
      </c>
    </row>
    <row r="5182" spans="1:18" ht="27" customHeight="1" x14ac:dyDescent="0.25">
      <c r="A5182" s="8" t="s">
        <v>10258</v>
      </c>
      <c r="H5182" s="8" t="s">
        <v>10756</v>
      </c>
      <c r="I5182" s="33" t="s">
        <v>10757</v>
      </c>
      <c r="J5182" s="34" t="s">
        <v>26</v>
      </c>
      <c r="K5182" s="20">
        <v>29.4</v>
      </c>
      <c r="L5182" s="12">
        <f t="shared" si="439"/>
        <v>68.599999999999994</v>
      </c>
      <c r="M5182" s="8">
        <v>1</v>
      </c>
      <c r="N5182" s="8" t="s">
        <v>27</v>
      </c>
      <c r="O5182" s="13"/>
      <c r="P5182" s="14">
        <v>0.4</v>
      </c>
      <c r="Q5182" s="15">
        <v>0.4</v>
      </c>
      <c r="R5182" s="16" t="str">
        <f t="shared" si="438"/>
        <v>SC_POWER</v>
      </c>
    </row>
    <row r="5183" spans="1:18" ht="27" customHeight="1" x14ac:dyDescent="0.25">
      <c r="A5183" s="32" t="s">
        <v>10258</v>
      </c>
      <c r="H5183" s="8" t="s">
        <v>10758</v>
      </c>
      <c r="I5183" s="33" t="s">
        <v>10759</v>
      </c>
      <c r="J5183" s="34" t="s">
        <v>26</v>
      </c>
      <c r="K5183" s="20">
        <v>19.8</v>
      </c>
      <c r="L5183" s="12">
        <f t="shared" si="439"/>
        <v>46.2</v>
      </c>
      <c r="M5183" s="8">
        <v>1</v>
      </c>
      <c r="N5183" s="8" t="s">
        <v>27</v>
      </c>
      <c r="O5183" s="13"/>
      <c r="P5183" s="14">
        <v>0.4</v>
      </c>
      <c r="Q5183" s="15">
        <v>0.4</v>
      </c>
      <c r="R5183" s="16" t="str">
        <f t="shared" si="438"/>
        <v>SC_POWER</v>
      </c>
    </row>
    <row r="5184" spans="1:18" ht="27" customHeight="1" x14ac:dyDescent="0.25">
      <c r="A5184" s="32" t="s">
        <v>10370</v>
      </c>
      <c r="H5184" s="8" t="s">
        <v>10760</v>
      </c>
      <c r="I5184" s="33" t="s">
        <v>10761</v>
      </c>
      <c r="J5184" s="34" t="s">
        <v>26</v>
      </c>
      <c r="K5184" s="20">
        <f>26.65*0.4</f>
        <v>10.66</v>
      </c>
      <c r="L5184" s="12">
        <f t="shared" si="439"/>
        <v>26.65</v>
      </c>
      <c r="M5184" s="8">
        <v>1</v>
      </c>
      <c r="N5184" s="8" t="s">
        <v>27</v>
      </c>
      <c r="O5184" s="13"/>
      <c r="P5184" s="14">
        <v>0.25</v>
      </c>
      <c r="Q5184" s="15">
        <v>0.5</v>
      </c>
      <c r="R5184" s="16" t="str">
        <f t="shared" si="438"/>
        <v>LEDYI</v>
      </c>
    </row>
    <row r="5185" spans="1:18" ht="27" customHeight="1" x14ac:dyDescent="0.25">
      <c r="A5185" s="32" t="s">
        <v>10370</v>
      </c>
      <c r="H5185" s="8" t="s">
        <v>10762</v>
      </c>
      <c r="I5185" s="33" t="s">
        <v>10763</v>
      </c>
      <c r="J5185" s="34" t="s">
        <v>26</v>
      </c>
      <c r="K5185" s="20">
        <f>9.35*0.4</f>
        <v>3.74</v>
      </c>
      <c r="L5185" s="12">
        <f t="shared" si="439"/>
        <v>9.3500000000000014</v>
      </c>
      <c r="M5185" s="8">
        <v>1</v>
      </c>
      <c r="N5185" s="8" t="s">
        <v>27</v>
      </c>
      <c r="O5185" s="13"/>
      <c r="P5185" s="14">
        <v>0.25</v>
      </c>
      <c r="Q5185" s="15">
        <v>0.5</v>
      </c>
      <c r="R5185" s="16" t="str">
        <f t="shared" si="438"/>
        <v>LEDYI</v>
      </c>
    </row>
    <row r="5186" spans="1:18" ht="27" customHeight="1" x14ac:dyDescent="0.25">
      <c r="A5186" s="32" t="s">
        <v>10370</v>
      </c>
      <c r="H5186" s="8" t="s">
        <v>10466</v>
      </c>
      <c r="I5186" s="33" t="s">
        <v>10764</v>
      </c>
      <c r="J5186" s="34" t="s">
        <v>26</v>
      </c>
      <c r="K5186" s="20">
        <f>8.03*0.4</f>
        <v>3.2119999999999997</v>
      </c>
      <c r="L5186" s="12">
        <f t="shared" si="439"/>
        <v>8.0299999999999994</v>
      </c>
      <c r="M5186" s="8">
        <v>1</v>
      </c>
      <c r="N5186" s="8" t="s">
        <v>27</v>
      </c>
      <c r="O5186" s="13"/>
      <c r="P5186" s="14">
        <v>0.25</v>
      </c>
      <c r="Q5186" s="15">
        <v>0.5</v>
      </c>
      <c r="R5186" s="16" t="str">
        <f t="shared" si="438"/>
        <v>LEDYI</v>
      </c>
    </row>
    <row r="5187" spans="1:18" ht="27" customHeight="1" x14ac:dyDescent="0.25">
      <c r="A5187" s="32" t="s">
        <v>10370</v>
      </c>
      <c r="H5187" s="8" t="s">
        <v>10765</v>
      </c>
      <c r="I5187" s="33" t="s">
        <v>10766</v>
      </c>
      <c r="J5187" s="34" t="s">
        <v>26</v>
      </c>
      <c r="K5187" s="20">
        <f>5.38*0.4</f>
        <v>2.1520000000000001</v>
      </c>
      <c r="L5187" s="12">
        <f t="shared" si="439"/>
        <v>5.3800000000000008</v>
      </c>
      <c r="M5187" s="8">
        <v>1</v>
      </c>
      <c r="N5187" s="8" t="s">
        <v>27</v>
      </c>
      <c r="O5187" s="13"/>
      <c r="P5187" s="14">
        <v>0.25</v>
      </c>
      <c r="Q5187" s="15">
        <v>0.5</v>
      </c>
      <c r="R5187" s="16" t="str">
        <f t="shared" si="438"/>
        <v>LEDYI</v>
      </c>
    </row>
    <row r="5188" spans="1:18" ht="27" customHeight="1" x14ac:dyDescent="0.25">
      <c r="A5188" s="32" t="s">
        <v>10370</v>
      </c>
      <c r="H5188" s="8" t="s">
        <v>10767</v>
      </c>
      <c r="I5188" s="33" t="s">
        <v>10768</v>
      </c>
      <c r="J5188" s="34" t="s">
        <v>26</v>
      </c>
      <c r="K5188" s="20">
        <f>40.95*0.4</f>
        <v>16.380000000000003</v>
      </c>
      <c r="L5188" s="12">
        <f t="shared" si="439"/>
        <v>40.950000000000003</v>
      </c>
      <c r="M5188" s="8">
        <v>1</v>
      </c>
      <c r="N5188" s="8" t="s">
        <v>27</v>
      </c>
      <c r="O5188" s="13"/>
      <c r="P5188" s="14">
        <v>0.25</v>
      </c>
      <c r="Q5188" s="15">
        <v>0.5</v>
      </c>
      <c r="R5188" s="16" t="str">
        <f t="shared" si="438"/>
        <v>LEDYI</v>
      </c>
    </row>
    <row r="5189" spans="1:18" ht="27" customHeight="1" x14ac:dyDescent="0.25">
      <c r="A5189" s="32" t="s">
        <v>10258</v>
      </c>
      <c r="H5189" s="8" t="s">
        <v>10769</v>
      </c>
      <c r="I5189" s="33" t="s">
        <v>10770</v>
      </c>
      <c r="J5189" s="34" t="s">
        <v>26</v>
      </c>
      <c r="K5189" s="20">
        <f>26.2</f>
        <v>26.2</v>
      </c>
      <c r="L5189" s="12">
        <f t="shared" si="439"/>
        <v>61.133333333333333</v>
      </c>
      <c r="M5189" s="8">
        <v>1</v>
      </c>
      <c r="N5189" s="8" t="s">
        <v>27</v>
      </c>
      <c r="O5189" s="13"/>
      <c r="P5189" s="14">
        <v>0.4</v>
      </c>
      <c r="Q5189" s="15">
        <v>0.4</v>
      </c>
      <c r="R5189" s="16" t="str">
        <f t="shared" si="438"/>
        <v>SC_POWER</v>
      </c>
    </row>
    <row r="5190" spans="1:18" ht="27" customHeight="1" x14ac:dyDescent="0.25">
      <c r="A5190" s="32" t="s">
        <v>10258</v>
      </c>
      <c r="H5190" s="8" t="s">
        <v>10771</v>
      </c>
      <c r="I5190" s="33" t="s">
        <v>10772</v>
      </c>
      <c r="J5190" s="34" t="s">
        <v>26</v>
      </c>
      <c r="K5190" s="20">
        <v>29.4</v>
      </c>
      <c r="L5190" s="12">
        <f t="shared" si="439"/>
        <v>68.599999999999994</v>
      </c>
      <c r="M5190" s="8">
        <v>1</v>
      </c>
      <c r="N5190" s="8" t="s">
        <v>27</v>
      </c>
      <c r="O5190" s="13"/>
      <c r="P5190" s="14">
        <v>0.4</v>
      </c>
      <c r="Q5190" s="15">
        <v>0.4</v>
      </c>
      <c r="R5190" s="16" t="str">
        <f t="shared" si="438"/>
        <v>SC_POWER</v>
      </c>
    </row>
    <row r="5191" spans="1:18" ht="27" customHeight="1" x14ac:dyDescent="0.25">
      <c r="A5191" s="32" t="s">
        <v>10370</v>
      </c>
      <c r="H5191" s="8" t="s">
        <v>10773</v>
      </c>
      <c r="I5191" s="33" t="s">
        <v>10774</v>
      </c>
      <c r="J5191" s="34" t="s">
        <v>26</v>
      </c>
      <c r="K5191" s="20">
        <f>11.9*0.4</f>
        <v>4.7600000000000007</v>
      </c>
      <c r="L5191" s="12">
        <f t="shared" si="439"/>
        <v>11.900000000000002</v>
      </c>
      <c r="M5191" s="8">
        <v>1</v>
      </c>
      <c r="N5191" s="8" t="s">
        <v>27</v>
      </c>
      <c r="O5191" s="13"/>
      <c r="P5191" s="14">
        <v>0.25</v>
      </c>
      <c r="Q5191" s="15">
        <v>0.5</v>
      </c>
      <c r="R5191" s="16" t="str">
        <f t="shared" si="438"/>
        <v>LEDYI</v>
      </c>
    </row>
    <row r="5192" spans="1:18" ht="27" customHeight="1" x14ac:dyDescent="0.25">
      <c r="A5192" s="32" t="s">
        <v>10370</v>
      </c>
      <c r="H5192" s="8" t="s">
        <v>10775</v>
      </c>
      <c r="I5192" s="33" t="s">
        <v>10776</v>
      </c>
      <c r="J5192" s="34" t="s">
        <v>26</v>
      </c>
      <c r="K5192" s="20">
        <f>5.85*0.4</f>
        <v>2.34</v>
      </c>
      <c r="L5192" s="12">
        <f t="shared" si="439"/>
        <v>5.85</v>
      </c>
      <c r="M5192" s="8">
        <v>1</v>
      </c>
      <c r="N5192" s="8" t="s">
        <v>27</v>
      </c>
      <c r="O5192" s="13"/>
      <c r="P5192" s="14">
        <v>0.25</v>
      </c>
      <c r="Q5192" s="15">
        <v>0.5</v>
      </c>
      <c r="R5192" s="16" t="str">
        <f t="shared" si="438"/>
        <v>LEDYI</v>
      </c>
    </row>
    <row r="5193" spans="1:18" ht="27" customHeight="1" x14ac:dyDescent="0.25">
      <c r="A5193" s="32" t="s">
        <v>10258</v>
      </c>
      <c r="H5193" s="8" t="s">
        <v>10777</v>
      </c>
      <c r="I5193" s="33" t="s">
        <v>10778</v>
      </c>
      <c r="J5193" s="34" t="s">
        <v>26</v>
      </c>
      <c r="K5193" s="20">
        <f>12.7*0.4</f>
        <v>5.08</v>
      </c>
      <c r="L5193" s="12">
        <f t="shared" si="439"/>
        <v>11.853333333333332</v>
      </c>
      <c r="M5193" s="8">
        <v>1</v>
      </c>
      <c r="N5193" s="8" t="s">
        <v>27</v>
      </c>
      <c r="O5193" s="13"/>
      <c r="P5193" s="14">
        <v>0.4</v>
      </c>
      <c r="Q5193" s="15">
        <v>0.4</v>
      </c>
      <c r="R5193" s="16" t="str">
        <f t="shared" si="438"/>
        <v>SC_POWER</v>
      </c>
    </row>
    <row r="5194" spans="1:18" ht="27" customHeight="1" x14ac:dyDescent="0.25">
      <c r="A5194" s="32" t="s">
        <v>10370</v>
      </c>
      <c r="H5194" s="8" t="s">
        <v>10779</v>
      </c>
      <c r="I5194" s="33" t="s">
        <v>10780</v>
      </c>
      <c r="J5194" s="34" t="s">
        <v>26</v>
      </c>
      <c r="K5194" s="20">
        <f>5.5*0.4</f>
        <v>2.2000000000000002</v>
      </c>
      <c r="L5194" s="12">
        <f t="shared" si="439"/>
        <v>5.5</v>
      </c>
      <c r="M5194" s="8">
        <v>1</v>
      </c>
      <c r="N5194" s="8" t="s">
        <v>27</v>
      </c>
      <c r="O5194" s="13"/>
      <c r="P5194" s="14">
        <v>0.25</v>
      </c>
      <c r="Q5194" s="15">
        <v>0.5</v>
      </c>
      <c r="R5194" s="16" t="str">
        <f t="shared" si="438"/>
        <v>LEDYI</v>
      </c>
    </row>
    <row r="5195" spans="1:18" ht="27" customHeight="1" x14ac:dyDescent="0.25">
      <c r="A5195" s="32" t="s">
        <v>10370</v>
      </c>
      <c r="H5195" s="8" t="s">
        <v>10781</v>
      </c>
      <c r="I5195" s="33" t="s">
        <v>10782</v>
      </c>
      <c r="J5195" s="34" t="s">
        <v>26</v>
      </c>
      <c r="K5195" s="20">
        <f>5.28*0.4</f>
        <v>2.1120000000000001</v>
      </c>
      <c r="L5195" s="12">
        <f t="shared" si="439"/>
        <v>5.28</v>
      </c>
      <c r="M5195" s="8">
        <v>1</v>
      </c>
      <c r="N5195" s="8" t="s">
        <v>27</v>
      </c>
      <c r="O5195" s="13"/>
      <c r="P5195" s="14">
        <v>0.25</v>
      </c>
      <c r="Q5195" s="15">
        <v>0.5</v>
      </c>
      <c r="R5195" s="16" t="str">
        <f t="shared" si="438"/>
        <v>LEDYI</v>
      </c>
    </row>
    <row r="5196" spans="1:18" ht="27" customHeight="1" x14ac:dyDescent="0.25">
      <c r="A5196" s="32" t="s">
        <v>10370</v>
      </c>
      <c r="H5196" s="8" t="s">
        <v>10783</v>
      </c>
      <c r="I5196" s="33" t="s">
        <v>10782</v>
      </c>
      <c r="J5196" s="34" t="s">
        <v>26</v>
      </c>
      <c r="K5196" s="20">
        <f>17.3*0.4</f>
        <v>6.9200000000000008</v>
      </c>
      <c r="L5196" s="12">
        <f t="shared" si="439"/>
        <v>17.3</v>
      </c>
      <c r="M5196" s="8">
        <v>1</v>
      </c>
      <c r="N5196" s="8" t="s">
        <v>27</v>
      </c>
      <c r="O5196" s="13"/>
      <c r="P5196" s="14">
        <v>0.25</v>
      </c>
      <c r="Q5196" s="15">
        <v>0.5</v>
      </c>
      <c r="R5196" s="16" t="str">
        <f t="shared" si="438"/>
        <v>LEDYI</v>
      </c>
    </row>
    <row r="5197" spans="1:18" ht="27" customHeight="1" x14ac:dyDescent="0.25">
      <c r="A5197" s="32" t="s">
        <v>10370</v>
      </c>
      <c r="H5197" s="8" t="s">
        <v>10784</v>
      </c>
      <c r="I5197" s="33" t="s">
        <v>10782</v>
      </c>
      <c r="J5197" s="34" t="s">
        <v>26</v>
      </c>
      <c r="K5197" s="20">
        <f>6.38*0.4</f>
        <v>2.552</v>
      </c>
      <c r="L5197" s="12">
        <f t="shared" si="439"/>
        <v>6.38</v>
      </c>
      <c r="M5197" s="8">
        <v>1</v>
      </c>
      <c r="N5197" s="8" t="s">
        <v>27</v>
      </c>
      <c r="O5197" s="13"/>
      <c r="P5197" s="14">
        <v>0.25</v>
      </c>
      <c r="Q5197" s="15">
        <v>0.5</v>
      </c>
      <c r="R5197" s="16" t="str">
        <f t="shared" si="438"/>
        <v>LEDYI</v>
      </c>
    </row>
    <row r="5198" spans="1:18" ht="27" customHeight="1" x14ac:dyDescent="0.25">
      <c r="A5198" s="32" t="s">
        <v>10370</v>
      </c>
      <c r="H5198" s="8" t="s">
        <v>10785</v>
      </c>
      <c r="I5198" s="33" t="s">
        <v>10786</v>
      </c>
      <c r="J5198" s="34" t="s">
        <v>26</v>
      </c>
      <c r="K5198" s="20">
        <f>6.13*0.4</f>
        <v>2.452</v>
      </c>
      <c r="L5198" s="12">
        <f t="shared" si="439"/>
        <v>6.13</v>
      </c>
      <c r="M5198" s="8">
        <v>1</v>
      </c>
      <c r="N5198" s="8" t="s">
        <v>27</v>
      </c>
      <c r="O5198" s="13"/>
      <c r="P5198" s="14">
        <v>0.25</v>
      </c>
      <c r="Q5198" s="15">
        <v>0.5</v>
      </c>
      <c r="R5198" s="16" t="str">
        <f t="shared" si="438"/>
        <v>LEDYI</v>
      </c>
    </row>
    <row r="5199" spans="1:18" ht="27" customHeight="1" x14ac:dyDescent="0.25">
      <c r="A5199" s="32" t="s">
        <v>10677</v>
      </c>
      <c r="H5199" s="8" t="s">
        <v>10787</v>
      </c>
      <c r="I5199" s="33" t="s">
        <v>10788</v>
      </c>
      <c r="J5199" s="34" t="s">
        <v>26</v>
      </c>
      <c r="K5199" s="20">
        <v>350</v>
      </c>
      <c r="L5199" s="12">
        <f t="shared" si="439"/>
        <v>600</v>
      </c>
      <c r="M5199" s="8">
        <v>1</v>
      </c>
      <c r="N5199" s="8" t="s">
        <v>27</v>
      </c>
      <c r="O5199" s="13"/>
      <c r="P5199" s="14">
        <v>0.2</v>
      </c>
      <c r="Q5199" s="15">
        <v>0.3</v>
      </c>
      <c r="R5199" s="16" t="str">
        <f t="shared" si="438"/>
        <v>SONANCE</v>
      </c>
    </row>
    <row r="5200" spans="1:18" ht="27" customHeight="1" x14ac:dyDescent="0.25">
      <c r="A5200" s="32" t="s">
        <v>10677</v>
      </c>
      <c r="H5200" s="8" t="s">
        <v>10704</v>
      </c>
      <c r="I5200" s="33" t="s">
        <v>10685</v>
      </c>
      <c r="J5200" s="34" t="s">
        <v>26</v>
      </c>
      <c r="K5200" s="20">
        <f>59/2</f>
        <v>29.5</v>
      </c>
      <c r="L5200" s="12">
        <f t="shared" si="439"/>
        <v>50.571428571428569</v>
      </c>
      <c r="M5200" s="8">
        <v>1</v>
      </c>
      <c r="N5200" s="8" t="s">
        <v>27</v>
      </c>
      <c r="O5200" s="13"/>
      <c r="P5200" s="14">
        <v>0.2</v>
      </c>
      <c r="Q5200" s="15">
        <v>0.3</v>
      </c>
      <c r="R5200" s="16" t="str">
        <f t="shared" si="438"/>
        <v>SONANCE</v>
      </c>
    </row>
    <row r="5201" spans="1:19" ht="27" customHeight="1" x14ac:dyDescent="0.25">
      <c r="A5201" s="32" t="s">
        <v>10677</v>
      </c>
      <c r="H5201" s="8" t="s">
        <v>10789</v>
      </c>
      <c r="I5201" s="33" t="s">
        <v>10790</v>
      </c>
      <c r="J5201" s="34" t="s">
        <v>26</v>
      </c>
      <c r="K5201" s="20">
        <v>430</v>
      </c>
      <c r="L5201" s="12">
        <f t="shared" si="439"/>
        <v>737.14285714285722</v>
      </c>
      <c r="M5201" s="8">
        <v>1</v>
      </c>
      <c r="N5201" s="8" t="s">
        <v>27</v>
      </c>
      <c r="O5201" s="13"/>
      <c r="P5201" s="14">
        <v>0.2</v>
      </c>
      <c r="Q5201" s="15">
        <v>0.3</v>
      </c>
      <c r="R5201" s="16" t="str">
        <f t="shared" si="438"/>
        <v>SONANCE</v>
      </c>
    </row>
    <row r="5202" spans="1:19" ht="27" customHeight="1" x14ac:dyDescent="0.25">
      <c r="A5202" s="32" t="s">
        <v>7989</v>
      </c>
      <c r="H5202" s="8" t="s">
        <v>9942</v>
      </c>
      <c r="I5202" s="33" t="s">
        <v>10791</v>
      </c>
      <c r="J5202" s="34" t="s">
        <v>26</v>
      </c>
      <c r="K5202" s="20">
        <v>282</v>
      </c>
      <c r="L5202" s="12">
        <f t="shared" si="439"/>
        <v>498.9999888928902</v>
      </c>
      <c r="M5202" s="8">
        <v>1</v>
      </c>
      <c r="N5202" s="8" t="s">
        <v>27</v>
      </c>
      <c r="O5202" s="13"/>
      <c r="P5202" s="14">
        <v>0.2</v>
      </c>
      <c r="Q5202" s="15">
        <v>0.32184367227984612</v>
      </c>
      <c r="R5202" s="16" t="str">
        <f t="shared" si="438"/>
        <v>RUSSOUND</v>
      </c>
    </row>
    <row r="5203" spans="1:19" ht="27" customHeight="1" x14ac:dyDescent="0.25">
      <c r="A5203" s="32" t="s">
        <v>1558</v>
      </c>
      <c r="H5203" s="8" t="s">
        <v>10508</v>
      </c>
      <c r="I5203" s="33" t="s">
        <v>10792</v>
      </c>
      <c r="J5203" s="34" t="s">
        <v>33</v>
      </c>
      <c r="K5203" s="20">
        <v>809000</v>
      </c>
      <c r="L5203" s="12">
        <f t="shared" si="439"/>
        <v>1155714.2857142857</v>
      </c>
      <c r="M5203" s="8">
        <v>1</v>
      </c>
      <c r="N5203" s="8" t="s">
        <v>27</v>
      </c>
      <c r="O5203" s="13"/>
      <c r="P5203" s="14">
        <v>0</v>
      </c>
      <c r="Q5203" s="15">
        <v>0.3</v>
      </c>
      <c r="R5203" s="16" t="str">
        <f t="shared" si="438"/>
        <v>DAGA</v>
      </c>
    </row>
    <row r="5204" spans="1:19" ht="27" customHeight="1" x14ac:dyDescent="0.25">
      <c r="A5204" s="32" t="s">
        <v>5672</v>
      </c>
      <c r="H5204" s="8" t="s">
        <v>10793</v>
      </c>
      <c r="I5204" s="33" t="s">
        <v>10794</v>
      </c>
      <c r="J5204" s="34" t="s">
        <v>26</v>
      </c>
      <c r="K5204" s="42">
        <v>108</v>
      </c>
      <c r="L5204" s="12">
        <f t="shared" si="439"/>
        <v>185.14285714285714</v>
      </c>
      <c r="M5204" s="8">
        <v>1</v>
      </c>
      <c r="N5204" s="8" t="s">
        <v>27</v>
      </c>
      <c r="O5204" s="13"/>
      <c r="P5204" s="14">
        <v>0.2</v>
      </c>
      <c r="Q5204" s="15">
        <v>0.3</v>
      </c>
      <c r="R5204" s="16" t="str">
        <f t="shared" si="438"/>
        <v>LUTRON</v>
      </c>
    </row>
    <row r="5205" spans="1:19" ht="27" customHeight="1" x14ac:dyDescent="0.25">
      <c r="A5205" s="32" t="s">
        <v>7806</v>
      </c>
      <c r="H5205" s="8" t="s">
        <v>10795</v>
      </c>
      <c r="I5205" s="33" t="s">
        <v>10796</v>
      </c>
      <c r="J5205" s="34" t="s">
        <v>33</v>
      </c>
      <c r="K5205" s="20">
        <v>270000</v>
      </c>
      <c r="L5205" s="12">
        <f t="shared" si="439"/>
        <v>462857.1428571429</v>
      </c>
      <c r="M5205" s="8">
        <v>1</v>
      </c>
      <c r="N5205" s="8" t="s">
        <v>27</v>
      </c>
      <c r="O5205" s="13"/>
      <c r="P5205" s="14">
        <v>0.2</v>
      </c>
      <c r="Q5205" s="15">
        <v>0.3</v>
      </c>
      <c r="R5205" s="16" t="str">
        <f t="shared" si="438"/>
        <v>PROELECTRICOS</v>
      </c>
      <c r="S5205" s="39" t="s">
        <v>10797</v>
      </c>
    </row>
    <row r="5206" spans="1:19" ht="27" customHeight="1" x14ac:dyDescent="0.25">
      <c r="A5206" s="32" t="s">
        <v>5672</v>
      </c>
      <c r="H5206" s="8" t="s">
        <v>10798</v>
      </c>
      <c r="I5206" s="62" t="s">
        <v>10799</v>
      </c>
      <c r="J5206" s="34" t="s">
        <v>26</v>
      </c>
      <c r="K5206" s="42">
        <v>235</v>
      </c>
      <c r="L5206" s="12">
        <f t="shared" ref="L5206:L5228" si="440">K5206*(1+P5206)/(1-Q5206)</f>
        <v>470</v>
      </c>
      <c r="M5206" s="8">
        <v>1</v>
      </c>
      <c r="N5206" s="8" t="s">
        <v>27</v>
      </c>
      <c r="O5206" s="13"/>
      <c r="P5206" s="14">
        <v>0.2</v>
      </c>
      <c r="Q5206" s="15">
        <v>0.4</v>
      </c>
      <c r="R5206" s="16" t="str">
        <f t="shared" si="438"/>
        <v>LUTRON</v>
      </c>
    </row>
    <row r="5207" spans="1:19" ht="27" customHeight="1" x14ac:dyDescent="0.25">
      <c r="A5207" s="32" t="s">
        <v>5672</v>
      </c>
      <c r="H5207" s="8" t="s">
        <v>10800</v>
      </c>
      <c r="I5207" s="33" t="s">
        <v>10801</v>
      </c>
      <c r="J5207" s="34" t="s">
        <v>26</v>
      </c>
      <c r="K5207" s="42">
        <v>46.98</v>
      </c>
      <c r="L5207" s="12">
        <f t="shared" si="440"/>
        <v>87.00022509612451</v>
      </c>
      <c r="M5207" s="8">
        <v>1</v>
      </c>
      <c r="N5207" s="8" t="s">
        <v>27</v>
      </c>
      <c r="O5207" s="13"/>
      <c r="P5207" s="14">
        <v>0.2</v>
      </c>
      <c r="Q5207" s="15">
        <v>0.35200167657369308</v>
      </c>
      <c r="R5207" s="16" t="str">
        <f t="shared" si="438"/>
        <v>LUTRON</v>
      </c>
    </row>
    <row r="5208" spans="1:19" ht="27" customHeight="1" x14ac:dyDescent="0.25">
      <c r="A5208" s="32" t="s">
        <v>7649</v>
      </c>
      <c r="H5208" s="8" t="s">
        <v>10802</v>
      </c>
      <c r="I5208" s="33" t="s">
        <v>10803</v>
      </c>
      <c r="J5208" s="34" t="s">
        <v>33</v>
      </c>
      <c r="K5208" s="20">
        <v>3479487.73</v>
      </c>
      <c r="L5208" s="12">
        <f t="shared" si="440"/>
        <v>6443512.4676288487</v>
      </c>
      <c r="M5208" s="8">
        <v>1</v>
      </c>
      <c r="N5208" s="8" t="s">
        <v>27</v>
      </c>
      <c r="O5208" s="13"/>
      <c r="P5208" s="14">
        <v>0.2</v>
      </c>
      <c r="Q5208" s="15">
        <v>0.35200167657369308</v>
      </c>
      <c r="R5208" s="16" t="str">
        <f t="shared" si="438"/>
        <v>PANORAMA</v>
      </c>
    </row>
    <row r="5209" spans="1:19" ht="27" customHeight="1" x14ac:dyDescent="0.25">
      <c r="A5209" s="44" t="s">
        <v>7966</v>
      </c>
      <c r="H5209" s="8" t="s">
        <v>10804</v>
      </c>
      <c r="I5209" s="45" t="s">
        <v>10805</v>
      </c>
      <c r="J5209" s="41" t="s">
        <v>33</v>
      </c>
      <c r="K5209" s="20">
        <f>20900/1.19</f>
        <v>17563.025210084033</v>
      </c>
      <c r="L5209" s="12">
        <f t="shared" si="440"/>
        <v>29271.708683473389</v>
      </c>
      <c r="M5209" s="8">
        <v>1</v>
      </c>
      <c r="N5209" s="8" t="s">
        <v>27</v>
      </c>
      <c r="O5209" s="13"/>
      <c r="P5209" s="14">
        <v>0</v>
      </c>
      <c r="Q5209" s="15">
        <v>0.4</v>
      </c>
      <c r="R5209" s="16" t="str">
        <f t="shared" si="438"/>
        <v>RIO</v>
      </c>
    </row>
    <row r="5210" spans="1:19" ht="27" customHeight="1" x14ac:dyDescent="0.25">
      <c r="A5210" s="44" t="s">
        <v>7966</v>
      </c>
      <c r="H5210" s="8" t="s">
        <v>10806</v>
      </c>
      <c r="I5210" s="45" t="s">
        <v>10807</v>
      </c>
      <c r="J5210" s="41" t="s">
        <v>33</v>
      </c>
      <c r="K5210" s="20">
        <f>20900/1.19</f>
        <v>17563.025210084033</v>
      </c>
      <c r="L5210" s="12">
        <f t="shared" si="440"/>
        <v>29271.708683473389</v>
      </c>
      <c r="M5210" s="8">
        <v>1</v>
      </c>
      <c r="N5210" s="8" t="s">
        <v>27</v>
      </c>
      <c r="O5210" s="13"/>
      <c r="P5210" s="14">
        <v>0</v>
      </c>
      <c r="Q5210" s="15">
        <v>0.4</v>
      </c>
      <c r="R5210" s="16" t="str">
        <f t="shared" si="438"/>
        <v>RIO</v>
      </c>
    </row>
    <row r="5211" spans="1:19" ht="27" customHeight="1" x14ac:dyDescent="0.25">
      <c r="A5211" s="32" t="s">
        <v>9465</v>
      </c>
      <c r="H5211" s="8" t="s">
        <v>10808</v>
      </c>
      <c r="I5211" s="33" t="s">
        <v>10809</v>
      </c>
      <c r="J5211" s="34" t="s">
        <v>33</v>
      </c>
      <c r="K5211" s="20">
        <v>20000</v>
      </c>
      <c r="L5211" s="12">
        <f t="shared" si="440"/>
        <v>23529.411764705885</v>
      </c>
      <c r="M5211" s="8">
        <v>1</v>
      </c>
      <c r="N5211" s="8" t="s">
        <v>27</v>
      </c>
      <c r="O5211" s="13"/>
      <c r="P5211" s="14">
        <v>0</v>
      </c>
      <c r="Q5211" s="15">
        <v>0.15</v>
      </c>
      <c r="R5211" s="16" t="str">
        <f t="shared" si="438"/>
        <v>VIDA_UTIL</v>
      </c>
    </row>
    <row r="5212" spans="1:19" ht="27" customHeight="1" x14ac:dyDescent="0.25">
      <c r="A5212" s="32" t="s">
        <v>9465</v>
      </c>
      <c r="H5212" s="8" t="s">
        <v>10810</v>
      </c>
      <c r="I5212" s="33" t="s">
        <v>10811</v>
      </c>
      <c r="J5212" s="34" t="s">
        <v>33</v>
      </c>
      <c r="K5212" s="20">
        <v>20000</v>
      </c>
      <c r="L5212" s="12">
        <f t="shared" si="440"/>
        <v>23529.411764705885</v>
      </c>
      <c r="M5212" s="8">
        <v>1</v>
      </c>
      <c r="N5212" s="8" t="s">
        <v>27</v>
      </c>
      <c r="O5212" s="13"/>
      <c r="P5212" s="14">
        <v>0</v>
      </c>
      <c r="Q5212" s="15">
        <v>0.15</v>
      </c>
      <c r="R5212" s="16" t="str">
        <f t="shared" si="438"/>
        <v>VIDA_UTIL</v>
      </c>
    </row>
    <row r="5213" spans="1:19" ht="27" customHeight="1" x14ac:dyDescent="0.25">
      <c r="A5213" s="32" t="s">
        <v>2124</v>
      </c>
      <c r="H5213" s="8" t="s">
        <v>10812</v>
      </c>
      <c r="I5213" s="10" t="s">
        <v>10813</v>
      </c>
      <c r="J5213" s="34" t="s">
        <v>33</v>
      </c>
      <c r="K5213" s="20">
        <v>450000</v>
      </c>
      <c r="L5213" s="12">
        <f t="shared" si="440"/>
        <v>750000</v>
      </c>
      <c r="M5213" s="8">
        <v>1</v>
      </c>
      <c r="N5213" s="8" t="s">
        <v>27</v>
      </c>
      <c r="O5213" s="13"/>
      <c r="P5213" s="14">
        <v>0</v>
      </c>
      <c r="Q5213" s="15">
        <v>0.4</v>
      </c>
      <c r="R5213" s="16" t="str">
        <f t="shared" si="438"/>
        <v>ECOLUZ</v>
      </c>
    </row>
    <row r="5214" spans="1:19" ht="27" customHeight="1" x14ac:dyDescent="0.25">
      <c r="A5214" s="32" t="s">
        <v>10103</v>
      </c>
      <c r="H5214" s="8" t="s">
        <v>10814</v>
      </c>
      <c r="I5214" s="33" t="s">
        <v>10815</v>
      </c>
      <c r="J5214" s="34" t="s">
        <v>26</v>
      </c>
      <c r="K5214" s="20">
        <v>151</v>
      </c>
      <c r="L5214" s="12">
        <f t="shared" si="440"/>
        <v>215.71428571428572</v>
      </c>
      <c r="M5214" s="8">
        <v>1</v>
      </c>
      <c r="N5214" s="8" t="s">
        <v>27</v>
      </c>
      <c r="O5214" s="13"/>
      <c r="P5214" s="14">
        <v>0</v>
      </c>
      <c r="Q5214" s="15">
        <v>0.3</v>
      </c>
      <c r="R5214" s="16" t="str">
        <f t="shared" si="438"/>
        <v>MONITOR</v>
      </c>
    </row>
    <row r="5215" spans="1:19" ht="27" customHeight="1" x14ac:dyDescent="0.25">
      <c r="A5215" s="32" t="s">
        <v>7989</v>
      </c>
      <c r="H5215" s="8" t="s">
        <v>10816</v>
      </c>
      <c r="I5215" s="33" t="s">
        <v>10817</v>
      </c>
      <c r="J5215" s="34" t="s">
        <v>26</v>
      </c>
      <c r="K5215" s="20">
        <v>201</v>
      </c>
      <c r="L5215" s="12">
        <f t="shared" si="440"/>
        <v>449.00023472354098</v>
      </c>
      <c r="M5215" s="8">
        <v>1</v>
      </c>
      <c r="N5215" s="8" t="s">
        <v>27</v>
      </c>
      <c r="O5215" s="13"/>
      <c r="P5215" s="14">
        <v>0.2</v>
      </c>
      <c r="Q5215" s="15">
        <v>0.4628065169085892</v>
      </c>
      <c r="R5215" s="16" t="str">
        <f t="shared" si="438"/>
        <v>RUSSOUND</v>
      </c>
    </row>
    <row r="5216" spans="1:19" ht="27" customHeight="1" x14ac:dyDescent="0.25">
      <c r="A5216" s="32" t="s">
        <v>7989</v>
      </c>
      <c r="H5216" s="8" t="s">
        <v>10818</v>
      </c>
      <c r="I5216" s="33" t="s">
        <v>10819</v>
      </c>
      <c r="J5216" s="34" t="s">
        <v>26</v>
      </c>
      <c r="K5216" s="20">
        <v>67</v>
      </c>
      <c r="L5216" s="12">
        <f t="shared" si="440"/>
        <v>149.00005964168557</v>
      </c>
      <c r="M5216" s="8">
        <v>1</v>
      </c>
      <c r="N5216" s="8" t="s">
        <v>27</v>
      </c>
      <c r="O5216" s="13"/>
      <c r="P5216" s="14">
        <v>0.2</v>
      </c>
      <c r="Q5216" s="15">
        <v>0.4604029005535607</v>
      </c>
      <c r="R5216" s="16" t="str">
        <f t="shared" si="438"/>
        <v>RUSSOUND</v>
      </c>
    </row>
    <row r="5217" spans="1:20" ht="27" customHeight="1" x14ac:dyDescent="0.25">
      <c r="A5217" s="32" t="s">
        <v>10524</v>
      </c>
      <c r="H5217" s="8" t="s">
        <v>10820</v>
      </c>
      <c r="I5217" s="33" t="s">
        <v>10821</v>
      </c>
      <c r="J5217" s="34" t="s">
        <v>26</v>
      </c>
      <c r="K5217" s="20">
        <v>40</v>
      </c>
      <c r="L5217" s="12">
        <f t="shared" si="440"/>
        <v>60</v>
      </c>
      <c r="M5217" s="8">
        <v>1</v>
      </c>
      <c r="N5217" s="8" t="s">
        <v>27</v>
      </c>
      <c r="O5217" s="13"/>
      <c r="P5217" s="14">
        <v>0.2</v>
      </c>
      <c r="Q5217" s="15">
        <v>0.2</v>
      </c>
      <c r="R5217" s="16" t="str">
        <f t="shared" si="438"/>
        <v>AMAZON</v>
      </c>
    </row>
    <row r="5218" spans="1:20" ht="27" customHeight="1" x14ac:dyDescent="0.25">
      <c r="A5218" s="32" t="s">
        <v>10822</v>
      </c>
      <c r="H5218" s="8" t="s">
        <v>10823</v>
      </c>
      <c r="I5218" s="33" t="s">
        <v>10824</v>
      </c>
      <c r="J5218" s="34" t="s">
        <v>26</v>
      </c>
      <c r="K5218" s="20">
        <v>247</v>
      </c>
      <c r="L5218" s="12">
        <f t="shared" si="440"/>
        <v>352.85714285714289</v>
      </c>
      <c r="M5218" s="8">
        <v>1</v>
      </c>
      <c r="N5218" s="8" t="s">
        <v>27</v>
      </c>
      <c r="O5218" s="13"/>
      <c r="P5218" s="14">
        <v>0</v>
      </c>
      <c r="Q5218" s="15">
        <v>0.3</v>
      </c>
      <c r="R5218" s="16" t="str">
        <f t="shared" si="438"/>
        <v>TDG</v>
      </c>
    </row>
    <row r="5219" spans="1:20" ht="27" customHeight="1" x14ac:dyDescent="0.25">
      <c r="A5219" s="32" t="s">
        <v>8308</v>
      </c>
      <c r="H5219" s="8" t="s">
        <v>8337</v>
      </c>
      <c r="I5219" s="33" t="s">
        <v>10825</v>
      </c>
      <c r="J5219" s="34" t="s">
        <v>33</v>
      </c>
      <c r="K5219" s="20">
        <v>996500</v>
      </c>
      <c r="L5219" s="12">
        <f t="shared" si="440"/>
        <v>1423571.4285714286</v>
      </c>
      <c r="M5219" s="8">
        <v>1</v>
      </c>
      <c r="N5219" s="8" t="s">
        <v>27</v>
      </c>
      <c r="O5219" s="13"/>
      <c r="P5219" s="14">
        <v>0</v>
      </c>
      <c r="Q5219" s="15">
        <v>0.3</v>
      </c>
      <c r="R5219" s="16" t="str">
        <f t="shared" si="438"/>
        <v>SOLIDVIEW</v>
      </c>
    </row>
    <row r="5220" spans="1:20" ht="27" customHeight="1" x14ac:dyDescent="0.25">
      <c r="A5220" s="32" t="s">
        <v>5066</v>
      </c>
      <c r="H5220" s="8" t="s">
        <v>5116</v>
      </c>
      <c r="I5220" s="33" t="s">
        <v>10826</v>
      </c>
      <c r="J5220" s="34" t="s">
        <v>33</v>
      </c>
      <c r="K5220" s="20">
        <v>261348</v>
      </c>
      <c r="L5220" s="12">
        <f t="shared" si="440"/>
        <v>373354.28571428574</v>
      </c>
      <c r="M5220" s="8">
        <v>1</v>
      </c>
      <c r="N5220" s="8" t="s">
        <v>27</v>
      </c>
      <c r="O5220" s="13"/>
      <c r="P5220" s="14">
        <v>0</v>
      </c>
      <c r="Q5220" s="15">
        <v>0.3</v>
      </c>
      <c r="R5220" s="16" t="str">
        <f t="shared" si="438"/>
        <v>LEGRAND</v>
      </c>
    </row>
    <row r="5221" spans="1:20" ht="27" customHeight="1" x14ac:dyDescent="0.25">
      <c r="A5221" s="32" t="s">
        <v>5066</v>
      </c>
      <c r="H5221" s="8" t="s">
        <v>10827</v>
      </c>
      <c r="I5221" s="33" t="s">
        <v>10828</v>
      </c>
      <c r="J5221" s="34" t="s">
        <v>33</v>
      </c>
      <c r="K5221" s="20">
        <v>12500</v>
      </c>
      <c r="L5221" s="12">
        <f t="shared" si="440"/>
        <v>17857.142857142859</v>
      </c>
      <c r="M5221" s="8">
        <v>1</v>
      </c>
      <c r="N5221" s="8" t="s">
        <v>27</v>
      </c>
      <c r="O5221" s="13"/>
      <c r="P5221" s="14">
        <v>0</v>
      </c>
      <c r="Q5221" s="15">
        <v>0.3</v>
      </c>
      <c r="R5221" s="16" t="str">
        <f t="shared" si="438"/>
        <v>LEGRAND</v>
      </c>
    </row>
    <row r="5222" spans="1:20" ht="27" customHeight="1" x14ac:dyDescent="0.25">
      <c r="A5222" s="32" t="s">
        <v>7654</v>
      </c>
      <c r="H5222" s="8" t="s">
        <v>10829</v>
      </c>
      <c r="I5222" s="33" t="s">
        <v>10830</v>
      </c>
      <c r="J5222" s="34" t="s">
        <v>33</v>
      </c>
      <c r="K5222" s="20">
        <v>905</v>
      </c>
      <c r="L5222" s="12">
        <f t="shared" si="440"/>
        <v>1292.8571428571429</v>
      </c>
      <c r="M5222" s="8">
        <v>1</v>
      </c>
      <c r="N5222" s="8" t="s">
        <v>27</v>
      </c>
      <c r="O5222" s="13"/>
      <c r="P5222" s="14">
        <v>0</v>
      </c>
      <c r="Q5222" s="15">
        <v>0.3</v>
      </c>
      <c r="R5222" s="16" t="str">
        <f t="shared" si="438"/>
        <v>PAVCO</v>
      </c>
    </row>
    <row r="5223" spans="1:20" ht="27" customHeight="1" x14ac:dyDescent="0.25">
      <c r="A5223" s="32" t="s">
        <v>7654</v>
      </c>
      <c r="H5223" s="8" t="s">
        <v>10831</v>
      </c>
      <c r="I5223" s="33" t="s">
        <v>10832</v>
      </c>
      <c r="J5223" s="34" t="s">
        <v>33</v>
      </c>
      <c r="K5223" s="20">
        <v>4092</v>
      </c>
      <c r="L5223" s="12">
        <f t="shared" si="440"/>
        <v>5845.7142857142862</v>
      </c>
      <c r="M5223" s="8">
        <v>1</v>
      </c>
      <c r="N5223" s="8" t="s">
        <v>27</v>
      </c>
      <c r="O5223" s="13"/>
      <c r="P5223" s="14">
        <v>0</v>
      </c>
      <c r="Q5223" s="15">
        <v>0.3</v>
      </c>
      <c r="R5223" s="16" t="str">
        <f t="shared" si="438"/>
        <v>PAVCO</v>
      </c>
    </row>
    <row r="5224" spans="1:20" ht="27" customHeight="1" x14ac:dyDescent="0.25">
      <c r="A5224" s="32" t="s">
        <v>7654</v>
      </c>
      <c r="H5224" s="8" t="s">
        <v>10833</v>
      </c>
      <c r="I5224" s="33" t="s">
        <v>10834</v>
      </c>
      <c r="J5224" s="34" t="s">
        <v>33</v>
      </c>
      <c r="K5224" s="20">
        <v>4583</v>
      </c>
      <c r="L5224" s="12">
        <f t="shared" si="440"/>
        <v>6547.1428571428578</v>
      </c>
      <c r="M5224" s="8">
        <v>1</v>
      </c>
      <c r="N5224" s="8" t="s">
        <v>27</v>
      </c>
      <c r="O5224" s="13"/>
      <c r="P5224" s="14">
        <v>0</v>
      </c>
      <c r="Q5224" s="15">
        <v>0.3</v>
      </c>
      <c r="R5224" s="16" t="str">
        <f t="shared" si="438"/>
        <v>PAVCO</v>
      </c>
    </row>
    <row r="5225" spans="1:20" ht="27" customHeight="1" x14ac:dyDescent="0.25">
      <c r="A5225" s="32" t="s">
        <v>7654</v>
      </c>
      <c r="H5225" s="8" t="s">
        <v>10835</v>
      </c>
      <c r="I5225" s="33" t="s">
        <v>10836</v>
      </c>
      <c r="J5225" s="34" t="s">
        <v>33</v>
      </c>
      <c r="K5225" s="20">
        <v>11240</v>
      </c>
      <c r="L5225" s="12">
        <f t="shared" si="440"/>
        <v>16057.142857142859</v>
      </c>
      <c r="M5225" s="8">
        <v>1</v>
      </c>
      <c r="N5225" s="8" t="s">
        <v>27</v>
      </c>
      <c r="O5225" s="13"/>
      <c r="P5225" s="14">
        <v>0</v>
      </c>
      <c r="Q5225" s="15">
        <v>0.3</v>
      </c>
      <c r="R5225" s="16" t="str">
        <f t="shared" si="438"/>
        <v>PAVCO</v>
      </c>
    </row>
    <row r="5226" spans="1:20" ht="27" customHeight="1" x14ac:dyDescent="0.25">
      <c r="A5226" s="32" t="s">
        <v>7654</v>
      </c>
      <c r="H5226" s="8" t="s">
        <v>10837</v>
      </c>
      <c r="I5226" s="33" t="s">
        <v>10838</v>
      </c>
      <c r="J5226" s="34" t="s">
        <v>33</v>
      </c>
      <c r="K5226" s="20">
        <v>13024</v>
      </c>
      <c r="L5226" s="12">
        <f t="shared" si="440"/>
        <v>18605.714285714286</v>
      </c>
      <c r="M5226" s="8">
        <v>1</v>
      </c>
      <c r="N5226" s="8" t="s">
        <v>27</v>
      </c>
      <c r="O5226" s="13"/>
      <c r="P5226" s="14">
        <v>0</v>
      </c>
      <c r="Q5226" s="15">
        <v>0.3</v>
      </c>
      <c r="R5226" s="16" t="str">
        <f t="shared" si="438"/>
        <v>PAVCO</v>
      </c>
    </row>
    <row r="5227" spans="1:20" ht="27" customHeight="1" x14ac:dyDescent="0.25">
      <c r="A5227" s="32" t="s">
        <v>7654</v>
      </c>
      <c r="H5227" s="8" t="s">
        <v>10839</v>
      </c>
      <c r="I5227" s="33" t="s">
        <v>10840</v>
      </c>
      <c r="J5227" s="34" t="s">
        <v>33</v>
      </c>
      <c r="K5227" s="20">
        <v>26364</v>
      </c>
      <c r="L5227" s="12">
        <f t="shared" si="440"/>
        <v>37662.857142857145</v>
      </c>
      <c r="M5227" s="8">
        <v>1</v>
      </c>
      <c r="N5227" s="8" t="s">
        <v>27</v>
      </c>
      <c r="O5227" s="13"/>
      <c r="P5227" s="14">
        <v>0</v>
      </c>
      <c r="Q5227" s="15">
        <v>0.3</v>
      </c>
      <c r="R5227" s="16" t="str">
        <f t="shared" si="438"/>
        <v>PAVCO</v>
      </c>
    </row>
    <row r="5228" spans="1:20" ht="27" customHeight="1" x14ac:dyDescent="0.25">
      <c r="A5228" s="32" t="s">
        <v>7654</v>
      </c>
      <c r="H5228" s="8" t="s">
        <v>10841</v>
      </c>
      <c r="I5228" s="33" t="s">
        <v>10842</v>
      </c>
      <c r="J5228" s="34" t="s">
        <v>33</v>
      </c>
      <c r="K5228" s="20">
        <v>27800</v>
      </c>
      <c r="L5228" s="12">
        <f t="shared" si="440"/>
        <v>39714.285714285717</v>
      </c>
      <c r="M5228" s="8">
        <v>1</v>
      </c>
      <c r="N5228" s="8" t="s">
        <v>27</v>
      </c>
      <c r="O5228" s="13"/>
      <c r="P5228" s="14">
        <v>0</v>
      </c>
      <c r="Q5228" s="15">
        <v>0.3</v>
      </c>
      <c r="R5228" s="16" t="str">
        <f t="shared" si="438"/>
        <v>PAVCO</v>
      </c>
    </row>
    <row r="5229" spans="1:20" ht="27" customHeight="1" x14ac:dyDescent="0.25">
      <c r="A5229" s="8" t="s">
        <v>5066</v>
      </c>
      <c r="B5229" s="9"/>
      <c r="C5229" s="9"/>
      <c r="D5229" s="8"/>
      <c r="E5229" s="8"/>
      <c r="F5229" s="8" t="s">
        <v>22</v>
      </c>
      <c r="G5229" s="10" t="s">
        <v>2540</v>
      </c>
      <c r="H5229" s="8" t="s">
        <v>5116</v>
      </c>
      <c r="I5229" s="10" t="s">
        <v>10843</v>
      </c>
      <c r="J5229" s="11" t="s">
        <v>33</v>
      </c>
      <c r="K5229" s="18">
        <v>261348</v>
      </c>
      <c r="L5229" s="12">
        <f>IF(J5229="P",ROUNDUP(K5229/(1-Q5229),-2),K5229*(1+P5229)/(1-Q5229))</f>
        <v>373400</v>
      </c>
      <c r="M5229" s="8">
        <v>1</v>
      </c>
      <c r="N5229" s="8" t="s">
        <v>27</v>
      </c>
      <c r="O5229" s="13"/>
      <c r="P5229" s="14">
        <v>0.2</v>
      </c>
      <c r="Q5229" s="15">
        <v>0.3</v>
      </c>
      <c r="R5229" s="16" t="str">
        <f t="shared" si="438"/>
        <v>LEGRAND</v>
      </c>
      <c r="S5229" s="17"/>
      <c r="T5229" s="10" t="str">
        <f>G5229</f>
        <v>TABLERO DE 18 CIRCUITOS SIN ESPACIO</v>
      </c>
    </row>
    <row r="5230" spans="1:20" ht="27" customHeight="1" x14ac:dyDescent="0.25">
      <c r="A5230" s="32" t="s">
        <v>7654</v>
      </c>
      <c r="H5230" s="8" t="s">
        <v>10844</v>
      </c>
      <c r="I5230" s="33" t="s">
        <v>10845</v>
      </c>
      <c r="J5230" s="34" t="s">
        <v>33</v>
      </c>
      <c r="K5230" s="20">
        <v>8112</v>
      </c>
      <c r="L5230" s="12">
        <f>K5230*(1+P5230)/(1-Q5230)</f>
        <v>11588.571428571429</v>
      </c>
      <c r="M5230" s="8">
        <v>1</v>
      </c>
      <c r="N5230" s="8" t="s">
        <v>27</v>
      </c>
      <c r="O5230" s="13"/>
      <c r="P5230" s="14">
        <v>0</v>
      </c>
      <c r="Q5230" s="15">
        <v>0.3</v>
      </c>
      <c r="R5230" s="16" t="str">
        <f t="shared" si="438"/>
        <v>PAVCO</v>
      </c>
    </row>
    <row r="5231" spans="1:20" ht="27" customHeight="1" x14ac:dyDescent="0.25">
      <c r="A5231" s="32" t="s">
        <v>10846</v>
      </c>
      <c r="H5231" s="8" t="s">
        <v>10847</v>
      </c>
      <c r="I5231" s="33" t="s">
        <v>10848</v>
      </c>
      <c r="J5231" s="34" t="s">
        <v>33</v>
      </c>
      <c r="K5231" s="20">
        <v>89076</v>
      </c>
      <c r="L5231" s="12">
        <f>K5231*(1+P5231)/(1-Q5231)</f>
        <v>127251.42857142858</v>
      </c>
      <c r="M5231" s="8">
        <v>1</v>
      </c>
      <c r="N5231" s="8" t="s">
        <v>27</v>
      </c>
      <c r="O5231" s="13"/>
      <c r="P5231" s="14">
        <v>0</v>
      </c>
      <c r="Q5231" s="15">
        <v>0.3</v>
      </c>
      <c r="R5231" s="16" t="str">
        <f t="shared" ref="R5231:R5294" si="441">A5231</f>
        <v>WEG</v>
      </c>
    </row>
    <row r="5232" spans="1:20" ht="27" customHeight="1" x14ac:dyDescent="0.25">
      <c r="A5232" s="8" t="s">
        <v>2512</v>
      </c>
      <c r="B5232" s="9"/>
      <c r="C5232" s="9"/>
      <c r="D5232" s="8"/>
      <c r="E5232" s="8"/>
      <c r="F5232" s="8" t="s">
        <v>22</v>
      </c>
      <c r="G5232" s="10" t="s">
        <v>2765</v>
      </c>
      <c r="H5232" s="8" t="s">
        <v>10849</v>
      </c>
      <c r="I5232" s="10" t="s">
        <v>10850</v>
      </c>
      <c r="J5232" s="11" t="s">
        <v>33</v>
      </c>
      <c r="K5232" s="18">
        <v>12000</v>
      </c>
      <c r="L5232" s="12">
        <f t="shared" ref="L5232:L5239" si="442">IF(J5232="P",ROUNDUP(K5232/(1-Q5232),-2),K5232*(1+P5232)/(1-Q5232))</f>
        <v>20000</v>
      </c>
      <c r="M5232" s="8">
        <v>1</v>
      </c>
      <c r="N5232" s="8" t="s">
        <v>27</v>
      </c>
      <c r="O5232" s="13"/>
      <c r="P5232" s="14">
        <v>0</v>
      </c>
      <c r="Q5232" s="15">
        <v>0.4</v>
      </c>
      <c r="R5232" s="16" t="str">
        <f t="shared" si="441"/>
        <v>GENERAL</v>
      </c>
      <c r="S5232" s="17"/>
      <c r="T5232" s="10" t="str">
        <f>G5232</f>
        <v>AEROSOL NEGRO MATE</v>
      </c>
    </row>
    <row r="5233" spans="1:20" ht="27" customHeight="1" x14ac:dyDescent="0.25">
      <c r="A5233" s="32" t="s">
        <v>2512</v>
      </c>
      <c r="H5233" s="8" t="s">
        <v>10851</v>
      </c>
      <c r="I5233" s="33" t="s">
        <v>10852</v>
      </c>
      <c r="J5233" s="34" t="s">
        <v>33</v>
      </c>
      <c r="K5233" s="20">
        <v>245000</v>
      </c>
      <c r="L5233" s="12">
        <f t="shared" si="442"/>
        <v>408400</v>
      </c>
      <c r="M5233" s="8">
        <v>1</v>
      </c>
      <c r="N5233" s="8" t="s">
        <v>27</v>
      </c>
      <c r="O5233" s="13"/>
      <c r="P5233" s="14">
        <v>0</v>
      </c>
      <c r="Q5233" s="15">
        <v>0.4</v>
      </c>
      <c r="R5233" s="16" t="str">
        <f t="shared" si="441"/>
        <v>GENERAL</v>
      </c>
    </row>
    <row r="5234" spans="1:20" ht="27" customHeight="1" x14ac:dyDescent="0.25">
      <c r="A5234" s="32" t="s">
        <v>764</v>
      </c>
      <c r="H5234" s="8" t="s">
        <v>10853</v>
      </c>
      <c r="I5234" s="33" t="s">
        <v>10854</v>
      </c>
      <c r="J5234" s="34" t="s">
        <v>33</v>
      </c>
      <c r="K5234" s="20">
        <v>184000</v>
      </c>
      <c r="L5234" s="12">
        <f t="shared" si="442"/>
        <v>306700</v>
      </c>
      <c r="M5234" s="8">
        <v>1</v>
      </c>
      <c r="N5234" s="8" t="s">
        <v>27</v>
      </c>
      <c r="O5234" s="13"/>
      <c r="P5234" s="14">
        <v>0</v>
      </c>
      <c r="Q5234" s="15">
        <v>0.4</v>
      </c>
      <c r="R5234" s="16" t="str">
        <f t="shared" si="441"/>
        <v>BEHRINGER</v>
      </c>
    </row>
    <row r="5235" spans="1:20" ht="27" customHeight="1" x14ac:dyDescent="0.25">
      <c r="A5235" s="32" t="s">
        <v>2512</v>
      </c>
      <c r="H5235" s="8" t="s">
        <v>10855</v>
      </c>
      <c r="I5235" s="33" t="s">
        <v>10856</v>
      </c>
      <c r="J5235" s="34" t="s">
        <v>33</v>
      </c>
      <c r="K5235" s="20">
        <v>7983</v>
      </c>
      <c r="L5235" s="12">
        <f t="shared" si="442"/>
        <v>13400</v>
      </c>
      <c r="M5235" s="8">
        <v>1</v>
      </c>
      <c r="N5235" s="8" t="s">
        <v>27</v>
      </c>
      <c r="O5235" s="13"/>
      <c r="P5235" s="14">
        <v>0</v>
      </c>
      <c r="Q5235" s="15">
        <v>0.4</v>
      </c>
      <c r="R5235" s="16" t="str">
        <f t="shared" si="441"/>
        <v>GENERAL</v>
      </c>
    </row>
    <row r="5236" spans="1:20" ht="27" customHeight="1" x14ac:dyDescent="0.25">
      <c r="A5236" s="32" t="s">
        <v>2512</v>
      </c>
      <c r="H5236" s="8" t="s">
        <v>10857</v>
      </c>
      <c r="I5236" s="33" t="s">
        <v>10858</v>
      </c>
      <c r="J5236" s="34" t="s">
        <v>33</v>
      </c>
      <c r="K5236" s="20">
        <v>9244</v>
      </c>
      <c r="L5236" s="12">
        <f t="shared" si="442"/>
        <v>15500</v>
      </c>
      <c r="M5236" s="8">
        <v>1</v>
      </c>
      <c r="N5236" s="8" t="s">
        <v>27</v>
      </c>
      <c r="O5236" s="13"/>
      <c r="P5236" s="14">
        <v>0</v>
      </c>
      <c r="Q5236" s="15">
        <v>0.4</v>
      </c>
      <c r="R5236" s="16" t="str">
        <f t="shared" si="441"/>
        <v>GENERAL</v>
      </c>
    </row>
    <row r="5237" spans="1:20" ht="27" customHeight="1" x14ac:dyDescent="0.25">
      <c r="A5237" s="32" t="s">
        <v>2512</v>
      </c>
      <c r="H5237" s="8" t="s">
        <v>10859</v>
      </c>
      <c r="I5237" s="33" t="s">
        <v>10860</v>
      </c>
      <c r="J5237" s="34" t="s">
        <v>33</v>
      </c>
      <c r="K5237" s="20">
        <v>12605</v>
      </c>
      <c r="L5237" s="12">
        <f t="shared" si="442"/>
        <v>21100</v>
      </c>
      <c r="M5237" s="8">
        <v>1</v>
      </c>
      <c r="N5237" s="8" t="s">
        <v>27</v>
      </c>
      <c r="O5237" s="13"/>
      <c r="P5237" s="14">
        <v>0</v>
      </c>
      <c r="Q5237" s="15">
        <v>0.4</v>
      </c>
      <c r="R5237" s="16" t="str">
        <f t="shared" si="441"/>
        <v>GENERAL</v>
      </c>
    </row>
    <row r="5238" spans="1:20" ht="27" customHeight="1" x14ac:dyDescent="0.25">
      <c r="A5238" s="32" t="s">
        <v>2512</v>
      </c>
      <c r="H5238" s="8" t="s">
        <v>10861</v>
      </c>
      <c r="I5238" s="33" t="s">
        <v>10862</v>
      </c>
      <c r="J5238" s="34" t="s">
        <v>33</v>
      </c>
      <c r="K5238" s="20">
        <v>16807</v>
      </c>
      <c r="L5238" s="12">
        <f t="shared" si="442"/>
        <v>28100</v>
      </c>
      <c r="M5238" s="8">
        <v>1</v>
      </c>
      <c r="N5238" s="8" t="s">
        <v>27</v>
      </c>
      <c r="O5238" s="13"/>
      <c r="P5238" s="14">
        <v>0</v>
      </c>
      <c r="Q5238" s="15">
        <v>0.4</v>
      </c>
      <c r="R5238" s="16" t="str">
        <f t="shared" si="441"/>
        <v>GENERAL</v>
      </c>
    </row>
    <row r="5239" spans="1:20" ht="27" customHeight="1" x14ac:dyDescent="0.25">
      <c r="A5239" s="32" t="s">
        <v>2512</v>
      </c>
      <c r="H5239" s="8" t="s">
        <v>10863</v>
      </c>
      <c r="I5239" s="33" t="s">
        <v>10864</v>
      </c>
      <c r="J5239" s="34" t="s">
        <v>33</v>
      </c>
      <c r="K5239" s="20">
        <v>700</v>
      </c>
      <c r="L5239" s="12">
        <f t="shared" si="442"/>
        <v>1200</v>
      </c>
      <c r="M5239" s="8">
        <v>1</v>
      </c>
      <c r="N5239" s="8" t="s">
        <v>27</v>
      </c>
      <c r="O5239" s="13"/>
      <c r="P5239" s="14">
        <v>0</v>
      </c>
      <c r="Q5239" s="15">
        <v>0.4</v>
      </c>
      <c r="R5239" s="16" t="str">
        <f t="shared" si="441"/>
        <v>GENERAL</v>
      </c>
    </row>
    <row r="5240" spans="1:20" ht="27" customHeight="1" x14ac:dyDescent="0.25">
      <c r="A5240" s="32" t="s">
        <v>7654</v>
      </c>
      <c r="H5240" s="8" t="s">
        <v>10865</v>
      </c>
      <c r="I5240" s="33" t="s">
        <v>10866</v>
      </c>
      <c r="J5240" s="34" t="s">
        <v>33</v>
      </c>
      <c r="K5240" s="20">
        <v>42630</v>
      </c>
      <c r="L5240" s="12">
        <f>K5240*(1+P5240)/(1-Q5240)</f>
        <v>60900.000000000007</v>
      </c>
      <c r="M5240" s="8">
        <v>1</v>
      </c>
      <c r="N5240" s="8" t="s">
        <v>27</v>
      </c>
      <c r="O5240" s="13"/>
      <c r="P5240" s="14">
        <v>0</v>
      </c>
      <c r="Q5240" s="15">
        <v>0.3</v>
      </c>
      <c r="R5240" s="16" t="str">
        <f t="shared" si="441"/>
        <v>PAVCO</v>
      </c>
    </row>
    <row r="5241" spans="1:20" ht="27" customHeight="1" x14ac:dyDescent="0.25">
      <c r="A5241" s="32" t="s">
        <v>7654</v>
      </c>
      <c r="H5241" s="8" t="s">
        <v>10867</v>
      </c>
      <c r="I5241" s="33" t="s">
        <v>10868</v>
      </c>
      <c r="J5241" s="34" t="s">
        <v>33</v>
      </c>
      <c r="K5241" s="20">
        <v>17922</v>
      </c>
      <c r="L5241" s="12">
        <f>K5241*(1+P5241)/(1-Q5241)</f>
        <v>25602.857142857145</v>
      </c>
      <c r="M5241" s="8">
        <v>1</v>
      </c>
      <c r="N5241" s="8" t="s">
        <v>27</v>
      </c>
      <c r="O5241" s="13"/>
      <c r="P5241" s="14">
        <v>0</v>
      </c>
      <c r="Q5241" s="15">
        <v>0.3</v>
      </c>
      <c r="R5241" s="16" t="str">
        <f t="shared" si="441"/>
        <v>PAVCO</v>
      </c>
    </row>
    <row r="5242" spans="1:20" ht="27" customHeight="1" x14ac:dyDescent="0.25">
      <c r="A5242" s="32" t="s">
        <v>7654</v>
      </c>
      <c r="F5242" s="48"/>
      <c r="H5242" s="8" t="s">
        <v>10869</v>
      </c>
      <c r="I5242" s="33" t="s">
        <v>10870</v>
      </c>
      <c r="J5242" s="34" t="s">
        <v>33</v>
      </c>
      <c r="K5242" s="20">
        <v>6351</v>
      </c>
      <c r="L5242" s="12">
        <f>K5242*(1+P5242)/(1-Q5242)</f>
        <v>9072.8571428571431</v>
      </c>
      <c r="M5242" s="8">
        <v>1</v>
      </c>
      <c r="N5242" s="8" t="s">
        <v>27</v>
      </c>
      <c r="O5242" s="13"/>
      <c r="P5242" s="14">
        <v>0</v>
      </c>
      <c r="Q5242" s="15">
        <v>0.3</v>
      </c>
      <c r="R5242" s="16" t="str">
        <f t="shared" si="441"/>
        <v>PAVCO</v>
      </c>
    </row>
    <row r="5243" spans="1:20" ht="27" customHeight="1" x14ac:dyDescent="0.25">
      <c r="A5243" s="32" t="s">
        <v>10871</v>
      </c>
      <c r="H5243" s="8" t="s">
        <v>10872</v>
      </c>
      <c r="I5243" s="33" t="s">
        <v>10873</v>
      </c>
      <c r="J5243" s="34" t="s">
        <v>33</v>
      </c>
      <c r="K5243" s="20">
        <v>63025.21</v>
      </c>
      <c r="L5243" s="12">
        <f>K5243*(1+P5243)/(1-Q5243)</f>
        <v>90036.014285714293</v>
      </c>
      <c r="M5243" s="8">
        <v>1</v>
      </c>
      <c r="N5243" s="8" t="s">
        <v>27</v>
      </c>
      <c r="O5243" s="13"/>
      <c r="P5243" s="14">
        <v>0</v>
      </c>
      <c r="Q5243" s="15">
        <v>0.3</v>
      </c>
      <c r="R5243" s="16" t="str">
        <f t="shared" si="441"/>
        <v>WELCO</v>
      </c>
    </row>
    <row r="5244" spans="1:20" ht="27" customHeight="1" x14ac:dyDescent="0.25">
      <c r="A5244" s="8" t="s">
        <v>7773</v>
      </c>
      <c r="B5244" s="9" t="s">
        <v>208</v>
      </c>
      <c r="C5244" s="9"/>
      <c r="D5244" s="8" t="s">
        <v>208</v>
      </c>
      <c r="E5244" s="8"/>
      <c r="F5244" s="8" t="s">
        <v>22</v>
      </c>
      <c r="G5244" s="10" t="s">
        <v>7782</v>
      </c>
      <c r="H5244" s="8" t="s">
        <v>10874</v>
      </c>
      <c r="I5244" s="10" t="s">
        <v>10875</v>
      </c>
      <c r="J5244" s="11" t="s">
        <v>33</v>
      </c>
      <c r="K5244" s="18">
        <v>9900</v>
      </c>
      <c r="L5244" s="12">
        <f>IF(J5244="P",ROUNDUP(K5244/(1-Q5244),-2),K5244*(1+P5244)/(1-Q5244))</f>
        <v>12400</v>
      </c>
      <c r="M5244" s="8">
        <v>1</v>
      </c>
      <c r="N5244" s="8" t="s">
        <v>110</v>
      </c>
      <c r="O5244" s="13"/>
      <c r="P5244" s="14">
        <v>0</v>
      </c>
      <c r="Q5244" s="15">
        <v>0.2</v>
      </c>
      <c r="R5244" s="16" t="str">
        <f t="shared" si="441"/>
        <v>PROCABLE</v>
      </c>
      <c r="S5244" s="17"/>
      <c r="T5244" s="10" t="str">
        <f>G5244</f>
        <v>METRO DE CABLE ENCAUCHETADO 3X16. MARCA PROCABLE.</v>
      </c>
    </row>
    <row r="5245" spans="1:20" ht="27" customHeight="1" x14ac:dyDescent="0.25">
      <c r="A5245" s="32" t="s">
        <v>7654</v>
      </c>
      <c r="H5245" s="8" t="s">
        <v>10876</v>
      </c>
      <c r="I5245" s="33" t="s">
        <v>10877</v>
      </c>
      <c r="J5245" s="34" t="s">
        <v>33</v>
      </c>
      <c r="K5245" s="20">
        <v>905</v>
      </c>
      <c r="L5245" s="12">
        <f t="shared" ref="L5245:L5257" si="443">K5245*(1+P5245)/(1-Q5245)</f>
        <v>1292.8571428571429</v>
      </c>
      <c r="M5245" s="8">
        <v>1</v>
      </c>
      <c r="N5245" s="8" t="s">
        <v>27</v>
      </c>
      <c r="O5245" s="13"/>
      <c r="P5245" s="14">
        <v>0</v>
      </c>
      <c r="Q5245" s="15">
        <v>0.3</v>
      </c>
      <c r="R5245" s="16" t="str">
        <f t="shared" si="441"/>
        <v>PAVCO</v>
      </c>
    </row>
    <row r="5246" spans="1:20" ht="27" customHeight="1" x14ac:dyDescent="0.25">
      <c r="A5246" s="32" t="s">
        <v>7654</v>
      </c>
      <c r="H5246" s="8" t="s">
        <v>10878</v>
      </c>
      <c r="I5246" s="33" t="s">
        <v>10879</v>
      </c>
      <c r="J5246" s="34" t="s">
        <v>33</v>
      </c>
      <c r="K5246" s="20">
        <v>476</v>
      </c>
      <c r="L5246" s="12">
        <f t="shared" si="443"/>
        <v>680</v>
      </c>
      <c r="M5246" s="8">
        <v>1</v>
      </c>
      <c r="N5246" s="8" t="s">
        <v>27</v>
      </c>
      <c r="O5246" s="13"/>
      <c r="P5246" s="14">
        <v>0</v>
      </c>
      <c r="Q5246" s="15">
        <v>0.3</v>
      </c>
      <c r="R5246" s="16" t="str">
        <f t="shared" si="441"/>
        <v>PAVCO</v>
      </c>
    </row>
    <row r="5247" spans="1:20" ht="27" customHeight="1" x14ac:dyDescent="0.25">
      <c r="A5247" s="32" t="s">
        <v>7654</v>
      </c>
      <c r="H5247" s="8" t="s">
        <v>10880</v>
      </c>
      <c r="I5247" s="33" t="s">
        <v>10881</v>
      </c>
      <c r="J5247" s="34" t="s">
        <v>33</v>
      </c>
      <c r="K5247" s="20">
        <v>993</v>
      </c>
      <c r="L5247" s="12">
        <f t="shared" si="443"/>
        <v>1418.5714285714287</v>
      </c>
      <c r="M5247" s="8">
        <v>1</v>
      </c>
      <c r="N5247" s="8" t="s">
        <v>27</v>
      </c>
      <c r="O5247" s="13"/>
      <c r="P5247" s="14">
        <v>0</v>
      </c>
      <c r="Q5247" s="15">
        <v>0.3</v>
      </c>
      <c r="R5247" s="16" t="str">
        <f t="shared" si="441"/>
        <v>PAVCO</v>
      </c>
    </row>
    <row r="5248" spans="1:20" ht="27" customHeight="1" x14ac:dyDescent="0.25">
      <c r="A5248" s="32" t="s">
        <v>7654</v>
      </c>
      <c r="H5248" s="8" t="s">
        <v>10882</v>
      </c>
      <c r="I5248" s="33" t="s">
        <v>10883</v>
      </c>
      <c r="J5248" s="34" t="s">
        <v>33</v>
      </c>
      <c r="K5248" s="20">
        <v>1700</v>
      </c>
      <c r="L5248" s="12">
        <f t="shared" si="443"/>
        <v>2428.5714285714289</v>
      </c>
      <c r="M5248" s="8">
        <v>1</v>
      </c>
      <c r="N5248" s="8" t="s">
        <v>27</v>
      </c>
      <c r="O5248" s="13"/>
      <c r="P5248" s="14">
        <v>0</v>
      </c>
      <c r="Q5248" s="15">
        <v>0.3</v>
      </c>
      <c r="R5248" s="16" t="str">
        <f t="shared" si="441"/>
        <v>PAVCO</v>
      </c>
    </row>
    <row r="5249" spans="1:18" ht="27" customHeight="1" x14ac:dyDescent="0.25">
      <c r="A5249" s="32" t="s">
        <v>7654</v>
      </c>
      <c r="H5249" s="8" t="s">
        <v>10884</v>
      </c>
      <c r="I5249" s="33" t="s">
        <v>10883</v>
      </c>
      <c r="J5249" s="34" t="s">
        <v>33</v>
      </c>
      <c r="K5249" s="20">
        <v>2985</v>
      </c>
      <c r="L5249" s="12">
        <f t="shared" si="443"/>
        <v>4264.2857142857147</v>
      </c>
      <c r="M5249" s="8">
        <v>1</v>
      </c>
      <c r="N5249" s="8" t="s">
        <v>27</v>
      </c>
      <c r="O5249" s="13"/>
      <c r="P5249" s="14">
        <v>0</v>
      </c>
      <c r="Q5249" s="15">
        <v>0.3</v>
      </c>
      <c r="R5249" s="16" t="str">
        <f t="shared" si="441"/>
        <v>PAVCO</v>
      </c>
    </row>
    <row r="5250" spans="1:18" ht="27" customHeight="1" x14ac:dyDescent="0.25">
      <c r="A5250" s="32" t="s">
        <v>5066</v>
      </c>
      <c r="H5250" s="8" t="s">
        <v>10885</v>
      </c>
      <c r="I5250" s="33" t="s">
        <v>10886</v>
      </c>
      <c r="J5250" s="34" t="s">
        <v>33</v>
      </c>
      <c r="K5250" s="20">
        <v>5500</v>
      </c>
      <c r="L5250" s="12">
        <f t="shared" si="443"/>
        <v>9166.6666666666679</v>
      </c>
      <c r="M5250" s="8">
        <v>1</v>
      </c>
      <c r="N5250" s="8" t="s">
        <v>27</v>
      </c>
      <c r="O5250" s="13"/>
      <c r="P5250" s="14">
        <v>0</v>
      </c>
      <c r="Q5250" s="15">
        <v>0.4</v>
      </c>
      <c r="R5250" s="16" t="str">
        <f t="shared" si="441"/>
        <v>LEGRAND</v>
      </c>
    </row>
    <row r="5251" spans="1:18" ht="27" customHeight="1" x14ac:dyDescent="0.25">
      <c r="A5251" s="32" t="s">
        <v>5066</v>
      </c>
      <c r="H5251" s="8" t="s">
        <v>10887</v>
      </c>
      <c r="I5251" s="33" t="s">
        <v>10888</v>
      </c>
      <c r="J5251" s="34" t="s">
        <v>33</v>
      </c>
      <c r="K5251" s="20">
        <v>7400</v>
      </c>
      <c r="L5251" s="12">
        <f t="shared" si="443"/>
        <v>12333.333333333334</v>
      </c>
      <c r="M5251" s="8">
        <v>1</v>
      </c>
      <c r="N5251" s="8" t="s">
        <v>27</v>
      </c>
      <c r="O5251" s="13"/>
      <c r="P5251" s="14">
        <v>0</v>
      </c>
      <c r="Q5251" s="15">
        <v>0.4</v>
      </c>
      <c r="R5251" s="16" t="str">
        <f t="shared" si="441"/>
        <v>LEGRAND</v>
      </c>
    </row>
    <row r="5252" spans="1:18" ht="27" customHeight="1" x14ac:dyDescent="0.25">
      <c r="A5252" s="32" t="s">
        <v>5066</v>
      </c>
      <c r="H5252" s="8" t="s">
        <v>10889</v>
      </c>
      <c r="I5252" s="33" t="s">
        <v>10890</v>
      </c>
      <c r="J5252" s="34" t="s">
        <v>33</v>
      </c>
      <c r="K5252" s="20">
        <v>9900</v>
      </c>
      <c r="L5252" s="12">
        <f t="shared" si="443"/>
        <v>16500</v>
      </c>
      <c r="M5252" s="8">
        <v>1</v>
      </c>
      <c r="N5252" s="8" t="s">
        <v>27</v>
      </c>
      <c r="O5252" s="13"/>
      <c r="P5252" s="14">
        <v>0</v>
      </c>
      <c r="Q5252" s="15">
        <v>0.4</v>
      </c>
      <c r="R5252" s="16" t="str">
        <f t="shared" si="441"/>
        <v>LEGRAND</v>
      </c>
    </row>
    <row r="5253" spans="1:18" ht="27" customHeight="1" x14ac:dyDescent="0.25">
      <c r="A5253" s="32" t="s">
        <v>5454</v>
      </c>
      <c r="H5253" s="8" t="s">
        <v>10891</v>
      </c>
      <c r="I5253" s="33" t="s">
        <v>10892</v>
      </c>
      <c r="J5253" s="34" t="s">
        <v>33</v>
      </c>
      <c r="K5253" s="20">
        <v>9600</v>
      </c>
      <c r="L5253" s="12">
        <f t="shared" si="443"/>
        <v>16000</v>
      </c>
      <c r="M5253" s="8">
        <v>1</v>
      </c>
      <c r="N5253" s="8" t="s">
        <v>27</v>
      </c>
      <c r="O5253" s="13"/>
      <c r="P5253" s="14">
        <v>0</v>
      </c>
      <c r="Q5253" s="15">
        <v>0.4</v>
      </c>
      <c r="R5253" s="16" t="str">
        <f t="shared" si="441"/>
        <v>LUMEK</v>
      </c>
    </row>
    <row r="5254" spans="1:18" ht="27" customHeight="1" x14ac:dyDescent="0.25">
      <c r="A5254" s="32" t="s">
        <v>2512</v>
      </c>
      <c r="H5254" s="8" t="s">
        <v>10893</v>
      </c>
      <c r="I5254" s="33" t="s">
        <v>10894</v>
      </c>
      <c r="J5254" s="34" t="s">
        <v>33</v>
      </c>
      <c r="K5254" s="20">
        <v>4000</v>
      </c>
      <c r="L5254" s="12">
        <f t="shared" si="443"/>
        <v>6666.666666666667</v>
      </c>
      <c r="M5254" s="8">
        <v>1</v>
      </c>
      <c r="N5254" s="8" t="s">
        <v>27</v>
      </c>
      <c r="O5254" s="13"/>
      <c r="P5254" s="14">
        <v>0</v>
      </c>
      <c r="Q5254" s="15">
        <v>0.4</v>
      </c>
      <c r="R5254" s="16" t="str">
        <f t="shared" si="441"/>
        <v>GENERAL</v>
      </c>
    </row>
    <row r="5255" spans="1:18" ht="27" customHeight="1" x14ac:dyDescent="0.25">
      <c r="A5255" s="32" t="s">
        <v>10370</v>
      </c>
      <c r="H5255" s="8" t="s">
        <v>10895</v>
      </c>
      <c r="I5255" s="33" t="s">
        <v>10896</v>
      </c>
      <c r="J5255" s="34" t="s">
        <v>26</v>
      </c>
      <c r="K5255" s="20">
        <f>9.35*0.4</f>
        <v>3.74</v>
      </c>
      <c r="L5255" s="12">
        <f t="shared" si="443"/>
        <v>9.3500000000000014</v>
      </c>
      <c r="M5255" s="8">
        <v>1</v>
      </c>
      <c r="N5255" s="8" t="s">
        <v>27</v>
      </c>
      <c r="O5255" s="13"/>
      <c r="P5255" s="14">
        <v>0.25</v>
      </c>
      <c r="Q5255" s="15">
        <v>0.5</v>
      </c>
      <c r="R5255" s="16" t="str">
        <f t="shared" si="441"/>
        <v>LEDYI</v>
      </c>
    </row>
    <row r="5256" spans="1:18" ht="27" customHeight="1" x14ac:dyDescent="0.25">
      <c r="A5256" s="32" t="s">
        <v>8836</v>
      </c>
      <c r="H5256" s="8" t="s">
        <v>9167</v>
      </c>
      <c r="I5256" s="33" t="s">
        <v>10897</v>
      </c>
      <c r="J5256" s="34" t="s">
        <v>33</v>
      </c>
      <c r="K5256" s="20">
        <f>156000*0.9</f>
        <v>140400</v>
      </c>
      <c r="L5256" s="12">
        <f t="shared" si="443"/>
        <v>175500</v>
      </c>
      <c r="M5256" s="8">
        <v>1</v>
      </c>
      <c r="N5256" s="8" t="s">
        <v>27</v>
      </c>
      <c r="O5256" s="13"/>
      <c r="P5256" s="14">
        <v>0</v>
      </c>
      <c r="Q5256" s="15">
        <v>0.2</v>
      </c>
      <c r="R5256" s="16" t="str">
        <f t="shared" si="441"/>
        <v>TECNOLITE</v>
      </c>
    </row>
    <row r="5257" spans="1:18" ht="27" customHeight="1" x14ac:dyDescent="0.25">
      <c r="A5257" s="32" t="s">
        <v>5155</v>
      </c>
      <c r="H5257" s="8">
        <v>195042519372</v>
      </c>
      <c r="I5257" s="33" t="s">
        <v>10898</v>
      </c>
      <c r="J5257" s="34" t="s">
        <v>33</v>
      </c>
      <c r="K5257" s="20">
        <v>699000</v>
      </c>
      <c r="L5257" s="12">
        <f t="shared" si="443"/>
        <v>873750</v>
      </c>
      <c r="M5257" s="8">
        <v>1</v>
      </c>
      <c r="N5257" s="8" t="s">
        <v>27</v>
      </c>
      <c r="O5257" s="13"/>
      <c r="P5257" s="14">
        <v>0</v>
      </c>
      <c r="Q5257" s="15">
        <v>0.2</v>
      </c>
      <c r="R5257" s="16" t="str">
        <f t="shared" si="441"/>
        <v>LENOVO</v>
      </c>
    </row>
    <row r="5258" spans="1:18" ht="27" customHeight="1" x14ac:dyDescent="0.25">
      <c r="A5258" s="44" t="s">
        <v>10370</v>
      </c>
      <c r="H5258" s="8" t="s">
        <v>10899</v>
      </c>
      <c r="I5258" s="45" t="s">
        <v>10900</v>
      </c>
      <c r="J5258" s="41" t="s">
        <v>26</v>
      </c>
      <c r="K5258" s="20">
        <f>41.65*0.4</f>
        <v>16.66</v>
      </c>
      <c r="L5258" s="12">
        <f t="shared" ref="L5258:L5264" si="444">ROUNDUP(K5258*(1+P5258)/(1-Q5258),0)</f>
        <v>42</v>
      </c>
      <c r="M5258" s="8">
        <v>1</v>
      </c>
      <c r="N5258" s="8" t="s">
        <v>27</v>
      </c>
      <c r="O5258" s="13"/>
      <c r="P5258" s="14">
        <v>0.25</v>
      </c>
      <c r="Q5258" s="15">
        <v>0.5</v>
      </c>
      <c r="R5258" s="16" t="str">
        <f t="shared" si="441"/>
        <v>LEDYI</v>
      </c>
    </row>
    <row r="5259" spans="1:18" ht="27" customHeight="1" x14ac:dyDescent="0.25">
      <c r="A5259" s="44" t="s">
        <v>10370</v>
      </c>
      <c r="H5259" s="8" t="s">
        <v>10901</v>
      </c>
      <c r="I5259" s="45" t="s">
        <v>10902</v>
      </c>
      <c r="J5259" s="41" t="s">
        <v>26</v>
      </c>
      <c r="K5259" s="20">
        <f>13.2*0.4</f>
        <v>5.28</v>
      </c>
      <c r="L5259" s="12">
        <f t="shared" si="444"/>
        <v>14</v>
      </c>
      <c r="M5259" s="8">
        <v>1</v>
      </c>
      <c r="N5259" s="8" t="s">
        <v>27</v>
      </c>
      <c r="O5259" s="13"/>
      <c r="P5259" s="14">
        <v>0.25</v>
      </c>
      <c r="Q5259" s="15">
        <v>0.5</v>
      </c>
      <c r="R5259" s="16" t="str">
        <f t="shared" si="441"/>
        <v>LEDYI</v>
      </c>
    </row>
    <row r="5260" spans="1:18" ht="27" customHeight="1" x14ac:dyDescent="0.25">
      <c r="A5260" s="44" t="s">
        <v>10370</v>
      </c>
      <c r="H5260" s="8" t="s">
        <v>10903</v>
      </c>
      <c r="I5260" s="45" t="s">
        <v>10904</v>
      </c>
      <c r="J5260" s="41" t="s">
        <v>26</v>
      </c>
      <c r="K5260" s="20">
        <f>0.28*0.4</f>
        <v>0.11200000000000002</v>
      </c>
      <c r="L5260" s="12">
        <f t="shared" si="444"/>
        <v>1</v>
      </c>
      <c r="M5260" s="8">
        <v>1</v>
      </c>
      <c r="N5260" s="8" t="s">
        <v>27</v>
      </c>
      <c r="O5260" s="13"/>
      <c r="P5260" s="14">
        <v>0.25</v>
      </c>
      <c r="Q5260" s="15">
        <v>0.5</v>
      </c>
      <c r="R5260" s="16" t="str">
        <f t="shared" si="441"/>
        <v>LEDYI</v>
      </c>
    </row>
    <row r="5261" spans="1:18" ht="27" customHeight="1" x14ac:dyDescent="0.25">
      <c r="A5261" s="44" t="s">
        <v>10370</v>
      </c>
      <c r="H5261" s="8" t="s">
        <v>10905</v>
      </c>
      <c r="I5261" s="45" t="s">
        <v>10906</v>
      </c>
      <c r="J5261" s="41" t="s">
        <v>26</v>
      </c>
      <c r="K5261" s="20">
        <f>9.9*0.4</f>
        <v>3.9600000000000004</v>
      </c>
      <c r="L5261" s="12">
        <f t="shared" si="444"/>
        <v>10</v>
      </c>
      <c r="M5261" s="8">
        <v>1</v>
      </c>
      <c r="N5261" s="8" t="s">
        <v>27</v>
      </c>
      <c r="O5261" s="13"/>
      <c r="P5261" s="14">
        <v>0.25</v>
      </c>
      <c r="Q5261" s="15">
        <v>0.5</v>
      </c>
      <c r="R5261" s="16" t="str">
        <f t="shared" si="441"/>
        <v>LEDYI</v>
      </c>
    </row>
    <row r="5262" spans="1:18" ht="27" customHeight="1" x14ac:dyDescent="0.25">
      <c r="A5262" t="s">
        <v>6886</v>
      </c>
      <c r="H5262" s="8" t="s">
        <v>10907</v>
      </c>
      <c r="I5262" s="45" t="s">
        <v>10908</v>
      </c>
      <c r="J5262" s="41" t="s">
        <v>33</v>
      </c>
      <c r="K5262" s="20">
        <f>110000/1.19</f>
        <v>92436.97478991597</v>
      </c>
      <c r="L5262" s="12">
        <f t="shared" si="444"/>
        <v>154062</v>
      </c>
      <c r="M5262" s="8">
        <v>1</v>
      </c>
      <c r="N5262" s="8" t="s">
        <v>27</v>
      </c>
      <c r="O5262" s="13"/>
      <c r="P5262" s="14">
        <v>0</v>
      </c>
      <c r="Q5262" s="15">
        <v>0.4</v>
      </c>
      <c r="R5262" s="16" t="str">
        <f t="shared" si="441"/>
        <v>MEANWELL</v>
      </c>
    </row>
    <row r="5263" spans="1:18" ht="27" customHeight="1" x14ac:dyDescent="0.25">
      <c r="A5263" s="44" t="s">
        <v>10370</v>
      </c>
      <c r="H5263" s="8" t="s">
        <v>10909</v>
      </c>
      <c r="I5263" s="45" t="s">
        <v>10910</v>
      </c>
      <c r="J5263" s="41" t="s">
        <v>26</v>
      </c>
      <c r="K5263" s="20">
        <f>52.08*0.4</f>
        <v>20.832000000000001</v>
      </c>
      <c r="L5263" s="12">
        <f t="shared" si="444"/>
        <v>53</v>
      </c>
      <c r="M5263" s="8">
        <v>1</v>
      </c>
      <c r="N5263" s="8" t="s">
        <v>27</v>
      </c>
      <c r="O5263" s="13"/>
      <c r="P5263" s="14">
        <v>0.25</v>
      </c>
      <c r="Q5263" s="15">
        <v>0.5</v>
      </c>
      <c r="R5263" s="16" t="str">
        <f t="shared" si="441"/>
        <v>LEDYI</v>
      </c>
    </row>
    <row r="5264" spans="1:18" ht="27" customHeight="1" x14ac:dyDescent="0.25">
      <c r="A5264" s="32" t="s">
        <v>9979</v>
      </c>
      <c r="H5264" s="8" t="s">
        <v>10911</v>
      </c>
      <c r="I5264" s="45" t="s">
        <v>10912</v>
      </c>
      <c r="J5264" s="41" t="s">
        <v>26</v>
      </c>
      <c r="K5264" s="20">
        <v>214400</v>
      </c>
      <c r="L5264" s="12">
        <f t="shared" si="444"/>
        <v>306286</v>
      </c>
      <c r="M5264" s="8">
        <v>1</v>
      </c>
      <c r="N5264" s="8" t="s">
        <v>27</v>
      </c>
      <c r="O5264" s="13"/>
      <c r="P5264" s="14">
        <v>0</v>
      </c>
      <c r="Q5264" s="15">
        <v>0.3</v>
      </c>
      <c r="R5264" s="16" t="str">
        <f t="shared" si="441"/>
        <v>ILTEC</v>
      </c>
    </row>
    <row r="5265" spans="1:22" ht="27" customHeight="1" x14ac:dyDescent="0.25">
      <c r="A5265" s="32" t="s">
        <v>3821</v>
      </c>
      <c r="H5265" s="8" t="s">
        <v>10913</v>
      </c>
      <c r="I5265" s="33" t="s">
        <v>10914</v>
      </c>
      <c r="J5265" s="34" t="s">
        <v>26</v>
      </c>
      <c r="K5265" s="20">
        <v>107</v>
      </c>
      <c r="L5265" s="12">
        <f t="shared" ref="L5265:L5271" si="445">K5265*(1+P5265)/(1-Q5265)</f>
        <v>275.00005757011979</v>
      </c>
      <c r="M5265" s="8">
        <v>1</v>
      </c>
      <c r="N5265" s="8" t="s">
        <v>27</v>
      </c>
      <c r="O5265" s="13"/>
      <c r="P5265" s="14">
        <v>0.2</v>
      </c>
      <c r="Q5265" s="15">
        <v>0.53309100683638788</v>
      </c>
      <c r="R5265" s="16" t="str">
        <f t="shared" si="441"/>
        <v>KEF</v>
      </c>
    </row>
    <row r="5266" spans="1:22" ht="27" customHeight="1" x14ac:dyDescent="0.25">
      <c r="A5266" s="32" t="s">
        <v>3821</v>
      </c>
      <c r="H5266" s="8" t="s">
        <v>3876</v>
      </c>
      <c r="I5266" s="33" t="s">
        <v>10915</v>
      </c>
      <c r="J5266" s="34" t="s">
        <v>26</v>
      </c>
      <c r="K5266" s="20">
        <v>97</v>
      </c>
      <c r="L5266" s="12">
        <f t="shared" si="445"/>
        <v>249.99965641560556</v>
      </c>
      <c r="M5266" s="8">
        <v>1</v>
      </c>
      <c r="N5266" s="8" t="s">
        <v>27</v>
      </c>
      <c r="O5266" s="13"/>
      <c r="P5266" s="14">
        <v>0.2</v>
      </c>
      <c r="Q5266" s="15">
        <v>0.53439936010754441</v>
      </c>
      <c r="R5266" s="16" t="str">
        <f t="shared" si="441"/>
        <v>KEF</v>
      </c>
    </row>
    <row r="5267" spans="1:22" ht="27" customHeight="1" x14ac:dyDescent="0.25">
      <c r="A5267" s="49" t="s">
        <v>7989</v>
      </c>
      <c r="B5267" s="24"/>
      <c r="C5267" s="24"/>
      <c r="D5267" s="24"/>
      <c r="E5267" s="24"/>
      <c r="F5267" s="24"/>
      <c r="G5267" s="24"/>
      <c r="H5267" s="8" t="s">
        <v>8023</v>
      </c>
      <c r="I5267" s="24" t="s">
        <v>10916</v>
      </c>
      <c r="J5267" s="24" t="s">
        <v>26</v>
      </c>
      <c r="K5267" s="26">
        <f>164/2</f>
        <v>82</v>
      </c>
      <c r="L5267" s="12">
        <f t="shared" si="445"/>
        <v>196.79999999999998</v>
      </c>
      <c r="M5267" s="8">
        <v>1</v>
      </c>
      <c r="N5267" s="8" t="s">
        <v>27</v>
      </c>
      <c r="O5267" s="13"/>
      <c r="P5267" s="14">
        <v>0.2</v>
      </c>
      <c r="Q5267" s="15">
        <v>0.5</v>
      </c>
      <c r="R5267" s="16" t="str">
        <f t="shared" si="441"/>
        <v>RUSSOUND</v>
      </c>
      <c r="T5267" s="24"/>
      <c r="U5267" s="24"/>
      <c r="V5267" s="24"/>
    </row>
    <row r="5268" spans="1:22" ht="27" customHeight="1" x14ac:dyDescent="0.25">
      <c r="A5268" s="32" t="s">
        <v>9465</v>
      </c>
      <c r="H5268" s="8" t="s">
        <v>10917</v>
      </c>
      <c r="I5268" s="33" t="s">
        <v>10918</v>
      </c>
      <c r="J5268" s="34" t="s">
        <v>33</v>
      </c>
      <c r="K5268" s="20">
        <v>520200</v>
      </c>
      <c r="L5268" s="12">
        <f t="shared" si="445"/>
        <v>743142.85714285716</v>
      </c>
      <c r="M5268" s="8">
        <v>1</v>
      </c>
      <c r="N5268" s="8" t="s">
        <v>27</v>
      </c>
      <c r="O5268" s="13"/>
      <c r="P5268" s="14">
        <v>0</v>
      </c>
      <c r="Q5268" s="15">
        <v>0.3</v>
      </c>
      <c r="R5268" s="16" t="str">
        <f t="shared" si="441"/>
        <v>VIDA_UTIL</v>
      </c>
    </row>
    <row r="5269" spans="1:22" ht="27" customHeight="1" x14ac:dyDescent="0.25">
      <c r="A5269" s="32" t="s">
        <v>9465</v>
      </c>
      <c r="H5269" s="8" t="s">
        <v>10919</v>
      </c>
      <c r="I5269" s="33" t="s">
        <v>10920</v>
      </c>
      <c r="J5269" s="34" t="s">
        <v>33</v>
      </c>
      <c r="K5269" s="20">
        <v>319000</v>
      </c>
      <c r="L5269" s="12">
        <f t="shared" si="445"/>
        <v>455714.28571428574</v>
      </c>
      <c r="M5269" s="8">
        <v>1</v>
      </c>
      <c r="N5269" s="8" t="s">
        <v>27</v>
      </c>
      <c r="O5269" s="13"/>
      <c r="P5269" s="14">
        <v>0</v>
      </c>
      <c r="Q5269" s="15">
        <v>0.3</v>
      </c>
      <c r="R5269" s="16" t="str">
        <f t="shared" si="441"/>
        <v>VIDA_UTIL</v>
      </c>
    </row>
    <row r="5270" spans="1:22" ht="27" customHeight="1" x14ac:dyDescent="0.25">
      <c r="A5270" s="32" t="s">
        <v>9465</v>
      </c>
      <c r="H5270" s="8" t="s">
        <v>10921</v>
      </c>
      <c r="I5270" s="33" t="s">
        <v>10922</v>
      </c>
      <c r="J5270" s="34" t="s">
        <v>33</v>
      </c>
      <c r="K5270" s="20">
        <v>318500</v>
      </c>
      <c r="L5270" s="12">
        <f t="shared" si="445"/>
        <v>455000</v>
      </c>
      <c r="M5270" s="8">
        <v>1</v>
      </c>
      <c r="N5270" s="8" t="s">
        <v>27</v>
      </c>
      <c r="O5270" s="13"/>
      <c r="P5270" s="14">
        <v>0</v>
      </c>
      <c r="Q5270" s="15">
        <v>0.3</v>
      </c>
      <c r="R5270" s="16" t="str">
        <f t="shared" si="441"/>
        <v>VIDA_UTIL</v>
      </c>
    </row>
    <row r="5271" spans="1:22" ht="27" customHeight="1" x14ac:dyDescent="0.25">
      <c r="A5271" s="32" t="s">
        <v>3821</v>
      </c>
      <c r="H5271" s="8" t="s">
        <v>10923</v>
      </c>
      <c r="I5271" s="33" t="s">
        <v>10924</v>
      </c>
      <c r="J5271" s="34" t="s">
        <v>26</v>
      </c>
      <c r="K5271" s="20">
        <v>155</v>
      </c>
      <c r="L5271" s="12">
        <f t="shared" si="445"/>
        <v>400.00000354934781</v>
      </c>
      <c r="M5271" s="8">
        <v>1</v>
      </c>
      <c r="N5271" s="8" t="s">
        <v>27</v>
      </c>
      <c r="O5271" s="13"/>
      <c r="P5271" s="14">
        <v>0.2</v>
      </c>
      <c r="Q5271" s="15">
        <v>0.53500000412611681</v>
      </c>
      <c r="R5271" s="16" t="str">
        <f t="shared" si="441"/>
        <v>KEF</v>
      </c>
    </row>
    <row r="5272" spans="1:22" ht="27" customHeight="1" x14ac:dyDescent="0.25">
      <c r="A5272" s="8" t="s">
        <v>7966</v>
      </c>
      <c r="B5272" s="9"/>
      <c r="C5272" s="9"/>
      <c r="D5272" s="8"/>
      <c r="E5272" s="8"/>
      <c r="F5272" s="8" t="s">
        <v>22</v>
      </c>
      <c r="G5272" s="10" t="s">
        <v>7971</v>
      </c>
      <c r="H5272" s="8" t="s">
        <v>10925</v>
      </c>
      <c r="I5272" s="10" t="s">
        <v>10926</v>
      </c>
      <c r="J5272" s="11" t="s">
        <v>33</v>
      </c>
      <c r="K5272" s="18">
        <v>19500</v>
      </c>
      <c r="L5272" s="12">
        <f t="shared" ref="L5272:L5288" si="446">IF(J5272="P",ROUNDUP(K5272/(1-Q5272),-2),K5272*(1+P5272)/(1-Q5272))</f>
        <v>32500</v>
      </c>
      <c r="M5272" s="8">
        <v>1</v>
      </c>
      <c r="N5272" s="8" t="s">
        <v>27</v>
      </c>
      <c r="O5272" s="13"/>
      <c r="P5272" s="14">
        <v>0.2</v>
      </c>
      <c r="Q5272" s="15">
        <v>0.4</v>
      </c>
      <c r="R5272" s="16" t="str">
        <f t="shared" si="441"/>
        <v>RIO</v>
      </c>
      <c r="S5272" s="17"/>
      <c r="T5272" s="10" t="str">
        <f>G5272</f>
        <v>BALA HALÓGENA INYECTADA RECESADA BLANCA</v>
      </c>
    </row>
    <row r="5273" spans="1:22" ht="27" customHeight="1" x14ac:dyDescent="0.25">
      <c r="A5273" s="32" t="s">
        <v>10927</v>
      </c>
      <c r="H5273" s="8" t="s">
        <v>10928</v>
      </c>
      <c r="I5273" s="33" t="s">
        <v>10929</v>
      </c>
      <c r="J5273" s="34" t="s">
        <v>26</v>
      </c>
      <c r="K5273" s="20">
        <v>135</v>
      </c>
      <c r="L5273" s="12">
        <f t="shared" si="446"/>
        <v>719.99999999999989</v>
      </c>
      <c r="M5273" s="8">
        <v>1</v>
      </c>
      <c r="N5273" s="8" t="s">
        <v>27</v>
      </c>
      <c r="O5273" s="13"/>
      <c r="P5273" s="14">
        <v>0.6</v>
      </c>
      <c r="Q5273" s="15">
        <v>0.7</v>
      </c>
      <c r="R5273" s="40" t="str">
        <f t="shared" si="441"/>
        <v>MARCH</v>
      </c>
      <c r="S5273" t="s">
        <v>10930</v>
      </c>
    </row>
    <row r="5274" spans="1:22" ht="27" customHeight="1" x14ac:dyDescent="0.25">
      <c r="A5274" s="32" t="s">
        <v>9624</v>
      </c>
      <c r="H5274" s="8" t="s">
        <v>10931</v>
      </c>
      <c r="I5274" s="33" t="s">
        <v>10932</v>
      </c>
      <c r="J5274" s="34" t="s">
        <v>33</v>
      </c>
      <c r="K5274" s="20">
        <v>1452000</v>
      </c>
      <c r="L5274" s="12">
        <f t="shared" si="446"/>
        <v>2074300</v>
      </c>
      <c r="M5274" s="8">
        <v>1</v>
      </c>
      <c r="N5274" s="8" t="s">
        <v>27</v>
      </c>
      <c r="O5274" s="13"/>
      <c r="P5274" s="14">
        <v>0</v>
      </c>
      <c r="Q5274" s="15">
        <v>0.3</v>
      </c>
      <c r="R5274" s="40" t="str">
        <f t="shared" si="441"/>
        <v>YAMAHA</v>
      </c>
    </row>
    <row r="5275" spans="1:22" ht="27" customHeight="1" x14ac:dyDescent="0.25">
      <c r="A5275" s="32" t="s">
        <v>59</v>
      </c>
      <c r="H5275" s="8" t="s">
        <v>10933</v>
      </c>
      <c r="I5275" s="33" t="s">
        <v>10934</v>
      </c>
      <c r="J5275" s="34" t="s">
        <v>33</v>
      </c>
      <c r="K5275" s="20">
        <v>24000</v>
      </c>
      <c r="L5275" s="12">
        <f t="shared" si="446"/>
        <v>34300</v>
      </c>
      <c r="M5275" s="8">
        <v>1</v>
      </c>
      <c r="N5275" s="8" t="s">
        <v>27</v>
      </c>
      <c r="O5275" s="13"/>
      <c r="P5275" s="14">
        <v>0</v>
      </c>
      <c r="Q5275" s="15">
        <v>0.3</v>
      </c>
      <c r="R5275" s="40" t="str">
        <f t="shared" si="441"/>
        <v>COLMENA</v>
      </c>
    </row>
    <row r="5276" spans="1:22" ht="27" customHeight="1" x14ac:dyDescent="0.25">
      <c r="A5276" s="32" t="s">
        <v>8116</v>
      </c>
      <c r="H5276" s="8" t="s">
        <v>10935</v>
      </c>
      <c r="I5276" s="33" t="s">
        <v>10936</v>
      </c>
      <c r="J5276" s="34" t="s">
        <v>33</v>
      </c>
      <c r="K5276" s="20">
        <v>89900</v>
      </c>
      <c r="L5276" s="12">
        <f t="shared" si="446"/>
        <v>128500</v>
      </c>
      <c r="M5276" s="8">
        <v>1</v>
      </c>
      <c r="N5276" s="8" t="s">
        <v>27</v>
      </c>
      <c r="O5276" s="13"/>
      <c r="P5276" s="14">
        <v>0</v>
      </c>
      <c r="Q5276" s="15">
        <v>0.3</v>
      </c>
      <c r="R5276" s="40" t="str">
        <f t="shared" si="441"/>
        <v>SCHNEIDER</v>
      </c>
    </row>
    <row r="5277" spans="1:22" ht="27" customHeight="1" x14ac:dyDescent="0.25">
      <c r="A5277" s="32" t="s">
        <v>10937</v>
      </c>
      <c r="H5277" s="8" t="s">
        <v>10938</v>
      </c>
      <c r="I5277" s="33" t="s">
        <v>10939</v>
      </c>
      <c r="J5277" s="34" t="s">
        <v>33</v>
      </c>
      <c r="K5277" s="20">
        <v>379000</v>
      </c>
      <c r="L5277" s="12">
        <f t="shared" si="446"/>
        <v>473800</v>
      </c>
      <c r="M5277" s="8">
        <v>1</v>
      </c>
      <c r="N5277" s="8" t="s">
        <v>27</v>
      </c>
      <c r="O5277" s="13"/>
      <c r="P5277" s="14">
        <v>0</v>
      </c>
      <c r="Q5277" s="15">
        <v>0.2</v>
      </c>
      <c r="R5277" s="40" t="str">
        <f t="shared" si="441"/>
        <v>REBRA</v>
      </c>
      <c r="S5277" s="39" t="s">
        <v>10940</v>
      </c>
    </row>
    <row r="5278" spans="1:22" ht="27" customHeight="1" x14ac:dyDescent="0.25">
      <c r="A5278" s="32" t="s">
        <v>2124</v>
      </c>
      <c r="H5278" s="8" t="s">
        <v>10941</v>
      </c>
      <c r="I5278" s="33" t="s">
        <v>10942</v>
      </c>
      <c r="J5278" s="34" t="s">
        <v>33</v>
      </c>
      <c r="K5278" s="20">
        <v>295000</v>
      </c>
      <c r="L5278" s="12">
        <f t="shared" si="446"/>
        <v>368800</v>
      </c>
      <c r="M5278" s="8">
        <v>1</v>
      </c>
      <c r="N5278" s="8" t="s">
        <v>27</v>
      </c>
      <c r="O5278" s="13"/>
      <c r="P5278" s="14">
        <v>0</v>
      </c>
      <c r="Q5278" s="15">
        <v>0.2</v>
      </c>
      <c r="R5278" s="40" t="str">
        <f t="shared" si="441"/>
        <v>ECOLUZ</v>
      </c>
    </row>
    <row r="5279" spans="1:22" ht="27" customHeight="1" x14ac:dyDescent="0.25">
      <c r="A5279" s="32" t="s">
        <v>3977</v>
      </c>
      <c r="H5279" s="8" t="s">
        <v>10943</v>
      </c>
      <c r="I5279" s="33" t="s">
        <v>10944</v>
      </c>
      <c r="J5279" s="34" t="s">
        <v>26</v>
      </c>
      <c r="K5279" s="20">
        <v>100</v>
      </c>
      <c r="L5279" s="12">
        <f t="shared" si="446"/>
        <v>125</v>
      </c>
      <c r="M5279" s="8">
        <v>1</v>
      </c>
      <c r="N5279" s="8" t="s">
        <v>27</v>
      </c>
      <c r="O5279" s="13"/>
      <c r="P5279" s="14">
        <v>0</v>
      </c>
      <c r="Q5279" s="15">
        <v>0.2</v>
      </c>
      <c r="R5279" s="40" t="str">
        <f t="shared" si="441"/>
        <v>KOMODO</v>
      </c>
    </row>
    <row r="5280" spans="1:22" ht="27" customHeight="1" x14ac:dyDescent="0.25">
      <c r="A5280" s="32" t="s">
        <v>8308</v>
      </c>
      <c r="H5280" s="8" t="s">
        <v>10945</v>
      </c>
      <c r="I5280" t="s">
        <v>10946</v>
      </c>
      <c r="J5280" s="34" t="s">
        <v>26</v>
      </c>
      <c r="K5280" s="20">
        <v>4906000</v>
      </c>
      <c r="L5280" s="12">
        <f t="shared" si="446"/>
        <v>7008571.4285714291</v>
      </c>
      <c r="M5280" s="8">
        <v>1</v>
      </c>
      <c r="N5280" s="8" t="s">
        <v>27</v>
      </c>
      <c r="O5280" s="13"/>
      <c r="P5280" s="14">
        <v>0</v>
      </c>
      <c r="Q5280" s="15">
        <v>0.3</v>
      </c>
      <c r="R5280" s="40" t="str">
        <f t="shared" si="441"/>
        <v>SOLIDVIEW</v>
      </c>
    </row>
    <row r="5281" spans="1:20" ht="27" customHeight="1" x14ac:dyDescent="0.25">
      <c r="A5281" s="32" t="s">
        <v>8308</v>
      </c>
      <c r="H5281" s="8" t="s">
        <v>10947</v>
      </c>
      <c r="I5281" s="33" t="s">
        <v>10948</v>
      </c>
      <c r="J5281" s="34" t="s">
        <v>33</v>
      </c>
      <c r="K5281" s="20">
        <v>372000</v>
      </c>
      <c r="L5281" s="12">
        <f t="shared" si="446"/>
        <v>620000</v>
      </c>
      <c r="M5281" s="8">
        <v>1</v>
      </c>
      <c r="N5281" s="8" t="s">
        <v>27</v>
      </c>
      <c r="O5281" s="13"/>
      <c r="P5281" s="14">
        <v>0</v>
      </c>
      <c r="Q5281" s="15">
        <v>0.4</v>
      </c>
      <c r="R5281" s="40" t="str">
        <f t="shared" si="441"/>
        <v>SOLIDVIEW</v>
      </c>
    </row>
    <row r="5282" spans="1:20" ht="27" customHeight="1" x14ac:dyDescent="0.25">
      <c r="A5282" s="32" t="s">
        <v>7483</v>
      </c>
      <c r="H5282" s="8" t="s">
        <v>10949</v>
      </c>
      <c r="I5282" s="33" t="s">
        <v>10950</v>
      </c>
      <c r="J5282" s="34" t="s">
        <v>26</v>
      </c>
      <c r="K5282" s="20">
        <v>1349</v>
      </c>
      <c r="L5282" s="12">
        <f t="shared" si="446"/>
        <v>2312.5714285714284</v>
      </c>
      <c r="M5282" s="8">
        <v>1</v>
      </c>
      <c r="N5282" s="8" t="s">
        <v>27</v>
      </c>
      <c r="O5282" s="13"/>
      <c r="P5282" s="14">
        <v>0.2</v>
      </c>
      <c r="Q5282" s="15">
        <v>0.3</v>
      </c>
      <c r="R5282" s="40" t="str">
        <f t="shared" si="441"/>
        <v>OPTOMA</v>
      </c>
    </row>
    <row r="5283" spans="1:20" ht="27" customHeight="1" x14ac:dyDescent="0.25">
      <c r="A5283" s="32" t="s">
        <v>10951</v>
      </c>
      <c r="H5283" s="8" t="s">
        <v>10952</v>
      </c>
      <c r="I5283" s="33" t="s">
        <v>10953</v>
      </c>
      <c r="J5283" s="34" t="s">
        <v>26</v>
      </c>
      <c r="K5283" s="20">
        <f>4200*0.7</f>
        <v>2940</v>
      </c>
      <c r="L5283" s="12">
        <f t="shared" si="446"/>
        <v>5040</v>
      </c>
      <c r="M5283" s="8">
        <v>1</v>
      </c>
      <c r="N5283" s="8" t="s">
        <v>27</v>
      </c>
      <c r="O5283" s="13"/>
      <c r="P5283" s="14">
        <v>0.2</v>
      </c>
      <c r="Q5283" s="15">
        <v>0.3</v>
      </c>
      <c r="R5283" s="40" t="str">
        <f t="shared" si="441"/>
        <v>SCREEN_INNOVATION</v>
      </c>
    </row>
    <row r="5284" spans="1:20" ht="27" customHeight="1" x14ac:dyDescent="0.25">
      <c r="A5284" s="32" t="s">
        <v>3977</v>
      </c>
      <c r="H5284" s="8" t="s">
        <v>10954</v>
      </c>
      <c r="I5284" s="33" t="s">
        <v>10955</v>
      </c>
      <c r="J5284" s="34" t="s">
        <v>33</v>
      </c>
      <c r="K5284" s="20">
        <v>150000</v>
      </c>
      <c r="L5284" s="12">
        <f t="shared" si="446"/>
        <v>250000</v>
      </c>
      <c r="M5284" s="8">
        <v>1</v>
      </c>
      <c r="N5284" s="8" t="s">
        <v>27</v>
      </c>
      <c r="O5284" s="13"/>
      <c r="P5284" s="14">
        <v>0</v>
      </c>
      <c r="Q5284" s="15">
        <v>0.4</v>
      </c>
      <c r="R5284" s="40" t="str">
        <f t="shared" si="441"/>
        <v>KOMODO</v>
      </c>
    </row>
    <row r="5285" spans="1:20" ht="27" customHeight="1" x14ac:dyDescent="0.25">
      <c r="A5285" s="32" t="s">
        <v>3533</v>
      </c>
      <c r="H5285" s="8" t="s">
        <v>10956</v>
      </c>
      <c r="I5285" s="33" t="s">
        <v>10957</v>
      </c>
      <c r="J5285" s="34" t="s">
        <v>33</v>
      </c>
      <c r="K5285" s="20">
        <v>1320000</v>
      </c>
      <c r="L5285" s="12">
        <f t="shared" si="446"/>
        <v>1885800</v>
      </c>
      <c r="M5285" s="8">
        <v>1</v>
      </c>
      <c r="N5285" s="8" t="s">
        <v>27</v>
      </c>
      <c r="O5285" s="13"/>
      <c r="P5285" s="14">
        <v>0</v>
      </c>
      <c r="Q5285" s="15">
        <v>0.3</v>
      </c>
      <c r="R5285" s="40" t="str">
        <f t="shared" si="441"/>
        <v>HP</v>
      </c>
    </row>
    <row r="5286" spans="1:20" ht="27" customHeight="1" x14ac:dyDescent="0.25">
      <c r="A5286" s="32" t="s">
        <v>3977</v>
      </c>
      <c r="H5286" s="8" t="s">
        <v>10958</v>
      </c>
      <c r="I5286" s="33" t="s">
        <v>10959</v>
      </c>
      <c r="J5286" s="34" t="s">
        <v>33</v>
      </c>
      <c r="K5286" s="20">
        <v>90000</v>
      </c>
      <c r="L5286" s="12">
        <f t="shared" si="446"/>
        <v>128600</v>
      </c>
      <c r="M5286" s="8">
        <v>1</v>
      </c>
      <c r="N5286" s="8" t="s">
        <v>27</v>
      </c>
      <c r="O5286" s="13"/>
      <c r="P5286" s="14">
        <v>0</v>
      </c>
      <c r="Q5286" s="15">
        <v>0.3</v>
      </c>
      <c r="R5286" s="40" t="str">
        <f t="shared" si="441"/>
        <v>KOMODO</v>
      </c>
    </row>
    <row r="5287" spans="1:20" ht="27" customHeight="1" x14ac:dyDescent="0.25">
      <c r="A5287" s="32" t="s">
        <v>3694</v>
      </c>
      <c r="H5287" s="8" t="s">
        <v>10960</v>
      </c>
      <c r="I5287" s="33" t="s">
        <v>10961</v>
      </c>
      <c r="J5287" s="34" t="s">
        <v>33</v>
      </c>
      <c r="K5287" s="20">
        <v>226000</v>
      </c>
      <c r="L5287" s="12">
        <f t="shared" si="446"/>
        <v>322900</v>
      </c>
      <c r="M5287" s="8">
        <v>1</v>
      </c>
      <c r="N5287" s="8" t="s">
        <v>27</v>
      </c>
      <c r="O5287" s="13"/>
      <c r="P5287" s="14">
        <v>0</v>
      </c>
      <c r="Q5287" s="15">
        <v>0.3</v>
      </c>
      <c r="R5287" s="40" t="str">
        <f t="shared" si="441"/>
        <v>IMOU</v>
      </c>
    </row>
    <row r="5288" spans="1:20" ht="27" customHeight="1" x14ac:dyDescent="0.25">
      <c r="A5288" s="32" t="s">
        <v>10962</v>
      </c>
      <c r="H5288" s="8" t="s">
        <v>10963</v>
      </c>
      <c r="I5288" s="33" t="s">
        <v>10964</v>
      </c>
      <c r="J5288" s="34" t="s">
        <v>33</v>
      </c>
      <c r="K5288" s="20">
        <v>225000</v>
      </c>
      <c r="L5288" s="12">
        <f t="shared" si="446"/>
        <v>321500</v>
      </c>
      <c r="M5288" s="8">
        <v>1</v>
      </c>
      <c r="N5288" s="8" t="s">
        <v>27</v>
      </c>
      <c r="O5288" s="13"/>
      <c r="P5288" s="14">
        <v>0</v>
      </c>
      <c r="Q5288" s="15">
        <v>0.3</v>
      </c>
      <c r="R5288" s="40" t="str">
        <f t="shared" si="441"/>
        <v>DELTA_LIGHT</v>
      </c>
    </row>
    <row r="5289" spans="1:20" ht="27" customHeight="1" x14ac:dyDescent="0.25">
      <c r="A5289" s="32" t="s">
        <v>7654</v>
      </c>
      <c r="H5289" s="8" t="s">
        <v>10965</v>
      </c>
      <c r="I5289" s="33" t="s">
        <v>10966</v>
      </c>
      <c r="J5289" s="34" t="s">
        <v>33</v>
      </c>
      <c r="K5289" s="20">
        <v>10900</v>
      </c>
      <c r="L5289" s="12">
        <f>K5289*(1+P5289)/(1-Q5289)</f>
        <v>15571.428571428572</v>
      </c>
      <c r="M5289" s="8">
        <v>1</v>
      </c>
      <c r="N5289" s="8" t="s">
        <v>27</v>
      </c>
      <c r="O5289" s="13"/>
      <c r="P5289" s="14">
        <v>0</v>
      </c>
      <c r="Q5289" s="15">
        <v>0.3</v>
      </c>
      <c r="R5289" s="16" t="str">
        <f t="shared" si="441"/>
        <v>PAVCO</v>
      </c>
    </row>
    <row r="5290" spans="1:20" ht="27" customHeight="1" x14ac:dyDescent="0.25">
      <c r="A5290" s="8" t="s">
        <v>3424</v>
      </c>
      <c r="B5290" s="9"/>
      <c r="C5290" s="9"/>
      <c r="D5290" s="8"/>
      <c r="E5290" s="8"/>
      <c r="F5290" s="8" t="s">
        <v>22</v>
      </c>
      <c r="G5290" s="10" t="s">
        <v>3425</v>
      </c>
      <c r="H5290" s="8" t="s">
        <v>10967</v>
      </c>
      <c r="I5290" s="10" t="s">
        <v>10968</v>
      </c>
      <c r="J5290" s="11" t="s">
        <v>33</v>
      </c>
      <c r="K5290" s="18">
        <v>126000</v>
      </c>
      <c r="L5290" s="12">
        <f t="shared" ref="L5290:L5316" si="447">IF(J5290="P",ROUNDUP(K5290/(1-Q5290),-2),K5290*(1+P5290)/(1-Q5290))</f>
        <v>193900</v>
      </c>
      <c r="M5290" s="8">
        <v>1</v>
      </c>
      <c r="N5290" s="8" t="s">
        <v>27</v>
      </c>
      <c r="O5290" s="13"/>
      <c r="P5290" s="14">
        <v>0.2</v>
      </c>
      <c r="Q5290" s="15">
        <v>0.35</v>
      </c>
      <c r="R5290" s="16" t="str">
        <f t="shared" si="441"/>
        <v>GRANDSTREAM</v>
      </c>
      <c r="S5290" s="17"/>
      <c r="T5290" s="10" t="str">
        <f>G5290</f>
        <v>TELÉFONO IP COMPATIBLE CON ASTERISK</v>
      </c>
    </row>
    <row r="5291" spans="1:20" ht="27" customHeight="1" x14ac:dyDescent="0.25">
      <c r="A5291" s="32" t="s">
        <v>1561</v>
      </c>
      <c r="H5291" s="8" t="s">
        <v>10969</v>
      </c>
      <c r="I5291" s="33" t="s">
        <v>10970</v>
      </c>
      <c r="J5291" s="34" t="s">
        <v>33</v>
      </c>
      <c r="K5291" s="20">
        <v>142370</v>
      </c>
      <c r="L5291" s="12">
        <f t="shared" si="447"/>
        <v>219100</v>
      </c>
      <c r="M5291" s="8">
        <v>1</v>
      </c>
      <c r="N5291" s="8" t="s">
        <v>27</v>
      </c>
      <c r="O5291" s="13"/>
      <c r="P5291" s="14">
        <v>0.2</v>
      </c>
      <c r="Q5291" s="15">
        <v>0.35</v>
      </c>
      <c r="R5291" s="16" t="str">
        <f t="shared" si="441"/>
        <v>DAHUA</v>
      </c>
    </row>
    <row r="5292" spans="1:20" ht="27" customHeight="1" x14ac:dyDescent="0.25">
      <c r="A5292" s="32" t="s">
        <v>3432</v>
      </c>
      <c r="H5292" s="8" t="s">
        <v>10971</v>
      </c>
      <c r="I5292" s="33" t="s">
        <v>10972</v>
      </c>
      <c r="J5292" s="34" t="s">
        <v>33</v>
      </c>
      <c r="K5292" s="20">
        <v>25000</v>
      </c>
      <c r="L5292" s="12">
        <f t="shared" si="447"/>
        <v>35800</v>
      </c>
      <c r="M5292" s="8">
        <v>1</v>
      </c>
      <c r="N5292" s="8" t="s">
        <v>27</v>
      </c>
      <c r="O5292" s="13"/>
      <c r="P5292" s="14">
        <v>0</v>
      </c>
      <c r="Q5292" s="15">
        <v>0.3</v>
      </c>
      <c r="R5292" s="40" t="str">
        <f t="shared" si="441"/>
        <v>GTRADE</v>
      </c>
    </row>
    <row r="5293" spans="1:20" ht="27" customHeight="1" x14ac:dyDescent="0.25">
      <c r="A5293" s="32" t="s">
        <v>3432</v>
      </c>
      <c r="H5293" s="8" t="s">
        <v>10973</v>
      </c>
      <c r="I5293" s="33" t="s">
        <v>10974</v>
      </c>
      <c r="J5293" s="34" t="s">
        <v>33</v>
      </c>
      <c r="K5293" s="20">
        <v>312000</v>
      </c>
      <c r="L5293" s="12">
        <f t="shared" si="447"/>
        <v>445800</v>
      </c>
      <c r="M5293" s="8">
        <v>1</v>
      </c>
      <c r="N5293" s="8" t="s">
        <v>27</v>
      </c>
      <c r="O5293" s="13"/>
      <c r="P5293" s="14">
        <v>0</v>
      </c>
      <c r="Q5293" s="15">
        <v>0.3</v>
      </c>
      <c r="R5293" s="40" t="str">
        <f t="shared" si="441"/>
        <v>GTRADE</v>
      </c>
    </row>
    <row r="5294" spans="1:20" ht="27" customHeight="1" x14ac:dyDescent="0.25">
      <c r="A5294" s="32" t="s">
        <v>8308</v>
      </c>
      <c r="H5294" s="8" t="s">
        <v>10975</v>
      </c>
      <c r="I5294" s="33" t="s">
        <v>10976</v>
      </c>
      <c r="J5294" s="34" t="s">
        <v>33</v>
      </c>
      <c r="K5294" s="20">
        <v>14600</v>
      </c>
      <c r="L5294" s="12">
        <f t="shared" si="447"/>
        <v>20900</v>
      </c>
      <c r="M5294" s="8">
        <v>1</v>
      </c>
      <c r="N5294" s="8" t="s">
        <v>27</v>
      </c>
      <c r="O5294" s="13"/>
      <c r="P5294" s="14">
        <v>0</v>
      </c>
      <c r="Q5294" s="15">
        <v>0.3</v>
      </c>
      <c r="R5294" s="40" t="str">
        <f t="shared" si="441"/>
        <v>SOLIDVIEW</v>
      </c>
    </row>
    <row r="5295" spans="1:20" ht="27" customHeight="1" x14ac:dyDescent="0.25">
      <c r="A5295" s="32" t="s">
        <v>5170</v>
      </c>
      <c r="H5295" s="8" t="s">
        <v>10977</v>
      </c>
      <c r="I5295" s="33" t="s">
        <v>10978</v>
      </c>
      <c r="J5295" s="34" t="s">
        <v>33</v>
      </c>
      <c r="K5295" s="20">
        <v>5100</v>
      </c>
      <c r="L5295" s="12">
        <f t="shared" si="447"/>
        <v>8500</v>
      </c>
      <c r="M5295" s="8">
        <v>1</v>
      </c>
      <c r="N5295" s="8" t="s">
        <v>27</v>
      </c>
      <c r="O5295" s="13"/>
      <c r="P5295" s="14">
        <v>0</v>
      </c>
      <c r="Q5295" s="15">
        <v>0.4</v>
      </c>
      <c r="R5295" s="40" t="str">
        <f t="shared" ref="R5295:R5358" si="448">A5295</f>
        <v>LEVITON</v>
      </c>
    </row>
    <row r="5296" spans="1:20" ht="27" customHeight="1" x14ac:dyDescent="0.25">
      <c r="A5296" s="32" t="s">
        <v>5066</v>
      </c>
      <c r="H5296" s="8" t="s">
        <v>10979</v>
      </c>
      <c r="I5296" s="33" t="s">
        <v>10980</v>
      </c>
      <c r="J5296" s="34" t="s">
        <v>33</v>
      </c>
      <c r="K5296" s="20">
        <v>248000</v>
      </c>
      <c r="L5296" s="12">
        <f t="shared" si="447"/>
        <v>354300</v>
      </c>
      <c r="M5296" s="8">
        <v>1</v>
      </c>
      <c r="N5296" s="8" t="s">
        <v>27</v>
      </c>
      <c r="O5296" s="13"/>
      <c r="P5296" s="14">
        <v>0</v>
      </c>
      <c r="Q5296" s="15">
        <v>0.3</v>
      </c>
      <c r="R5296" s="40" t="str">
        <f t="shared" si="448"/>
        <v>LEGRAND</v>
      </c>
    </row>
    <row r="5297" spans="1:28" ht="27" customHeight="1" x14ac:dyDescent="0.25">
      <c r="A5297" s="32" t="s">
        <v>2512</v>
      </c>
      <c r="H5297" s="8" t="s">
        <v>10981</v>
      </c>
      <c r="I5297" s="33" t="s">
        <v>10982</v>
      </c>
      <c r="J5297" s="34" t="s">
        <v>33</v>
      </c>
      <c r="K5297" s="20">
        <v>25000</v>
      </c>
      <c r="L5297" s="12">
        <f t="shared" si="447"/>
        <v>41700</v>
      </c>
      <c r="M5297" s="8">
        <v>1</v>
      </c>
      <c r="N5297" s="8" t="s">
        <v>27</v>
      </c>
      <c r="O5297" s="13"/>
      <c r="P5297" s="14">
        <v>0</v>
      </c>
      <c r="Q5297" s="15">
        <v>0.4</v>
      </c>
      <c r="R5297" s="40" t="str">
        <f t="shared" si="448"/>
        <v>GENERAL</v>
      </c>
    </row>
    <row r="5298" spans="1:28" ht="27" customHeight="1" x14ac:dyDescent="0.25">
      <c r="A5298" s="32" t="s">
        <v>5066</v>
      </c>
      <c r="H5298" s="8" t="s">
        <v>10983</v>
      </c>
      <c r="I5298" s="33" t="s">
        <v>10984</v>
      </c>
      <c r="J5298" s="34" t="s">
        <v>33</v>
      </c>
      <c r="K5298" s="20">
        <v>16082</v>
      </c>
      <c r="L5298" s="12">
        <f t="shared" si="447"/>
        <v>26900</v>
      </c>
      <c r="M5298" s="8">
        <v>1</v>
      </c>
      <c r="N5298" s="8" t="s">
        <v>27</v>
      </c>
      <c r="O5298" s="13"/>
      <c r="P5298" s="14">
        <v>0</v>
      </c>
      <c r="Q5298" s="15">
        <v>0.4</v>
      </c>
      <c r="R5298" s="40" t="str">
        <f t="shared" si="448"/>
        <v>LEGRAND</v>
      </c>
    </row>
    <row r="5299" spans="1:28" ht="27" customHeight="1" x14ac:dyDescent="0.25">
      <c r="A5299" s="32" t="s">
        <v>2512</v>
      </c>
      <c r="H5299" s="8" t="s">
        <v>10985</v>
      </c>
      <c r="I5299" s="33" t="s">
        <v>10986</v>
      </c>
      <c r="J5299" s="34" t="s">
        <v>33</v>
      </c>
      <c r="K5299" s="20">
        <v>30000</v>
      </c>
      <c r="L5299" s="12">
        <f t="shared" si="447"/>
        <v>50000</v>
      </c>
      <c r="M5299" s="8">
        <v>1</v>
      </c>
      <c r="N5299" s="8" t="s">
        <v>27</v>
      </c>
      <c r="O5299" s="13"/>
      <c r="P5299" s="14">
        <v>0</v>
      </c>
      <c r="Q5299" s="15">
        <v>0.4</v>
      </c>
      <c r="R5299" s="40" t="str">
        <f t="shared" si="448"/>
        <v>GENERAL</v>
      </c>
    </row>
    <row r="5300" spans="1:28" ht="27" customHeight="1" x14ac:dyDescent="0.25">
      <c r="A5300" s="32" t="s">
        <v>5672</v>
      </c>
      <c r="H5300" s="8" t="s">
        <v>10987</v>
      </c>
      <c r="I5300" s="33" t="s">
        <v>10988</v>
      </c>
      <c r="J5300" s="34" t="s">
        <v>26</v>
      </c>
      <c r="K5300" s="42">
        <v>125.4</v>
      </c>
      <c r="L5300" s="12">
        <f t="shared" si="447"/>
        <v>209.00008099195745</v>
      </c>
      <c r="M5300" s="8">
        <v>1</v>
      </c>
      <c r="N5300" s="8" t="s">
        <v>27</v>
      </c>
      <c r="O5300" s="13"/>
      <c r="P5300" s="14">
        <v>0.2</v>
      </c>
      <c r="Q5300" s="15">
        <v>0.28000027901524771</v>
      </c>
      <c r="R5300" s="40" t="str">
        <f t="shared" si="448"/>
        <v>LUTRON</v>
      </c>
    </row>
    <row r="5301" spans="1:28" ht="27" customHeight="1" x14ac:dyDescent="0.25">
      <c r="A5301" s="32" t="s">
        <v>5672</v>
      </c>
      <c r="H5301" s="8" t="s">
        <v>10989</v>
      </c>
      <c r="I5301" s="33" t="s">
        <v>10990</v>
      </c>
      <c r="J5301" s="34" t="s">
        <v>26</v>
      </c>
      <c r="K5301" s="42">
        <v>125.4</v>
      </c>
      <c r="L5301" s="12">
        <f t="shared" si="447"/>
        <v>209.00008099195745</v>
      </c>
      <c r="M5301" s="8">
        <v>1</v>
      </c>
      <c r="N5301" s="8" t="s">
        <v>27</v>
      </c>
      <c r="O5301" s="13"/>
      <c r="P5301" s="14">
        <v>0.2</v>
      </c>
      <c r="Q5301" s="15">
        <v>0.28000027901524771</v>
      </c>
      <c r="R5301" s="40" t="str">
        <f t="shared" si="448"/>
        <v>LUTRON</v>
      </c>
    </row>
    <row r="5302" spans="1:28" ht="27" customHeight="1" x14ac:dyDescent="0.25">
      <c r="A5302" s="32" t="s">
        <v>5672</v>
      </c>
      <c r="H5302" s="8" t="s">
        <v>10991</v>
      </c>
      <c r="I5302" s="33" t="s">
        <v>10992</v>
      </c>
      <c r="J5302" s="34" t="s">
        <v>26</v>
      </c>
      <c r="K5302" s="42">
        <v>329.4</v>
      </c>
      <c r="L5302" s="12">
        <f t="shared" si="447"/>
        <v>549</v>
      </c>
      <c r="M5302" s="8">
        <v>1</v>
      </c>
      <c r="N5302" s="8" t="s">
        <v>27</v>
      </c>
      <c r="O5302" s="13"/>
      <c r="P5302" s="14">
        <v>0.2</v>
      </c>
      <c r="Q5302" s="15">
        <v>0.28000000000000003</v>
      </c>
      <c r="R5302" s="40" t="str">
        <f t="shared" si="448"/>
        <v>LUTRON</v>
      </c>
    </row>
    <row r="5303" spans="1:28" ht="27" customHeight="1" x14ac:dyDescent="0.25">
      <c r="A5303" s="32" t="s">
        <v>5672</v>
      </c>
      <c r="H5303" s="8" t="s">
        <v>10993</v>
      </c>
      <c r="I5303" s="33" t="s">
        <v>10994</v>
      </c>
      <c r="J5303" s="34" t="s">
        <v>26</v>
      </c>
      <c r="K5303" s="42">
        <v>209.4</v>
      </c>
      <c r="L5303" s="12">
        <f t="shared" si="447"/>
        <v>349</v>
      </c>
      <c r="M5303" s="8">
        <v>1</v>
      </c>
      <c r="N5303" s="8" t="s">
        <v>27</v>
      </c>
      <c r="O5303" s="13"/>
      <c r="P5303" s="14">
        <v>0.2</v>
      </c>
      <c r="Q5303" s="15">
        <v>0.28000000000000003</v>
      </c>
      <c r="R5303" s="40" t="str">
        <f t="shared" si="448"/>
        <v>LUTRON</v>
      </c>
    </row>
    <row r="5304" spans="1:28" ht="27" customHeight="1" x14ac:dyDescent="0.25">
      <c r="A5304" s="32" t="s">
        <v>2091</v>
      </c>
      <c r="H5304" s="8" t="s">
        <v>10995</v>
      </c>
      <c r="I5304" s="33" t="s">
        <v>10996</v>
      </c>
      <c r="J5304" s="34" t="s">
        <v>33</v>
      </c>
      <c r="K5304" s="20">
        <v>56667</v>
      </c>
      <c r="L5304" s="12">
        <f t="shared" si="447"/>
        <v>94500</v>
      </c>
      <c r="M5304" s="8">
        <v>1</v>
      </c>
      <c r="N5304" s="8" t="s">
        <v>27</v>
      </c>
      <c r="O5304" s="13"/>
      <c r="P5304" s="14">
        <v>0.2</v>
      </c>
      <c r="Q5304" s="15">
        <v>0.4</v>
      </c>
      <c r="R5304" s="40" t="str">
        <f t="shared" si="448"/>
        <v>ECOLED</v>
      </c>
    </row>
    <row r="5305" spans="1:28" ht="27" customHeight="1" x14ac:dyDescent="0.25">
      <c r="A5305" s="32" t="s">
        <v>10677</v>
      </c>
      <c r="H5305" s="8" t="s">
        <v>10997</v>
      </c>
      <c r="I5305" s="33" t="s">
        <v>10998</v>
      </c>
      <c r="J5305" s="34" t="s">
        <v>26</v>
      </c>
      <c r="K5305" s="20">
        <v>430</v>
      </c>
      <c r="L5305" s="12">
        <f t="shared" si="447"/>
        <v>737.14285714285722</v>
      </c>
      <c r="M5305" s="8">
        <v>1</v>
      </c>
      <c r="N5305" s="8" t="s">
        <v>27</v>
      </c>
      <c r="O5305" s="13"/>
      <c r="P5305" s="14">
        <v>0.2</v>
      </c>
      <c r="Q5305" s="15">
        <v>0.3</v>
      </c>
      <c r="R5305" s="40" t="str">
        <f t="shared" si="448"/>
        <v>SONANCE</v>
      </c>
    </row>
    <row r="5306" spans="1:28" ht="27" customHeight="1" x14ac:dyDescent="0.25">
      <c r="A5306" s="32" t="s">
        <v>10677</v>
      </c>
      <c r="H5306" s="8" t="s">
        <v>10999</v>
      </c>
      <c r="I5306" s="33" t="s">
        <v>11000</v>
      </c>
      <c r="J5306" s="34" t="s">
        <v>26</v>
      </c>
      <c r="K5306" s="20">
        <f>348/2</f>
        <v>174</v>
      </c>
      <c r="L5306" s="12">
        <f t="shared" si="447"/>
        <v>321.23076923076917</v>
      </c>
      <c r="M5306" s="8">
        <v>1</v>
      </c>
      <c r="N5306" s="8" t="s">
        <v>27</v>
      </c>
      <c r="O5306" s="13"/>
      <c r="P5306" s="14">
        <v>0.2</v>
      </c>
      <c r="Q5306" s="15">
        <v>0.35</v>
      </c>
      <c r="R5306" s="40" t="str">
        <f t="shared" si="448"/>
        <v>SONANCE</v>
      </c>
    </row>
    <row r="5307" spans="1:28" ht="27" customHeight="1" x14ac:dyDescent="0.25">
      <c r="A5307" s="32" t="s">
        <v>10951</v>
      </c>
      <c r="H5307" s="8" t="s">
        <v>10952</v>
      </c>
      <c r="I5307" s="33" t="s">
        <v>11001</v>
      </c>
      <c r="J5307" s="34" t="s">
        <v>26</v>
      </c>
      <c r="K5307" s="20">
        <v>4800</v>
      </c>
      <c r="L5307" s="12">
        <f t="shared" si="447"/>
        <v>6776.4705882352946</v>
      </c>
      <c r="M5307" s="8">
        <v>1</v>
      </c>
      <c r="N5307" s="8" t="s">
        <v>27</v>
      </c>
      <c r="O5307" s="13"/>
      <c r="P5307" s="14">
        <v>0.2</v>
      </c>
      <c r="Q5307" s="15">
        <v>0.15</v>
      </c>
      <c r="R5307" s="40" t="str">
        <f t="shared" si="448"/>
        <v>SCREEN_INNOVATION</v>
      </c>
    </row>
    <row r="5308" spans="1:28" ht="27" customHeight="1" x14ac:dyDescent="0.25">
      <c r="A5308" s="32" t="s">
        <v>10356</v>
      </c>
      <c r="H5308" s="8" t="s">
        <v>11002</v>
      </c>
      <c r="I5308" s="33" t="s">
        <v>11003</v>
      </c>
      <c r="J5308" s="34" t="s">
        <v>26</v>
      </c>
      <c r="K5308" s="20">
        <f>902.631578947368*0.7</f>
        <v>631.84210526315758</v>
      </c>
      <c r="L5308" s="12">
        <f t="shared" si="447"/>
        <v>902.63157894736798</v>
      </c>
      <c r="M5308" s="8">
        <v>1</v>
      </c>
      <c r="N5308" s="8" t="s">
        <v>27</v>
      </c>
      <c r="O5308" s="13"/>
      <c r="P5308" s="14">
        <v>0</v>
      </c>
      <c r="Q5308" s="15">
        <v>0.3</v>
      </c>
      <c r="R5308" s="40" t="str">
        <f t="shared" si="448"/>
        <v>LUXYCON</v>
      </c>
    </row>
    <row r="5309" spans="1:28" ht="27" customHeight="1" x14ac:dyDescent="0.25">
      <c r="A5309" s="32" t="s">
        <v>10356</v>
      </c>
      <c r="H5309" s="8" t="s">
        <v>11004</v>
      </c>
      <c r="I5309" s="33" t="s">
        <v>11003</v>
      </c>
      <c r="J5309" s="34" t="s">
        <v>26</v>
      </c>
      <c r="K5309" s="20">
        <f>1463.15789473684*0.7</f>
        <v>1024.210526315788</v>
      </c>
      <c r="L5309" s="12">
        <f t="shared" si="447"/>
        <v>1463.15789473684</v>
      </c>
      <c r="M5309" s="8">
        <v>1</v>
      </c>
      <c r="N5309" s="8" t="s">
        <v>27</v>
      </c>
      <c r="O5309" s="13"/>
      <c r="P5309" s="14">
        <v>0</v>
      </c>
      <c r="Q5309" s="15">
        <v>0.3</v>
      </c>
      <c r="R5309" s="40" t="str">
        <f t="shared" si="448"/>
        <v>LUXYCON</v>
      </c>
    </row>
    <row r="5310" spans="1:28" ht="27" customHeight="1" x14ac:dyDescent="0.25">
      <c r="A5310" s="32" t="s">
        <v>10258</v>
      </c>
      <c r="H5310" s="8" t="s">
        <v>11005</v>
      </c>
      <c r="I5310" t="s">
        <v>11006</v>
      </c>
      <c r="J5310" s="34" t="s">
        <v>26</v>
      </c>
      <c r="K5310" s="20">
        <f>127*0.5</f>
        <v>63.5</v>
      </c>
      <c r="L5310" s="12">
        <f t="shared" si="447"/>
        <v>148.16666666666666</v>
      </c>
      <c r="M5310" s="8">
        <v>1</v>
      </c>
      <c r="N5310" s="8" t="s">
        <v>27</v>
      </c>
      <c r="O5310" s="13"/>
      <c r="P5310" s="14">
        <v>0.4</v>
      </c>
      <c r="Q5310" s="15">
        <v>0.4</v>
      </c>
      <c r="R5310" s="40" t="str">
        <f t="shared" si="448"/>
        <v>SC_POWER</v>
      </c>
    </row>
    <row r="5311" spans="1:28" ht="27" customHeight="1" x14ac:dyDescent="0.25">
      <c r="A5311" s="32" t="s">
        <v>8836</v>
      </c>
      <c r="H5311" s="8" t="s">
        <v>11007</v>
      </c>
      <c r="I5311" s="33" t="s">
        <v>11008</v>
      </c>
      <c r="J5311" s="34" t="s">
        <v>33</v>
      </c>
      <c r="K5311" s="20">
        <f>59121*0.9</f>
        <v>53208.9</v>
      </c>
      <c r="L5311" s="12">
        <f t="shared" si="447"/>
        <v>81900</v>
      </c>
      <c r="M5311" s="8">
        <v>1</v>
      </c>
      <c r="N5311" s="8" t="s">
        <v>27</v>
      </c>
      <c r="O5311" s="13"/>
      <c r="P5311" s="14">
        <v>0</v>
      </c>
      <c r="Q5311" s="15">
        <v>0.34999993920203359</v>
      </c>
      <c r="R5311" s="40" t="str">
        <f t="shared" si="448"/>
        <v>TECNOLITE</v>
      </c>
      <c r="AB5311" s="112">
        <v>8</v>
      </c>
    </row>
    <row r="5312" spans="1:28" ht="27" customHeight="1" x14ac:dyDescent="0.25">
      <c r="A5312" s="32" t="s">
        <v>5672</v>
      </c>
      <c r="H5312" s="8" t="s">
        <v>11009</v>
      </c>
      <c r="I5312" s="33" t="s">
        <v>11010</v>
      </c>
      <c r="J5312" s="34" t="s">
        <v>26</v>
      </c>
      <c r="K5312" s="42">
        <v>48</v>
      </c>
      <c r="L5312" s="12">
        <f t="shared" si="447"/>
        <v>79.999998529652743</v>
      </c>
      <c r="M5312" s="8">
        <v>1</v>
      </c>
      <c r="N5312" s="8" t="s">
        <v>27</v>
      </c>
      <c r="O5312" s="13"/>
      <c r="P5312" s="14">
        <v>0.2</v>
      </c>
      <c r="Q5312" s="15">
        <v>0.27999998676687449</v>
      </c>
      <c r="R5312" s="40" t="str">
        <f t="shared" si="448"/>
        <v>LUTRON</v>
      </c>
    </row>
    <row r="5313" spans="1:20" ht="27" customHeight="1" x14ac:dyDescent="0.25">
      <c r="A5313" s="32" t="s">
        <v>5170</v>
      </c>
      <c r="H5313" s="8" t="s">
        <v>11011</v>
      </c>
      <c r="I5313" s="33" t="s">
        <v>11012</v>
      </c>
      <c r="J5313" s="34" t="s">
        <v>26</v>
      </c>
      <c r="K5313" s="20">
        <v>9</v>
      </c>
      <c r="L5313" s="12">
        <f t="shared" si="447"/>
        <v>18</v>
      </c>
      <c r="M5313" s="8">
        <v>1</v>
      </c>
      <c r="N5313" s="8" t="s">
        <v>27</v>
      </c>
      <c r="O5313" s="13"/>
      <c r="P5313" s="14">
        <v>0.2</v>
      </c>
      <c r="Q5313" s="15">
        <v>0.4</v>
      </c>
      <c r="R5313" s="40" t="str">
        <f t="shared" si="448"/>
        <v>LEVITON</v>
      </c>
      <c r="S5313" t="s">
        <v>11013</v>
      </c>
    </row>
    <row r="5314" spans="1:20" ht="27" customHeight="1" x14ac:dyDescent="0.25">
      <c r="A5314" s="32" t="s">
        <v>11014</v>
      </c>
      <c r="H5314" s="8" t="s">
        <v>11015</v>
      </c>
      <c r="I5314" s="33" t="s">
        <v>11016</v>
      </c>
      <c r="J5314" s="34" t="s">
        <v>33</v>
      </c>
      <c r="K5314" s="20">
        <f>1600000/1.19</f>
        <v>1344537.8151260505</v>
      </c>
      <c r="L5314" s="12">
        <f t="shared" si="447"/>
        <v>2240900</v>
      </c>
      <c r="M5314" s="8">
        <v>1</v>
      </c>
      <c r="N5314" s="8" t="s">
        <v>27</v>
      </c>
      <c r="O5314" s="13"/>
      <c r="P5314" s="14">
        <v>0</v>
      </c>
      <c r="Q5314" s="15">
        <v>0.4</v>
      </c>
      <c r="R5314" s="40" t="str">
        <f t="shared" si="448"/>
        <v>RTI</v>
      </c>
    </row>
    <row r="5315" spans="1:20" ht="27" customHeight="1" x14ac:dyDescent="0.25">
      <c r="A5315" s="8" t="s">
        <v>9258</v>
      </c>
      <c r="H5315" s="8" t="s">
        <v>9314</v>
      </c>
      <c r="I5315" s="33" t="s">
        <v>11017</v>
      </c>
      <c r="J5315" s="34" t="s">
        <v>33</v>
      </c>
      <c r="K5315" s="20">
        <f>310000/1.19</f>
        <v>260504.20168067227</v>
      </c>
      <c r="L5315" s="12">
        <f t="shared" si="447"/>
        <v>434200</v>
      </c>
      <c r="M5315" s="8">
        <v>1</v>
      </c>
      <c r="N5315" s="8" t="s">
        <v>27</v>
      </c>
      <c r="O5315" s="13"/>
      <c r="P5315" s="14">
        <v>0</v>
      </c>
      <c r="Q5315" s="15">
        <v>0.4</v>
      </c>
      <c r="R5315" s="40" t="str">
        <f t="shared" si="448"/>
        <v>TP_LINK</v>
      </c>
    </row>
    <row r="5316" spans="1:20" ht="27" customHeight="1" x14ac:dyDescent="0.25">
      <c r="A5316" s="32" t="s">
        <v>5672</v>
      </c>
      <c r="H5316" s="8" t="s">
        <v>11018</v>
      </c>
      <c r="I5316" s="33" t="s">
        <v>11019</v>
      </c>
      <c r="J5316" s="34" t="s">
        <v>26</v>
      </c>
      <c r="K5316" s="42">
        <v>118.26</v>
      </c>
      <c r="L5316" s="12">
        <f t="shared" si="447"/>
        <v>219.00056662127898</v>
      </c>
      <c r="M5316" s="8">
        <v>1</v>
      </c>
      <c r="N5316" s="8" t="s">
        <v>27</v>
      </c>
      <c r="O5316" s="13"/>
      <c r="P5316" s="14">
        <v>0.2</v>
      </c>
      <c r="Q5316" s="15">
        <v>0.35200167657369308</v>
      </c>
      <c r="R5316" s="40" t="str">
        <f t="shared" si="448"/>
        <v>LUTRON</v>
      </c>
    </row>
    <row r="5317" spans="1:20" ht="27" customHeight="1" x14ac:dyDescent="0.25">
      <c r="A5317" s="8" t="s">
        <v>5672</v>
      </c>
      <c r="B5317" s="9" t="s">
        <v>5666</v>
      </c>
      <c r="C5317" s="9"/>
      <c r="D5317" s="8" t="s">
        <v>5909</v>
      </c>
      <c r="E5317" s="8">
        <v>1</v>
      </c>
      <c r="F5317" s="8" t="s">
        <v>22</v>
      </c>
      <c r="G5317" s="10" t="s">
        <v>5910</v>
      </c>
      <c r="H5317" s="8" t="s">
        <v>11020</v>
      </c>
      <c r="I5317" s="10" t="s">
        <v>11021</v>
      </c>
      <c r="J5317" s="11" t="s">
        <v>26</v>
      </c>
      <c r="K5317" s="57">
        <v>21.58</v>
      </c>
      <c r="L5317" s="12">
        <f t="shared" ref="L5317:L5324" si="449">K5317*(1+P5317)/(1-Q5317)</f>
        <v>43.16</v>
      </c>
      <c r="M5317" s="8">
        <v>1</v>
      </c>
      <c r="N5317" s="8" t="s">
        <v>27</v>
      </c>
      <c r="O5317" s="13"/>
      <c r="P5317" s="14">
        <v>0.2</v>
      </c>
      <c r="Q5317" s="15">
        <v>0.4</v>
      </c>
      <c r="R5317" s="16" t="str">
        <f t="shared" si="448"/>
        <v>LUTRON</v>
      </c>
      <c r="S5317" s="17" t="str">
        <f>A5317</f>
        <v>LUTRON</v>
      </c>
      <c r="T5317" s="10" t="str">
        <f>G5317</f>
        <v>INTERRUPTOR CON SENSOR DE PRESENCIA INFRA ROJO PARA CARGAS HASTA 2 AMPERIOS.</v>
      </c>
    </row>
    <row r="5318" spans="1:20" ht="27" customHeight="1" x14ac:dyDescent="0.25">
      <c r="A5318" s="8" t="s">
        <v>5672</v>
      </c>
      <c r="B5318" s="9" t="s">
        <v>5666</v>
      </c>
      <c r="C5318" s="9"/>
      <c r="D5318" s="8" t="s">
        <v>2057</v>
      </c>
      <c r="E5318" s="8">
        <v>31</v>
      </c>
      <c r="F5318" s="8" t="s">
        <v>22</v>
      </c>
      <c r="G5318" s="10" t="s">
        <v>6451</v>
      </c>
      <c r="H5318" s="8" t="s">
        <v>11022</v>
      </c>
      <c r="I5318" s="10" t="s">
        <v>11023</v>
      </c>
      <c r="J5318" s="11" t="s">
        <v>26</v>
      </c>
      <c r="K5318" s="57">
        <v>55.98</v>
      </c>
      <c r="L5318" s="12">
        <f t="shared" si="449"/>
        <v>111.95999999999998</v>
      </c>
      <c r="M5318" s="8">
        <v>1</v>
      </c>
      <c r="N5318" s="8" t="s">
        <v>27</v>
      </c>
      <c r="O5318" s="13"/>
      <c r="P5318" s="14">
        <v>0.2</v>
      </c>
      <c r="Q5318" s="15">
        <v>0.4</v>
      </c>
      <c r="R5318" s="16" t="str">
        <f t="shared" si="448"/>
        <v>LUTRON</v>
      </c>
      <c r="S5318" s="17" t="str">
        <f>A5318</f>
        <v>LUTRON</v>
      </c>
      <c r="T5318" s="10" t="str">
        <f>G5318</f>
        <v>INTERRUPTOR DOBLE CON SENSOR DE OCUPACIÓN SIN REQUERIMIENTO DE NEUTRA.</v>
      </c>
    </row>
    <row r="5319" spans="1:20" ht="27" customHeight="1" x14ac:dyDescent="0.25">
      <c r="A5319" s="8" t="s">
        <v>5672</v>
      </c>
      <c r="B5319" s="9" t="s">
        <v>5666</v>
      </c>
      <c r="C5319" s="9"/>
      <c r="D5319" s="8" t="s">
        <v>4058</v>
      </c>
      <c r="E5319" s="8">
        <v>9</v>
      </c>
      <c r="F5319" s="8" t="s">
        <v>22</v>
      </c>
      <c r="G5319" s="10" t="s">
        <v>6324</v>
      </c>
      <c r="H5319" s="8" t="s">
        <v>11024</v>
      </c>
      <c r="I5319" s="10" t="s">
        <v>11025</v>
      </c>
      <c r="J5319" s="11" t="s">
        <v>26</v>
      </c>
      <c r="K5319" s="57">
        <v>51</v>
      </c>
      <c r="L5319" s="12">
        <f t="shared" si="449"/>
        <v>85.000016244981012</v>
      </c>
      <c r="M5319" s="8">
        <v>1</v>
      </c>
      <c r="N5319" s="8" t="s">
        <v>27</v>
      </c>
      <c r="O5319" s="13"/>
      <c r="P5319" s="14">
        <v>0.2</v>
      </c>
      <c r="Q5319" s="15">
        <v>0.28000013760451881</v>
      </c>
      <c r="R5319" s="16" t="str">
        <f t="shared" si="448"/>
        <v>LUTRON</v>
      </c>
      <c r="T5319" s="10" t="str">
        <f>G5319</f>
        <v>DIMMER DE FASE ADAPTATIVA CON NEUTRO</v>
      </c>
    </row>
    <row r="5320" spans="1:20" ht="27" customHeight="1" x14ac:dyDescent="0.25">
      <c r="A5320" s="32" t="s">
        <v>10677</v>
      </c>
      <c r="H5320" s="8" t="s">
        <v>11026</v>
      </c>
      <c r="I5320" s="33" t="s">
        <v>11027</v>
      </c>
      <c r="J5320" s="34" t="s">
        <v>26</v>
      </c>
      <c r="K5320" s="20">
        <v>130</v>
      </c>
      <c r="L5320" s="12">
        <f t="shared" si="449"/>
        <v>222.85714285714286</v>
      </c>
      <c r="M5320" s="8">
        <v>1</v>
      </c>
      <c r="N5320" s="8" t="s">
        <v>27</v>
      </c>
      <c r="O5320" s="13"/>
      <c r="P5320" s="14">
        <v>0.2</v>
      </c>
      <c r="Q5320" s="15">
        <v>0.3</v>
      </c>
      <c r="R5320" s="16" t="str">
        <f t="shared" si="448"/>
        <v>SONANCE</v>
      </c>
    </row>
    <row r="5321" spans="1:20" ht="27" customHeight="1" x14ac:dyDescent="0.25">
      <c r="A5321" s="32" t="s">
        <v>10677</v>
      </c>
      <c r="H5321" s="8" t="s">
        <v>11028</v>
      </c>
      <c r="I5321" s="33" t="s">
        <v>11029</v>
      </c>
      <c r="J5321" s="34" t="s">
        <v>26</v>
      </c>
      <c r="K5321" s="20">
        <f>995/2</f>
        <v>497.5</v>
      </c>
      <c r="L5321" s="12">
        <f t="shared" si="449"/>
        <v>995</v>
      </c>
      <c r="M5321" s="8">
        <v>1</v>
      </c>
      <c r="N5321" s="8" t="s">
        <v>27</v>
      </c>
      <c r="O5321" s="13"/>
      <c r="P5321" s="14">
        <v>0.2</v>
      </c>
      <c r="Q5321" s="15">
        <v>0.4</v>
      </c>
      <c r="R5321" s="16" t="str">
        <f t="shared" si="448"/>
        <v>SONANCE</v>
      </c>
    </row>
    <row r="5322" spans="1:20" ht="27" customHeight="1" x14ac:dyDescent="0.25">
      <c r="A5322" s="8" t="s">
        <v>904</v>
      </c>
      <c r="H5322" s="8" t="s">
        <v>11030</v>
      </c>
      <c r="I5322" s="33" t="s">
        <v>11031</v>
      </c>
      <c r="J5322" s="34" t="s">
        <v>26</v>
      </c>
      <c r="K5322" s="20">
        <v>411</v>
      </c>
      <c r="L5322" s="12">
        <f t="shared" si="449"/>
        <v>822</v>
      </c>
      <c r="M5322" s="8">
        <v>1</v>
      </c>
      <c r="N5322" s="8" t="s">
        <v>27</v>
      </c>
      <c r="O5322" s="13"/>
      <c r="P5322" s="14">
        <v>0.2</v>
      </c>
      <c r="Q5322" s="15">
        <v>0.4</v>
      </c>
      <c r="R5322" s="16" t="str">
        <f t="shared" si="448"/>
        <v>BOWER AND WILKINS</v>
      </c>
    </row>
    <row r="5323" spans="1:20" ht="27" customHeight="1" x14ac:dyDescent="0.25">
      <c r="A5323" s="32" t="s">
        <v>3533</v>
      </c>
      <c r="H5323" s="8" t="s">
        <v>11032</v>
      </c>
      <c r="I5323" s="33" t="s">
        <v>11033</v>
      </c>
      <c r="J5323" s="34" t="s">
        <v>33</v>
      </c>
      <c r="K5323" s="20">
        <v>1990000</v>
      </c>
      <c r="L5323" s="12">
        <f t="shared" si="449"/>
        <v>2487500</v>
      </c>
      <c r="M5323" s="8">
        <v>1</v>
      </c>
      <c r="N5323" s="8" t="s">
        <v>27</v>
      </c>
      <c r="O5323" s="13"/>
      <c r="P5323" s="14">
        <v>0</v>
      </c>
      <c r="Q5323" s="15">
        <v>0.2</v>
      </c>
      <c r="R5323" s="16" t="str">
        <f t="shared" si="448"/>
        <v>HP</v>
      </c>
    </row>
    <row r="5324" spans="1:20" ht="27" customHeight="1" x14ac:dyDescent="0.25">
      <c r="A5324" s="32" t="s">
        <v>3694</v>
      </c>
      <c r="H5324" s="8" t="s">
        <v>11034</v>
      </c>
      <c r="I5324" s="33" t="s">
        <v>11035</v>
      </c>
      <c r="J5324" t="s">
        <v>33</v>
      </c>
      <c r="K5324">
        <v>203000</v>
      </c>
      <c r="L5324" s="12">
        <f t="shared" si="449"/>
        <v>290000</v>
      </c>
      <c r="M5324" s="8">
        <v>1</v>
      </c>
      <c r="N5324" s="8" t="s">
        <v>27</v>
      </c>
      <c r="O5324" s="13"/>
      <c r="P5324" s="14">
        <v>0</v>
      </c>
      <c r="Q5324" s="15">
        <v>0.3</v>
      </c>
      <c r="R5324" s="16" t="str">
        <f t="shared" si="448"/>
        <v>IMOU</v>
      </c>
    </row>
    <row r="5325" spans="1:20" ht="27" customHeight="1" x14ac:dyDescent="0.25">
      <c r="A5325" s="49" t="s">
        <v>11036</v>
      </c>
      <c r="B5325" s="24"/>
      <c r="C5325" s="24"/>
      <c r="D5325" s="24"/>
      <c r="E5325" s="24"/>
      <c r="F5325" s="24"/>
      <c r="G5325" s="24"/>
      <c r="H5325" s="8" t="s">
        <v>11037</v>
      </c>
      <c r="I5325" s="24" t="s">
        <v>11038</v>
      </c>
      <c r="J5325" s="24" t="s">
        <v>33</v>
      </c>
      <c r="K5325" s="26">
        <f>6138000*0.7/2</f>
        <v>2148300</v>
      </c>
      <c r="L5325" s="12">
        <f t="shared" ref="L5325:L5331" si="450">IF(J5325="P",ROUNDUP(K5325/(1-Q5325),-2),K5325*(1+P5325)/(1-Q5325))</f>
        <v>3069000</v>
      </c>
      <c r="M5325" s="8">
        <v>1</v>
      </c>
      <c r="N5325" s="8" t="s">
        <v>27</v>
      </c>
      <c r="O5325" s="13"/>
      <c r="P5325" s="14">
        <v>0</v>
      </c>
      <c r="Q5325" s="15">
        <v>0.3</v>
      </c>
      <c r="R5325" s="50" t="str">
        <f t="shared" si="448"/>
        <v>PSB</v>
      </c>
    </row>
    <row r="5326" spans="1:20" ht="27" customHeight="1" x14ac:dyDescent="0.25">
      <c r="A5326" s="32" t="s">
        <v>9822</v>
      </c>
      <c r="H5326" s="8" t="s">
        <v>11039</v>
      </c>
      <c r="I5326" s="33" t="s">
        <v>11040</v>
      </c>
      <c r="J5326" s="34" t="s">
        <v>33</v>
      </c>
      <c r="K5326" s="20">
        <f>3094000/2*0.7</f>
        <v>1082900</v>
      </c>
      <c r="L5326" s="12">
        <f t="shared" si="450"/>
        <v>1547000</v>
      </c>
      <c r="M5326" s="8">
        <v>1</v>
      </c>
      <c r="N5326" s="8" t="s">
        <v>27</v>
      </c>
      <c r="O5326" s="13"/>
      <c r="P5326" s="14">
        <v>0</v>
      </c>
      <c r="Q5326" s="15">
        <v>0.3</v>
      </c>
      <c r="R5326" s="50" t="str">
        <f t="shared" si="448"/>
        <v>FYNE</v>
      </c>
    </row>
    <row r="5327" spans="1:20" ht="27" customHeight="1" x14ac:dyDescent="0.25">
      <c r="A5327" s="32" t="s">
        <v>3915</v>
      </c>
      <c r="H5327" s="8" t="s">
        <v>11041</v>
      </c>
      <c r="I5327" s="24" t="s">
        <v>11042</v>
      </c>
      <c r="J5327" s="34" t="s">
        <v>26</v>
      </c>
      <c r="K5327" s="20">
        <v>327</v>
      </c>
      <c r="L5327" s="12">
        <f t="shared" si="450"/>
        <v>583.92857142857144</v>
      </c>
      <c r="M5327" s="8">
        <v>1</v>
      </c>
      <c r="N5327" s="8" t="s">
        <v>27</v>
      </c>
      <c r="O5327" s="13"/>
      <c r="P5327" s="14">
        <v>0.25</v>
      </c>
      <c r="Q5327" s="15">
        <v>0.3</v>
      </c>
      <c r="R5327" s="50" t="str">
        <f t="shared" si="448"/>
        <v>KLIPSCH</v>
      </c>
    </row>
    <row r="5328" spans="1:20" ht="27" customHeight="1" x14ac:dyDescent="0.25">
      <c r="A5328" s="32" t="s">
        <v>10103</v>
      </c>
      <c r="H5328" s="8" t="s">
        <v>11043</v>
      </c>
      <c r="I5328" s="24" t="s">
        <v>11042</v>
      </c>
      <c r="J5328" s="34" t="s">
        <v>26</v>
      </c>
      <c r="K5328" s="20">
        <f>617/2</f>
        <v>308.5</v>
      </c>
      <c r="L5328" s="12">
        <f t="shared" si="450"/>
        <v>440.71428571428572</v>
      </c>
      <c r="M5328" s="8">
        <v>1</v>
      </c>
      <c r="N5328" s="8" t="s">
        <v>27</v>
      </c>
      <c r="O5328" s="13"/>
      <c r="P5328" s="14">
        <v>0</v>
      </c>
      <c r="Q5328" s="15">
        <v>0.3</v>
      </c>
      <c r="R5328" s="50" t="str">
        <f t="shared" si="448"/>
        <v>MONITOR</v>
      </c>
    </row>
    <row r="5329" spans="1:20" ht="27" customHeight="1" x14ac:dyDescent="0.25">
      <c r="A5329" s="32" t="s">
        <v>2095</v>
      </c>
      <c r="H5329" s="8" t="s">
        <v>10995</v>
      </c>
      <c r="I5329" s="51" t="s">
        <v>11044</v>
      </c>
      <c r="J5329" s="34" t="s">
        <v>33</v>
      </c>
      <c r="K5329" s="20">
        <v>40500</v>
      </c>
      <c r="L5329" s="12">
        <f t="shared" si="450"/>
        <v>57900</v>
      </c>
      <c r="M5329" s="8">
        <v>1</v>
      </c>
      <c r="N5329" s="8" t="s">
        <v>27</v>
      </c>
      <c r="O5329" s="13"/>
      <c r="P5329" s="14">
        <v>0</v>
      </c>
      <c r="Q5329" s="15">
        <v>0.3</v>
      </c>
      <c r="R5329" s="50" t="str">
        <f t="shared" si="448"/>
        <v>ECOLITE</v>
      </c>
    </row>
    <row r="5330" spans="1:20" ht="27" customHeight="1" x14ac:dyDescent="0.25">
      <c r="A5330" s="8" t="s">
        <v>1141</v>
      </c>
      <c r="B5330" s="9" t="s">
        <v>208</v>
      </c>
      <c r="C5330" s="9"/>
      <c r="D5330" s="8" t="s">
        <v>208</v>
      </c>
      <c r="E5330" s="8"/>
      <c r="F5330" s="8" t="s">
        <v>22</v>
      </c>
      <c r="G5330" s="10" t="s">
        <v>1173</v>
      </c>
      <c r="H5330" s="8" t="s">
        <v>11045</v>
      </c>
      <c r="I5330" s="10" t="s">
        <v>11046</v>
      </c>
      <c r="J5330" s="11" t="s">
        <v>33</v>
      </c>
      <c r="K5330" s="18">
        <v>1000</v>
      </c>
      <c r="L5330" s="12">
        <f t="shared" si="450"/>
        <v>1700</v>
      </c>
      <c r="M5330" s="8">
        <v>1</v>
      </c>
      <c r="N5330" s="8" t="s">
        <v>110</v>
      </c>
      <c r="O5330" s="13"/>
      <c r="P5330" s="14">
        <v>0</v>
      </c>
      <c r="Q5330" s="15">
        <v>0.4</v>
      </c>
      <c r="R5330" s="16" t="str">
        <f t="shared" si="448"/>
        <v>CENTELSA</v>
      </c>
      <c r="S5330" s="17"/>
      <c r="T5330" s="10" t="str">
        <f>G5330</f>
        <v>METRO DE CABLE DÚPLEX 2X14.</v>
      </c>
    </row>
    <row r="5331" spans="1:20" ht="27" customHeight="1" x14ac:dyDescent="0.25">
      <c r="A5331" s="32" t="s">
        <v>3977</v>
      </c>
      <c r="H5331" s="8" t="s">
        <v>11047</v>
      </c>
      <c r="I5331" s="51" t="s">
        <v>11048</v>
      </c>
      <c r="J5331" s="34" t="s">
        <v>33</v>
      </c>
      <c r="K5331" s="20">
        <v>250000</v>
      </c>
      <c r="L5331" s="12">
        <f t="shared" si="450"/>
        <v>416700</v>
      </c>
      <c r="M5331" s="8">
        <v>1</v>
      </c>
      <c r="N5331" s="8" t="s">
        <v>110</v>
      </c>
      <c r="O5331" s="13"/>
      <c r="P5331" s="14">
        <v>0</v>
      </c>
      <c r="Q5331" s="15">
        <v>0.4</v>
      </c>
      <c r="R5331" s="16" t="str">
        <f t="shared" si="448"/>
        <v>KOMODO</v>
      </c>
    </row>
    <row r="5332" spans="1:20" ht="27" customHeight="1" x14ac:dyDescent="0.25">
      <c r="A5332" s="32" t="s">
        <v>7654</v>
      </c>
      <c r="H5332" s="8" t="s">
        <v>11049</v>
      </c>
      <c r="I5332" s="33" t="s">
        <v>11050</v>
      </c>
      <c r="J5332" s="34" t="s">
        <v>33</v>
      </c>
      <c r="K5332" s="20">
        <v>18600</v>
      </c>
      <c r="L5332" s="12">
        <f>K5332*(1+P5332)/(1-Q5332)</f>
        <v>26571.428571428572</v>
      </c>
      <c r="M5332" s="8">
        <v>1</v>
      </c>
      <c r="N5332" s="8" t="s">
        <v>27</v>
      </c>
      <c r="O5332" s="13"/>
      <c r="P5332" s="14">
        <v>0</v>
      </c>
      <c r="Q5332" s="15">
        <v>0.3</v>
      </c>
      <c r="R5332" s="16" t="str">
        <f t="shared" si="448"/>
        <v>PAVCO</v>
      </c>
    </row>
    <row r="5333" spans="1:20" ht="27" customHeight="1" x14ac:dyDescent="0.25">
      <c r="A5333" s="32" t="s">
        <v>7654</v>
      </c>
      <c r="H5333" s="8" t="s">
        <v>11051</v>
      </c>
      <c r="I5333" s="33" t="s">
        <v>11052</v>
      </c>
      <c r="J5333" s="34" t="s">
        <v>33</v>
      </c>
      <c r="K5333" s="20">
        <v>4972</v>
      </c>
      <c r="L5333" s="12">
        <f>K5333*(1+P5333)/(1-Q5333)</f>
        <v>7102.8571428571431</v>
      </c>
      <c r="M5333" s="8">
        <v>1</v>
      </c>
      <c r="N5333" s="8" t="s">
        <v>27</v>
      </c>
      <c r="O5333" s="13"/>
      <c r="P5333" s="14">
        <v>0</v>
      </c>
      <c r="Q5333" s="15">
        <v>0.3</v>
      </c>
      <c r="R5333" s="16" t="str">
        <f t="shared" si="448"/>
        <v>PAVCO</v>
      </c>
    </row>
    <row r="5334" spans="1:20" ht="27" customHeight="1" x14ac:dyDescent="0.25">
      <c r="A5334" s="32" t="s">
        <v>7654</v>
      </c>
      <c r="H5334" s="8" t="s">
        <v>11053</v>
      </c>
      <c r="I5334" s="33" t="s">
        <v>11054</v>
      </c>
      <c r="J5334" s="34" t="s">
        <v>33</v>
      </c>
      <c r="K5334" s="20">
        <v>1550</v>
      </c>
      <c r="L5334" s="12">
        <f>K5334*(1+P5334)/(1-Q5334)</f>
        <v>2214.2857142857142</v>
      </c>
      <c r="M5334" s="8">
        <v>1</v>
      </c>
      <c r="N5334" s="8" t="s">
        <v>27</v>
      </c>
      <c r="O5334" s="13"/>
      <c r="P5334" s="14">
        <v>0</v>
      </c>
      <c r="Q5334" s="15">
        <v>0.3</v>
      </c>
      <c r="R5334" s="16" t="str">
        <f t="shared" si="448"/>
        <v>PAVCO</v>
      </c>
    </row>
    <row r="5335" spans="1:20" ht="27" customHeight="1" x14ac:dyDescent="0.25">
      <c r="A5335" s="8" t="s">
        <v>1141</v>
      </c>
      <c r="B5335" s="9" t="s">
        <v>1070</v>
      </c>
      <c r="C5335" s="9"/>
      <c r="D5335" s="8" t="s">
        <v>28</v>
      </c>
      <c r="E5335" s="8">
        <v>4</v>
      </c>
      <c r="F5335" s="8" t="s">
        <v>22</v>
      </c>
      <c r="G5335" s="10" t="s">
        <v>1155</v>
      </c>
      <c r="H5335" s="8" t="s">
        <v>11055</v>
      </c>
      <c r="I5335" s="10" t="s">
        <v>11056</v>
      </c>
      <c r="J5335" s="11" t="s">
        <v>33</v>
      </c>
      <c r="K5335" s="18">
        <v>2778.64</v>
      </c>
      <c r="L5335" s="12">
        <f t="shared" ref="L5335:L5341" si="451">IF(J5335="P",ROUNDUP(K5335/(1-Q5335),-2),K5335*(1+P5335)/(1-Q5335))</f>
        <v>3900</v>
      </c>
      <c r="M5335" s="8">
        <v>1</v>
      </c>
      <c r="N5335" s="8" t="s">
        <v>110</v>
      </c>
      <c r="O5335" s="13"/>
      <c r="P5335" s="14">
        <v>0.2</v>
      </c>
      <c r="Q5335" s="15">
        <v>0.28000000000000003</v>
      </c>
      <c r="R5335" s="16" t="str">
        <f t="shared" si="448"/>
        <v>CENTELSA</v>
      </c>
      <c r="S5335" s="17"/>
      <c r="T5335" s="10" t="str">
        <f>G5335</f>
        <v>METRO DE CABLE ELÉCTRICO AWG 6 CERTIFICADO</v>
      </c>
    </row>
    <row r="5336" spans="1:20" ht="27" customHeight="1" x14ac:dyDescent="0.25">
      <c r="A5336" s="32" t="s">
        <v>1561</v>
      </c>
      <c r="H5336" s="8" t="s">
        <v>11057</v>
      </c>
      <c r="I5336" s="33" t="s">
        <v>11058</v>
      </c>
      <c r="J5336" s="34" t="s">
        <v>33</v>
      </c>
      <c r="K5336" s="20">
        <v>261000</v>
      </c>
      <c r="L5336" s="12">
        <f t="shared" si="451"/>
        <v>435000</v>
      </c>
      <c r="M5336" s="8">
        <v>1</v>
      </c>
      <c r="N5336" s="8" t="s">
        <v>110</v>
      </c>
      <c r="O5336" s="13"/>
      <c r="P5336" s="14">
        <v>0</v>
      </c>
      <c r="Q5336" s="15">
        <v>0.4</v>
      </c>
      <c r="R5336" s="16" t="str">
        <f t="shared" si="448"/>
        <v>DAHUA</v>
      </c>
    </row>
    <row r="5337" spans="1:20" ht="27" customHeight="1" x14ac:dyDescent="0.25">
      <c r="A5337" s="8" t="s">
        <v>9258</v>
      </c>
      <c r="H5337" s="8" t="s">
        <v>11059</v>
      </c>
      <c r="I5337" s="33" t="s">
        <v>11060</v>
      </c>
      <c r="J5337" s="34" t="s">
        <v>26</v>
      </c>
      <c r="K5337" s="20">
        <v>543000</v>
      </c>
      <c r="L5337" s="12">
        <f t="shared" si="451"/>
        <v>775714.2857142858</v>
      </c>
      <c r="M5337" s="8">
        <v>1</v>
      </c>
      <c r="N5337" s="8" t="s">
        <v>110</v>
      </c>
      <c r="O5337" s="13"/>
      <c r="P5337" s="14">
        <v>0</v>
      </c>
      <c r="Q5337" s="15">
        <v>0.3</v>
      </c>
      <c r="R5337" s="16" t="str">
        <f t="shared" si="448"/>
        <v>TP_LINK</v>
      </c>
    </row>
    <row r="5338" spans="1:20" ht="27" customHeight="1" x14ac:dyDescent="0.25">
      <c r="A5338" s="32" t="s">
        <v>7931</v>
      </c>
      <c r="H5338" s="8" t="s">
        <v>11061</v>
      </c>
      <c r="I5338" s="33" t="s">
        <v>11062</v>
      </c>
      <c r="J5338" s="34" t="s">
        <v>33</v>
      </c>
      <c r="K5338" s="20">
        <f>753000*0.82</f>
        <v>617460</v>
      </c>
      <c r="L5338" s="12">
        <f t="shared" si="451"/>
        <v>823300</v>
      </c>
      <c r="M5338" s="8">
        <v>1</v>
      </c>
      <c r="N5338" s="8" t="s">
        <v>110</v>
      </c>
      <c r="O5338" s="13"/>
      <c r="P5338" s="14">
        <v>0</v>
      </c>
      <c r="Q5338" s="15">
        <v>0.25</v>
      </c>
      <c r="R5338" s="16" t="str">
        <f t="shared" si="448"/>
        <v>SYLVANIA</v>
      </c>
    </row>
    <row r="5339" spans="1:20" ht="27" customHeight="1" x14ac:dyDescent="0.25">
      <c r="A5339" s="32" t="s">
        <v>2512</v>
      </c>
      <c r="H5339" s="8" t="s">
        <v>11063</v>
      </c>
      <c r="I5339" s="33" t="s">
        <v>11064</v>
      </c>
      <c r="J5339" s="34" t="s">
        <v>33</v>
      </c>
      <c r="K5339" s="20">
        <v>55000</v>
      </c>
      <c r="L5339" s="12">
        <f t="shared" si="451"/>
        <v>73400</v>
      </c>
      <c r="M5339" s="8">
        <v>1</v>
      </c>
      <c r="N5339" s="8" t="s">
        <v>110</v>
      </c>
      <c r="O5339" s="13"/>
      <c r="P5339" s="14">
        <v>0</v>
      </c>
      <c r="Q5339" s="15">
        <v>0.25</v>
      </c>
      <c r="R5339" s="16" t="str">
        <f t="shared" si="448"/>
        <v>GENERAL</v>
      </c>
    </row>
    <row r="5340" spans="1:20" ht="27" customHeight="1" x14ac:dyDescent="0.25">
      <c r="A5340" s="32" t="s">
        <v>38</v>
      </c>
      <c r="H5340" s="8" t="s">
        <v>39</v>
      </c>
      <c r="I5340" s="33" t="s">
        <v>11065</v>
      </c>
      <c r="J5340" s="34" t="s">
        <v>26</v>
      </c>
      <c r="K5340" s="20">
        <v>173</v>
      </c>
      <c r="L5340" s="12">
        <f t="shared" si="451"/>
        <v>247.14285714285717</v>
      </c>
      <c r="M5340" s="8">
        <v>1</v>
      </c>
      <c r="N5340" s="8" t="s">
        <v>27</v>
      </c>
      <c r="O5340" s="13"/>
      <c r="P5340" s="14">
        <v>0</v>
      </c>
      <c r="Q5340" s="15">
        <v>0.3</v>
      </c>
      <c r="R5340" s="40" t="str">
        <f t="shared" si="448"/>
        <v>CONTROL4</v>
      </c>
    </row>
    <row r="5341" spans="1:20" ht="27" customHeight="1" x14ac:dyDescent="0.25">
      <c r="A5341" s="8" t="s">
        <v>10258</v>
      </c>
      <c r="H5341" s="8" t="s">
        <v>10566</v>
      </c>
      <c r="I5341" s="33" t="s">
        <v>11066</v>
      </c>
      <c r="J5341" s="34" t="s">
        <v>26</v>
      </c>
      <c r="K5341" s="20">
        <v>17</v>
      </c>
      <c r="L5341" s="12">
        <f t="shared" si="451"/>
        <v>39.666666666666664</v>
      </c>
      <c r="M5341" s="8">
        <v>1</v>
      </c>
      <c r="N5341" s="8" t="s">
        <v>27</v>
      </c>
      <c r="O5341" s="13"/>
      <c r="P5341" s="14">
        <v>0.4</v>
      </c>
      <c r="Q5341" s="15">
        <v>0.4</v>
      </c>
      <c r="R5341" s="40" t="str">
        <f t="shared" si="448"/>
        <v>SC_POWER</v>
      </c>
    </row>
    <row r="5342" spans="1:20" ht="27" customHeight="1" x14ac:dyDescent="0.25">
      <c r="A5342" s="32" t="s">
        <v>679</v>
      </c>
      <c r="H5342" s="8" t="s">
        <v>11067</v>
      </c>
      <c r="I5342" s="33" t="s">
        <v>11068</v>
      </c>
      <c r="J5342" s="34" t="s">
        <v>33</v>
      </c>
      <c r="K5342" s="20">
        <v>1624000</v>
      </c>
      <c r="L5342" s="12">
        <f>K5342*(1+P5342)/(1-Q5342)</f>
        <v>2320000</v>
      </c>
      <c r="M5342" s="8">
        <v>1</v>
      </c>
      <c r="N5342" s="8" t="s">
        <v>27</v>
      </c>
      <c r="O5342" s="13"/>
      <c r="P5342" s="14">
        <v>0</v>
      </c>
      <c r="Q5342" s="15">
        <v>0.3</v>
      </c>
      <c r="R5342" s="16" t="str">
        <f t="shared" si="448"/>
        <v>AUDAC</v>
      </c>
    </row>
    <row r="5343" spans="1:20" ht="27" customHeight="1" x14ac:dyDescent="0.25">
      <c r="A5343" s="32" t="s">
        <v>839</v>
      </c>
      <c r="H5343" s="8" t="s">
        <v>11069</v>
      </c>
      <c r="I5343" s="33" t="s">
        <v>11070</v>
      </c>
      <c r="J5343" s="34" t="s">
        <v>33</v>
      </c>
      <c r="K5343" s="20">
        <v>20000</v>
      </c>
      <c r="L5343" s="12">
        <f>K5343*(1+P5343)/(1-Q5343)</f>
        <v>28571.428571428572</v>
      </c>
      <c r="M5343" s="8">
        <v>1</v>
      </c>
      <c r="N5343" s="8" t="s">
        <v>27</v>
      </c>
      <c r="O5343" s="13"/>
      <c r="P5343" s="14">
        <v>0</v>
      </c>
      <c r="Q5343" s="15">
        <v>0.3</v>
      </c>
      <c r="R5343" s="16" t="str">
        <f t="shared" si="448"/>
        <v>BJB</v>
      </c>
    </row>
    <row r="5344" spans="1:20" ht="27" customHeight="1" x14ac:dyDescent="0.25">
      <c r="A5344" s="32" t="s">
        <v>38</v>
      </c>
      <c r="H5344" s="8" t="s">
        <v>39</v>
      </c>
      <c r="I5344" s="33" t="s">
        <v>40</v>
      </c>
      <c r="J5344" s="34" t="s">
        <v>26</v>
      </c>
      <c r="K5344" s="20">
        <v>173</v>
      </c>
      <c r="L5344" s="12">
        <f>K5344*(1+P5344)/(1-Q5344)</f>
        <v>288.33333333333337</v>
      </c>
      <c r="M5344" s="8">
        <v>1</v>
      </c>
      <c r="N5344" s="8" t="s">
        <v>27</v>
      </c>
      <c r="O5344" s="13"/>
      <c r="P5344" s="14">
        <v>0</v>
      </c>
      <c r="Q5344" s="15">
        <v>0.4</v>
      </c>
      <c r="R5344" s="16" t="str">
        <f t="shared" si="448"/>
        <v>CONTROL4</v>
      </c>
    </row>
    <row r="5345" spans="1:20" ht="27" customHeight="1" x14ac:dyDescent="0.25">
      <c r="A5345" s="8" t="s">
        <v>1141</v>
      </c>
      <c r="B5345" s="9" t="s">
        <v>1070</v>
      </c>
      <c r="C5345" s="9"/>
      <c r="D5345" s="8" t="s">
        <v>28</v>
      </c>
      <c r="E5345" s="8">
        <v>8</v>
      </c>
      <c r="F5345" s="8" t="s">
        <v>22</v>
      </c>
      <c r="G5345" s="10" t="s">
        <v>1159</v>
      </c>
      <c r="H5345" s="8" t="s">
        <v>11071</v>
      </c>
      <c r="I5345" s="10" t="s">
        <v>11072</v>
      </c>
      <c r="J5345" s="11" t="s">
        <v>33</v>
      </c>
      <c r="K5345" s="18">
        <f>138900/1.19</f>
        <v>116722.68907563026</v>
      </c>
      <c r="L5345" s="12">
        <f>IF(J5345="P",ROUNDUP(K5345/(1-Q5345),-2),K5345*(1+P5345)/(1-Q5345))</f>
        <v>166800</v>
      </c>
      <c r="M5345" s="8">
        <v>1</v>
      </c>
      <c r="N5345" s="8" t="s">
        <v>27</v>
      </c>
      <c r="O5345" s="13"/>
      <c r="P5345" s="14">
        <v>0</v>
      </c>
      <c r="Q5345" s="15">
        <v>0.3</v>
      </c>
      <c r="R5345" s="16" t="str">
        <f t="shared" si="448"/>
        <v>CENTELSA</v>
      </c>
      <c r="S5345" s="17"/>
      <c r="T5345" s="10" t="str">
        <f>G5345</f>
        <v>ROLLO DE 100 METROS DE ALAMBRE AWG12</v>
      </c>
    </row>
    <row r="5346" spans="1:20" ht="27" customHeight="1" x14ac:dyDescent="0.25">
      <c r="A5346" s="32" t="s">
        <v>8308</v>
      </c>
      <c r="H5346" s="8" t="s">
        <v>11073</v>
      </c>
      <c r="I5346" s="33" t="s">
        <v>11074</v>
      </c>
      <c r="J5346" s="34" t="s">
        <v>33</v>
      </c>
      <c r="K5346" s="18">
        <v>114900</v>
      </c>
      <c r="L5346" s="12">
        <f>IF(J5346="P",ROUNDUP(K5346/(1-Q5346),-2),K5346*(1+P5346)/(1-Q5346))</f>
        <v>164200</v>
      </c>
      <c r="M5346" s="8">
        <v>1</v>
      </c>
      <c r="N5346" s="8" t="s">
        <v>27</v>
      </c>
      <c r="O5346" s="13"/>
      <c r="P5346" s="14">
        <v>0.2</v>
      </c>
      <c r="Q5346" s="15">
        <v>0.3</v>
      </c>
      <c r="R5346" s="16" t="str">
        <f t="shared" si="448"/>
        <v>SOLIDVIEW</v>
      </c>
    </row>
    <row r="5347" spans="1:20" ht="27" customHeight="1" x14ac:dyDescent="0.25">
      <c r="A5347" s="32" t="s">
        <v>5066</v>
      </c>
      <c r="H5347" s="8" t="s">
        <v>11075</v>
      </c>
      <c r="I5347" s="10" t="s">
        <v>11076</v>
      </c>
      <c r="J5347" s="11" t="s">
        <v>33</v>
      </c>
      <c r="K5347" s="18">
        <v>56000</v>
      </c>
      <c r="L5347" s="12">
        <f t="shared" ref="L5347:L5354" si="452">ROUNDUP(K5347*(1+P5347)/(1-Q5347),0)</f>
        <v>93334</v>
      </c>
      <c r="M5347" s="8">
        <v>1</v>
      </c>
      <c r="N5347" s="8" t="s">
        <v>27</v>
      </c>
      <c r="O5347" s="13"/>
      <c r="P5347" s="14">
        <v>0</v>
      </c>
      <c r="Q5347" s="15">
        <v>0.4</v>
      </c>
      <c r="R5347" s="16" t="str">
        <f t="shared" si="448"/>
        <v>LEGRAND</v>
      </c>
      <c r="S5347" s="17"/>
      <c r="T5347" s="10">
        <f>G5347</f>
        <v>0</v>
      </c>
    </row>
    <row r="5348" spans="1:20" ht="27" customHeight="1" x14ac:dyDescent="0.25">
      <c r="A5348" s="32" t="s">
        <v>1997</v>
      </c>
      <c r="H5348" s="8" t="s">
        <v>11077</v>
      </c>
      <c r="I5348" s="33" t="s">
        <v>11078</v>
      </c>
      <c r="J5348" s="34" t="s">
        <v>33</v>
      </c>
      <c r="K5348" s="20">
        <v>14000</v>
      </c>
      <c r="L5348" s="12">
        <f t="shared" si="452"/>
        <v>28000</v>
      </c>
      <c r="M5348" s="8">
        <v>1</v>
      </c>
      <c r="N5348" s="8" t="s">
        <v>27</v>
      </c>
      <c r="O5348" s="13"/>
      <c r="P5348" s="14">
        <v>0</v>
      </c>
      <c r="Q5348" s="15">
        <v>0.5</v>
      </c>
      <c r="R5348" s="16" t="str">
        <f t="shared" si="448"/>
        <v>DIGITAL</v>
      </c>
    </row>
    <row r="5349" spans="1:20" ht="27" customHeight="1" x14ac:dyDescent="0.25">
      <c r="A5349" s="32" t="s">
        <v>5672</v>
      </c>
      <c r="H5349" s="8" t="s">
        <v>11079</v>
      </c>
      <c r="I5349" s="33" t="s">
        <v>11080</v>
      </c>
      <c r="J5349" s="34" t="s">
        <v>33</v>
      </c>
      <c r="K5349" s="42">
        <v>250000</v>
      </c>
      <c r="L5349" s="12">
        <f t="shared" si="452"/>
        <v>456000</v>
      </c>
      <c r="M5349" s="8">
        <v>1</v>
      </c>
      <c r="N5349" s="8" t="s">
        <v>27</v>
      </c>
      <c r="O5349" s="13"/>
      <c r="P5349" s="14">
        <v>0</v>
      </c>
      <c r="Q5349" s="15">
        <v>0.4517543108057665</v>
      </c>
      <c r="R5349" s="16" t="str">
        <f t="shared" si="448"/>
        <v>LUTRON</v>
      </c>
    </row>
    <row r="5350" spans="1:20" ht="27" customHeight="1" x14ac:dyDescent="0.25">
      <c r="A5350" s="32" t="s">
        <v>6990</v>
      </c>
      <c r="H5350" s="8" t="s">
        <v>11081</v>
      </c>
      <c r="I5350" s="33" t="s">
        <v>11082</v>
      </c>
      <c r="J5350" s="34" t="s">
        <v>26</v>
      </c>
      <c r="K5350" s="20">
        <v>1479</v>
      </c>
      <c r="L5350" s="12">
        <f t="shared" si="452"/>
        <v>2536</v>
      </c>
      <c r="M5350" s="8">
        <v>1</v>
      </c>
      <c r="N5350" s="8" t="s">
        <v>27</v>
      </c>
      <c r="O5350" s="13"/>
      <c r="P5350" s="14">
        <v>0.2</v>
      </c>
      <c r="Q5350" s="15">
        <v>0.3</v>
      </c>
      <c r="R5350" s="16" t="str">
        <f t="shared" si="448"/>
        <v>NEC</v>
      </c>
    </row>
    <row r="5351" spans="1:20" ht="27" customHeight="1" x14ac:dyDescent="0.25">
      <c r="A5351" s="32" t="s">
        <v>6990</v>
      </c>
      <c r="H5351" s="8" t="s">
        <v>7063</v>
      </c>
      <c r="I5351" s="33" t="s">
        <v>11083</v>
      </c>
      <c r="J5351" s="34" t="s">
        <v>26</v>
      </c>
      <c r="K5351" s="20">
        <v>2756</v>
      </c>
      <c r="L5351" s="12">
        <f t="shared" si="452"/>
        <v>4725</v>
      </c>
      <c r="M5351" s="8">
        <v>1</v>
      </c>
      <c r="N5351" s="8" t="s">
        <v>27</v>
      </c>
      <c r="O5351" s="13"/>
      <c r="P5351" s="14">
        <v>0.2</v>
      </c>
      <c r="Q5351" s="15">
        <v>0.3</v>
      </c>
      <c r="R5351" s="16" t="str">
        <f t="shared" si="448"/>
        <v>NEC</v>
      </c>
    </row>
    <row r="5352" spans="1:20" ht="27" customHeight="1" x14ac:dyDescent="0.25">
      <c r="A5352" s="32" t="s">
        <v>8308</v>
      </c>
      <c r="H5352" s="8" t="s">
        <v>8389</v>
      </c>
      <c r="I5352" s="33" t="s">
        <v>11084</v>
      </c>
      <c r="J5352" s="34" t="s">
        <v>33</v>
      </c>
      <c r="K5352" s="20">
        <v>3799000</v>
      </c>
      <c r="L5352" s="12">
        <f t="shared" si="452"/>
        <v>5427143</v>
      </c>
      <c r="M5352" s="8">
        <v>1</v>
      </c>
      <c r="N5352" s="8" t="s">
        <v>27</v>
      </c>
      <c r="O5352" s="13"/>
      <c r="P5352" s="14">
        <v>0</v>
      </c>
      <c r="Q5352" s="15">
        <v>0.3</v>
      </c>
      <c r="R5352" s="16" t="str">
        <f t="shared" si="448"/>
        <v>SOLIDVIEW</v>
      </c>
    </row>
    <row r="5353" spans="1:20" ht="27" customHeight="1" x14ac:dyDescent="0.25">
      <c r="A5353" s="32" t="s">
        <v>10735</v>
      </c>
      <c r="H5353" s="8" t="s">
        <v>11085</v>
      </c>
      <c r="I5353" s="33" t="s">
        <v>11086</v>
      </c>
      <c r="J5353" s="34" t="s">
        <v>33</v>
      </c>
      <c r="K5353" s="20">
        <v>183000</v>
      </c>
      <c r="L5353" s="12">
        <f t="shared" si="452"/>
        <v>305000</v>
      </c>
      <c r="M5353" s="8">
        <v>1</v>
      </c>
      <c r="N5353" s="8" t="s">
        <v>27</v>
      </c>
      <c r="O5353" s="13"/>
      <c r="P5353" s="14">
        <v>0</v>
      </c>
      <c r="Q5353" s="15">
        <v>0.4</v>
      </c>
      <c r="R5353" s="16" t="str">
        <f t="shared" si="448"/>
        <v>FOR_LIGHT</v>
      </c>
    </row>
    <row r="5354" spans="1:20" ht="27" customHeight="1" x14ac:dyDescent="0.25">
      <c r="A5354" s="32" t="s">
        <v>10103</v>
      </c>
      <c r="H5354" s="8" t="s">
        <v>11087</v>
      </c>
      <c r="I5354" s="33" t="s">
        <v>11088</v>
      </c>
      <c r="J5354" s="34" t="s">
        <v>26</v>
      </c>
      <c r="K5354" s="20">
        <v>79</v>
      </c>
      <c r="L5354" s="12">
        <f t="shared" si="452"/>
        <v>132</v>
      </c>
      <c r="M5354" s="8">
        <v>1</v>
      </c>
      <c r="N5354" s="8" t="s">
        <v>27</v>
      </c>
      <c r="O5354" s="13"/>
      <c r="P5354" s="14">
        <v>0</v>
      </c>
      <c r="Q5354" s="15">
        <v>0.4</v>
      </c>
      <c r="R5354" s="16" t="str">
        <f t="shared" si="448"/>
        <v>MONITOR</v>
      </c>
    </row>
    <row r="5355" spans="1:20" ht="27" customHeight="1" x14ac:dyDescent="0.25">
      <c r="A5355" s="32" t="s">
        <v>10103</v>
      </c>
      <c r="H5355" s="8" t="s">
        <v>11089</v>
      </c>
      <c r="I5355" s="33" t="s">
        <v>11090</v>
      </c>
      <c r="J5355" s="34" t="s">
        <v>26</v>
      </c>
      <c r="K5355" s="20">
        <v>121</v>
      </c>
      <c r="L5355" s="12">
        <f>K5355*(1+P5355)/(1-Q5355)</f>
        <v>219.99999999999997</v>
      </c>
      <c r="M5355" s="8">
        <v>1</v>
      </c>
      <c r="N5355" s="8" t="s">
        <v>27</v>
      </c>
      <c r="O5355" s="13"/>
      <c r="P5355" s="14">
        <v>0</v>
      </c>
      <c r="Q5355" s="15">
        <v>0.45</v>
      </c>
      <c r="R5355" s="16" t="str">
        <f t="shared" si="448"/>
        <v>MONITOR</v>
      </c>
    </row>
    <row r="5356" spans="1:20" ht="27" customHeight="1" x14ac:dyDescent="0.25">
      <c r="A5356" s="32" t="s">
        <v>679</v>
      </c>
      <c r="H5356" s="8" t="s">
        <v>11091</v>
      </c>
      <c r="I5356" s="33" t="s">
        <v>11092</v>
      </c>
      <c r="J5356" s="34" t="s">
        <v>33</v>
      </c>
      <c r="K5356" s="20">
        <v>698500</v>
      </c>
      <c r="L5356" s="12">
        <f>K5356*(1+P5356)/(1-Q5356)</f>
        <v>997857.14285714296</v>
      </c>
      <c r="M5356" s="8">
        <v>1</v>
      </c>
      <c r="N5356" s="8" t="s">
        <v>27</v>
      </c>
      <c r="O5356" s="13"/>
      <c r="P5356" s="14">
        <v>0</v>
      </c>
      <c r="Q5356" s="15">
        <v>0.3</v>
      </c>
      <c r="R5356" s="16" t="str">
        <f t="shared" si="448"/>
        <v>AUDAC</v>
      </c>
    </row>
    <row r="5357" spans="1:20" ht="27" customHeight="1" x14ac:dyDescent="0.25">
      <c r="A5357" s="8" t="s">
        <v>5672</v>
      </c>
      <c r="B5357" s="9" t="s">
        <v>5666</v>
      </c>
      <c r="C5357" s="9"/>
      <c r="D5357" s="8" t="s">
        <v>188</v>
      </c>
      <c r="E5357" s="8">
        <v>36</v>
      </c>
      <c r="F5357" s="8" t="s">
        <v>22</v>
      </c>
      <c r="G5357" s="10" t="s">
        <v>6003</v>
      </c>
      <c r="H5357" s="8" t="s">
        <v>11093</v>
      </c>
      <c r="I5357" s="10" t="s">
        <v>11094</v>
      </c>
      <c r="J5357" s="11" t="s">
        <v>26</v>
      </c>
      <c r="K5357" s="57">
        <v>150</v>
      </c>
      <c r="L5357" s="12">
        <f t="shared" ref="L5357:L5362" si="453">ROUNDUP(K5357*(1+P5357)/(1-Q5357),0)</f>
        <v>300</v>
      </c>
      <c r="M5357" s="8">
        <v>1</v>
      </c>
      <c r="N5357" s="8" t="s">
        <v>27</v>
      </c>
      <c r="O5357" s="13"/>
      <c r="P5357" s="14">
        <v>0.2</v>
      </c>
      <c r="Q5357" s="15">
        <v>0.4</v>
      </c>
      <c r="R5357" s="16" t="str">
        <f t="shared" si="448"/>
        <v>LUTRON</v>
      </c>
      <c r="S5357" s="17" t="str">
        <f>A5357</f>
        <v>LUTRON</v>
      </c>
      <c r="T5357" s="10" t="str">
        <f>G5357</f>
        <v>TECLADO DE 5 BOTONES TIPO INSERT. CON MARCACIÓN LASER.</v>
      </c>
    </row>
    <row r="5358" spans="1:20" ht="27" customHeight="1" x14ac:dyDescent="0.25">
      <c r="A5358" s="32" t="s">
        <v>11095</v>
      </c>
      <c r="H5358" s="8" t="s">
        <v>11096</v>
      </c>
      <c r="I5358" s="33" t="s">
        <v>11097</v>
      </c>
      <c r="J5358" s="34" t="s">
        <v>26</v>
      </c>
      <c r="K5358" s="20">
        <v>270</v>
      </c>
      <c r="L5358" s="12">
        <f t="shared" si="453"/>
        <v>502</v>
      </c>
      <c r="M5358" s="8">
        <v>1</v>
      </c>
      <c r="N5358" s="8" t="s">
        <v>27</v>
      </c>
      <c r="O5358" s="13"/>
      <c r="P5358" s="14">
        <v>0.3</v>
      </c>
      <c r="Q5358" s="15">
        <v>0.3</v>
      </c>
      <c r="R5358" s="16" t="str">
        <f t="shared" si="448"/>
        <v>SCP</v>
      </c>
    </row>
    <row r="5359" spans="1:20" ht="27" customHeight="1" x14ac:dyDescent="0.25">
      <c r="A5359" s="32" t="s">
        <v>11095</v>
      </c>
      <c r="H5359" s="8" t="s">
        <v>11098</v>
      </c>
      <c r="I5359" s="33" t="s">
        <v>11099</v>
      </c>
      <c r="J5359" s="34" t="s">
        <v>26</v>
      </c>
      <c r="K5359" s="20">
        <v>361.4</v>
      </c>
      <c r="L5359" s="12">
        <f t="shared" si="453"/>
        <v>672</v>
      </c>
      <c r="M5359" s="8">
        <v>1</v>
      </c>
      <c r="N5359" s="8" t="s">
        <v>27</v>
      </c>
      <c r="O5359" s="13"/>
      <c r="P5359" s="14">
        <v>0.3</v>
      </c>
      <c r="Q5359" s="15">
        <v>0.3</v>
      </c>
      <c r="R5359" s="16" t="str">
        <f t="shared" ref="R5359:R5422" si="454">A5359</f>
        <v>SCP</v>
      </c>
    </row>
    <row r="5360" spans="1:20" ht="27" customHeight="1" x14ac:dyDescent="0.25">
      <c r="A5360" s="32" t="s">
        <v>11100</v>
      </c>
      <c r="H5360" s="8" t="s">
        <v>11101</v>
      </c>
      <c r="I5360" s="33" t="s">
        <v>11102</v>
      </c>
      <c r="J5360" s="34" t="s">
        <v>33</v>
      </c>
      <c r="K5360" s="20">
        <v>1100000</v>
      </c>
      <c r="L5360" s="12">
        <f t="shared" si="453"/>
        <v>1571429</v>
      </c>
      <c r="M5360" s="8">
        <v>1</v>
      </c>
      <c r="N5360" s="8" t="s">
        <v>27</v>
      </c>
      <c r="O5360" s="13"/>
      <c r="P5360" s="14">
        <v>0</v>
      </c>
      <c r="Q5360" s="15">
        <v>0.3</v>
      </c>
      <c r="R5360" s="16" t="str">
        <f t="shared" si="454"/>
        <v>JM</v>
      </c>
      <c r="S5360" s="17" t="str">
        <f>A5360</f>
        <v>JM</v>
      </c>
      <c r="T5360" s="10">
        <f t="shared" ref="T5360:T5369" si="455">G5360</f>
        <v>0</v>
      </c>
    </row>
    <row r="5361" spans="1:24" ht="27" customHeight="1" x14ac:dyDescent="0.25">
      <c r="A5361" s="32" t="s">
        <v>11100</v>
      </c>
      <c r="H5361" s="8" t="s">
        <v>11103</v>
      </c>
      <c r="I5361" s="33" t="s">
        <v>11104</v>
      </c>
      <c r="J5361" s="34" t="s">
        <v>33</v>
      </c>
      <c r="K5361" s="20">
        <v>650000</v>
      </c>
      <c r="L5361" s="12">
        <f t="shared" si="453"/>
        <v>928572</v>
      </c>
      <c r="M5361" s="8">
        <v>1</v>
      </c>
      <c r="N5361" s="8" t="s">
        <v>27</v>
      </c>
      <c r="O5361" s="13"/>
      <c r="P5361" s="14">
        <v>0</v>
      </c>
      <c r="Q5361" s="15">
        <v>0.3</v>
      </c>
      <c r="R5361" s="16" t="str">
        <f t="shared" si="454"/>
        <v>JM</v>
      </c>
      <c r="S5361" s="17" t="str">
        <f>A5361</f>
        <v>JM</v>
      </c>
      <c r="T5361" s="10">
        <f t="shared" si="455"/>
        <v>0</v>
      </c>
    </row>
    <row r="5362" spans="1:24" ht="27" customHeight="1" x14ac:dyDescent="0.25">
      <c r="A5362" s="32" t="s">
        <v>11100</v>
      </c>
      <c r="H5362" s="8" t="s">
        <v>11105</v>
      </c>
      <c r="I5362" s="33" t="s">
        <v>11106</v>
      </c>
      <c r="J5362" s="34" t="s">
        <v>33</v>
      </c>
      <c r="K5362" s="20">
        <v>350000</v>
      </c>
      <c r="L5362" s="12">
        <f t="shared" si="453"/>
        <v>500000</v>
      </c>
      <c r="M5362" s="8">
        <v>1</v>
      </c>
      <c r="N5362" s="8" t="s">
        <v>27</v>
      </c>
      <c r="O5362" s="13"/>
      <c r="P5362" s="14">
        <v>0</v>
      </c>
      <c r="Q5362" s="15">
        <v>0.3</v>
      </c>
      <c r="R5362" s="16" t="str">
        <f t="shared" si="454"/>
        <v>JM</v>
      </c>
      <c r="S5362" s="17" t="str">
        <f>A5362</f>
        <v>JM</v>
      </c>
      <c r="T5362" s="10">
        <f t="shared" si="455"/>
        <v>0</v>
      </c>
    </row>
    <row r="5363" spans="1:24" ht="27" customHeight="1" x14ac:dyDescent="0.25">
      <c r="A5363" s="8" t="s">
        <v>1141</v>
      </c>
      <c r="B5363" s="9"/>
      <c r="C5363" s="9"/>
      <c r="D5363" s="8"/>
      <c r="E5363" s="8"/>
      <c r="F5363" s="8" t="s">
        <v>22</v>
      </c>
      <c r="G5363" s="10" t="s">
        <v>1192</v>
      </c>
      <c r="H5363" s="8" t="s">
        <v>10874</v>
      </c>
      <c r="I5363" s="10" t="s">
        <v>11107</v>
      </c>
      <c r="J5363" s="11" t="s">
        <v>33</v>
      </c>
      <c r="K5363" s="18">
        <f>13300/1.19</f>
        <v>11176.470588235296</v>
      </c>
      <c r="L5363" s="12">
        <f t="shared" ref="L5363:L5368" si="456">IF(J5363="P",ROUNDUP(K5363/(1-Q5363),-2),K5363*(1+P5363)/(1-Q5363))</f>
        <v>14000</v>
      </c>
      <c r="M5363" s="8">
        <v>1</v>
      </c>
      <c r="N5363" s="8" t="s">
        <v>27</v>
      </c>
      <c r="O5363" s="13" t="s">
        <v>588</v>
      </c>
      <c r="P5363" s="14">
        <v>0</v>
      </c>
      <c r="Q5363" s="15">
        <v>0.2</v>
      </c>
      <c r="R5363" s="16" t="str">
        <f t="shared" si="454"/>
        <v>CENTELSA</v>
      </c>
      <c r="S5363" s="17"/>
      <c r="T5363" s="10" t="str">
        <f t="shared" si="455"/>
        <v>METRO DE CABLE ENCAUCHETADO AWG 3X12</v>
      </c>
    </row>
    <row r="5364" spans="1:24" ht="27" customHeight="1" x14ac:dyDescent="0.25">
      <c r="A5364" s="32" t="s">
        <v>8836</v>
      </c>
      <c r="H5364" s="8" t="s">
        <v>11108</v>
      </c>
      <c r="I5364" s="33" t="s">
        <v>11109</v>
      </c>
      <c r="J5364" s="34" t="s">
        <v>33</v>
      </c>
      <c r="K5364" s="18">
        <f>64400*0.9</f>
        <v>57960</v>
      </c>
      <c r="L5364" s="12">
        <f t="shared" si="456"/>
        <v>82800</v>
      </c>
      <c r="M5364" s="8">
        <v>1</v>
      </c>
      <c r="N5364" s="8" t="s">
        <v>27</v>
      </c>
      <c r="O5364" s="13" t="s">
        <v>588</v>
      </c>
      <c r="P5364" s="14">
        <v>0</v>
      </c>
      <c r="Q5364" s="15">
        <v>0.3</v>
      </c>
      <c r="R5364" s="16" t="str">
        <f t="shared" si="454"/>
        <v>TECNOLITE</v>
      </c>
      <c r="S5364" s="17"/>
      <c r="T5364" s="10">
        <f t="shared" si="455"/>
        <v>0</v>
      </c>
    </row>
    <row r="5365" spans="1:24" ht="27" customHeight="1" x14ac:dyDescent="0.25">
      <c r="A5365" s="32" t="s">
        <v>2512</v>
      </c>
      <c r="H5365" s="8" t="s">
        <v>11110</v>
      </c>
      <c r="I5365" s="33" t="s">
        <v>11111</v>
      </c>
      <c r="J5365" s="34" t="s">
        <v>33</v>
      </c>
      <c r="K5365" s="20">
        <v>55000</v>
      </c>
      <c r="L5365" s="12">
        <f t="shared" si="456"/>
        <v>91700</v>
      </c>
      <c r="M5365" s="8">
        <v>1</v>
      </c>
      <c r="N5365" s="8" t="s">
        <v>27</v>
      </c>
      <c r="O5365" s="13" t="s">
        <v>588</v>
      </c>
      <c r="P5365" s="14">
        <v>0</v>
      </c>
      <c r="Q5365" s="15">
        <v>0.4</v>
      </c>
      <c r="R5365" s="16" t="str">
        <f t="shared" si="454"/>
        <v>GENERAL</v>
      </c>
      <c r="S5365" s="17"/>
      <c r="T5365" s="10">
        <f t="shared" si="455"/>
        <v>0</v>
      </c>
    </row>
    <row r="5366" spans="1:24" ht="27" customHeight="1" x14ac:dyDescent="0.25">
      <c r="A5366" s="32" t="s">
        <v>2512</v>
      </c>
      <c r="H5366" s="8" t="s">
        <v>11112</v>
      </c>
      <c r="I5366" s="33" t="s">
        <v>11113</v>
      </c>
      <c r="J5366" s="34" t="s">
        <v>33</v>
      </c>
      <c r="K5366" s="20">
        <v>1000000</v>
      </c>
      <c r="L5366" s="12">
        <f t="shared" si="456"/>
        <v>1480000</v>
      </c>
      <c r="M5366" s="8">
        <v>1</v>
      </c>
      <c r="N5366" s="8" t="s">
        <v>27</v>
      </c>
      <c r="O5366" s="13" t="s">
        <v>588</v>
      </c>
      <c r="P5366" s="14">
        <v>0</v>
      </c>
      <c r="Q5366" s="15">
        <v>0.32431494619287232</v>
      </c>
      <c r="R5366" s="16" t="str">
        <f t="shared" si="454"/>
        <v>GENERAL</v>
      </c>
      <c r="S5366" s="17"/>
      <c r="T5366" s="10">
        <f t="shared" si="455"/>
        <v>0</v>
      </c>
    </row>
    <row r="5367" spans="1:24" ht="27" customHeight="1" x14ac:dyDescent="0.25">
      <c r="A5367" s="32" t="s">
        <v>3977</v>
      </c>
      <c r="H5367" s="8" t="s">
        <v>11114</v>
      </c>
      <c r="I5367" s="33" t="s">
        <v>11115</v>
      </c>
      <c r="J5367" s="34" t="s">
        <v>33</v>
      </c>
      <c r="K5367" s="20">
        <v>1000000</v>
      </c>
      <c r="L5367" s="12">
        <f t="shared" si="456"/>
        <v>1522000</v>
      </c>
      <c r="M5367" s="8">
        <v>1</v>
      </c>
      <c r="N5367" s="8" t="s">
        <v>27</v>
      </c>
      <c r="O5367" s="13" t="s">
        <v>588</v>
      </c>
      <c r="P5367" s="14">
        <v>0</v>
      </c>
      <c r="Q5367" s="15">
        <v>0.34296286527328979</v>
      </c>
      <c r="R5367" s="16" t="str">
        <f t="shared" si="454"/>
        <v>KOMODO</v>
      </c>
      <c r="S5367" s="17"/>
      <c r="T5367" s="10">
        <f t="shared" si="455"/>
        <v>0</v>
      </c>
    </row>
    <row r="5368" spans="1:24" ht="27" customHeight="1" x14ac:dyDescent="0.25">
      <c r="A5368" s="32" t="s">
        <v>8836</v>
      </c>
      <c r="H5368" s="8" t="s">
        <v>9159</v>
      </c>
      <c r="I5368" s="33" t="s">
        <v>11116</v>
      </c>
      <c r="J5368" s="34" t="s">
        <v>33</v>
      </c>
      <c r="K5368" s="20">
        <v>49500</v>
      </c>
      <c r="L5368" s="12">
        <f t="shared" si="456"/>
        <v>70800</v>
      </c>
      <c r="M5368" s="8">
        <v>1</v>
      </c>
      <c r="N5368" s="8" t="s">
        <v>27</v>
      </c>
      <c r="O5368" s="13" t="s">
        <v>588</v>
      </c>
      <c r="P5368" s="14">
        <v>0</v>
      </c>
      <c r="Q5368" s="15">
        <v>0.3</v>
      </c>
      <c r="R5368" s="16" t="str">
        <f t="shared" si="454"/>
        <v>TECNOLITE</v>
      </c>
      <c r="S5368" s="17"/>
      <c r="T5368" s="10">
        <f t="shared" si="455"/>
        <v>0</v>
      </c>
    </row>
    <row r="5369" spans="1:24" ht="27" customHeight="1" x14ac:dyDescent="0.25">
      <c r="A5369" s="32" t="s">
        <v>5672</v>
      </c>
      <c r="H5369" s="8" t="s">
        <v>11117</v>
      </c>
      <c r="I5369" s="33" t="s">
        <v>11118</v>
      </c>
      <c r="J5369" s="34" t="s">
        <v>26</v>
      </c>
      <c r="K5369" s="42">
        <v>12.75</v>
      </c>
      <c r="L5369" s="12">
        <f t="shared" ref="L5369:L5395" si="457">ROUNDUP(K5369*(1+P5369)/(1-Q5369),0)</f>
        <v>26</v>
      </c>
      <c r="M5369" s="8">
        <v>1</v>
      </c>
      <c r="N5369" s="8" t="s">
        <v>27</v>
      </c>
      <c r="O5369" s="13"/>
      <c r="P5369" s="14">
        <v>0.2</v>
      </c>
      <c r="Q5369" s="15">
        <v>0.4</v>
      </c>
      <c r="R5369" s="16" t="str">
        <f t="shared" si="454"/>
        <v>LUTRON</v>
      </c>
      <c r="S5369" s="17" t="str">
        <f>A5369</f>
        <v>LUTRON</v>
      </c>
      <c r="T5369" s="10">
        <f t="shared" si="455"/>
        <v>0</v>
      </c>
    </row>
    <row r="5370" spans="1:24" ht="27" customHeight="1" x14ac:dyDescent="0.25">
      <c r="A5370" s="32" t="s">
        <v>5672</v>
      </c>
      <c r="H5370" s="8" t="s">
        <v>11119</v>
      </c>
      <c r="I5370" s="33" t="s">
        <v>11120</v>
      </c>
      <c r="J5370" s="34" t="s">
        <v>26</v>
      </c>
      <c r="K5370" s="42">
        <v>16.2</v>
      </c>
      <c r="L5370" s="12">
        <f t="shared" si="457"/>
        <v>33</v>
      </c>
      <c r="M5370" s="8">
        <v>1</v>
      </c>
      <c r="N5370" s="8" t="s">
        <v>27</v>
      </c>
      <c r="O5370" s="13"/>
      <c r="P5370" s="14">
        <v>0.2</v>
      </c>
      <c r="Q5370" s="15">
        <v>0.4</v>
      </c>
      <c r="R5370" s="16" t="str">
        <f t="shared" si="454"/>
        <v>LUTRON</v>
      </c>
    </row>
    <row r="5371" spans="1:24" ht="27" customHeight="1" x14ac:dyDescent="0.25">
      <c r="A5371" s="32" t="s">
        <v>5672</v>
      </c>
      <c r="H5371" s="8" t="s">
        <v>11121</v>
      </c>
      <c r="I5371" s="33" t="s">
        <v>11122</v>
      </c>
      <c r="J5371" s="34" t="s">
        <v>26</v>
      </c>
      <c r="K5371" s="42">
        <v>8</v>
      </c>
      <c r="L5371" s="12">
        <f t="shared" si="457"/>
        <v>16</v>
      </c>
      <c r="M5371" s="8">
        <v>1</v>
      </c>
      <c r="N5371" s="8" t="s">
        <v>27</v>
      </c>
      <c r="O5371" s="13"/>
      <c r="P5371" s="14">
        <v>0.2</v>
      </c>
      <c r="Q5371" s="15">
        <v>0.4</v>
      </c>
      <c r="R5371" s="16" t="str">
        <f t="shared" si="454"/>
        <v>LUTRON</v>
      </c>
    </row>
    <row r="5372" spans="1:24" ht="27" customHeight="1" x14ac:dyDescent="0.25">
      <c r="A5372" s="32" t="s">
        <v>5672</v>
      </c>
      <c r="H5372" s="8" t="s">
        <v>11123</v>
      </c>
      <c r="I5372" s="33" t="s">
        <v>11124</v>
      </c>
      <c r="J5372" s="34" t="s">
        <v>26</v>
      </c>
      <c r="K5372" s="42">
        <v>4.7</v>
      </c>
      <c r="L5372" s="12">
        <f t="shared" si="457"/>
        <v>10</v>
      </c>
      <c r="M5372" s="8">
        <v>1</v>
      </c>
      <c r="N5372" s="8" t="s">
        <v>27</v>
      </c>
      <c r="O5372" s="13"/>
      <c r="P5372" s="14">
        <v>0.2</v>
      </c>
      <c r="Q5372" s="15">
        <v>0.4</v>
      </c>
      <c r="R5372" s="16" t="str">
        <f t="shared" si="454"/>
        <v>LUTRON</v>
      </c>
      <c r="W5372">
        <f>200*40*15</f>
        <v>120000</v>
      </c>
      <c r="X5372">
        <v>1100000</v>
      </c>
    </row>
    <row r="5373" spans="1:24" ht="27" customHeight="1" x14ac:dyDescent="0.25">
      <c r="A5373" s="32" t="s">
        <v>5672</v>
      </c>
      <c r="H5373" s="8" t="s">
        <v>11125</v>
      </c>
      <c r="I5373" s="33" t="s">
        <v>11126</v>
      </c>
      <c r="J5373" s="34" t="s">
        <v>26</v>
      </c>
      <c r="K5373" s="42">
        <v>74.95</v>
      </c>
      <c r="L5373" s="12">
        <f t="shared" si="457"/>
        <v>150</v>
      </c>
      <c r="M5373" s="8">
        <v>1</v>
      </c>
      <c r="N5373" s="8" t="s">
        <v>27</v>
      </c>
      <c r="O5373" s="13"/>
      <c r="P5373" s="14">
        <v>0.2</v>
      </c>
      <c r="Q5373" s="15">
        <v>0.4</v>
      </c>
      <c r="R5373" s="16" t="str">
        <f t="shared" si="454"/>
        <v>LUTRON</v>
      </c>
      <c r="W5373">
        <f>200*60*15</f>
        <v>180000</v>
      </c>
      <c r="X5373">
        <f>W5373*X5372/W5372</f>
        <v>1650000</v>
      </c>
    </row>
    <row r="5374" spans="1:24" ht="27" customHeight="1" x14ac:dyDescent="0.25">
      <c r="A5374" s="32" t="s">
        <v>11100</v>
      </c>
      <c r="H5374" s="8" t="s">
        <v>11127</v>
      </c>
      <c r="I5374" s="33" t="s">
        <v>11128</v>
      </c>
      <c r="J5374" s="34" t="s">
        <v>33</v>
      </c>
      <c r="K5374" s="20">
        <v>650000</v>
      </c>
      <c r="L5374" s="12">
        <f t="shared" si="457"/>
        <v>928572</v>
      </c>
      <c r="M5374" s="8">
        <v>1</v>
      </c>
      <c r="N5374" s="8" t="s">
        <v>27</v>
      </c>
      <c r="O5374" s="13"/>
      <c r="P5374" s="14">
        <v>0</v>
      </c>
      <c r="Q5374" s="15">
        <v>0.3</v>
      </c>
      <c r="R5374" s="16" t="str">
        <f t="shared" si="454"/>
        <v>JM</v>
      </c>
      <c r="S5374" s="17" t="str">
        <f t="shared" ref="S5374:S5405" si="458">A5374</f>
        <v>JM</v>
      </c>
      <c r="T5374" s="10">
        <f>G5374</f>
        <v>0</v>
      </c>
    </row>
    <row r="5375" spans="1:24" ht="27" customHeight="1" x14ac:dyDescent="0.25">
      <c r="A5375" s="32" t="s">
        <v>3977</v>
      </c>
      <c r="H5375" s="8" t="s">
        <v>11129</v>
      </c>
      <c r="I5375" s="33" t="s">
        <v>11130</v>
      </c>
      <c r="J5375" s="34" t="s">
        <v>33</v>
      </c>
      <c r="K5375" s="20">
        <v>100000</v>
      </c>
      <c r="L5375" s="12">
        <f t="shared" si="457"/>
        <v>142858</v>
      </c>
      <c r="M5375" s="8">
        <v>1</v>
      </c>
      <c r="N5375" s="8" t="s">
        <v>27</v>
      </c>
      <c r="O5375" s="13"/>
      <c r="P5375" s="14">
        <v>0</v>
      </c>
      <c r="Q5375" s="15">
        <v>0.3</v>
      </c>
      <c r="R5375" s="16" t="str">
        <f t="shared" si="454"/>
        <v>KOMODO</v>
      </c>
      <c r="S5375" s="17" t="str">
        <f t="shared" si="458"/>
        <v>KOMODO</v>
      </c>
    </row>
    <row r="5376" spans="1:24" ht="27" customHeight="1" x14ac:dyDescent="0.25">
      <c r="A5376" s="32" t="s">
        <v>11100</v>
      </c>
      <c r="H5376" s="8" t="s">
        <v>11131</v>
      </c>
      <c r="I5376" s="33" t="s">
        <v>11132</v>
      </c>
      <c r="J5376" s="34" t="s">
        <v>33</v>
      </c>
      <c r="K5376" s="20">
        <v>1650000</v>
      </c>
      <c r="L5376" s="12">
        <f t="shared" si="457"/>
        <v>2357143</v>
      </c>
      <c r="M5376" s="8">
        <v>1</v>
      </c>
      <c r="N5376" s="8" t="s">
        <v>27</v>
      </c>
      <c r="O5376" s="13"/>
      <c r="P5376" s="14">
        <v>0</v>
      </c>
      <c r="Q5376" s="15">
        <v>0.3</v>
      </c>
      <c r="R5376" s="16" t="str">
        <f t="shared" si="454"/>
        <v>JM</v>
      </c>
      <c r="S5376" s="17" t="str">
        <f t="shared" si="458"/>
        <v>JM</v>
      </c>
      <c r="T5376" s="10">
        <f>G5376</f>
        <v>0</v>
      </c>
    </row>
    <row r="5377" spans="1:19" ht="27" customHeight="1" x14ac:dyDescent="0.25">
      <c r="A5377" s="32" t="s">
        <v>11133</v>
      </c>
      <c r="H5377" s="8" t="s">
        <v>11134</v>
      </c>
      <c r="I5377" s="33" t="s">
        <v>11135</v>
      </c>
      <c r="J5377" s="34" t="s">
        <v>26</v>
      </c>
      <c r="K5377" s="20">
        <f>24/10</f>
        <v>2.4</v>
      </c>
      <c r="L5377" s="12">
        <f t="shared" si="457"/>
        <v>5</v>
      </c>
      <c r="M5377" s="8">
        <v>1</v>
      </c>
      <c r="N5377" s="8" t="s">
        <v>27</v>
      </c>
      <c r="O5377" s="13"/>
      <c r="P5377" s="14">
        <v>0.2</v>
      </c>
      <c r="Q5377" s="15">
        <v>0.3</v>
      </c>
      <c r="R5377" s="16" t="str">
        <f t="shared" si="454"/>
        <v>POINT</v>
      </c>
      <c r="S5377" s="17" t="str">
        <f t="shared" si="458"/>
        <v>POINT</v>
      </c>
    </row>
    <row r="5378" spans="1:19" ht="27" customHeight="1" x14ac:dyDescent="0.25">
      <c r="A5378" s="32" t="s">
        <v>5170</v>
      </c>
      <c r="H5378" s="8" t="s">
        <v>11136</v>
      </c>
      <c r="I5378" s="33" t="s">
        <v>11137</v>
      </c>
      <c r="J5378" s="34" t="s">
        <v>33</v>
      </c>
      <c r="K5378" s="20">
        <v>55000</v>
      </c>
      <c r="L5378" s="12">
        <f t="shared" si="457"/>
        <v>91667</v>
      </c>
      <c r="M5378" s="8">
        <v>1</v>
      </c>
      <c r="N5378" s="8" t="s">
        <v>27</v>
      </c>
      <c r="O5378" s="13"/>
      <c r="P5378" s="14">
        <v>0</v>
      </c>
      <c r="Q5378" s="15">
        <v>0.4</v>
      </c>
      <c r="R5378" s="16" t="str">
        <f t="shared" si="454"/>
        <v>LEVITON</v>
      </c>
      <c r="S5378" s="17" t="str">
        <f t="shared" si="458"/>
        <v>LEVITON</v>
      </c>
    </row>
    <row r="5379" spans="1:19" ht="27" customHeight="1" x14ac:dyDescent="0.25">
      <c r="A5379" s="32" t="s">
        <v>11138</v>
      </c>
      <c r="H5379" s="8" t="s">
        <v>11139</v>
      </c>
      <c r="I5379" s="33" t="s">
        <v>11140</v>
      </c>
      <c r="J5379" s="34" t="s">
        <v>33</v>
      </c>
      <c r="K5379" s="20">
        <v>120000</v>
      </c>
      <c r="L5379" s="12">
        <f t="shared" si="457"/>
        <v>200000</v>
      </c>
      <c r="M5379" s="8">
        <v>1</v>
      </c>
      <c r="N5379" s="8" t="s">
        <v>27</v>
      </c>
      <c r="O5379" s="13"/>
      <c r="P5379" s="14">
        <v>0</v>
      </c>
      <c r="Q5379" s="15">
        <v>0.4</v>
      </c>
      <c r="R5379" s="16" t="str">
        <f t="shared" si="454"/>
        <v>ICON</v>
      </c>
      <c r="S5379" s="17" t="str">
        <f t="shared" si="458"/>
        <v>ICON</v>
      </c>
    </row>
    <row r="5380" spans="1:19" ht="27" customHeight="1" x14ac:dyDescent="0.25">
      <c r="A5380" s="32" t="s">
        <v>5672</v>
      </c>
      <c r="H5380" s="8" t="s">
        <v>11141</v>
      </c>
      <c r="I5380" s="33" t="s">
        <v>11142</v>
      </c>
      <c r="J5380" s="34" t="s">
        <v>26</v>
      </c>
      <c r="K5380" s="42">
        <v>41.25</v>
      </c>
      <c r="L5380" s="12">
        <f t="shared" si="457"/>
        <v>75</v>
      </c>
      <c r="M5380" s="8">
        <v>1</v>
      </c>
      <c r="N5380" s="8" t="s">
        <v>27</v>
      </c>
      <c r="O5380" s="13"/>
      <c r="P5380" s="14">
        <v>0.2</v>
      </c>
      <c r="Q5380" s="15">
        <v>0.34</v>
      </c>
      <c r="R5380" s="16" t="str">
        <f t="shared" si="454"/>
        <v>LUTRON</v>
      </c>
      <c r="S5380" s="17" t="str">
        <f t="shared" si="458"/>
        <v>LUTRON</v>
      </c>
    </row>
    <row r="5381" spans="1:19" ht="27" customHeight="1" x14ac:dyDescent="0.25">
      <c r="A5381" s="32" t="s">
        <v>5170</v>
      </c>
      <c r="H5381" s="8" t="s">
        <v>11143</v>
      </c>
      <c r="I5381" s="33" t="s">
        <v>11144</v>
      </c>
      <c r="J5381" s="34" t="s">
        <v>26</v>
      </c>
      <c r="K5381" s="20">
        <v>39</v>
      </c>
      <c r="L5381" s="12">
        <f t="shared" si="457"/>
        <v>67</v>
      </c>
      <c r="M5381" s="8">
        <v>1</v>
      </c>
      <c r="N5381" s="8" t="s">
        <v>27</v>
      </c>
      <c r="O5381" s="13"/>
      <c r="P5381" s="14">
        <v>0.2</v>
      </c>
      <c r="Q5381" s="15">
        <v>0.3</v>
      </c>
      <c r="R5381" s="16" t="str">
        <f t="shared" si="454"/>
        <v>LEVITON</v>
      </c>
      <c r="S5381" s="17" t="str">
        <f t="shared" si="458"/>
        <v>LEVITON</v>
      </c>
    </row>
    <row r="5382" spans="1:19" ht="27" customHeight="1" x14ac:dyDescent="0.25">
      <c r="A5382" s="32" t="s">
        <v>5170</v>
      </c>
      <c r="H5382" s="8" t="s">
        <v>11145</v>
      </c>
      <c r="I5382" s="33" t="s">
        <v>11146</v>
      </c>
      <c r="J5382" s="34" t="s">
        <v>26</v>
      </c>
      <c r="K5382" s="20">
        <v>25</v>
      </c>
      <c r="L5382" s="12">
        <f t="shared" si="457"/>
        <v>43</v>
      </c>
      <c r="M5382" s="8">
        <v>1</v>
      </c>
      <c r="N5382" s="8" t="s">
        <v>27</v>
      </c>
      <c r="O5382" s="13"/>
      <c r="P5382" s="14">
        <v>0.2</v>
      </c>
      <c r="Q5382" s="15">
        <v>0.3</v>
      </c>
      <c r="R5382" s="16" t="str">
        <f t="shared" si="454"/>
        <v>LEVITON</v>
      </c>
      <c r="S5382" s="17" t="str">
        <f t="shared" si="458"/>
        <v>LEVITON</v>
      </c>
    </row>
    <row r="5383" spans="1:19" ht="27" customHeight="1" x14ac:dyDescent="0.25">
      <c r="A5383" s="32" t="s">
        <v>5672</v>
      </c>
      <c r="H5383" s="8" t="s">
        <v>11147</v>
      </c>
      <c r="I5383" s="33" t="s">
        <v>11148</v>
      </c>
      <c r="J5383" s="34" t="s">
        <v>26</v>
      </c>
      <c r="K5383" s="42">
        <v>8000</v>
      </c>
      <c r="L5383" s="12">
        <f t="shared" si="457"/>
        <v>16915</v>
      </c>
      <c r="M5383" s="8">
        <v>1</v>
      </c>
      <c r="N5383" s="8" t="s">
        <v>27</v>
      </c>
      <c r="O5383" s="13"/>
      <c r="P5383" s="14">
        <v>0.3</v>
      </c>
      <c r="Q5383" s="15">
        <v>0.38513435264742119</v>
      </c>
      <c r="R5383" s="16" t="str">
        <f t="shared" si="454"/>
        <v>LUTRON</v>
      </c>
      <c r="S5383" s="17" t="str">
        <f t="shared" si="458"/>
        <v>LUTRON</v>
      </c>
    </row>
    <row r="5384" spans="1:19" ht="27" customHeight="1" x14ac:dyDescent="0.25">
      <c r="A5384" s="32" t="s">
        <v>5672</v>
      </c>
      <c r="H5384" s="8" t="s">
        <v>11149</v>
      </c>
      <c r="I5384" s="33" t="s">
        <v>11150</v>
      </c>
      <c r="J5384" s="34" t="s">
        <v>26</v>
      </c>
      <c r="K5384" s="42">
        <v>5000</v>
      </c>
      <c r="L5384" s="12">
        <f t="shared" si="457"/>
        <v>10210</v>
      </c>
      <c r="M5384" s="8">
        <v>1</v>
      </c>
      <c r="N5384" s="8" t="s">
        <v>27</v>
      </c>
      <c r="O5384" s="13"/>
      <c r="P5384" s="14">
        <v>0.3</v>
      </c>
      <c r="Q5384" s="15">
        <v>0.36333742781901451</v>
      </c>
      <c r="R5384" s="16" t="str">
        <f t="shared" si="454"/>
        <v>LUTRON</v>
      </c>
      <c r="S5384" s="17" t="str">
        <f t="shared" si="458"/>
        <v>LUTRON</v>
      </c>
    </row>
    <row r="5385" spans="1:19" ht="27" customHeight="1" x14ac:dyDescent="0.25">
      <c r="A5385" s="32" t="s">
        <v>5672</v>
      </c>
      <c r="H5385" s="8" t="s">
        <v>11151</v>
      </c>
      <c r="I5385" s="33" t="s">
        <v>11152</v>
      </c>
      <c r="J5385" s="34" t="s">
        <v>26</v>
      </c>
      <c r="K5385" s="42">
        <v>1600</v>
      </c>
      <c r="L5385" s="12">
        <f t="shared" si="457"/>
        <v>3223</v>
      </c>
      <c r="M5385" s="8">
        <v>1</v>
      </c>
      <c r="N5385" s="8" t="s">
        <v>27</v>
      </c>
      <c r="O5385" s="13"/>
      <c r="P5385" s="14">
        <v>0.3</v>
      </c>
      <c r="Q5385" s="15">
        <v>0.35461458195746931</v>
      </c>
      <c r="R5385" s="16" t="str">
        <f t="shared" si="454"/>
        <v>LUTRON</v>
      </c>
      <c r="S5385" s="17" t="str">
        <f t="shared" si="458"/>
        <v>LUTRON</v>
      </c>
    </row>
    <row r="5386" spans="1:19" ht="27" customHeight="1" x14ac:dyDescent="0.25">
      <c r="A5386" s="32" t="s">
        <v>5672</v>
      </c>
      <c r="H5386" s="8" t="s">
        <v>11153</v>
      </c>
      <c r="I5386" s="33" t="s">
        <v>11154</v>
      </c>
      <c r="J5386" s="34" t="s">
        <v>26</v>
      </c>
      <c r="K5386" s="42">
        <v>1089</v>
      </c>
      <c r="L5386" s="12">
        <f t="shared" si="457"/>
        <v>1980</v>
      </c>
      <c r="M5386" s="8">
        <v>1</v>
      </c>
      <c r="N5386" s="8" t="s">
        <v>27</v>
      </c>
      <c r="O5386" s="13"/>
      <c r="P5386" s="14">
        <v>0.2</v>
      </c>
      <c r="Q5386" s="15">
        <v>0.33972268907563019</v>
      </c>
      <c r="R5386" s="16" t="str">
        <f t="shared" si="454"/>
        <v>LUTRON</v>
      </c>
      <c r="S5386" s="17" t="str">
        <f t="shared" si="458"/>
        <v>LUTRON</v>
      </c>
    </row>
    <row r="5387" spans="1:19" ht="27" customHeight="1" x14ac:dyDescent="0.25">
      <c r="A5387" s="32" t="s">
        <v>7649</v>
      </c>
      <c r="H5387" s="8" t="s">
        <v>11155</v>
      </c>
      <c r="I5387" s="33" t="s">
        <v>11148</v>
      </c>
      <c r="J5387" s="34" t="s">
        <v>33</v>
      </c>
      <c r="K5387" s="20">
        <v>16260517</v>
      </c>
      <c r="L5387" s="12">
        <f t="shared" si="457"/>
        <v>25016180</v>
      </c>
      <c r="M5387" s="8">
        <v>1</v>
      </c>
      <c r="N5387" s="8" t="s">
        <v>27</v>
      </c>
      <c r="O5387" s="13"/>
      <c r="P5387" s="14">
        <v>0</v>
      </c>
      <c r="Q5387" s="15">
        <v>0.34999999310678742</v>
      </c>
      <c r="R5387" s="16" t="str">
        <f t="shared" si="454"/>
        <v>PANORAMA</v>
      </c>
      <c r="S5387" s="17" t="str">
        <f t="shared" si="458"/>
        <v>PANORAMA</v>
      </c>
    </row>
    <row r="5388" spans="1:19" ht="27" customHeight="1" x14ac:dyDescent="0.25">
      <c r="A5388" s="32" t="s">
        <v>7649</v>
      </c>
      <c r="H5388" s="8" t="s">
        <v>11156</v>
      </c>
      <c r="I5388" s="33" t="s">
        <v>11150</v>
      </c>
      <c r="J5388" s="34" t="s">
        <v>33</v>
      </c>
      <c r="K5388" s="20">
        <v>11421617</v>
      </c>
      <c r="L5388" s="12">
        <f t="shared" si="457"/>
        <v>17571719</v>
      </c>
      <c r="M5388" s="8">
        <v>1</v>
      </c>
      <c r="N5388" s="8" t="s">
        <v>27</v>
      </c>
      <c r="O5388" s="13"/>
      <c r="P5388" s="14">
        <v>0</v>
      </c>
      <c r="Q5388" s="15">
        <v>0.34999999310678742</v>
      </c>
      <c r="R5388" s="16" t="str">
        <f t="shared" si="454"/>
        <v>PANORAMA</v>
      </c>
      <c r="S5388" s="17" t="str">
        <f t="shared" si="458"/>
        <v>PANORAMA</v>
      </c>
    </row>
    <row r="5389" spans="1:19" ht="27" customHeight="1" x14ac:dyDescent="0.25">
      <c r="A5389" s="32" t="s">
        <v>7649</v>
      </c>
      <c r="H5389" s="8" t="s">
        <v>11157</v>
      </c>
      <c r="I5389" s="33" t="s">
        <v>11152</v>
      </c>
      <c r="J5389" s="34" t="s">
        <v>33</v>
      </c>
      <c r="K5389" s="20">
        <v>3538666</v>
      </c>
      <c r="L5389" s="12">
        <f t="shared" si="457"/>
        <v>5444102</v>
      </c>
      <c r="M5389" s="8">
        <v>1</v>
      </c>
      <c r="N5389" s="8" t="s">
        <v>27</v>
      </c>
      <c r="O5389" s="13"/>
      <c r="P5389" s="14">
        <v>0</v>
      </c>
      <c r="Q5389" s="15">
        <v>0.35</v>
      </c>
      <c r="R5389" s="16" t="str">
        <f t="shared" si="454"/>
        <v>PANORAMA</v>
      </c>
      <c r="S5389" s="17" t="str">
        <f t="shared" si="458"/>
        <v>PANORAMA</v>
      </c>
    </row>
    <row r="5390" spans="1:19" ht="27" customHeight="1" x14ac:dyDescent="0.25">
      <c r="A5390" s="32" t="s">
        <v>534</v>
      </c>
      <c r="H5390" s="8" t="s">
        <v>11158</v>
      </c>
      <c r="I5390" s="33" t="s">
        <v>11159</v>
      </c>
      <c r="J5390" s="34" t="s">
        <v>26</v>
      </c>
      <c r="K5390" s="20">
        <v>118</v>
      </c>
      <c r="L5390" s="12">
        <f t="shared" si="457"/>
        <v>236</v>
      </c>
      <c r="M5390" s="8">
        <v>1</v>
      </c>
      <c r="N5390" s="8" t="s">
        <v>27</v>
      </c>
      <c r="O5390" s="13"/>
      <c r="P5390" s="14">
        <v>0.2</v>
      </c>
      <c r="Q5390" s="15">
        <v>0.4</v>
      </c>
      <c r="R5390" s="16" t="str">
        <f t="shared" si="454"/>
        <v>ANTHONY GALLO</v>
      </c>
      <c r="S5390" s="17" t="str">
        <f t="shared" si="458"/>
        <v>ANTHONY GALLO</v>
      </c>
    </row>
    <row r="5391" spans="1:19" ht="27" customHeight="1" x14ac:dyDescent="0.25">
      <c r="A5391" s="32" t="s">
        <v>38</v>
      </c>
      <c r="H5391" s="8" t="s">
        <v>11160</v>
      </c>
      <c r="I5391" t="s">
        <v>11161</v>
      </c>
      <c r="J5391" s="34" t="s">
        <v>26</v>
      </c>
      <c r="K5391" s="20">
        <v>551</v>
      </c>
      <c r="L5391" s="12">
        <f t="shared" si="457"/>
        <v>848</v>
      </c>
      <c r="M5391" s="8">
        <v>1</v>
      </c>
      <c r="N5391" s="8" t="s">
        <v>27</v>
      </c>
      <c r="O5391" s="13"/>
      <c r="P5391" s="14">
        <v>0</v>
      </c>
      <c r="Q5391" s="15">
        <v>0.35</v>
      </c>
      <c r="R5391" s="16" t="str">
        <f t="shared" si="454"/>
        <v>CONTROL4</v>
      </c>
      <c r="S5391" s="17" t="str">
        <f t="shared" si="458"/>
        <v>CONTROL4</v>
      </c>
    </row>
    <row r="5392" spans="1:19" ht="27" customHeight="1" x14ac:dyDescent="0.25">
      <c r="A5392" s="32" t="s">
        <v>3977</v>
      </c>
      <c r="H5392" s="8" t="s">
        <v>11162</v>
      </c>
      <c r="I5392" s="33" t="s">
        <v>11163</v>
      </c>
      <c r="J5392" s="34" t="s">
        <v>33</v>
      </c>
      <c r="K5392" s="20">
        <v>800000</v>
      </c>
      <c r="L5392" s="12">
        <f t="shared" si="457"/>
        <v>1333334</v>
      </c>
      <c r="M5392" s="8">
        <v>1</v>
      </c>
      <c r="N5392" s="8" t="s">
        <v>27</v>
      </c>
      <c r="O5392" s="13"/>
      <c r="P5392" s="14">
        <v>0</v>
      </c>
      <c r="Q5392" s="15">
        <v>0.4</v>
      </c>
      <c r="R5392" s="16" t="str">
        <f t="shared" si="454"/>
        <v>KOMODO</v>
      </c>
      <c r="S5392" s="17" t="str">
        <f t="shared" si="458"/>
        <v>KOMODO</v>
      </c>
    </row>
    <row r="5393" spans="1:29" ht="27" customHeight="1" x14ac:dyDescent="0.25">
      <c r="A5393" s="8" t="s">
        <v>9258</v>
      </c>
      <c r="H5393" s="8" t="s">
        <v>11164</v>
      </c>
      <c r="I5393" s="33" t="s">
        <v>11165</v>
      </c>
      <c r="J5393" s="34" t="s">
        <v>33</v>
      </c>
      <c r="K5393" s="20">
        <v>798000</v>
      </c>
      <c r="L5393" s="12">
        <f t="shared" si="457"/>
        <v>1140000</v>
      </c>
      <c r="M5393" s="8">
        <v>1</v>
      </c>
      <c r="N5393" s="8" t="s">
        <v>27</v>
      </c>
      <c r="O5393" s="13"/>
      <c r="P5393" s="14">
        <v>0</v>
      </c>
      <c r="Q5393" s="15">
        <v>0.3</v>
      </c>
      <c r="R5393" s="16" t="str">
        <f t="shared" si="454"/>
        <v>TP_LINK</v>
      </c>
      <c r="S5393" s="17" t="str">
        <f t="shared" si="458"/>
        <v>TP_LINK</v>
      </c>
    </row>
    <row r="5394" spans="1:29" ht="27" customHeight="1" x14ac:dyDescent="0.25">
      <c r="A5394" s="32" t="s">
        <v>3977</v>
      </c>
      <c r="H5394" s="8" t="s">
        <v>11166</v>
      </c>
      <c r="I5394" s="33" t="s">
        <v>11167</v>
      </c>
      <c r="J5394" s="34" t="s">
        <v>33</v>
      </c>
      <c r="K5394" s="20">
        <v>500000</v>
      </c>
      <c r="L5394" s="12">
        <f t="shared" si="457"/>
        <v>714286</v>
      </c>
      <c r="M5394" s="8">
        <v>1</v>
      </c>
      <c r="N5394" s="8" t="s">
        <v>27</v>
      </c>
      <c r="O5394" s="13"/>
      <c r="P5394" s="14">
        <v>0</v>
      </c>
      <c r="Q5394" s="15">
        <v>0.3</v>
      </c>
      <c r="R5394" s="16" t="str">
        <f t="shared" si="454"/>
        <v>KOMODO</v>
      </c>
      <c r="S5394" s="17" t="str">
        <f t="shared" si="458"/>
        <v>KOMODO</v>
      </c>
    </row>
    <row r="5395" spans="1:29" ht="27" customHeight="1" x14ac:dyDescent="0.25">
      <c r="A5395" s="32" t="s">
        <v>1867</v>
      </c>
      <c r="H5395" s="8" t="s">
        <v>11168</v>
      </c>
      <c r="I5395" s="33" t="s">
        <v>11169</v>
      </c>
      <c r="J5395" s="34" t="s">
        <v>26</v>
      </c>
      <c r="K5395" s="20">
        <v>718</v>
      </c>
      <c r="L5395" s="12">
        <f t="shared" si="457"/>
        <v>1026</v>
      </c>
      <c r="M5395" s="8">
        <v>1</v>
      </c>
      <c r="N5395" s="8" t="s">
        <v>27</v>
      </c>
      <c r="O5395" s="13"/>
      <c r="P5395" s="14">
        <v>0</v>
      </c>
      <c r="Q5395" s="15">
        <v>0.3</v>
      </c>
      <c r="R5395" s="16" t="str">
        <f t="shared" si="454"/>
        <v>DENON</v>
      </c>
      <c r="S5395" s="52" t="str">
        <f t="shared" si="458"/>
        <v>DENON</v>
      </c>
      <c r="T5395" s="54"/>
    </row>
    <row r="5396" spans="1:29" ht="27" customHeight="1" x14ac:dyDescent="0.25">
      <c r="A5396" s="32" t="s">
        <v>5672</v>
      </c>
      <c r="H5396" s="8" t="s">
        <v>11170</v>
      </c>
      <c r="I5396" s="33" t="s">
        <v>11171</v>
      </c>
      <c r="J5396" s="34" t="s">
        <v>26</v>
      </c>
      <c r="K5396" s="57">
        <v>543.20000000000005</v>
      </c>
      <c r="L5396" s="12">
        <f t="shared" ref="L5396:L5436" si="459">K5396*(1+P5396)/(1-Q5396)</f>
        <v>970.00071848484197</v>
      </c>
      <c r="M5396" s="8">
        <v>1</v>
      </c>
      <c r="N5396" s="8" t="s">
        <v>27</v>
      </c>
      <c r="O5396" s="13"/>
      <c r="P5396" s="14">
        <v>0.2</v>
      </c>
      <c r="Q5396" s="15">
        <v>0.32800049775407852</v>
      </c>
      <c r="R5396" s="16" t="str">
        <f t="shared" si="454"/>
        <v>LUTRON</v>
      </c>
      <c r="S5396" s="17" t="str">
        <f t="shared" si="458"/>
        <v>LUTRON</v>
      </c>
      <c r="T5396" s="10">
        <f>G5396</f>
        <v>0</v>
      </c>
      <c r="W5396" s="20">
        <f>543*1.2/0.85*4000</f>
        <v>3066352.9411764708</v>
      </c>
      <c r="X5396" s="21">
        <f>L5396*4000</f>
        <v>3880002.8739393679</v>
      </c>
      <c r="AB5396" s="112">
        <v>1</v>
      </c>
      <c r="AC5396" s="76" t="s">
        <v>11172</v>
      </c>
    </row>
    <row r="5397" spans="1:29" ht="27" customHeight="1" x14ac:dyDescent="0.25">
      <c r="A5397" s="32" t="s">
        <v>11173</v>
      </c>
      <c r="H5397" s="8" t="s">
        <v>11174</v>
      </c>
      <c r="I5397" s="33" t="s">
        <v>11175</v>
      </c>
      <c r="J5397" s="34" t="s">
        <v>26</v>
      </c>
      <c r="K5397" s="20">
        <v>13</v>
      </c>
      <c r="L5397" s="12">
        <f t="shared" si="459"/>
        <v>26</v>
      </c>
      <c r="M5397" s="8">
        <v>1</v>
      </c>
      <c r="N5397" s="8" t="s">
        <v>27</v>
      </c>
      <c r="O5397" s="13"/>
      <c r="P5397" s="14">
        <v>0.2</v>
      </c>
      <c r="Q5397" s="15">
        <v>0.4</v>
      </c>
      <c r="R5397" s="16" t="str">
        <f t="shared" si="454"/>
        <v>VENTION</v>
      </c>
      <c r="S5397" s="52" t="str">
        <f t="shared" si="458"/>
        <v>VENTION</v>
      </c>
      <c r="T5397" t="s">
        <v>11176</v>
      </c>
    </row>
    <row r="5398" spans="1:29" ht="27" customHeight="1" x14ac:dyDescent="0.25">
      <c r="A5398" s="32" t="s">
        <v>183</v>
      </c>
      <c r="H5398" s="8" t="s">
        <v>11177</v>
      </c>
      <c r="I5398" s="33" t="s">
        <v>11178</v>
      </c>
      <c r="J5398" s="34" t="s">
        <v>26</v>
      </c>
      <c r="K5398" s="20">
        <v>600</v>
      </c>
      <c r="L5398" s="12">
        <f t="shared" si="459"/>
        <v>1200</v>
      </c>
      <c r="M5398" s="8">
        <v>1</v>
      </c>
      <c r="N5398" s="8" t="s">
        <v>27</v>
      </c>
      <c r="O5398" s="13"/>
      <c r="P5398" s="14">
        <v>0.2</v>
      </c>
      <c r="Q5398" s="15">
        <v>0.4</v>
      </c>
      <c r="R5398" s="16" t="str">
        <f t="shared" si="454"/>
        <v>AMX</v>
      </c>
      <c r="S5398" s="52" t="str">
        <f t="shared" si="458"/>
        <v>AMX</v>
      </c>
      <c r="AB5398" s="112">
        <v>2</v>
      </c>
    </row>
    <row r="5399" spans="1:29" ht="27" customHeight="1" x14ac:dyDescent="0.25">
      <c r="A5399" s="32" t="s">
        <v>11179</v>
      </c>
      <c r="H5399" s="8" t="s">
        <v>11180</v>
      </c>
      <c r="I5399" s="33" t="s">
        <v>11181</v>
      </c>
      <c r="J5399" s="34" t="s">
        <v>33</v>
      </c>
      <c r="K5399" s="20">
        <v>481000</v>
      </c>
      <c r="L5399" s="12">
        <f t="shared" si="459"/>
        <v>1154400</v>
      </c>
      <c r="M5399" s="8">
        <v>1</v>
      </c>
      <c r="N5399" s="8" t="s">
        <v>27</v>
      </c>
      <c r="O5399" s="13"/>
      <c r="P5399" s="14">
        <v>0.2</v>
      </c>
      <c r="Q5399" s="15">
        <v>0.5</v>
      </c>
      <c r="R5399" s="16" t="str">
        <f t="shared" si="454"/>
        <v>FULI</v>
      </c>
      <c r="S5399" s="52" t="str">
        <f t="shared" si="458"/>
        <v>FULI</v>
      </c>
      <c r="T5399" s="39" t="s">
        <v>11182</v>
      </c>
    </row>
    <row r="5400" spans="1:29" ht="27" customHeight="1" x14ac:dyDescent="0.25">
      <c r="A5400" s="32" t="s">
        <v>3977</v>
      </c>
      <c r="H5400" s="8" t="s">
        <v>11183</v>
      </c>
      <c r="I5400" s="33" t="s">
        <v>11184</v>
      </c>
      <c r="J5400" s="34" t="s">
        <v>33</v>
      </c>
      <c r="K5400" s="20">
        <v>150000</v>
      </c>
      <c r="L5400" s="12">
        <f t="shared" si="459"/>
        <v>300000</v>
      </c>
      <c r="M5400" s="8">
        <v>1</v>
      </c>
      <c r="N5400" s="8" t="s">
        <v>27</v>
      </c>
      <c r="O5400" s="13"/>
      <c r="P5400" s="14">
        <v>0.2</v>
      </c>
      <c r="Q5400" s="15">
        <v>0.4</v>
      </c>
      <c r="R5400" s="16" t="str">
        <f t="shared" si="454"/>
        <v>KOMODO</v>
      </c>
      <c r="S5400" s="52" t="str">
        <f t="shared" si="458"/>
        <v>KOMODO</v>
      </c>
    </row>
    <row r="5401" spans="1:29" ht="27" customHeight="1" x14ac:dyDescent="0.25">
      <c r="A5401" s="32" t="s">
        <v>8308</v>
      </c>
      <c r="H5401" s="8" t="s">
        <v>11185</v>
      </c>
      <c r="I5401" s="33" t="s">
        <v>11186</v>
      </c>
      <c r="J5401" s="34" t="s">
        <v>33</v>
      </c>
      <c r="K5401" s="20">
        <v>40000</v>
      </c>
      <c r="L5401" s="12">
        <f t="shared" si="459"/>
        <v>80000</v>
      </c>
      <c r="M5401" s="8">
        <v>1</v>
      </c>
      <c r="N5401" s="8" t="s">
        <v>27</v>
      </c>
      <c r="O5401" s="13"/>
      <c r="P5401" s="14">
        <v>0.2</v>
      </c>
      <c r="Q5401" s="15">
        <v>0.4</v>
      </c>
      <c r="R5401" s="16" t="str">
        <f t="shared" si="454"/>
        <v>SOLIDVIEW</v>
      </c>
      <c r="S5401" s="52" t="str">
        <f t="shared" si="458"/>
        <v>SOLIDVIEW</v>
      </c>
    </row>
    <row r="5402" spans="1:29" ht="27" customHeight="1" x14ac:dyDescent="0.25">
      <c r="A5402" s="32" t="s">
        <v>10258</v>
      </c>
      <c r="H5402" s="8" t="s">
        <v>11187</v>
      </c>
      <c r="I5402" s="33" t="s">
        <v>11188</v>
      </c>
      <c r="J5402" s="34" t="s">
        <v>26</v>
      </c>
      <c r="K5402" s="20">
        <v>13.67</v>
      </c>
      <c r="L5402" s="12">
        <f t="shared" si="459"/>
        <v>31.896666666666665</v>
      </c>
      <c r="M5402" s="8">
        <v>1</v>
      </c>
      <c r="N5402" s="8" t="s">
        <v>27</v>
      </c>
      <c r="O5402" s="13"/>
      <c r="P5402" s="14">
        <v>0.4</v>
      </c>
      <c r="Q5402" s="15">
        <v>0.4</v>
      </c>
      <c r="R5402" s="16" t="str">
        <f t="shared" si="454"/>
        <v>SC_POWER</v>
      </c>
      <c r="S5402" s="52" t="str">
        <f t="shared" si="458"/>
        <v>SC_POWER</v>
      </c>
      <c r="T5402">
        <f>14*1.3/0.75</f>
        <v>24.266666666666666</v>
      </c>
    </row>
    <row r="5403" spans="1:29" ht="27" customHeight="1" x14ac:dyDescent="0.25">
      <c r="A5403" s="32" t="s">
        <v>10258</v>
      </c>
      <c r="H5403" s="8" t="s">
        <v>11189</v>
      </c>
      <c r="I5403" s="33" t="s">
        <v>11190</v>
      </c>
      <c r="J5403" s="34" t="s">
        <v>26</v>
      </c>
      <c r="K5403" s="20">
        <v>19.39</v>
      </c>
      <c r="L5403" s="12">
        <f t="shared" si="459"/>
        <v>45.243333333333339</v>
      </c>
      <c r="M5403" s="8">
        <v>1</v>
      </c>
      <c r="N5403" s="8" t="s">
        <v>27</v>
      </c>
      <c r="O5403" s="13"/>
      <c r="P5403" s="14">
        <v>0.4</v>
      </c>
      <c r="Q5403" s="15">
        <v>0.4</v>
      </c>
      <c r="R5403" s="16" t="str">
        <f t="shared" si="454"/>
        <v>SC_POWER</v>
      </c>
      <c r="S5403" s="52" t="str">
        <f t="shared" si="458"/>
        <v>SC_POWER</v>
      </c>
      <c r="T5403">
        <f>+L5403*4100*0.8</f>
        <v>148398.13333333336</v>
      </c>
    </row>
    <row r="5404" spans="1:29" ht="27" customHeight="1" x14ac:dyDescent="0.25">
      <c r="A5404" s="32" t="s">
        <v>10258</v>
      </c>
      <c r="H5404" s="8" t="s">
        <v>11191</v>
      </c>
      <c r="I5404" s="33" t="s">
        <v>11192</v>
      </c>
      <c r="J5404" s="34" t="s">
        <v>26</v>
      </c>
      <c r="K5404" s="20">
        <v>30.32</v>
      </c>
      <c r="L5404" s="12">
        <f t="shared" si="459"/>
        <v>70.74666666666667</v>
      </c>
      <c r="M5404" s="8">
        <v>1</v>
      </c>
      <c r="N5404" s="8" t="s">
        <v>27</v>
      </c>
      <c r="O5404" s="13"/>
      <c r="P5404" s="14">
        <v>0.4</v>
      </c>
      <c r="Q5404" s="15">
        <v>0.4</v>
      </c>
      <c r="R5404" s="16" t="str">
        <f t="shared" si="454"/>
        <v>SC_POWER</v>
      </c>
      <c r="S5404" s="52" t="str">
        <f t="shared" si="458"/>
        <v>SC_POWER</v>
      </c>
    </row>
    <row r="5405" spans="1:29" ht="27" customHeight="1" x14ac:dyDescent="0.25">
      <c r="A5405" s="32" t="s">
        <v>10258</v>
      </c>
      <c r="H5405" s="8" t="s">
        <v>11193</v>
      </c>
      <c r="I5405" s="33" t="s">
        <v>11194</v>
      </c>
      <c r="J5405" s="34" t="s">
        <v>26</v>
      </c>
      <c r="K5405" s="20">
        <v>43.77</v>
      </c>
      <c r="L5405" s="12">
        <f t="shared" si="459"/>
        <v>102.13</v>
      </c>
      <c r="M5405" s="8">
        <v>1</v>
      </c>
      <c r="N5405" s="8" t="s">
        <v>27</v>
      </c>
      <c r="O5405" s="13"/>
      <c r="P5405" s="14">
        <v>0.4</v>
      </c>
      <c r="Q5405" s="15">
        <v>0.4</v>
      </c>
      <c r="R5405" s="16" t="str">
        <f t="shared" si="454"/>
        <v>SC_POWER</v>
      </c>
      <c r="S5405" s="52" t="str">
        <f t="shared" si="458"/>
        <v>SC_POWER</v>
      </c>
    </row>
    <row r="5406" spans="1:29" ht="27" customHeight="1" x14ac:dyDescent="0.25">
      <c r="A5406" s="32" t="s">
        <v>10258</v>
      </c>
      <c r="H5406" s="8" t="s">
        <v>11195</v>
      </c>
      <c r="I5406" s="33" t="s">
        <v>11196</v>
      </c>
      <c r="J5406" s="34" t="s">
        <v>26</v>
      </c>
      <c r="K5406" s="20">
        <v>57.24</v>
      </c>
      <c r="L5406" s="12">
        <f t="shared" si="459"/>
        <v>133.56</v>
      </c>
      <c r="M5406" s="8">
        <v>1</v>
      </c>
      <c r="N5406" s="8" t="s">
        <v>27</v>
      </c>
      <c r="O5406" s="13"/>
      <c r="P5406" s="14">
        <v>0.4</v>
      </c>
      <c r="Q5406" s="15">
        <v>0.4</v>
      </c>
      <c r="R5406" s="16" t="str">
        <f t="shared" si="454"/>
        <v>SC_POWER</v>
      </c>
      <c r="S5406" s="52" t="str">
        <f t="shared" ref="S5406:S5439" si="460">A5406</f>
        <v>SC_POWER</v>
      </c>
    </row>
    <row r="5407" spans="1:29" ht="27" customHeight="1" x14ac:dyDescent="0.25">
      <c r="A5407" s="32" t="s">
        <v>10258</v>
      </c>
      <c r="H5407" s="8" t="s">
        <v>11197</v>
      </c>
      <c r="I5407" s="33" t="s">
        <v>11198</v>
      </c>
      <c r="J5407" s="34" t="s">
        <v>26</v>
      </c>
      <c r="K5407" s="20">
        <v>14.53</v>
      </c>
      <c r="L5407" s="12">
        <f t="shared" si="459"/>
        <v>33.903333333333336</v>
      </c>
      <c r="M5407" s="8">
        <v>1</v>
      </c>
      <c r="N5407" s="8" t="s">
        <v>27</v>
      </c>
      <c r="O5407" s="13"/>
      <c r="P5407" s="14">
        <v>0.4</v>
      </c>
      <c r="Q5407" s="15">
        <v>0.4</v>
      </c>
      <c r="R5407" s="16" t="str">
        <f t="shared" si="454"/>
        <v>SC_POWER</v>
      </c>
      <c r="S5407" s="52" t="str">
        <f t="shared" si="460"/>
        <v>SC_POWER</v>
      </c>
    </row>
    <row r="5408" spans="1:29" ht="27" customHeight="1" x14ac:dyDescent="0.25">
      <c r="A5408" s="32" t="s">
        <v>11199</v>
      </c>
      <c r="H5408" s="8" t="s">
        <v>11200</v>
      </c>
      <c r="I5408" s="33" t="s">
        <v>11201</v>
      </c>
      <c r="J5408" s="34" t="s">
        <v>33</v>
      </c>
      <c r="K5408" s="20">
        <f>700000/3</f>
        <v>233333.33333333334</v>
      </c>
      <c r="L5408" s="12">
        <f t="shared" si="459"/>
        <v>388888.88888888893</v>
      </c>
      <c r="M5408" s="8">
        <v>1</v>
      </c>
      <c r="N5408" s="8" t="s">
        <v>27</v>
      </c>
      <c r="O5408" s="13"/>
      <c r="P5408" s="14">
        <v>0</v>
      </c>
      <c r="Q5408" s="15">
        <v>0.4</v>
      </c>
      <c r="R5408" s="16" t="str">
        <f t="shared" si="454"/>
        <v>DCB</v>
      </c>
      <c r="S5408" s="52" t="str">
        <f t="shared" si="460"/>
        <v>DCB</v>
      </c>
    </row>
    <row r="5409" spans="1:19" ht="27" customHeight="1" x14ac:dyDescent="0.25">
      <c r="A5409" s="43" t="s">
        <v>11199</v>
      </c>
      <c r="B5409" s="19"/>
      <c r="C5409" s="19"/>
      <c r="D5409" s="19"/>
      <c r="E5409" s="19"/>
      <c r="F5409" s="19"/>
      <c r="G5409" s="19"/>
      <c r="H5409" s="8" t="s">
        <v>11202</v>
      </c>
      <c r="I5409" s="19" t="s">
        <v>11203</v>
      </c>
      <c r="J5409" s="19" t="s">
        <v>33</v>
      </c>
      <c r="K5409" s="36">
        <v>165000</v>
      </c>
      <c r="L5409" s="12">
        <f t="shared" si="459"/>
        <v>275000</v>
      </c>
      <c r="M5409" s="8">
        <v>1</v>
      </c>
      <c r="N5409" s="8" t="s">
        <v>27</v>
      </c>
      <c r="O5409" s="13"/>
      <c r="P5409" s="14">
        <v>0</v>
      </c>
      <c r="Q5409" s="15">
        <v>0.4</v>
      </c>
      <c r="R5409" s="16" t="str">
        <f t="shared" si="454"/>
        <v>DCB</v>
      </c>
      <c r="S5409" s="52" t="str">
        <f t="shared" si="460"/>
        <v>DCB</v>
      </c>
    </row>
    <row r="5410" spans="1:19" ht="27" customHeight="1" x14ac:dyDescent="0.25">
      <c r="A5410" s="49" t="s">
        <v>11199</v>
      </c>
      <c r="B5410" s="24"/>
      <c r="C5410" s="24"/>
      <c r="D5410" s="24"/>
      <c r="E5410" s="24"/>
      <c r="F5410" s="24"/>
      <c r="G5410" s="24"/>
      <c r="H5410" s="8" t="s">
        <v>11204</v>
      </c>
      <c r="I5410" s="24" t="s">
        <v>11205</v>
      </c>
      <c r="J5410" s="24" t="s">
        <v>33</v>
      </c>
      <c r="K5410" s="26">
        <v>215000</v>
      </c>
      <c r="L5410" s="12">
        <f t="shared" si="459"/>
        <v>358333.33333333337</v>
      </c>
      <c r="M5410" s="8">
        <v>1</v>
      </c>
      <c r="N5410" s="8" t="s">
        <v>27</v>
      </c>
      <c r="O5410" s="13"/>
      <c r="P5410" s="14">
        <v>0</v>
      </c>
      <c r="Q5410" s="15">
        <v>0.4</v>
      </c>
      <c r="R5410" s="16" t="str">
        <f t="shared" si="454"/>
        <v>DCB</v>
      </c>
      <c r="S5410" s="52" t="str">
        <f t="shared" si="460"/>
        <v>DCB</v>
      </c>
    </row>
    <row r="5411" spans="1:19" ht="27" customHeight="1" x14ac:dyDescent="0.25">
      <c r="A5411" s="49" t="s">
        <v>11199</v>
      </c>
      <c r="H5411" s="8" t="s">
        <v>11206</v>
      </c>
      <c r="I5411" s="33" t="s">
        <v>11207</v>
      </c>
      <c r="J5411" s="34" t="s">
        <v>33</v>
      </c>
      <c r="K5411" s="26">
        <v>258000</v>
      </c>
      <c r="L5411" s="12">
        <f t="shared" si="459"/>
        <v>430000</v>
      </c>
      <c r="M5411" s="8">
        <v>1</v>
      </c>
      <c r="N5411" s="8" t="s">
        <v>27</v>
      </c>
      <c r="O5411" s="13"/>
      <c r="P5411" s="14">
        <v>0</v>
      </c>
      <c r="Q5411" s="15">
        <v>0.4</v>
      </c>
      <c r="R5411" s="16" t="str">
        <f t="shared" si="454"/>
        <v>DCB</v>
      </c>
      <c r="S5411" s="52" t="str">
        <f t="shared" si="460"/>
        <v>DCB</v>
      </c>
    </row>
    <row r="5412" spans="1:19" ht="27" customHeight="1" x14ac:dyDescent="0.25">
      <c r="A5412" s="49" t="s">
        <v>11199</v>
      </c>
      <c r="H5412" s="8" t="s">
        <v>11208</v>
      </c>
      <c r="I5412" s="33" t="s">
        <v>11209</v>
      </c>
      <c r="J5412" s="34" t="s">
        <v>33</v>
      </c>
      <c r="K5412" s="20">
        <v>158000</v>
      </c>
      <c r="L5412" s="12">
        <f t="shared" si="459"/>
        <v>263333.33333333337</v>
      </c>
      <c r="M5412" s="8">
        <v>1</v>
      </c>
      <c r="N5412" s="8" t="s">
        <v>27</v>
      </c>
      <c r="O5412" s="13"/>
      <c r="P5412" s="14">
        <v>0</v>
      </c>
      <c r="Q5412" s="15">
        <v>0.4</v>
      </c>
      <c r="R5412" s="16" t="str">
        <f t="shared" si="454"/>
        <v>DCB</v>
      </c>
      <c r="S5412" s="52" t="str">
        <f t="shared" si="460"/>
        <v>DCB</v>
      </c>
    </row>
    <row r="5413" spans="1:19" ht="27" customHeight="1" x14ac:dyDescent="0.25">
      <c r="A5413" s="49" t="s">
        <v>11199</v>
      </c>
      <c r="H5413" s="8" t="s">
        <v>11210</v>
      </c>
      <c r="I5413" s="33" t="s">
        <v>11211</v>
      </c>
      <c r="J5413" s="34" t="s">
        <v>33</v>
      </c>
      <c r="K5413" s="20">
        <v>118000</v>
      </c>
      <c r="L5413" s="12">
        <f t="shared" si="459"/>
        <v>196666.66666666669</v>
      </c>
      <c r="M5413" s="8">
        <v>1</v>
      </c>
      <c r="N5413" s="8" t="s">
        <v>27</v>
      </c>
      <c r="O5413" s="13"/>
      <c r="P5413" s="14">
        <v>0</v>
      </c>
      <c r="Q5413" s="15">
        <v>0.4</v>
      </c>
      <c r="R5413" s="16" t="str">
        <f t="shared" si="454"/>
        <v>DCB</v>
      </c>
      <c r="S5413" s="52" t="str">
        <f t="shared" si="460"/>
        <v>DCB</v>
      </c>
    </row>
    <row r="5414" spans="1:19" ht="27" customHeight="1" x14ac:dyDescent="0.25">
      <c r="A5414" s="49" t="s">
        <v>11199</v>
      </c>
      <c r="H5414" s="8" t="s">
        <v>11212</v>
      </c>
      <c r="I5414" s="33" t="s">
        <v>11213</v>
      </c>
      <c r="J5414" s="34" t="s">
        <v>33</v>
      </c>
      <c r="K5414" s="20">
        <v>136000</v>
      </c>
      <c r="L5414" s="12">
        <f t="shared" si="459"/>
        <v>226666.66666666669</v>
      </c>
      <c r="M5414" s="8">
        <v>1</v>
      </c>
      <c r="N5414" s="8" t="s">
        <v>27</v>
      </c>
      <c r="O5414" s="13"/>
      <c r="P5414" s="14">
        <v>0</v>
      </c>
      <c r="Q5414" s="15">
        <v>0.4</v>
      </c>
      <c r="R5414" s="16" t="str">
        <f t="shared" si="454"/>
        <v>DCB</v>
      </c>
      <c r="S5414" s="52" t="str">
        <f t="shared" si="460"/>
        <v>DCB</v>
      </c>
    </row>
    <row r="5415" spans="1:19" ht="27" customHeight="1" x14ac:dyDescent="0.25">
      <c r="A5415" s="53" t="s">
        <v>6886</v>
      </c>
      <c r="H5415" s="8" t="s">
        <v>141</v>
      </c>
      <c r="I5415" s="33" t="s">
        <v>11214</v>
      </c>
      <c r="J5415" s="34" t="s">
        <v>26</v>
      </c>
      <c r="K5415" s="20">
        <v>80</v>
      </c>
      <c r="L5415" s="12">
        <f t="shared" si="459"/>
        <v>160</v>
      </c>
      <c r="M5415" s="8">
        <v>1</v>
      </c>
      <c r="N5415" s="8" t="s">
        <v>27</v>
      </c>
      <c r="O5415" s="13"/>
      <c r="P5415" s="14">
        <v>0.2</v>
      </c>
      <c r="Q5415" s="15">
        <v>0.4</v>
      </c>
      <c r="R5415" s="16" t="str">
        <f t="shared" si="454"/>
        <v>MEANWELL</v>
      </c>
      <c r="S5415" s="52" t="str">
        <f t="shared" si="460"/>
        <v>MEANWELL</v>
      </c>
    </row>
    <row r="5416" spans="1:19" ht="27" customHeight="1" x14ac:dyDescent="0.25">
      <c r="A5416" s="53" t="s">
        <v>5027</v>
      </c>
      <c r="H5416" s="8" t="s">
        <v>11215</v>
      </c>
      <c r="I5416" s="33" t="s">
        <v>11216</v>
      </c>
      <c r="J5416" s="34" t="s">
        <v>33</v>
      </c>
      <c r="K5416" s="20">
        <f>142300/1.19</f>
        <v>119579.83193277312</v>
      </c>
      <c r="L5416" s="12">
        <f t="shared" si="459"/>
        <v>170828.33133253304</v>
      </c>
      <c r="M5416" s="8">
        <v>1</v>
      </c>
      <c r="N5416" s="8" t="s">
        <v>27</v>
      </c>
      <c r="O5416" s="13"/>
      <c r="P5416" s="14">
        <v>0</v>
      </c>
      <c r="Q5416" s="15">
        <v>0.3</v>
      </c>
      <c r="R5416" s="16" t="str">
        <f t="shared" si="454"/>
        <v>LEDS_C4</v>
      </c>
      <c r="S5416" s="52" t="str">
        <f t="shared" si="460"/>
        <v>LEDS_C4</v>
      </c>
    </row>
    <row r="5417" spans="1:19" ht="27" customHeight="1" x14ac:dyDescent="0.25">
      <c r="A5417" s="53" t="s">
        <v>11217</v>
      </c>
      <c r="H5417" s="8" t="s">
        <v>11218</v>
      </c>
      <c r="I5417" s="33" t="s">
        <v>11219</v>
      </c>
      <c r="J5417" s="34" t="s">
        <v>33</v>
      </c>
      <c r="K5417" s="20">
        <v>3450000</v>
      </c>
      <c r="L5417" s="12">
        <f t="shared" si="459"/>
        <v>4600000</v>
      </c>
      <c r="M5417" s="8">
        <v>1</v>
      </c>
      <c r="N5417" s="8" t="s">
        <v>27</v>
      </c>
      <c r="O5417" s="13"/>
      <c r="P5417" s="14">
        <v>0</v>
      </c>
      <c r="Q5417" s="15">
        <v>0.25</v>
      </c>
      <c r="R5417" s="16" t="str">
        <f t="shared" si="454"/>
        <v>UNILUMIN</v>
      </c>
      <c r="S5417" s="52" t="str">
        <f t="shared" si="460"/>
        <v>UNILUMIN</v>
      </c>
    </row>
    <row r="5418" spans="1:19" ht="27" customHeight="1" x14ac:dyDescent="0.25">
      <c r="A5418" s="53" t="s">
        <v>11217</v>
      </c>
      <c r="H5418" s="8" t="s">
        <v>11220</v>
      </c>
      <c r="I5418" s="33" t="s">
        <v>11221</v>
      </c>
      <c r="J5418" s="34" t="s">
        <v>33</v>
      </c>
      <c r="K5418" s="20">
        <v>1650000</v>
      </c>
      <c r="L5418" s="12">
        <f t="shared" si="459"/>
        <v>2200000</v>
      </c>
      <c r="M5418" s="8">
        <v>1</v>
      </c>
      <c r="N5418" s="8" t="s">
        <v>27</v>
      </c>
      <c r="O5418" s="13"/>
      <c r="P5418" s="14">
        <v>0</v>
      </c>
      <c r="Q5418" s="15">
        <v>0.25</v>
      </c>
      <c r="R5418" s="16" t="str">
        <f t="shared" si="454"/>
        <v>UNILUMIN</v>
      </c>
      <c r="S5418" s="52" t="str">
        <f t="shared" si="460"/>
        <v>UNILUMIN</v>
      </c>
    </row>
    <row r="5419" spans="1:19" ht="27" customHeight="1" x14ac:dyDescent="0.25">
      <c r="A5419" s="53" t="s">
        <v>11217</v>
      </c>
      <c r="H5419" s="8" t="s">
        <v>11222</v>
      </c>
      <c r="I5419" s="33" t="s">
        <v>11223</v>
      </c>
      <c r="J5419" s="34" t="s">
        <v>33</v>
      </c>
      <c r="K5419" s="20">
        <v>8500000</v>
      </c>
      <c r="L5419" s="12">
        <f t="shared" si="459"/>
        <v>11333333.333333334</v>
      </c>
      <c r="M5419" s="8">
        <v>1</v>
      </c>
      <c r="N5419" s="8" t="s">
        <v>27</v>
      </c>
      <c r="O5419" s="13"/>
      <c r="P5419" s="14">
        <v>0</v>
      </c>
      <c r="Q5419" s="15">
        <v>0.25</v>
      </c>
      <c r="R5419" s="16" t="str">
        <f t="shared" si="454"/>
        <v>UNILUMIN</v>
      </c>
      <c r="S5419" s="52" t="str">
        <f t="shared" si="460"/>
        <v>UNILUMIN</v>
      </c>
    </row>
    <row r="5420" spans="1:19" ht="27" customHeight="1" x14ac:dyDescent="0.25">
      <c r="A5420" s="53" t="s">
        <v>3977</v>
      </c>
      <c r="H5420" s="8" t="s">
        <v>11224</v>
      </c>
      <c r="I5420" s="33" t="s">
        <v>11225</v>
      </c>
      <c r="J5420" s="34" t="s">
        <v>33</v>
      </c>
      <c r="K5420" s="20">
        <v>9000000</v>
      </c>
      <c r="L5420" s="12">
        <f t="shared" si="459"/>
        <v>12000000</v>
      </c>
      <c r="M5420" s="8">
        <v>1</v>
      </c>
      <c r="N5420" s="8" t="s">
        <v>27</v>
      </c>
      <c r="O5420" s="13"/>
      <c r="P5420" s="14">
        <v>0</v>
      </c>
      <c r="Q5420" s="15">
        <v>0.25</v>
      </c>
      <c r="R5420" s="16" t="str">
        <f t="shared" si="454"/>
        <v>KOMODO</v>
      </c>
      <c r="S5420" s="52" t="str">
        <f t="shared" si="460"/>
        <v>KOMODO</v>
      </c>
    </row>
    <row r="5421" spans="1:19" ht="27" customHeight="1" x14ac:dyDescent="0.25">
      <c r="A5421" s="53" t="s">
        <v>8036</v>
      </c>
      <c r="H5421" s="8" t="s">
        <v>11226</v>
      </c>
      <c r="I5421" s="33" t="s">
        <v>11227</v>
      </c>
      <c r="J5421" s="34" t="s">
        <v>33</v>
      </c>
      <c r="K5421" s="20">
        <v>9430000</v>
      </c>
      <c r="L5421" s="12">
        <f t="shared" si="459"/>
        <v>12573333.333333334</v>
      </c>
      <c r="M5421" s="8">
        <v>1</v>
      </c>
      <c r="N5421" s="8" t="s">
        <v>27</v>
      </c>
      <c r="O5421" s="13"/>
      <c r="P5421" s="14">
        <v>0</v>
      </c>
      <c r="Q5421" s="15">
        <v>0.25</v>
      </c>
      <c r="R5421" s="16" t="str">
        <f t="shared" si="454"/>
        <v>SAMSUNG</v>
      </c>
      <c r="S5421" s="52" t="str">
        <f t="shared" si="460"/>
        <v>SAMSUNG</v>
      </c>
    </row>
    <row r="5422" spans="1:19" ht="27" customHeight="1" x14ac:dyDescent="0.25">
      <c r="A5422" s="53" t="s">
        <v>5672</v>
      </c>
      <c r="H5422" s="8" t="s">
        <v>6535</v>
      </c>
      <c r="I5422" s="33" t="s">
        <v>11228</v>
      </c>
      <c r="J5422" s="34" t="s">
        <v>26</v>
      </c>
      <c r="K5422" s="42">
        <v>232.5</v>
      </c>
      <c r="L5422" s="12">
        <f t="shared" si="459"/>
        <v>310</v>
      </c>
      <c r="M5422" s="8">
        <v>1</v>
      </c>
      <c r="N5422" s="8" t="s">
        <v>27</v>
      </c>
      <c r="O5422" s="13"/>
      <c r="P5422" s="14">
        <v>0</v>
      </c>
      <c r="Q5422" s="15">
        <v>0.25</v>
      </c>
      <c r="R5422" s="16" t="str">
        <f t="shared" si="454"/>
        <v>LUTRON</v>
      </c>
      <c r="S5422" s="52" t="str">
        <f t="shared" si="460"/>
        <v>LUTRON</v>
      </c>
    </row>
    <row r="5423" spans="1:19" ht="27" customHeight="1" x14ac:dyDescent="0.25">
      <c r="A5423" s="53" t="s">
        <v>1821</v>
      </c>
      <c r="H5423" s="8" t="s">
        <v>11229</v>
      </c>
      <c r="I5423" s="33" t="s">
        <v>11230</v>
      </c>
      <c r="J5423" s="34" t="s">
        <v>26</v>
      </c>
      <c r="K5423" s="20">
        <v>1999</v>
      </c>
      <c r="L5423" s="12">
        <f t="shared" si="459"/>
        <v>2665.3333333333335</v>
      </c>
      <c r="M5423" s="8">
        <v>1</v>
      </c>
      <c r="N5423" s="8" t="s">
        <v>27</v>
      </c>
      <c r="O5423" s="13"/>
      <c r="P5423" s="14">
        <v>0</v>
      </c>
      <c r="Q5423" s="15">
        <v>0.25</v>
      </c>
      <c r="R5423" s="16" t="str">
        <f t="shared" ref="R5423:R5486" si="461">A5423</f>
        <v>DAYTON</v>
      </c>
      <c r="S5423" s="52" t="str">
        <f t="shared" si="460"/>
        <v>DAYTON</v>
      </c>
    </row>
    <row r="5424" spans="1:19" ht="27" customHeight="1" x14ac:dyDescent="0.25">
      <c r="A5424" s="53" t="s">
        <v>3977</v>
      </c>
      <c r="H5424" s="8" t="s">
        <v>11231</v>
      </c>
      <c r="I5424" s="33" t="s">
        <v>11232</v>
      </c>
      <c r="J5424" s="34" t="s">
        <v>33</v>
      </c>
      <c r="K5424" s="20">
        <v>450000</v>
      </c>
      <c r="L5424" s="12">
        <f t="shared" si="459"/>
        <v>600000</v>
      </c>
      <c r="M5424" s="8">
        <v>1</v>
      </c>
      <c r="N5424" s="8" t="s">
        <v>27</v>
      </c>
      <c r="O5424" s="13"/>
      <c r="P5424" s="14">
        <v>0</v>
      </c>
      <c r="Q5424" s="15">
        <v>0.25</v>
      </c>
      <c r="R5424" s="16" t="str">
        <f t="shared" si="461"/>
        <v>KOMODO</v>
      </c>
      <c r="S5424" s="52" t="str">
        <f t="shared" si="460"/>
        <v>KOMODO</v>
      </c>
    </row>
    <row r="5425" spans="1:20" ht="27" customHeight="1" x14ac:dyDescent="0.25">
      <c r="A5425" s="53" t="s">
        <v>5672</v>
      </c>
      <c r="H5425" s="8" t="s">
        <v>11233</v>
      </c>
      <c r="I5425" s="33" t="s">
        <v>11234</v>
      </c>
      <c r="J5425" s="34" t="s">
        <v>26</v>
      </c>
      <c r="K5425" s="42">
        <v>209.4</v>
      </c>
      <c r="L5425" s="12">
        <f t="shared" si="459"/>
        <v>348.9998392909074</v>
      </c>
      <c r="M5425" s="8">
        <v>1</v>
      </c>
      <c r="N5425" s="8" t="s">
        <v>27</v>
      </c>
      <c r="O5425" s="13"/>
      <c r="P5425" s="14">
        <v>0.2</v>
      </c>
      <c r="Q5425" s="15">
        <v>0.27999966845100299</v>
      </c>
      <c r="R5425" s="16" t="str">
        <f t="shared" si="461"/>
        <v>LUTRON</v>
      </c>
      <c r="S5425" s="52" t="str">
        <f t="shared" si="460"/>
        <v>LUTRON</v>
      </c>
    </row>
    <row r="5426" spans="1:20" ht="27" customHeight="1" x14ac:dyDescent="0.25">
      <c r="A5426" s="53" t="s">
        <v>5672</v>
      </c>
      <c r="H5426" s="8" t="s">
        <v>11233</v>
      </c>
      <c r="I5426" s="33" t="s">
        <v>11234</v>
      </c>
      <c r="J5426" s="34" t="s">
        <v>26</v>
      </c>
      <c r="K5426" s="42">
        <v>209.4</v>
      </c>
      <c r="L5426" s="12">
        <f t="shared" si="459"/>
        <v>348.9998392909074</v>
      </c>
      <c r="M5426" s="8">
        <v>1</v>
      </c>
      <c r="N5426" s="8" t="s">
        <v>27</v>
      </c>
      <c r="O5426" s="13"/>
      <c r="P5426" s="14">
        <v>0.2</v>
      </c>
      <c r="Q5426" s="15">
        <v>0.27999966845100299</v>
      </c>
      <c r="R5426" s="16" t="str">
        <f t="shared" si="461"/>
        <v>LUTRON</v>
      </c>
      <c r="S5426" s="52" t="str">
        <f t="shared" si="460"/>
        <v>LUTRON</v>
      </c>
    </row>
    <row r="5427" spans="1:20" ht="27" customHeight="1" x14ac:dyDescent="0.25">
      <c r="A5427" s="53" t="s">
        <v>5672</v>
      </c>
      <c r="H5427" s="8" t="s">
        <v>11235</v>
      </c>
      <c r="I5427" s="33" t="s">
        <v>11236</v>
      </c>
      <c r="J5427" s="34" t="s">
        <v>26</v>
      </c>
      <c r="K5427" s="42">
        <v>119.4</v>
      </c>
      <c r="L5427" s="12">
        <f t="shared" si="459"/>
        <v>198.9999083635833</v>
      </c>
      <c r="M5427" s="8">
        <v>1</v>
      </c>
      <c r="N5427" s="8" t="s">
        <v>27</v>
      </c>
      <c r="O5427" s="13"/>
      <c r="P5427" s="14">
        <v>0.2</v>
      </c>
      <c r="Q5427" s="15">
        <v>0.27999966845100299</v>
      </c>
      <c r="R5427" s="16" t="str">
        <f t="shared" si="461"/>
        <v>LUTRON</v>
      </c>
      <c r="S5427" s="52" t="str">
        <f t="shared" si="460"/>
        <v>LUTRON</v>
      </c>
    </row>
    <row r="5428" spans="1:20" ht="27" customHeight="1" x14ac:dyDescent="0.25">
      <c r="A5428" s="53" t="s">
        <v>5672</v>
      </c>
      <c r="H5428" s="8" t="s">
        <v>11237</v>
      </c>
      <c r="I5428" s="33" t="s">
        <v>11238</v>
      </c>
      <c r="J5428" s="34" t="s">
        <v>26</v>
      </c>
      <c r="K5428" s="42">
        <v>119.4</v>
      </c>
      <c r="L5428" s="12">
        <f t="shared" si="459"/>
        <v>198.9999083635833</v>
      </c>
      <c r="M5428" s="8">
        <v>1</v>
      </c>
      <c r="N5428" s="8" t="s">
        <v>27</v>
      </c>
      <c r="O5428" s="13"/>
      <c r="P5428" s="14">
        <v>0.2</v>
      </c>
      <c r="Q5428" s="15">
        <v>0.27999966845100299</v>
      </c>
      <c r="R5428" s="16" t="str">
        <f t="shared" si="461"/>
        <v>LUTRON</v>
      </c>
      <c r="S5428" s="52" t="str">
        <f t="shared" si="460"/>
        <v>LUTRON</v>
      </c>
    </row>
    <row r="5429" spans="1:20" ht="27" customHeight="1" x14ac:dyDescent="0.25">
      <c r="A5429" s="53" t="s">
        <v>5672</v>
      </c>
      <c r="H5429" s="8" t="s">
        <v>10991</v>
      </c>
      <c r="I5429" s="33" t="s">
        <v>11239</v>
      </c>
      <c r="J5429" s="34" t="s">
        <v>26</v>
      </c>
      <c r="K5429" s="42">
        <v>299.39999999999998</v>
      </c>
      <c r="L5429" s="12">
        <f t="shared" si="459"/>
        <v>498.99977021823145</v>
      </c>
      <c r="M5429" s="8">
        <v>1</v>
      </c>
      <c r="N5429" s="8" t="s">
        <v>27</v>
      </c>
      <c r="O5429" s="13"/>
      <c r="P5429" s="14">
        <v>0.2</v>
      </c>
      <c r="Q5429" s="15">
        <v>0.27999966845100299</v>
      </c>
      <c r="R5429" s="16" t="str">
        <f t="shared" si="461"/>
        <v>LUTRON</v>
      </c>
      <c r="S5429" s="52" t="str">
        <f t="shared" si="460"/>
        <v>LUTRON</v>
      </c>
    </row>
    <row r="5430" spans="1:20" ht="27" customHeight="1" x14ac:dyDescent="0.25">
      <c r="A5430" s="53" t="s">
        <v>5454</v>
      </c>
      <c r="H5430" s="8" t="s">
        <v>11240</v>
      </c>
      <c r="I5430" s="33" t="s">
        <v>11241</v>
      </c>
      <c r="J5430" s="34" t="s">
        <v>33</v>
      </c>
      <c r="K5430" s="20">
        <v>94950</v>
      </c>
      <c r="L5430" s="12">
        <f t="shared" si="459"/>
        <v>162771.42857142858</v>
      </c>
      <c r="M5430" s="8">
        <v>1</v>
      </c>
      <c r="N5430" s="8" t="s">
        <v>27</v>
      </c>
      <c r="O5430" s="13"/>
      <c r="P5430" s="14">
        <v>0.2</v>
      </c>
      <c r="Q5430" s="15">
        <v>0.3</v>
      </c>
      <c r="R5430" s="16" t="str">
        <f t="shared" si="461"/>
        <v>LUMEK</v>
      </c>
      <c r="S5430" s="52" t="str">
        <f t="shared" si="460"/>
        <v>LUMEK</v>
      </c>
    </row>
    <row r="5431" spans="1:20" ht="27" customHeight="1" x14ac:dyDescent="0.25">
      <c r="A5431" s="53" t="s">
        <v>679</v>
      </c>
      <c r="H5431" s="8" t="s">
        <v>11242</v>
      </c>
      <c r="I5431" s="33" t="s">
        <v>11243</v>
      </c>
      <c r="J5431" s="34" t="s">
        <v>33</v>
      </c>
      <c r="K5431" s="20">
        <v>1092900</v>
      </c>
      <c r="L5431" s="12">
        <f t="shared" si="459"/>
        <v>1873542.8571428573</v>
      </c>
      <c r="M5431" s="8">
        <v>1</v>
      </c>
      <c r="N5431" s="8" t="s">
        <v>27</v>
      </c>
      <c r="O5431" s="13"/>
      <c r="P5431" s="14">
        <v>0.2</v>
      </c>
      <c r="Q5431" s="15">
        <v>0.3</v>
      </c>
      <c r="R5431" s="16" t="str">
        <f t="shared" si="461"/>
        <v>AUDAC</v>
      </c>
      <c r="S5431" s="52" t="str">
        <f t="shared" si="460"/>
        <v>AUDAC</v>
      </c>
    </row>
    <row r="5432" spans="1:20" ht="27" customHeight="1" x14ac:dyDescent="0.25">
      <c r="A5432" s="8" t="s">
        <v>2512</v>
      </c>
      <c r="H5432" s="8" t="s">
        <v>11244</v>
      </c>
      <c r="I5432" s="33" t="s">
        <v>11245</v>
      </c>
      <c r="J5432" s="34" t="s">
        <v>26</v>
      </c>
      <c r="K5432" s="20">
        <v>21</v>
      </c>
      <c r="L5432" s="12">
        <f t="shared" si="459"/>
        <v>43.75</v>
      </c>
      <c r="M5432" s="8">
        <v>1</v>
      </c>
      <c r="N5432" s="8" t="s">
        <v>27</v>
      </c>
      <c r="O5432" s="13"/>
      <c r="P5432" s="14">
        <v>0.25</v>
      </c>
      <c r="Q5432" s="15">
        <v>0.4</v>
      </c>
      <c r="R5432" s="16" t="str">
        <f t="shared" si="461"/>
        <v>GENERAL</v>
      </c>
      <c r="S5432" s="52" t="str">
        <f t="shared" si="460"/>
        <v>GENERAL</v>
      </c>
      <c r="T5432" s="39" t="s">
        <v>11246</v>
      </c>
    </row>
    <row r="5433" spans="1:20" ht="27" customHeight="1" x14ac:dyDescent="0.25">
      <c r="A5433" s="53" t="s">
        <v>8308</v>
      </c>
      <c r="H5433" s="8" t="s">
        <v>11247</v>
      </c>
      <c r="I5433" s="33" t="s">
        <v>11248</v>
      </c>
      <c r="J5433" s="34" t="s">
        <v>33</v>
      </c>
      <c r="K5433" s="20">
        <v>14500</v>
      </c>
      <c r="L5433" s="12">
        <f t="shared" si="459"/>
        <v>24166.666666666668</v>
      </c>
      <c r="M5433" s="8">
        <v>1</v>
      </c>
      <c r="N5433" s="8" t="s">
        <v>27</v>
      </c>
      <c r="O5433" s="13"/>
      <c r="P5433" s="14">
        <v>0</v>
      </c>
      <c r="Q5433" s="15">
        <v>0.4</v>
      </c>
      <c r="R5433" s="16" t="str">
        <f t="shared" si="461"/>
        <v>SOLIDVIEW</v>
      </c>
      <c r="S5433" s="52" t="str">
        <f t="shared" si="460"/>
        <v>SOLIDVIEW</v>
      </c>
    </row>
    <row r="5434" spans="1:20" ht="27" customHeight="1" x14ac:dyDescent="0.25">
      <c r="A5434" s="53" t="s">
        <v>1821</v>
      </c>
      <c r="H5434" s="8" t="s">
        <v>11249</v>
      </c>
      <c r="I5434" s="33" t="s">
        <v>11250</v>
      </c>
      <c r="J5434" s="34" t="s">
        <v>26</v>
      </c>
      <c r="K5434" s="20">
        <v>735</v>
      </c>
      <c r="L5434" s="12">
        <f t="shared" si="459"/>
        <v>1260</v>
      </c>
      <c r="M5434" s="8">
        <v>1</v>
      </c>
      <c r="N5434" s="8" t="s">
        <v>27</v>
      </c>
      <c r="O5434" s="13"/>
      <c r="P5434" s="14">
        <v>0.2</v>
      </c>
      <c r="Q5434" s="15">
        <v>0.3</v>
      </c>
      <c r="R5434" s="16" t="str">
        <f t="shared" si="461"/>
        <v>DAYTON</v>
      </c>
      <c r="S5434" s="52" t="str">
        <f t="shared" si="460"/>
        <v>DAYTON</v>
      </c>
    </row>
    <row r="5435" spans="1:20" ht="27" customHeight="1" x14ac:dyDescent="0.25">
      <c r="A5435" s="8" t="s">
        <v>9258</v>
      </c>
      <c r="H5435" s="8" t="s">
        <v>11251</v>
      </c>
      <c r="I5435" s="33" t="s">
        <v>11252</v>
      </c>
      <c r="J5435" s="34" t="s">
        <v>33</v>
      </c>
      <c r="K5435" s="20">
        <v>168100</v>
      </c>
      <c r="L5435" s="12">
        <f t="shared" si="459"/>
        <v>288171.42857142858</v>
      </c>
      <c r="M5435" s="8">
        <v>1</v>
      </c>
      <c r="N5435" s="8" t="s">
        <v>27</v>
      </c>
      <c r="O5435" s="13"/>
      <c r="P5435" s="14">
        <v>0.2</v>
      </c>
      <c r="Q5435" s="15">
        <v>0.3</v>
      </c>
      <c r="R5435" s="16" t="str">
        <f t="shared" si="461"/>
        <v>TP_LINK</v>
      </c>
      <c r="S5435" s="52" t="str">
        <f t="shared" si="460"/>
        <v>TP_LINK</v>
      </c>
    </row>
    <row r="5436" spans="1:20" ht="27" customHeight="1" x14ac:dyDescent="0.25">
      <c r="A5436" s="53" t="s">
        <v>9866</v>
      </c>
      <c r="H5436" s="8" t="s">
        <v>9867</v>
      </c>
      <c r="I5436" s="33" t="s">
        <v>11253</v>
      </c>
      <c r="J5436" s="34" t="s">
        <v>26</v>
      </c>
      <c r="K5436" s="20">
        <v>444</v>
      </c>
      <c r="L5436" s="12">
        <f t="shared" si="459"/>
        <v>740</v>
      </c>
      <c r="M5436" s="8">
        <v>1</v>
      </c>
      <c r="N5436" s="8" t="s">
        <v>27</v>
      </c>
      <c r="O5436" s="13"/>
      <c r="P5436" s="14">
        <v>0</v>
      </c>
      <c r="Q5436" s="15">
        <v>0.4</v>
      </c>
      <c r="R5436" s="16" t="str">
        <f t="shared" si="461"/>
        <v>ORVIBO</v>
      </c>
      <c r="S5436" s="52" t="str">
        <f t="shared" si="460"/>
        <v>ORVIBO</v>
      </c>
    </row>
    <row r="5437" spans="1:20" ht="27" customHeight="1" x14ac:dyDescent="0.25">
      <c r="A5437" s="53" t="s">
        <v>8404</v>
      </c>
      <c r="H5437" s="8" t="s">
        <v>11254</v>
      </c>
      <c r="I5437" s="33" t="s">
        <v>11255</v>
      </c>
      <c r="J5437" s="11" t="s">
        <v>33</v>
      </c>
      <c r="K5437" s="18">
        <v>2626000</v>
      </c>
      <c r="L5437" s="12">
        <f>ROUNDUP(K5437*(1+P5437)/(1-Q5437),0)</f>
        <v>4201600</v>
      </c>
      <c r="M5437" s="8">
        <v>1</v>
      </c>
      <c r="N5437" s="8" t="s">
        <v>27</v>
      </c>
      <c r="O5437" s="13"/>
      <c r="P5437" s="14">
        <v>0.2</v>
      </c>
      <c r="Q5437" s="15">
        <v>0.25</v>
      </c>
      <c r="R5437" s="16" t="str">
        <f t="shared" si="461"/>
        <v>SONOS</v>
      </c>
      <c r="S5437" s="17" t="str">
        <f t="shared" si="460"/>
        <v>SONOS</v>
      </c>
      <c r="T5437" s="10"/>
    </row>
    <row r="5438" spans="1:20" ht="27" customHeight="1" x14ac:dyDescent="0.25">
      <c r="A5438" s="53" t="s">
        <v>1102</v>
      </c>
      <c r="H5438" s="8" t="s">
        <v>11256</v>
      </c>
      <c r="I5438" s="33" t="s">
        <v>11257</v>
      </c>
      <c r="J5438" t="s">
        <v>26</v>
      </c>
      <c r="K5438" s="18">
        <f>550*0.7</f>
        <v>385</v>
      </c>
      <c r="L5438" s="12">
        <f>ROUNDUP(K5438*(1+P5438)/(1-Q5438),0)</f>
        <v>550</v>
      </c>
      <c r="M5438" s="8">
        <v>1</v>
      </c>
      <c r="N5438" s="8" t="s">
        <v>27</v>
      </c>
      <c r="O5438" s="13"/>
      <c r="P5438" s="14">
        <v>0</v>
      </c>
      <c r="Q5438" s="15">
        <v>0.3</v>
      </c>
      <c r="R5438" s="16" t="str">
        <f t="shared" si="461"/>
        <v>CAMBRIDGE</v>
      </c>
      <c r="S5438" s="52" t="str">
        <f t="shared" si="460"/>
        <v>CAMBRIDGE</v>
      </c>
    </row>
    <row r="5439" spans="1:20" ht="27" customHeight="1" x14ac:dyDescent="0.25">
      <c r="A5439" s="53" t="s">
        <v>8036</v>
      </c>
      <c r="H5439" s="8" t="s">
        <v>11258</v>
      </c>
      <c r="I5439" s="33" t="s">
        <v>11259</v>
      </c>
      <c r="J5439" s="34" t="s">
        <v>33</v>
      </c>
      <c r="K5439" s="18">
        <v>5250000</v>
      </c>
      <c r="L5439" s="12">
        <f>ROUNDUP(K5439*(1+P5439)/(1-Q5439),0)</f>
        <v>7500000</v>
      </c>
      <c r="M5439" s="8">
        <v>1</v>
      </c>
      <c r="N5439" s="8" t="s">
        <v>27</v>
      </c>
      <c r="O5439" s="13"/>
      <c r="P5439" s="14">
        <v>0</v>
      </c>
      <c r="Q5439" s="15">
        <v>0.3</v>
      </c>
      <c r="R5439" s="16" t="str">
        <f t="shared" si="461"/>
        <v>SAMSUNG</v>
      </c>
      <c r="S5439" s="52" t="str">
        <f t="shared" si="460"/>
        <v>SAMSUNG</v>
      </c>
    </row>
    <row r="5440" spans="1:20" ht="27" customHeight="1" x14ac:dyDescent="0.25">
      <c r="A5440" s="8" t="s">
        <v>3915</v>
      </c>
      <c r="B5440" s="9" t="s">
        <v>2515</v>
      </c>
      <c r="C5440" s="9"/>
      <c r="D5440" s="8"/>
      <c r="E5440" s="8"/>
      <c r="F5440" s="8" t="s">
        <v>22</v>
      </c>
      <c r="G5440" s="10" t="s">
        <v>3916</v>
      </c>
      <c r="H5440" s="8" t="s">
        <v>11260</v>
      </c>
      <c r="I5440" s="10" t="s">
        <v>11261</v>
      </c>
      <c r="J5440" s="11" t="s">
        <v>26</v>
      </c>
      <c r="K5440" s="18">
        <f>34*2</f>
        <v>68</v>
      </c>
      <c r="L5440" s="12">
        <f>IF(J5440="P",ROUNDUP(K5440/(1-Q5440),-2),K5440*(1+P5440)/(1-Q5440))</f>
        <v>136</v>
      </c>
      <c r="M5440" s="8">
        <v>1</v>
      </c>
      <c r="N5440" s="8" t="s">
        <v>27</v>
      </c>
      <c r="O5440" s="13" t="s">
        <v>588</v>
      </c>
      <c r="P5440" s="14">
        <v>0.2</v>
      </c>
      <c r="Q5440" s="15">
        <v>0.4</v>
      </c>
      <c r="R5440" s="16" t="str">
        <f t="shared" si="461"/>
        <v>KLIPSCH</v>
      </c>
      <c r="S5440" s="17"/>
      <c r="T5440" s="10" t="str">
        <f>G5440</f>
        <v>ALTAVOZ ARQUITECTÓNICO SIN BORDE DE 8" 40 VATIOS.</v>
      </c>
    </row>
    <row r="5441" spans="1:19" ht="27" customHeight="1" x14ac:dyDescent="0.25">
      <c r="A5441" s="32" t="s">
        <v>3821</v>
      </c>
      <c r="H5441" s="8" t="s">
        <v>11262</v>
      </c>
      <c r="I5441" s="33" t="s">
        <v>11263</v>
      </c>
      <c r="J5441" s="34" t="s">
        <v>26</v>
      </c>
      <c r="K5441" s="20">
        <f>155*2</f>
        <v>310</v>
      </c>
      <c r="L5441" s="12">
        <f t="shared" ref="L5441:L5451" si="462">K5441*(1+P5441)/(1-Q5441)</f>
        <v>800.00000709869562</v>
      </c>
      <c r="M5441" s="8">
        <v>1</v>
      </c>
      <c r="N5441" s="8" t="s">
        <v>27</v>
      </c>
      <c r="O5441" s="13"/>
      <c r="P5441" s="14">
        <v>0.2</v>
      </c>
      <c r="Q5441" s="15">
        <v>0.53500000412611681</v>
      </c>
      <c r="R5441" s="16" t="str">
        <f t="shared" si="461"/>
        <v>KEF</v>
      </c>
    </row>
    <row r="5442" spans="1:19" ht="27" customHeight="1" x14ac:dyDescent="0.25">
      <c r="A5442" s="51" t="s">
        <v>1102</v>
      </c>
      <c r="H5442" s="8" t="s">
        <v>11264</v>
      </c>
      <c r="I5442" s="33" t="s">
        <v>11265</v>
      </c>
      <c r="J5442" s="34" t="s">
        <v>33</v>
      </c>
      <c r="K5442" s="20">
        <v>490000</v>
      </c>
      <c r="L5442" s="12">
        <f t="shared" si="462"/>
        <v>1264516.1402527769</v>
      </c>
      <c r="M5442" s="8">
        <v>1</v>
      </c>
      <c r="N5442" s="8" t="s">
        <v>27</v>
      </c>
      <c r="O5442" s="13"/>
      <c r="P5442" s="14">
        <v>0.2</v>
      </c>
      <c r="Q5442" s="15">
        <v>0.53500000412611681</v>
      </c>
      <c r="R5442" s="16" t="str">
        <f t="shared" si="461"/>
        <v>CAMBRIDGE</v>
      </c>
    </row>
    <row r="5443" spans="1:19" ht="27" customHeight="1" x14ac:dyDescent="0.25">
      <c r="A5443" s="51" t="s">
        <v>5380</v>
      </c>
      <c r="H5443" s="8" t="s">
        <v>11266</v>
      </c>
      <c r="I5443" s="33" t="s">
        <v>11267</v>
      </c>
      <c r="J5443" s="34" t="s">
        <v>33</v>
      </c>
      <c r="K5443" s="20">
        <v>73700</v>
      </c>
      <c r="L5443" s="12">
        <f t="shared" si="462"/>
        <v>105285.71428571429</v>
      </c>
      <c r="M5443" s="8">
        <v>1</v>
      </c>
      <c r="N5443" s="8" t="s">
        <v>27</v>
      </c>
      <c r="O5443" s="13"/>
      <c r="P5443" s="14">
        <v>0</v>
      </c>
      <c r="Q5443" s="15">
        <v>0.3</v>
      </c>
      <c r="R5443" s="16" t="str">
        <f t="shared" si="461"/>
        <v>LINDY</v>
      </c>
    </row>
    <row r="5444" spans="1:19" ht="27" customHeight="1" x14ac:dyDescent="0.25">
      <c r="A5444" s="8" t="s">
        <v>2512</v>
      </c>
      <c r="H5444" s="8" t="s">
        <v>11268</v>
      </c>
      <c r="I5444" s="33" t="s">
        <v>11269</v>
      </c>
      <c r="J5444" s="34" t="s">
        <v>33</v>
      </c>
      <c r="K5444" s="20">
        <v>300</v>
      </c>
      <c r="L5444" s="12">
        <f t="shared" si="462"/>
        <v>600</v>
      </c>
      <c r="M5444" s="8">
        <v>1</v>
      </c>
      <c r="N5444" s="8" t="s">
        <v>27</v>
      </c>
      <c r="O5444" s="13"/>
      <c r="P5444" s="14">
        <v>0</v>
      </c>
      <c r="Q5444" s="15">
        <v>0.5</v>
      </c>
      <c r="R5444" s="16" t="str">
        <f t="shared" si="461"/>
        <v>GENERAL</v>
      </c>
    </row>
    <row r="5445" spans="1:19" ht="27" customHeight="1" x14ac:dyDescent="0.25">
      <c r="A5445" s="51" t="s">
        <v>1561</v>
      </c>
      <c r="H5445" s="8" t="s">
        <v>11270</v>
      </c>
      <c r="I5445" s="33" t="s">
        <v>11271</v>
      </c>
      <c r="J5445" s="34" t="s">
        <v>33</v>
      </c>
      <c r="K5445" s="20">
        <v>205860</v>
      </c>
      <c r="L5445" s="12">
        <f t="shared" si="462"/>
        <v>294085.71428571432</v>
      </c>
      <c r="M5445" s="8">
        <v>1</v>
      </c>
      <c r="N5445" s="8" t="s">
        <v>27</v>
      </c>
      <c r="O5445" s="13"/>
      <c r="P5445" s="14">
        <v>0</v>
      </c>
      <c r="Q5445" s="15">
        <v>0.3</v>
      </c>
      <c r="R5445" s="16" t="str">
        <f t="shared" si="461"/>
        <v>DAHUA</v>
      </c>
    </row>
    <row r="5446" spans="1:19" ht="27" customHeight="1" x14ac:dyDescent="0.25">
      <c r="A5446" s="51" t="s">
        <v>1561</v>
      </c>
      <c r="H5446" s="8" t="s">
        <v>11272</v>
      </c>
      <c r="I5446" s="33" t="s">
        <v>11273</v>
      </c>
      <c r="J5446" s="34" t="s">
        <v>33</v>
      </c>
      <c r="K5446" s="20">
        <v>205860</v>
      </c>
      <c r="L5446" s="12">
        <f t="shared" si="462"/>
        <v>294085.71428571432</v>
      </c>
      <c r="M5446" s="8">
        <v>1</v>
      </c>
      <c r="N5446" s="8" t="s">
        <v>27</v>
      </c>
      <c r="O5446" s="13"/>
      <c r="P5446" s="14">
        <v>0</v>
      </c>
      <c r="Q5446" s="15">
        <v>0.3</v>
      </c>
      <c r="R5446" s="16" t="str">
        <f t="shared" si="461"/>
        <v>DAHUA</v>
      </c>
    </row>
    <row r="5447" spans="1:19" ht="27" customHeight="1" x14ac:dyDescent="0.25">
      <c r="A5447" s="8" t="s">
        <v>2512</v>
      </c>
      <c r="H5447" s="8" t="s">
        <v>11274</v>
      </c>
      <c r="I5447" s="33" t="s">
        <v>11275</v>
      </c>
      <c r="J5447" s="34" t="s">
        <v>33</v>
      </c>
      <c r="K5447" s="20">
        <v>360800</v>
      </c>
      <c r="L5447" s="12">
        <f t="shared" si="462"/>
        <v>515428.57142857148</v>
      </c>
      <c r="M5447" s="8">
        <v>1</v>
      </c>
      <c r="N5447" s="8" t="s">
        <v>27</v>
      </c>
      <c r="O5447" s="13"/>
      <c r="P5447" s="14">
        <v>0</v>
      </c>
      <c r="Q5447" s="15">
        <v>0.3</v>
      </c>
      <c r="R5447" s="16" t="str">
        <f t="shared" si="461"/>
        <v>GENERAL</v>
      </c>
    </row>
    <row r="5448" spans="1:19" ht="27" customHeight="1" x14ac:dyDescent="0.25">
      <c r="A5448" s="51" t="s">
        <v>3561</v>
      </c>
      <c r="H5448" s="8" t="s">
        <v>11276</v>
      </c>
      <c r="I5448" s="33" t="s">
        <v>11277</v>
      </c>
      <c r="J5448" s="34" t="s">
        <v>26</v>
      </c>
      <c r="K5448" s="20">
        <f>19.56*0.7</f>
        <v>13.691999999999998</v>
      </c>
      <c r="L5448" s="12">
        <f t="shared" si="462"/>
        <v>19.559999999999999</v>
      </c>
      <c r="M5448" s="8">
        <v>1</v>
      </c>
      <c r="N5448" s="8" t="s">
        <v>27</v>
      </c>
      <c r="O5448" s="13"/>
      <c r="P5448" s="14">
        <v>0</v>
      </c>
      <c r="Q5448" s="15">
        <v>0.3</v>
      </c>
      <c r="R5448" s="16" t="str">
        <f t="shared" si="461"/>
        <v>HUBBELL</v>
      </c>
    </row>
    <row r="5449" spans="1:19" ht="27" customHeight="1" x14ac:dyDescent="0.25">
      <c r="A5449" s="51" t="s">
        <v>3561</v>
      </c>
      <c r="H5449" s="8" t="s">
        <v>11278</v>
      </c>
      <c r="I5449" s="33" t="s">
        <v>11279</v>
      </c>
      <c r="J5449" s="34" t="s">
        <v>26</v>
      </c>
      <c r="K5449" s="20">
        <f>47.67*0.7</f>
        <v>33.369</v>
      </c>
      <c r="L5449" s="12">
        <f t="shared" si="462"/>
        <v>47.67</v>
      </c>
      <c r="M5449" s="8">
        <v>1</v>
      </c>
      <c r="N5449" s="8" t="s">
        <v>27</v>
      </c>
      <c r="O5449" s="13"/>
      <c r="P5449" s="14">
        <v>0</v>
      </c>
      <c r="Q5449" s="15">
        <v>0.3</v>
      </c>
      <c r="R5449" s="16" t="str">
        <f t="shared" si="461"/>
        <v>HUBBELL</v>
      </c>
    </row>
    <row r="5450" spans="1:19" ht="27" customHeight="1" x14ac:dyDescent="0.25">
      <c r="A5450" s="51" t="s">
        <v>3561</v>
      </c>
      <c r="H5450" s="8" t="s">
        <v>11280</v>
      </c>
      <c r="I5450" s="33" t="s">
        <v>11281</v>
      </c>
      <c r="J5450" s="34" t="s">
        <v>26</v>
      </c>
      <c r="K5450" s="20">
        <f>82.11*0.7</f>
        <v>57.476999999999997</v>
      </c>
      <c r="L5450" s="12">
        <f t="shared" si="462"/>
        <v>82.11</v>
      </c>
      <c r="M5450" s="8">
        <v>1</v>
      </c>
      <c r="N5450" s="8" t="s">
        <v>27</v>
      </c>
      <c r="O5450" s="13"/>
      <c r="P5450" s="14">
        <v>0</v>
      </c>
      <c r="Q5450" s="15">
        <v>0.3</v>
      </c>
      <c r="R5450" s="16" t="str">
        <f t="shared" si="461"/>
        <v>HUBBELL</v>
      </c>
    </row>
    <row r="5451" spans="1:19" ht="27" customHeight="1" x14ac:dyDescent="0.25">
      <c r="A5451" s="51" t="s">
        <v>3561</v>
      </c>
      <c r="H5451" s="8" t="s">
        <v>11282</v>
      </c>
      <c r="I5451" s="33" t="s">
        <v>11283</v>
      </c>
      <c r="J5451" s="34" t="s">
        <v>26</v>
      </c>
      <c r="K5451" s="20">
        <f>80.11*0.7</f>
        <v>56.076999999999998</v>
      </c>
      <c r="L5451" s="12">
        <f t="shared" si="462"/>
        <v>80.11</v>
      </c>
      <c r="M5451" s="8">
        <v>1</v>
      </c>
      <c r="N5451" s="8" t="s">
        <v>27</v>
      </c>
      <c r="O5451" s="13"/>
      <c r="P5451" s="14">
        <v>0</v>
      </c>
      <c r="Q5451" s="15">
        <v>0.3</v>
      </c>
      <c r="R5451" s="16" t="str">
        <f t="shared" si="461"/>
        <v>HUBBELL</v>
      </c>
    </row>
    <row r="5452" spans="1:19" ht="27" customHeight="1" x14ac:dyDescent="0.25">
      <c r="A5452" s="32" t="s">
        <v>11100</v>
      </c>
      <c r="H5452" s="8" t="s">
        <v>11284</v>
      </c>
      <c r="I5452" s="33" t="s">
        <v>11285</v>
      </c>
      <c r="J5452" s="34" t="s">
        <v>33</v>
      </c>
      <c r="K5452" s="20">
        <v>700000</v>
      </c>
      <c r="L5452" s="12">
        <f>ROUNDUP(K5452*(1+P5452)/(1-Q5452),0)</f>
        <v>1000000</v>
      </c>
      <c r="M5452" s="8">
        <v>1</v>
      </c>
      <c r="N5452" s="8" t="s">
        <v>27</v>
      </c>
      <c r="O5452" s="13"/>
      <c r="P5452" s="14">
        <v>0</v>
      </c>
      <c r="Q5452" s="15">
        <v>0.3</v>
      </c>
      <c r="R5452" s="16" t="str">
        <f t="shared" si="461"/>
        <v>JM</v>
      </c>
      <c r="S5452" s="17" t="str">
        <f>A5452</f>
        <v>JM</v>
      </c>
    </row>
    <row r="5453" spans="1:19" ht="27" customHeight="1" x14ac:dyDescent="0.25">
      <c r="A5453" s="51" t="s">
        <v>5672</v>
      </c>
      <c r="H5453" s="8" t="s">
        <v>11286</v>
      </c>
      <c r="I5453" s="33" t="s">
        <v>11287</v>
      </c>
      <c r="J5453" s="34" t="s">
        <v>26</v>
      </c>
      <c r="K5453" s="42">
        <v>8.3000000000000007</v>
      </c>
      <c r="L5453" s="12">
        <f t="shared" ref="L5453:L5465" si="463">K5453*(1+P5453)/(1-Q5453)</f>
        <v>16.599992105769385</v>
      </c>
      <c r="M5453" s="8">
        <v>1</v>
      </c>
      <c r="N5453" s="8" t="s">
        <v>27</v>
      </c>
      <c r="O5453" s="13"/>
      <c r="P5453" s="14">
        <v>0.2</v>
      </c>
      <c r="Q5453" s="15">
        <v>0.39999971466622752</v>
      </c>
      <c r="R5453" s="16" t="str">
        <f t="shared" si="461"/>
        <v>LUTRON</v>
      </c>
      <c r="S5453" s="17" t="str">
        <f>A5453</f>
        <v>LUTRON</v>
      </c>
    </row>
    <row r="5454" spans="1:19" ht="27" customHeight="1" x14ac:dyDescent="0.25">
      <c r="A5454" s="51" t="s">
        <v>5672</v>
      </c>
      <c r="H5454" s="8" t="s">
        <v>11288</v>
      </c>
      <c r="I5454" s="33" t="s">
        <v>11289</v>
      </c>
      <c r="J5454" s="34" t="s">
        <v>26</v>
      </c>
      <c r="K5454" s="42">
        <v>44.5</v>
      </c>
      <c r="L5454" s="12">
        <f t="shared" si="463"/>
        <v>88.999957675510544</v>
      </c>
      <c r="M5454" s="8">
        <v>1</v>
      </c>
      <c r="N5454" s="8" t="s">
        <v>27</v>
      </c>
      <c r="O5454" s="13"/>
      <c r="P5454" s="14">
        <v>0.2</v>
      </c>
      <c r="Q5454" s="15">
        <v>0.39999971466622752</v>
      </c>
      <c r="R5454" s="16" t="str">
        <f t="shared" si="461"/>
        <v>LUTRON</v>
      </c>
    </row>
    <row r="5455" spans="1:19" ht="27" customHeight="1" x14ac:dyDescent="0.25">
      <c r="A5455" s="51" t="s">
        <v>5672</v>
      </c>
      <c r="H5455" s="8" t="s">
        <v>11290</v>
      </c>
      <c r="I5455" s="33" t="s">
        <v>11291</v>
      </c>
      <c r="J5455" s="34" t="s">
        <v>26</v>
      </c>
      <c r="K5455" s="42">
        <v>16.2</v>
      </c>
      <c r="L5455" s="12">
        <f t="shared" si="463"/>
        <v>32.39998459198361</v>
      </c>
      <c r="M5455" s="8">
        <v>1</v>
      </c>
      <c r="N5455" s="8" t="s">
        <v>27</v>
      </c>
      <c r="O5455" s="13"/>
      <c r="P5455" s="14">
        <v>0.2</v>
      </c>
      <c r="Q5455" s="15">
        <v>0.39999971466622752</v>
      </c>
      <c r="R5455" s="16" t="str">
        <f t="shared" si="461"/>
        <v>LUTRON</v>
      </c>
    </row>
    <row r="5456" spans="1:19" ht="27" customHeight="1" x14ac:dyDescent="0.25">
      <c r="A5456" s="51" t="s">
        <v>5672</v>
      </c>
      <c r="H5456" s="8" t="s">
        <v>11292</v>
      </c>
      <c r="I5456" s="33" t="s">
        <v>11293</v>
      </c>
      <c r="J5456" s="34" t="s">
        <v>26</v>
      </c>
      <c r="K5456" s="42">
        <v>4.7</v>
      </c>
      <c r="L5456" s="12">
        <f t="shared" si="463"/>
        <v>9.3999955297730224</v>
      </c>
      <c r="M5456" s="8">
        <v>1</v>
      </c>
      <c r="N5456" s="8" t="s">
        <v>27</v>
      </c>
      <c r="O5456" s="13"/>
      <c r="P5456" s="14">
        <v>0.2</v>
      </c>
      <c r="Q5456" s="15">
        <v>0.39999971466622752</v>
      </c>
      <c r="R5456" s="16" t="str">
        <f t="shared" si="461"/>
        <v>LUTRON</v>
      </c>
    </row>
    <row r="5457" spans="1:28" ht="27" customHeight="1" x14ac:dyDescent="0.25">
      <c r="A5457" s="51" t="s">
        <v>5672</v>
      </c>
      <c r="G5457" s="10" t="s">
        <v>6475</v>
      </c>
      <c r="H5457" s="8" t="s">
        <v>11294</v>
      </c>
      <c r="I5457" s="33" t="s">
        <v>11295</v>
      </c>
      <c r="J5457" s="34" t="s">
        <v>26</v>
      </c>
      <c r="K5457" s="57">
        <v>5.55</v>
      </c>
      <c r="L5457" s="12">
        <f t="shared" si="463"/>
        <v>11.099994721327718</v>
      </c>
      <c r="M5457" s="8">
        <v>1</v>
      </c>
      <c r="N5457" s="8" t="s">
        <v>27</v>
      </c>
      <c r="O5457" s="13"/>
      <c r="P5457" s="14">
        <v>0.2</v>
      </c>
      <c r="Q5457" s="15">
        <v>0.39999971466622752</v>
      </c>
      <c r="R5457" s="16" t="str">
        <f t="shared" si="461"/>
        <v>LUTRON</v>
      </c>
    </row>
    <row r="5458" spans="1:28" ht="27" customHeight="1" x14ac:dyDescent="0.25">
      <c r="A5458" s="51" t="s">
        <v>5672</v>
      </c>
      <c r="H5458" s="8" t="s">
        <v>11296</v>
      </c>
      <c r="I5458" s="33" t="s">
        <v>11297</v>
      </c>
      <c r="J5458" s="34" t="s">
        <v>26</v>
      </c>
      <c r="K5458" s="42">
        <v>8.1</v>
      </c>
      <c r="L5458" s="12">
        <f t="shared" si="463"/>
        <v>16.199992295991805</v>
      </c>
      <c r="M5458" s="8">
        <v>1</v>
      </c>
      <c r="N5458" s="8" t="s">
        <v>27</v>
      </c>
      <c r="O5458" s="13"/>
      <c r="P5458" s="14">
        <v>0.2</v>
      </c>
      <c r="Q5458" s="15">
        <v>0.39999971466622752</v>
      </c>
      <c r="R5458" s="16" t="str">
        <f t="shared" si="461"/>
        <v>LUTRON</v>
      </c>
    </row>
    <row r="5459" spans="1:28" ht="27" customHeight="1" x14ac:dyDescent="0.25">
      <c r="A5459" s="51" t="s">
        <v>5672</v>
      </c>
      <c r="H5459" s="8" t="s">
        <v>11298</v>
      </c>
      <c r="I5459" s="33" t="s">
        <v>11299</v>
      </c>
      <c r="J5459" s="34" t="s">
        <v>26</v>
      </c>
      <c r="K5459" s="42">
        <v>10.6</v>
      </c>
      <c r="L5459" s="12">
        <f t="shared" si="463"/>
        <v>21.1999899182115</v>
      </c>
      <c r="M5459" s="8">
        <v>1</v>
      </c>
      <c r="N5459" s="8" t="s">
        <v>27</v>
      </c>
      <c r="O5459" s="13"/>
      <c r="P5459" s="14">
        <v>0.2</v>
      </c>
      <c r="Q5459" s="15">
        <v>0.39999971466622752</v>
      </c>
      <c r="R5459" s="16" t="str">
        <f t="shared" si="461"/>
        <v>LUTRON</v>
      </c>
    </row>
    <row r="5460" spans="1:28" ht="27" customHeight="1" x14ac:dyDescent="0.25">
      <c r="A5460" s="51" t="s">
        <v>5672</v>
      </c>
      <c r="H5460" s="8" t="s">
        <v>11300</v>
      </c>
      <c r="I5460" s="33" t="s">
        <v>11301</v>
      </c>
      <c r="J5460" s="34" t="s">
        <v>26</v>
      </c>
      <c r="K5460" s="42">
        <v>13.1</v>
      </c>
      <c r="L5460" s="12">
        <f t="shared" si="463"/>
        <v>26.199987540431191</v>
      </c>
      <c r="M5460" s="8">
        <v>1</v>
      </c>
      <c r="N5460" s="8" t="s">
        <v>27</v>
      </c>
      <c r="O5460" s="13"/>
      <c r="P5460" s="14">
        <v>0.2</v>
      </c>
      <c r="Q5460" s="15">
        <v>0.39999971466622752</v>
      </c>
      <c r="R5460" s="16" t="str">
        <f t="shared" si="461"/>
        <v>LUTRON</v>
      </c>
    </row>
    <row r="5461" spans="1:28" ht="27" customHeight="1" x14ac:dyDescent="0.25">
      <c r="A5461" s="51" t="s">
        <v>5672</v>
      </c>
      <c r="H5461" s="8" t="s">
        <v>11302</v>
      </c>
      <c r="I5461" s="33" t="s">
        <v>11295</v>
      </c>
      <c r="J5461" s="34" t="s">
        <v>26</v>
      </c>
      <c r="K5461" s="42">
        <v>28.5</v>
      </c>
      <c r="L5461" s="12">
        <f t="shared" si="463"/>
        <v>56.999972893304495</v>
      </c>
      <c r="M5461" s="8">
        <v>1</v>
      </c>
      <c r="N5461" s="8" t="s">
        <v>27</v>
      </c>
      <c r="O5461" s="13"/>
      <c r="P5461" s="14">
        <v>0.2</v>
      </c>
      <c r="Q5461" s="15">
        <v>0.39999971466622752</v>
      </c>
      <c r="R5461" s="16" t="str">
        <f t="shared" si="461"/>
        <v>LUTRON</v>
      </c>
    </row>
    <row r="5462" spans="1:28" ht="27" customHeight="1" x14ac:dyDescent="0.25">
      <c r="A5462" s="51" t="s">
        <v>5672</v>
      </c>
      <c r="H5462" s="8" t="s">
        <v>11303</v>
      </c>
      <c r="I5462" s="33" t="s">
        <v>11295</v>
      </c>
      <c r="J5462" s="34" t="s">
        <v>26</v>
      </c>
      <c r="K5462" s="42">
        <v>39.85</v>
      </c>
      <c r="L5462" s="12">
        <f t="shared" si="463"/>
        <v>79.699962098181913</v>
      </c>
      <c r="M5462" s="8">
        <v>1</v>
      </c>
      <c r="N5462" s="8" t="s">
        <v>27</v>
      </c>
      <c r="O5462" s="13"/>
      <c r="P5462" s="14">
        <v>0.2</v>
      </c>
      <c r="Q5462" s="15">
        <v>0.39999971466622752</v>
      </c>
      <c r="R5462" s="16" t="str">
        <f t="shared" si="461"/>
        <v>LUTRON</v>
      </c>
    </row>
    <row r="5463" spans="1:28" ht="27" customHeight="1" x14ac:dyDescent="0.25">
      <c r="A5463" s="51" t="s">
        <v>3561</v>
      </c>
      <c r="H5463" s="8" t="s">
        <v>11304</v>
      </c>
      <c r="I5463" s="33" t="s">
        <v>11305</v>
      </c>
      <c r="J5463" s="34" t="s">
        <v>26</v>
      </c>
      <c r="K5463" s="20">
        <f>156*0.7</f>
        <v>109.19999999999999</v>
      </c>
      <c r="L5463" s="12">
        <f t="shared" si="463"/>
        <v>156</v>
      </c>
      <c r="M5463" s="8">
        <v>1</v>
      </c>
      <c r="N5463" s="8" t="s">
        <v>27</v>
      </c>
      <c r="O5463" s="13"/>
      <c r="P5463" s="14">
        <v>0</v>
      </c>
      <c r="Q5463" s="15">
        <v>0.3</v>
      </c>
      <c r="R5463" s="16" t="str">
        <f t="shared" si="461"/>
        <v>HUBBELL</v>
      </c>
    </row>
    <row r="5464" spans="1:28" ht="27" customHeight="1" x14ac:dyDescent="0.25">
      <c r="A5464" s="51" t="s">
        <v>3561</v>
      </c>
      <c r="H5464" s="8" t="s">
        <v>11306</v>
      </c>
      <c r="I5464" s="33" t="s">
        <v>11307</v>
      </c>
      <c r="J5464" s="34" t="s">
        <v>26</v>
      </c>
      <c r="K5464" s="20">
        <f>21.1*0.7</f>
        <v>14.77</v>
      </c>
      <c r="L5464" s="12">
        <f t="shared" si="463"/>
        <v>21.1</v>
      </c>
      <c r="M5464" s="8">
        <v>1</v>
      </c>
      <c r="N5464" s="8" t="s">
        <v>27</v>
      </c>
      <c r="O5464" s="13"/>
      <c r="P5464" s="14">
        <v>0</v>
      </c>
      <c r="Q5464" s="15">
        <v>0.3</v>
      </c>
      <c r="R5464" s="16" t="str">
        <f t="shared" si="461"/>
        <v>HUBBELL</v>
      </c>
    </row>
    <row r="5465" spans="1:28" ht="27" customHeight="1" x14ac:dyDescent="0.25">
      <c r="A5465" s="51" t="s">
        <v>3561</v>
      </c>
      <c r="H5465" s="8" t="s">
        <v>11308</v>
      </c>
      <c r="I5465" s="33" t="s">
        <v>11309</v>
      </c>
      <c r="J5465" s="34" t="s">
        <v>26</v>
      </c>
      <c r="K5465" s="20">
        <f>25.73*0.7</f>
        <v>18.010999999999999</v>
      </c>
      <c r="L5465" s="12">
        <f t="shared" si="463"/>
        <v>25.73</v>
      </c>
      <c r="M5465" s="8">
        <v>1</v>
      </c>
      <c r="N5465" s="8" t="s">
        <v>27</v>
      </c>
      <c r="O5465" s="13"/>
      <c r="P5465" s="14">
        <v>0</v>
      </c>
      <c r="Q5465" s="15">
        <v>0.3</v>
      </c>
      <c r="R5465" s="16" t="str">
        <f t="shared" si="461"/>
        <v>HUBBELL</v>
      </c>
    </row>
    <row r="5466" spans="1:28" ht="27" customHeight="1" x14ac:dyDescent="0.25">
      <c r="A5466" s="32" t="s">
        <v>11100</v>
      </c>
      <c r="H5466" s="8" t="s">
        <v>11310</v>
      </c>
      <c r="I5466" s="33" t="s">
        <v>11311</v>
      </c>
      <c r="J5466" s="34" t="s">
        <v>33</v>
      </c>
      <c r="K5466" s="20">
        <v>350000</v>
      </c>
      <c r="L5466" s="12">
        <f t="shared" ref="L5466:L5497" si="464">ROUNDUP(K5466*(1+P5466)/(1-Q5466),0)</f>
        <v>500000</v>
      </c>
      <c r="M5466" s="8">
        <v>1</v>
      </c>
      <c r="N5466" s="8" t="s">
        <v>27</v>
      </c>
      <c r="O5466" s="13"/>
      <c r="P5466" s="14">
        <v>0</v>
      </c>
      <c r="Q5466" s="15">
        <v>0.3</v>
      </c>
      <c r="R5466" s="16" t="str">
        <f t="shared" si="461"/>
        <v>JM</v>
      </c>
      <c r="S5466" s="17" t="str">
        <f>A5466</f>
        <v>JM</v>
      </c>
      <c r="T5466" s="10">
        <f>G5466</f>
        <v>0</v>
      </c>
    </row>
    <row r="5467" spans="1:28" ht="27" customHeight="1" x14ac:dyDescent="0.25">
      <c r="A5467" s="51" t="s">
        <v>3977</v>
      </c>
      <c r="H5467" s="8" t="s">
        <v>11312</v>
      </c>
      <c r="I5467" t="s">
        <v>11313</v>
      </c>
      <c r="J5467" s="34" t="s">
        <v>33</v>
      </c>
      <c r="K5467" s="20">
        <v>1000000</v>
      </c>
      <c r="L5467" s="12">
        <f t="shared" si="464"/>
        <v>1666667</v>
      </c>
      <c r="M5467" s="8">
        <v>1</v>
      </c>
      <c r="N5467" s="8" t="s">
        <v>27</v>
      </c>
      <c r="O5467" s="13"/>
      <c r="P5467" s="14">
        <v>0</v>
      </c>
      <c r="Q5467" s="15">
        <v>0.4</v>
      </c>
      <c r="R5467" s="16" t="str">
        <f t="shared" si="461"/>
        <v>KOMODO</v>
      </c>
      <c r="S5467" s="17" t="str">
        <f>A5467</f>
        <v>KOMODO</v>
      </c>
      <c r="T5467" s="10">
        <f>G5467</f>
        <v>0</v>
      </c>
    </row>
    <row r="5468" spans="1:28" ht="27" customHeight="1" x14ac:dyDescent="0.25">
      <c r="A5468" s="51" t="s">
        <v>1141</v>
      </c>
      <c r="H5468" s="8" t="s">
        <v>11314</v>
      </c>
      <c r="I5468" s="33" t="s">
        <v>11315</v>
      </c>
      <c r="J5468" s="34" t="s">
        <v>33</v>
      </c>
      <c r="K5468" s="20">
        <v>18490</v>
      </c>
      <c r="L5468" s="12">
        <f t="shared" si="464"/>
        <v>30817</v>
      </c>
      <c r="M5468" s="8">
        <v>1</v>
      </c>
      <c r="N5468" s="8" t="s">
        <v>27</v>
      </c>
      <c r="O5468" s="13"/>
      <c r="P5468" s="14">
        <v>0</v>
      </c>
      <c r="Q5468" s="15">
        <v>0.4</v>
      </c>
      <c r="R5468" s="16" t="str">
        <f t="shared" si="461"/>
        <v>CENTELSA</v>
      </c>
      <c r="S5468" s="17" t="str">
        <f>A5468</f>
        <v>CENTELSA</v>
      </c>
    </row>
    <row r="5469" spans="1:28" ht="27" customHeight="1" x14ac:dyDescent="0.25">
      <c r="A5469" s="8" t="s">
        <v>2512</v>
      </c>
      <c r="B5469" s="9"/>
      <c r="C5469" s="9"/>
      <c r="D5469" s="8"/>
      <c r="E5469" s="8"/>
      <c r="F5469" s="8" t="s">
        <v>22</v>
      </c>
      <c r="G5469" s="10" t="s">
        <v>2642</v>
      </c>
      <c r="H5469" s="8" t="s">
        <v>11316</v>
      </c>
      <c r="I5469" s="10" t="s">
        <v>11317</v>
      </c>
      <c r="J5469" s="11" t="s">
        <v>33</v>
      </c>
      <c r="K5469" s="18">
        <v>4500</v>
      </c>
      <c r="L5469" s="12">
        <f t="shared" si="464"/>
        <v>7500</v>
      </c>
      <c r="M5469" s="8">
        <v>1</v>
      </c>
      <c r="N5469" s="8" t="s">
        <v>27</v>
      </c>
      <c r="O5469" s="13"/>
      <c r="P5469" s="14">
        <v>0</v>
      </c>
      <c r="Q5469" s="15">
        <v>0.4</v>
      </c>
      <c r="R5469" s="16" t="str">
        <f t="shared" si="461"/>
        <v>GENERAL</v>
      </c>
      <c r="S5469" s="17" t="str">
        <f>A5469</f>
        <v>GENERAL</v>
      </c>
    </row>
    <row r="5470" spans="1:28" ht="27" customHeight="1" x14ac:dyDescent="0.25">
      <c r="A5470" s="51" t="s">
        <v>5155</v>
      </c>
      <c r="H5470" s="8" t="s">
        <v>11318</v>
      </c>
      <c r="I5470" s="33" t="s">
        <v>11319</v>
      </c>
      <c r="J5470" s="34" t="s">
        <v>33</v>
      </c>
      <c r="K5470" s="20">
        <v>649000</v>
      </c>
      <c r="L5470" s="12">
        <f t="shared" si="464"/>
        <v>927143</v>
      </c>
      <c r="M5470" s="8">
        <v>1</v>
      </c>
      <c r="N5470" s="8" t="s">
        <v>27</v>
      </c>
      <c r="O5470" s="13"/>
      <c r="P5470" s="14">
        <v>0</v>
      </c>
      <c r="Q5470" s="15">
        <v>0.3</v>
      </c>
      <c r="R5470" s="16" t="str">
        <f t="shared" si="461"/>
        <v>LENOVO</v>
      </c>
      <c r="S5470" s="17" t="str">
        <f>A5470</f>
        <v>LENOVO</v>
      </c>
    </row>
    <row r="5471" spans="1:28" ht="27" customHeight="1" x14ac:dyDescent="0.25">
      <c r="A5471" s="8" t="s">
        <v>3977</v>
      </c>
      <c r="B5471" s="9"/>
      <c r="C5471" s="9"/>
      <c r="D5471" s="8"/>
      <c r="E5471" s="8"/>
      <c r="F5471" s="8"/>
      <c r="G5471" s="10"/>
      <c r="H5471" s="8" t="s">
        <v>11320</v>
      </c>
      <c r="I5471" s="10" t="s">
        <v>11321</v>
      </c>
      <c r="J5471" s="11" t="s">
        <v>33</v>
      </c>
      <c r="K5471" s="18">
        <v>10000</v>
      </c>
      <c r="L5471" s="12">
        <f t="shared" si="464"/>
        <v>14286</v>
      </c>
      <c r="M5471" s="8">
        <v>1</v>
      </c>
      <c r="N5471" s="8" t="s">
        <v>27</v>
      </c>
      <c r="O5471" s="13"/>
      <c r="P5471" s="14">
        <v>0</v>
      </c>
      <c r="Q5471" s="15">
        <v>0.3</v>
      </c>
      <c r="R5471" s="16" t="str">
        <f t="shared" si="461"/>
        <v>KOMODO</v>
      </c>
      <c r="S5471" s="17"/>
      <c r="T5471" s="10"/>
      <c r="U5471" s="24"/>
      <c r="V5471" s="24"/>
      <c r="W5471" s="24"/>
      <c r="X5471" s="24"/>
      <c r="Y5471" s="24"/>
      <c r="Z5471" s="24"/>
      <c r="AA5471" s="24"/>
      <c r="AB5471" s="113"/>
    </row>
    <row r="5472" spans="1:28" ht="27" customHeight="1" x14ac:dyDescent="0.25">
      <c r="A5472" s="8" t="s">
        <v>2512</v>
      </c>
      <c r="H5472" s="8" t="s">
        <v>11322</v>
      </c>
      <c r="I5472" s="33" t="s">
        <v>11323</v>
      </c>
      <c r="J5472" s="34" t="s">
        <v>33</v>
      </c>
      <c r="K5472" s="18">
        <v>16810</v>
      </c>
      <c r="L5472" s="12">
        <f t="shared" si="464"/>
        <v>24015</v>
      </c>
      <c r="M5472" s="8">
        <v>1</v>
      </c>
      <c r="N5472" s="8" t="s">
        <v>27</v>
      </c>
      <c r="O5472" s="13"/>
      <c r="P5472" s="14">
        <v>0</v>
      </c>
      <c r="Q5472" s="15">
        <v>0.3</v>
      </c>
      <c r="R5472" s="16" t="str">
        <f t="shared" si="461"/>
        <v>GENERAL</v>
      </c>
    </row>
    <row r="5473" spans="1:20" ht="27" customHeight="1" x14ac:dyDescent="0.25">
      <c r="A5473" s="32" t="s">
        <v>2512</v>
      </c>
      <c r="H5473" s="8" t="s">
        <v>11324</v>
      </c>
      <c r="I5473" s="33" t="s">
        <v>11325</v>
      </c>
      <c r="J5473" s="34" t="s">
        <v>33</v>
      </c>
      <c r="K5473" s="18">
        <v>11000</v>
      </c>
      <c r="L5473" s="12">
        <f t="shared" si="464"/>
        <v>18334</v>
      </c>
      <c r="M5473" s="8">
        <v>1</v>
      </c>
      <c r="N5473" s="8" t="s">
        <v>27</v>
      </c>
      <c r="O5473" s="13"/>
      <c r="P5473" s="14">
        <v>0</v>
      </c>
      <c r="Q5473" s="15">
        <v>0.4</v>
      </c>
      <c r="R5473" s="16" t="str">
        <f t="shared" si="461"/>
        <v>GENERAL</v>
      </c>
    </row>
    <row r="5474" spans="1:20" ht="27" customHeight="1" x14ac:dyDescent="0.25">
      <c r="A5474" s="51" t="s">
        <v>59</v>
      </c>
      <c r="H5474" s="8" t="s">
        <v>11326</v>
      </c>
      <c r="I5474" s="33" t="s">
        <v>11327</v>
      </c>
      <c r="J5474" s="34" t="s">
        <v>33</v>
      </c>
      <c r="K5474" s="20">
        <v>35000</v>
      </c>
      <c r="L5474" s="12">
        <f t="shared" si="464"/>
        <v>50000</v>
      </c>
      <c r="M5474" s="8">
        <v>1</v>
      </c>
      <c r="N5474" s="8" t="s">
        <v>27</v>
      </c>
      <c r="O5474" s="13"/>
      <c r="P5474" s="14">
        <v>0</v>
      </c>
      <c r="Q5474" s="15">
        <v>0.3</v>
      </c>
      <c r="R5474" s="16" t="str">
        <f t="shared" si="461"/>
        <v>COLMENA</v>
      </c>
    </row>
    <row r="5475" spans="1:20" ht="27" customHeight="1" x14ac:dyDescent="0.25">
      <c r="A5475" s="32" t="s">
        <v>59</v>
      </c>
      <c r="H5475" s="8" t="s">
        <v>11328</v>
      </c>
      <c r="I5475" s="33" t="s">
        <v>11329</v>
      </c>
      <c r="J5475" s="34" t="s">
        <v>33</v>
      </c>
      <c r="K5475" s="20">
        <f>276000/6</f>
        <v>46000</v>
      </c>
      <c r="L5475" s="12">
        <f t="shared" si="464"/>
        <v>65715</v>
      </c>
      <c r="M5475" s="8">
        <v>1</v>
      </c>
      <c r="N5475" s="8" t="s">
        <v>27</v>
      </c>
      <c r="O5475" s="13"/>
      <c r="P5475" s="14">
        <v>0</v>
      </c>
      <c r="Q5475" s="15">
        <v>0.3</v>
      </c>
      <c r="R5475" s="16" t="str">
        <f t="shared" si="461"/>
        <v>COLMENA</v>
      </c>
    </row>
    <row r="5476" spans="1:20" ht="27" customHeight="1" x14ac:dyDescent="0.25">
      <c r="A5476" s="51" t="s">
        <v>3977</v>
      </c>
      <c r="H5476" s="8" t="s">
        <v>11330</v>
      </c>
      <c r="I5476" s="33" t="s">
        <v>11331</v>
      </c>
      <c r="J5476" s="34" t="s">
        <v>33</v>
      </c>
      <c r="K5476" s="20">
        <v>1000000</v>
      </c>
      <c r="L5476" s="12">
        <f t="shared" si="464"/>
        <v>2500000</v>
      </c>
      <c r="M5476" s="8">
        <v>1</v>
      </c>
      <c r="N5476" s="8" t="s">
        <v>27</v>
      </c>
      <c r="O5476" s="13"/>
      <c r="P5476" s="14">
        <v>0</v>
      </c>
      <c r="Q5476" s="15">
        <v>0.6</v>
      </c>
      <c r="R5476" s="16" t="str">
        <f t="shared" si="461"/>
        <v>KOMODO</v>
      </c>
    </row>
    <row r="5477" spans="1:20" ht="27" customHeight="1" x14ac:dyDescent="0.25">
      <c r="A5477" s="32" t="s">
        <v>2512</v>
      </c>
      <c r="H5477" s="8" t="s">
        <v>11332</v>
      </c>
      <c r="I5477" s="33" t="s">
        <v>11333</v>
      </c>
      <c r="J5477" s="34" t="s">
        <v>33</v>
      </c>
      <c r="K5477" s="20">
        <v>47000</v>
      </c>
      <c r="L5477" s="12">
        <f t="shared" si="464"/>
        <v>78334</v>
      </c>
      <c r="M5477" s="8">
        <v>1</v>
      </c>
      <c r="N5477" s="8" t="s">
        <v>27</v>
      </c>
      <c r="O5477" s="13"/>
      <c r="P5477" s="14">
        <v>0</v>
      </c>
      <c r="Q5477" s="15">
        <v>0.4</v>
      </c>
      <c r="R5477" s="40" t="str">
        <f t="shared" si="461"/>
        <v>GENERAL</v>
      </c>
    </row>
    <row r="5478" spans="1:20" ht="27" customHeight="1" x14ac:dyDescent="0.25">
      <c r="A5478" s="51" t="s">
        <v>11334</v>
      </c>
      <c r="H5478" s="8" t="s">
        <v>11335</v>
      </c>
      <c r="I5478" s="33" t="s">
        <v>11336</v>
      </c>
      <c r="J5478" s="34" t="s">
        <v>33</v>
      </c>
      <c r="K5478" s="20">
        <v>550000</v>
      </c>
      <c r="L5478" s="12">
        <f t="shared" si="464"/>
        <v>785715</v>
      </c>
      <c r="M5478" s="8">
        <v>1</v>
      </c>
      <c r="N5478" s="8" t="s">
        <v>27</v>
      </c>
      <c r="O5478" s="13"/>
      <c r="P5478" s="14">
        <v>0</v>
      </c>
      <c r="Q5478" s="15">
        <v>0.3</v>
      </c>
      <c r="R5478" s="40" t="str">
        <f t="shared" si="461"/>
        <v>CALYPSO</v>
      </c>
    </row>
    <row r="5479" spans="1:20" ht="27" customHeight="1" x14ac:dyDescent="0.25">
      <c r="A5479" s="32" t="s">
        <v>2512</v>
      </c>
      <c r="H5479" s="8" t="s">
        <v>11337</v>
      </c>
      <c r="I5479" s="33" t="s">
        <v>11338</v>
      </c>
      <c r="J5479" t="s">
        <v>33</v>
      </c>
      <c r="K5479" s="20">
        <v>62000</v>
      </c>
      <c r="L5479" s="12">
        <f t="shared" si="464"/>
        <v>103334</v>
      </c>
      <c r="M5479" s="8">
        <v>1</v>
      </c>
      <c r="N5479" s="8" t="s">
        <v>27</v>
      </c>
      <c r="O5479" s="13"/>
      <c r="P5479" s="14">
        <v>0</v>
      </c>
      <c r="Q5479" s="15">
        <v>0.4</v>
      </c>
      <c r="R5479" s="40" t="str">
        <f t="shared" si="461"/>
        <v>GENERAL</v>
      </c>
    </row>
    <row r="5480" spans="1:20" ht="27" customHeight="1" x14ac:dyDescent="0.25">
      <c r="A5480" s="51" t="s">
        <v>11339</v>
      </c>
      <c r="H5480" s="8" t="s">
        <v>11340</v>
      </c>
      <c r="I5480" s="33" t="s">
        <v>11341</v>
      </c>
      <c r="J5480" s="34" t="s">
        <v>33</v>
      </c>
      <c r="K5480" s="20">
        <v>9300</v>
      </c>
      <c r="L5480" s="12">
        <f t="shared" si="464"/>
        <v>13286</v>
      </c>
      <c r="M5480" s="8">
        <v>1</v>
      </c>
      <c r="N5480" s="8" t="s">
        <v>27</v>
      </c>
      <c r="O5480" s="13"/>
      <c r="P5480" s="14">
        <v>0</v>
      </c>
      <c r="Q5480" s="15">
        <v>0.3</v>
      </c>
      <c r="R5480" s="40" t="str">
        <f t="shared" si="461"/>
        <v>PIZANO</v>
      </c>
    </row>
    <row r="5481" spans="1:20" ht="27" customHeight="1" x14ac:dyDescent="0.25">
      <c r="A5481" s="32" t="s">
        <v>2512</v>
      </c>
      <c r="H5481" s="8" t="s">
        <v>11342</v>
      </c>
      <c r="I5481" s="33" t="s">
        <v>11343</v>
      </c>
      <c r="J5481" s="34" t="s">
        <v>33</v>
      </c>
      <c r="K5481" s="20">
        <v>8000000</v>
      </c>
      <c r="L5481" s="12">
        <f t="shared" si="464"/>
        <v>12307693</v>
      </c>
      <c r="M5481" s="8">
        <v>1</v>
      </c>
      <c r="N5481" s="8" t="s">
        <v>27</v>
      </c>
      <c r="O5481" s="13"/>
      <c r="P5481" s="14">
        <v>0</v>
      </c>
      <c r="Q5481" s="15">
        <v>0.35</v>
      </c>
      <c r="R5481" s="40" t="str">
        <f t="shared" si="461"/>
        <v>GENERAL</v>
      </c>
    </row>
    <row r="5482" spans="1:20" ht="27" customHeight="1" x14ac:dyDescent="0.25">
      <c r="A5482" s="8" t="s">
        <v>5672</v>
      </c>
      <c r="B5482" s="9" t="s">
        <v>5666</v>
      </c>
      <c r="C5482" s="9"/>
      <c r="D5482" s="8" t="s">
        <v>6178</v>
      </c>
      <c r="E5482" s="8">
        <v>4</v>
      </c>
      <c r="F5482" s="8" t="s">
        <v>22</v>
      </c>
      <c r="G5482" s="10" t="s">
        <v>6229</v>
      </c>
      <c r="H5482" s="8" t="s">
        <v>11344</v>
      </c>
      <c r="I5482" s="10" t="s">
        <v>6229</v>
      </c>
      <c r="J5482" s="11" t="s">
        <v>26</v>
      </c>
      <c r="K5482" s="57">
        <v>36</v>
      </c>
      <c r="L5482" s="12">
        <f t="shared" si="464"/>
        <v>72</v>
      </c>
      <c r="M5482" s="8">
        <v>1</v>
      </c>
      <c r="N5482" s="8" t="s">
        <v>27</v>
      </c>
      <c r="O5482" s="13"/>
      <c r="P5482" s="14">
        <v>0.2</v>
      </c>
      <c r="Q5482" s="15">
        <v>0.4</v>
      </c>
      <c r="R5482" s="16" t="str">
        <f t="shared" si="461"/>
        <v>LUTRON</v>
      </c>
    </row>
    <row r="5483" spans="1:20" ht="27" customHeight="1" x14ac:dyDescent="0.25">
      <c r="A5483" s="32" t="s">
        <v>3561</v>
      </c>
      <c r="H5483" s="8" t="s">
        <v>11345</v>
      </c>
      <c r="I5483" s="33" t="s">
        <v>11346</v>
      </c>
      <c r="J5483" s="34" t="s">
        <v>26</v>
      </c>
      <c r="K5483" s="20">
        <v>10.38</v>
      </c>
      <c r="L5483" s="12">
        <f t="shared" si="464"/>
        <v>16</v>
      </c>
      <c r="M5483" s="8">
        <v>1</v>
      </c>
      <c r="N5483" s="8" t="s">
        <v>27</v>
      </c>
      <c r="O5483" s="13"/>
      <c r="P5483" s="14">
        <v>0.2</v>
      </c>
      <c r="Q5483" s="15">
        <v>0.2</v>
      </c>
      <c r="R5483" s="16" t="str">
        <f t="shared" si="461"/>
        <v>HUBBELL</v>
      </c>
    </row>
    <row r="5484" spans="1:20" ht="27" customHeight="1" x14ac:dyDescent="0.25">
      <c r="A5484" s="32" t="s">
        <v>6886</v>
      </c>
      <c r="H5484" s="8" t="s">
        <v>145</v>
      </c>
      <c r="I5484" s="33" t="s">
        <v>11347</v>
      </c>
      <c r="J5484" s="34" t="s">
        <v>33</v>
      </c>
      <c r="K5484" s="20">
        <v>65000</v>
      </c>
      <c r="L5484" s="12">
        <f t="shared" si="464"/>
        <v>108334</v>
      </c>
      <c r="M5484" s="8">
        <v>1</v>
      </c>
      <c r="N5484" s="8" t="s">
        <v>27</v>
      </c>
      <c r="O5484" s="13"/>
      <c r="P5484" s="14">
        <v>0</v>
      </c>
      <c r="Q5484" s="15">
        <v>0.4</v>
      </c>
      <c r="R5484" s="16" t="str">
        <f t="shared" si="461"/>
        <v>MEANWELL</v>
      </c>
    </row>
    <row r="5485" spans="1:20" ht="27" customHeight="1" x14ac:dyDescent="0.25">
      <c r="A5485" s="8" t="s">
        <v>5672</v>
      </c>
      <c r="B5485" s="9" t="s">
        <v>5666</v>
      </c>
      <c r="C5485" s="9"/>
      <c r="D5485" s="8" t="s">
        <v>4058</v>
      </c>
      <c r="E5485" s="8">
        <v>9</v>
      </c>
      <c r="F5485" s="8" t="s">
        <v>22</v>
      </c>
      <c r="G5485" s="10" t="s">
        <v>6312</v>
      </c>
      <c r="H5485" s="8" t="s">
        <v>11348</v>
      </c>
      <c r="I5485" s="10" t="s">
        <v>6312</v>
      </c>
      <c r="J5485" s="11" t="s">
        <v>26</v>
      </c>
      <c r="K5485" s="57">
        <v>1735</v>
      </c>
      <c r="L5485" s="12">
        <f t="shared" si="464"/>
        <v>3470</v>
      </c>
      <c r="M5485" s="8">
        <v>1</v>
      </c>
      <c r="N5485" s="8" t="s">
        <v>27</v>
      </c>
      <c r="O5485" s="13"/>
      <c r="P5485" s="14">
        <v>0.2</v>
      </c>
      <c r="Q5485" s="15">
        <v>0.4</v>
      </c>
      <c r="R5485" s="16" t="str">
        <f t="shared" si="461"/>
        <v>LUTRON</v>
      </c>
      <c r="S5485" s="17"/>
      <c r="T5485" s="10" t="str">
        <f>G5485</f>
        <v>HUB DE ADMINISTRACIÓN DE ILUMINACIÓN CON UN ÚNICO PROCESADOR QUANTUM.</v>
      </c>
    </row>
    <row r="5486" spans="1:20" ht="27" customHeight="1" x14ac:dyDescent="0.25">
      <c r="A5486" s="32" t="s">
        <v>5672</v>
      </c>
      <c r="H5486" s="8" t="s">
        <v>11349</v>
      </c>
      <c r="I5486" s="33" t="s">
        <v>11350</v>
      </c>
      <c r="J5486" s="55" t="s">
        <v>33</v>
      </c>
      <c r="K5486" s="58">
        <v>4000000</v>
      </c>
      <c r="L5486" s="12">
        <f t="shared" si="464"/>
        <v>6666667</v>
      </c>
      <c r="M5486" s="8">
        <v>1</v>
      </c>
      <c r="N5486" s="8" t="s">
        <v>27</v>
      </c>
      <c r="O5486" s="13"/>
      <c r="P5486" s="14">
        <v>0</v>
      </c>
      <c r="Q5486" s="15">
        <v>0.4</v>
      </c>
      <c r="R5486" s="16" t="str">
        <f t="shared" si="461"/>
        <v>LUTRON</v>
      </c>
    </row>
    <row r="5487" spans="1:20" ht="27" customHeight="1" x14ac:dyDescent="0.25">
      <c r="A5487" s="32" t="s">
        <v>5672</v>
      </c>
      <c r="H5487" s="8" t="s">
        <v>11351</v>
      </c>
      <c r="I5487" s="33" t="s">
        <v>11352</v>
      </c>
      <c r="J5487" s="34" t="s">
        <v>26</v>
      </c>
      <c r="K5487" s="42">
        <v>82.65</v>
      </c>
      <c r="L5487" s="12">
        <f t="shared" si="464"/>
        <v>145</v>
      </c>
      <c r="M5487" s="8">
        <v>1</v>
      </c>
      <c r="N5487" s="8" t="s">
        <v>27</v>
      </c>
      <c r="O5487" s="13"/>
      <c r="P5487" s="14">
        <v>0.2</v>
      </c>
      <c r="Q5487" s="15">
        <v>0.31359999999999999</v>
      </c>
      <c r="R5487" s="16" t="str">
        <f t="shared" ref="R5487:R5550" si="465">A5487</f>
        <v>LUTRON</v>
      </c>
    </row>
    <row r="5488" spans="1:20" ht="27" customHeight="1" x14ac:dyDescent="0.25">
      <c r="A5488" s="32" t="s">
        <v>5672</v>
      </c>
      <c r="H5488" s="8" t="s">
        <v>11353</v>
      </c>
      <c r="I5488" s="33" t="s">
        <v>11354</v>
      </c>
      <c r="J5488" s="34" t="s">
        <v>26</v>
      </c>
      <c r="K5488" s="42">
        <v>250</v>
      </c>
      <c r="L5488" s="12">
        <f t="shared" si="464"/>
        <v>500</v>
      </c>
      <c r="M5488" s="8">
        <v>1</v>
      </c>
      <c r="N5488" s="8" t="s">
        <v>27</v>
      </c>
      <c r="O5488" s="13"/>
      <c r="P5488" s="14">
        <v>0.2</v>
      </c>
      <c r="Q5488" s="15">
        <v>0.4</v>
      </c>
      <c r="R5488" s="16" t="str">
        <f t="shared" si="465"/>
        <v>LUTRON</v>
      </c>
    </row>
    <row r="5489" spans="1:18" ht="27" customHeight="1" x14ac:dyDescent="0.25">
      <c r="A5489" s="32" t="s">
        <v>3977</v>
      </c>
      <c r="H5489" s="8" t="s">
        <v>11355</v>
      </c>
      <c r="I5489" s="33" t="s">
        <v>11356</v>
      </c>
      <c r="J5489" s="34" t="s">
        <v>33</v>
      </c>
      <c r="K5489" s="20">
        <v>80000</v>
      </c>
      <c r="L5489" s="12">
        <f t="shared" si="464"/>
        <v>133334</v>
      </c>
      <c r="M5489" s="8">
        <v>1</v>
      </c>
      <c r="N5489" s="8" t="s">
        <v>27</v>
      </c>
      <c r="O5489" s="13"/>
      <c r="P5489" s="14">
        <v>0</v>
      </c>
      <c r="Q5489" s="15">
        <v>0.4</v>
      </c>
      <c r="R5489" s="16" t="str">
        <f t="shared" si="465"/>
        <v>KOMODO</v>
      </c>
    </row>
    <row r="5490" spans="1:18" ht="27" customHeight="1" x14ac:dyDescent="0.25">
      <c r="A5490" s="32" t="s">
        <v>3977</v>
      </c>
      <c r="H5490" s="8" t="s">
        <v>11357</v>
      </c>
      <c r="I5490" s="33" t="s">
        <v>11358</v>
      </c>
      <c r="J5490" s="34" t="s">
        <v>33</v>
      </c>
      <c r="K5490" s="20">
        <v>320000</v>
      </c>
      <c r="L5490" s="12">
        <f t="shared" si="464"/>
        <v>533334</v>
      </c>
      <c r="M5490" s="8">
        <v>1</v>
      </c>
      <c r="N5490" s="8" t="s">
        <v>27</v>
      </c>
      <c r="O5490" s="13"/>
      <c r="P5490" s="14">
        <v>0</v>
      </c>
      <c r="Q5490" s="15">
        <v>0.4</v>
      </c>
      <c r="R5490" s="16" t="str">
        <f t="shared" si="465"/>
        <v>KOMODO</v>
      </c>
    </row>
    <row r="5491" spans="1:18" ht="27" customHeight="1" x14ac:dyDescent="0.25">
      <c r="A5491" s="32" t="s">
        <v>3977</v>
      </c>
      <c r="H5491" s="8" t="s">
        <v>11359</v>
      </c>
      <c r="I5491" s="33" t="s">
        <v>11360</v>
      </c>
      <c r="J5491" s="34" t="s">
        <v>33</v>
      </c>
      <c r="K5491" s="20">
        <v>35000</v>
      </c>
      <c r="L5491" s="12">
        <f t="shared" si="464"/>
        <v>58334</v>
      </c>
      <c r="M5491" s="8">
        <v>1</v>
      </c>
      <c r="N5491" s="8" t="s">
        <v>27</v>
      </c>
      <c r="O5491" s="13"/>
      <c r="P5491" s="14">
        <v>0</v>
      </c>
      <c r="Q5491" s="15">
        <v>0.4</v>
      </c>
      <c r="R5491" s="16" t="str">
        <f t="shared" si="465"/>
        <v>KOMODO</v>
      </c>
    </row>
    <row r="5492" spans="1:18" ht="27" customHeight="1" x14ac:dyDescent="0.25">
      <c r="A5492" s="32" t="s">
        <v>3977</v>
      </c>
      <c r="H5492" s="8" t="s">
        <v>11361</v>
      </c>
      <c r="I5492" s="33" t="s">
        <v>11360</v>
      </c>
      <c r="J5492" s="34" t="s">
        <v>33</v>
      </c>
      <c r="K5492" s="20">
        <v>35000</v>
      </c>
      <c r="L5492" s="12">
        <f t="shared" si="464"/>
        <v>58334</v>
      </c>
      <c r="M5492" s="8">
        <v>1</v>
      </c>
      <c r="N5492" s="8" t="s">
        <v>27</v>
      </c>
      <c r="O5492" s="13"/>
      <c r="P5492" s="14">
        <v>0</v>
      </c>
      <c r="Q5492" s="15">
        <v>0.4</v>
      </c>
      <c r="R5492" s="16" t="str">
        <f t="shared" si="465"/>
        <v>KOMODO</v>
      </c>
    </row>
    <row r="5493" spans="1:18" ht="27" customHeight="1" x14ac:dyDescent="0.25">
      <c r="A5493" s="32" t="s">
        <v>3977</v>
      </c>
      <c r="H5493" s="8" t="s">
        <v>11362</v>
      </c>
      <c r="I5493" s="33" t="s">
        <v>11363</v>
      </c>
      <c r="J5493" s="34" t="s">
        <v>33</v>
      </c>
      <c r="K5493" s="20">
        <v>150000</v>
      </c>
      <c r="L5493" s="12">
        <f t="shared" si="464"/>
        <v>250000</v>
      </c>
      <c r="M5493" s="8">
        <v>1</v>
      </c>
      <c r="N5493" s="8" t="s">
        <v>27</v>
      </c>
      <c r="O5493" s="13"/>
      <c r="P5493" s="14">
        <v>0</v>
      </c>
      <c r="Q5493" s="15">
        <v>0.4</v>
      </c>
      <c r="R5493" s="16" t="str">
        <f t="shared" si="465"/>
        <v>KOMODO</v>
      </c>
    </row>
    <row r="5494" spans="1:18" ht="27" customHeight="1" x14ac:dyDescent="0.25">
      <c r="A5494" s="32" t="s">
        <v>3977</v>
      </c>
      <c r="H5494" s="8" t="s">
        <v>11364</v>
      </c>
      <c r="I5494" s="33" t="s">
        <v>11365</v>
      </c>
      <c r="J5494" s="34" t="s">
        <v>33</v>
      </c>
      <c r="K5494" s="20">
        <v>95000</v>
      </c>
      <c r="L5494" s="12">
        <f t="shared" si="464"/>
        <v>158334</v>
      </c>
      <c r="M5494" s="8">
        <v>1</v>
      </c>
      <c r="N5494" s="8" t="s">
        <v>27</v>
      </c>
      <c r="O5494" s="13"/>
      <c r="P5494" s="14">
        <v>0</v>
      </c>
      <c r="Q5494" s="15">
        <v>0.4</v>
      </c>
      <c r="R5494" s="16" t="str">
        <f t="shared" si="465"/>
        <v>KOMODO</v>
      </c>
    </row>
    <row r="5495" spans="1:18" ht="27" customHeight="1" x14ac:dyDescent="0.25">
      <c r="A5495" s="32" t="s">
        <v>3977</v>
      </c>
      <c r="H5495" s="8" t="s">
        <v>11366</v>
      </c>
      <c r="I5495" s="33" t="s">
        <v>11367</v>
      </c>
      <c r="J5495" s="34" t="s">
        <v>33</v>
      </c>
      <c r="K5495" s="20">
        <v>5000</v>
      </c>
      <c r="L5495" s="12">
        <f t="shared" si="464"/>
        <v>8334</v>
      </c>
      <c r="M5495" s="8">
        <v>1</v>
      </c>
      <c r="N5495" s="8" t="s">
        <v>27</v>
      </c>
      <c r="O5495" s="13"/>
      <c r="P5495" s="14">
        <v>0</v>
      </c>
      <c r="Q5495" s="15">
        <v>0.4</v>
      </c>
      <c r="R5495" s="16" t="str">
        <f t="shared" si="465"/>
        <v>KOMODO</v>
      </c>
    </row>
    <row r="5496" spans="1:18" ht="27" customHeight="1" x14ac:dyDescent="0.25">
      <c r="A5496" s="32" t="s">
        <v>3977</v>
      </c>
      <c r="H5496" s="8" t="s">
        <v>10095</v>
      </c>
      <c r="I5496" s="33" t="s">
        <v>11368</v>
      </c>
      <c r="J5496" s="34" t="s">
        <v>33</v>
      </c>
      <c r="K5496" s="20">
        <v>19000</v>
      </c>
      <c r="L5496" s="12">
        <f t="shared" si="464"/>
        <v>31667</v>
      </c>
      <c r="M5496" s="8">
        <v>1</v>
      </c>
      <c r="N5496" s="8" t="s">
        <v>27</v>
      </c>
      <c r="O5496" s="13"/>
      <c r="P5496" s="14">
        <v>0</v>
      </c>
      <c r="Q5496" s="15">
        <v>0.4</v>
      </c>
      <c r="R5496" s="16" t="str">
        <f t="shared" si="465"/>
        <v>KOMODO</v>
      </c>
    </row>
    <row r="5497" spans="1:18" ht="27" customHeight="1" x14ac:dyDescent="0.25">
      <c r="A5497" s="32" t="s">
        <v>3977</v>
      </c>
      <c r="H5497" s="8" t="s">
        <v>10091</v>
      </c>
      <c r="I5497" s="33" t="s">
        <v>11369</v>
      </c>
      <c r="J5497" s="34" t="s">
        <v>33</v>
      </c>
      <c r="K5497" s="20">
        <v>5000</v>
      </c>
      <c r="L5497" s="12">
        <f t="shared" si="464"/>
        <v>8334</v>
      </c>
      <c r="M5497" s="8">
        <v>1</v>
      </c>
      <c r="N5497" s="8" t="s">
        <v>27</v>
      </c>
      <c r="O5497" s="13"/>
      <c r="P5497" s="14">
        <v>0</v>
      </c>
      <c r="Q5497" s="15">
        <v>0.4</v>
      </c>
      <c r="R5497" s="16" t="str">
        <f t="shared" si="465"/>
        <v>KOMODO</v>
      </c>
    </row>
    <row r="5498" spans="1:18" ht="27" customHeight="1" x14ac:dyDescent="0.25">
      <c r="A5498" s="32" t="s">
        <v>3977</v>
      </c>
      <c r="H5498" s="8" t="s">
        <v>10093</v>
      </c>
      <c r="I5498" s="33" t="s">
        <v>11370</v>
      </c>
      <c r="J5498" s="34" t="s">
        <v>33</v>
      </c>
      <c r="K5498" s="20">
        <v>5000</v>
      </c>
      <c r="L5498" s="12">
        <f t="shared" ref="L5498:L5521" si="466">ROUNDUP(K5498*(1+P5498)/(1-Q5498),0)</f>
        <v>8334</v>
      </c>
      <c r="M5498" s="8">
        <v>1</v>
      </c>
      <c r="N5498" s="8" t="s">
        <v>27</v>
      </c>
      <c r="O5498" s="13"/>
      <c r="P5498" s="14">
        <v>0</v>
      </c>
      <c r="Q5498" s="15">
        <v>0.4</v>
      </c>
      <c r="R5498" s="16" t="str">
        <f t="shared" si="465"/>
        <v>KOMODO</v>
      </c>
    </row>
    <row r="5499" spans="1:18" ht="27" customHeight="1" x14ac:dyDescent="0.25">
      <c r="A5499" s="32" t="s">
        <v>3977</v>
      </c>
      <c r="H5499" s="8" t="s">
        <v>11371</v>
      </c>
      <c r="I5499" s="33" t="s">
        <v>11372</v>
      </c>
      <c r="J5499" s="34" t="s">
        <v>33</v>
      </c>
      <c r="K5499" s="20">
        <v>1000000</v>
      </c>
      <c r="L5499" s="12">
        <f t="shared" si="466"/>
        <v>1666667</v>
      </c>
      <c r="M5499" s="8">
        <v>1</v>
      </c>
      <c r="N5499" s="8" t="s">
        <v>27</v>
      </c>
      <c r="O5499" s="13"/>
      <c r="P5499" s="14">
        <v>0</v>
      </c>
      <c r="Q5499" s="15">
        <v>0.4</v>
      </c>
      <c r="R5499" s="16" t="str">
        <f t="shared" si="465"/>
        <v>KOMODO</v>
      </c>
    </row>
    <row r="5500" spans="1:18" ht="27" customHeight="1" x14ac:dyDescent="0.25">
      <c r="A5500" s="32" t="s">
        <v>11373</v>
      </c>
      <c r="H5500" s="8" t="s">
        <v>11374</v>
      </c>
      <c r="I5500" s="33" t="s">
        <v>11375</v>
      </c>
      <c r="J5500" s="34" t="s">
        <v>33</v>
      </c>
      <c r="K5500" s="20">
        <v>369000</v>
      </c>
      <c r="L5500" s="12">
        <f t="shared" si="466"/>
        <v>615000</v>
      </c>
      <c r="M5500" s="8">
        <v>1</v>
      </c>
      <c r="N5500" s="8" t="s">
        <v>27</v>
      </c>
      <c r="O5500" s="13"/>
      <c r="P5500" s="14">
        <v>0</v>
      </c>
      <c r="Q5500" s="15">
        <v>0.4</v>
      </c>
      <c r="R5500" s="16" t="str">
        <f t="shared" si="465"/>
        <v>TOP</v>
      </c>
    </row>
    <row r="5501" spans="1:18" ht="27" customHeight="1" x14ac:dyDescent="0.25">
      <c r="A5501" s="32" t="s">
        <v>9379</v>
      </c>
      <c r="H5501" s="8" t="s">
        <v>11376</v>
      </c>
      <c r="I5501" s="33" t="s">
        <v>11377</v>
      </c>
      <c r="J5501" s="34" t="s">
        <v>33</v>
      </c>
      <c r="K5501" s="20">
        <v>42100</v>
      </c>
      <c r="L5501" s="12">
        <f t="shared" si="466"/>
        <v>70167</v>
      </c>
      <c r="M5501" s="8">
        <v>1</v>
      </c>
      <c r="N5501" s="8" t="s">
        <v>27</v>
      </c>
      <c r="O5501" s="13"/>
      <c r="P5501" s="14">
        <v>0</v>
      </c>
      <c r="Q5501" s="15">
        <v>0.4</v>
      </c>
      <c r="R5501" s="16" t="str">
        <f t="shared" si="465"/>
        <v>UBIQUITI</v>
      </c>
    </row>
    <row r="5502" spans="1:18" ht="27" customHeight="1" x14ac:dyDescent="0.25">
      <c r="A5502" s="32" t="s">
        <v>9379</v>
      </c>
      <c r="H5502" s="8" t="s">
        <v>11378</v>
      </c>
      <c r="I5502" s="33" t="s">
        <v>11379</v>
      </c>
      <c r="J5502" s="34" t="s">
        <v>33</v>
      </c>
      <c r="K5502" s="20">
        <v>58900</v>
      </c>
      <c r="L5502" s="12">
        <f t="shared" si="466"/>
        <v>98167</v>
      </c>
      <c r="M5502" s="8">
        <v>1</v>
      </c>
      <c r="N5502" s="8" t="s">
        <v>27</v>
      </c>
      <c r="O5502" s="13"/>
      <c r="P5502" s="14">
        <v>0</v>
      </c>
      <c r="Q5502" s="15">
        <v>0.4</v>
      </c>
      <c r="R5502" s="16" t="str">
        <f t="shared" si="465"/>
        <v>UBIQUITI</v>
      </c>
    </row>
    <row r="5503" spans="1:18" ht="27" customHeight="1" x14ac:dyDescent="0.25">
      <c r="A5503" s="32" t="s">
        <v>6886</v>
      </c>
      <c r="H5503" s="8" t="s">
        <v>149</v>
      </c>
      <c r="I5503" s="33" t="s">
        <v>11380</v>
      </c>
      <c r="J5503" s="34" t="s">
        <v>26</v>
      </c>
      <c r="K5503" s="20">
        <v>35</v>
      </c>
      <c r="L5503" s="12">
        <f t="shared" si="466"/>
        <v>59</v>
      </c>
      <c r="M5503" s="8">
        <v>1</v>
      </c>
      <c r="N5503" s="8" t="s">
        <v>27</v>
      </c>
      <c r="O5503" s="13"/>
      <c r="P5503" s="14">
        <v>0</v>
      </c>
      <c r="Q5503" s="15">
        <v>0.4</v>
      </c>
      <c r="R5503" s="16" t="str">
        <f t="shared" si="465"/>
        <v>MEANWELL</v>
      </c>
    </row>
    <row r="5504" spans="1:18" ht="27" customHeight="1" x14ac:dyDescent="0.25">
      <c r="A5504" s="32" t="s">
        <v>8036</v>
      </c>
      <c r="H5504" s="8" t="s">
        <v>11381</v>
      </c>
      <c r="I5504" t="s">
        <v>11382</v>
      </c>
      <c r="J5504" s="34" t="s">
        <v>33</v>
      </c>
      <c r="K5504" s="20">
        <v>5906592</v>
      </c>
      <c r="L5504" s="12">
        <f t="shared" si="466"/>
        <v>6948932</v>
      </c>
      <c r="M5504" s="8">
        <v>1</v>
      </c>
      <c r="N5504" s="8" t="s">
        <v>27</v>
      </c>
      <c r="O5504" s="13"/>
      <c r="P5504" s="14">
        <v>0</v>
      </c>
      <c r="Q5504" s="15">
        <v>0.15</v>
      </c>
      <c r="R5504" s="16" t="str">
        <f t="shared" si="465"/>
        <v>SAMSUNG</v>
      </c>
    </row>
    <row r="5505" spans="1:20" ht="27" customHeight="1" x14ac:dyDescent="0.25">
      <c r="A5505" s="32" t="s">
        <v>8036</v>
      </c>
      <c r="H5505" s="8" t="s">
        <v>11383</v>
      </c>
      <c r="I5505" s="38" t="s">
        <v>11384</v>
      </c>
      <c r="J5505" s="34" t="s">
        <v>33</v>
      </c>
      <c r="K5505" s="20">
        <v>859000</v>
      </c>
      <c r="L5505" s="12">
        <f t="shared" si="466"/>
        <v>1010589</v>
      </c>
      <c r="M5505" s="8">
        <v>1</v>
      </c>
      <c r="N5505" s="8" t="s">
        <v>27</v>
      </c>
      <c r="O5505" s="13"/>
      <c r="P5505" s="14">
        <v>0</v>
      </c>
      <c r="Q5505" s="15">
        <v>0.15</v>
      </c>
      <c r="R5505" s="16" t="str">
        <f t="shared" si="465"/>
        <v>SAMSUNG</v>
      </c>
    </row>
    <row r="5506" spans="1:20" ht="27" customHeight="1" x14ac:dyDescent="0.25">
      <c r="A5506" s="32" t="s">
        <v>3902</v>
      </c>
      <c r="H5506" s="8" t="s">
        <v>11385</v>
      </c>
      <c r="I5506" s="33" t="s">
        <v>11386</v>
      </c>
      <c r="J5506" s="34" t="s">
        <v>33</v>
      </c>
      <c r="K5506" s="20">
        <v>1250000</v>
      </c>
      <c r="L5506" s="12">
        <f t="shared" si="466"/>
        <v>1470589</v>
      </c>
      <c r="M5506" s="8">
        <v>1</v>
      </c>
      <c r="N5506" s="8" t="s">
        <v>27</v>
      </c>
      <c r="O5506" s="13"/>
      <c r="P5506" s="14">
        <v>0</v>
      </c>
      <c r="Q5506" s="15">
        <v>0.15</v>
      </c>
      <c r="R5506" s="16" t="str">
        <f t="shared" si="465"/>
        <v>KEY_DIGITAL</v>
      </c>
    </row>
    <row r="5507" spans="1:20" ht="27" customHeight="1" x14ac:dyDescent="0.25">
      <c r="A5507" s="32" t="s">
        <v>8036</v>
      </c>
      <c r="H5507" s="8" t="s">
        <v>11387</v>
      </c>
      <c r="I5507" t="s">
        <v>11388</v>
      </c>
      <c r="J5507" s="34" t="s">
        <v>33</v>
      </c>
      <c r="K5507" s="20">
        <v>1250000</v>
      </c>
      <c r="L5507" s="12">
        <f t="shared" si="466"/>
        <v>1470589</v>
      </c>
      <c r="M5507" s="8">
        <v>1</v>
      </c>
      <c r="N5507" s="8" t="s">
        <v>27</v>
      </c>
      <c r="O5507" s="13"/>
      <c r="P5507" s="14">
        <v>0</v>
      </c>
      <c r="Q5507" s="15">
        <v>0.15</v>
      </c>
      <c r="R5507" s="16" t="str">
        <f t="shared" si="465"/>
        <v>SAMSUNG</v>
      </c>
    </row>
    <row r="5508" spans="1:20" ht="27" customHeight="1" x14ac:dyDescent="0.25">
      <c r="A5508" s="32" t="s">
        <v>3977</v>
      </c>
      <c r="H5508" s="8" t="s">
        <v>11389</v>
      </c>
      <c r="I5508" t="s">
        <v>11390</v>
      </c>
      <c r="J5508" s="34" t="s">
        <v>33</v>
      </c>
      <c r="K5508" s="20">
        <v>5500000</v>
      </c>
      <c r="L5508" s="12">
        <f t="shared" si="466"/>
        <v>6470589</v>
      </c>
      <c r="M5508" s="8">
        <v>1</v>
      </c>
      <c r="N5508" s="8" t="s">
        <v>27</v>
      </c>
      <c r="O5508" s="13"/>
      <c r="P5508" s="14">
        <v>0</v>
      </c>
      <c r="Q5508" s="15">
        <v>0.15</v>
      </c>
      <c r="R5508" s="16" t="str">
        <f t="shared" si="465"/>
        <v>KOMODO</v>
      </c>
    </row>
    <row r="5509" spans="1:20" ht="27" customHeight="1" x14ac:dyDescent="0.25">
      <c r="A5509" s="43" t="s">
        <v>3977</v>
      </c>
      <c r="B5509" s="19"/>
      <c r="C5509" s="19"/>
      <c r="D5509" s="19" t="s">
        <v>45</v>
      </c>
      <c r="E5509" s="19"/>
      <c r="F5509" s="19"/>
      <c r="G5509" s="19" t="s">
        <v>11391</v>
      </c>
      <c r="H5509" s="8" t="s">
        <v>11392</v>
      </c>
      <c r="I5509" s="19" t="s">
        <v>11393</v>
      </c>
      <c r="J5509" s="19" t="s">
        <v>33</v>
      </c>
      <c r="K5509" s="19">
        <v>80000</v>
      </c>
      <c r="L5509" s="12">
        <f t="shared" si="466"/>
        <v>160000</v>
      </c>
      <c r="M5509" s="8">
        <v>1</v>
      </c>
      <c r="N5509" s="8" t="s">
        <v>27</v>
      </c>
      <c r="O5509" s="13"/>
      <c r="P5509" s="14">
        <v>0</v>
      </c>
      <c r="Q5509" s="15">
        <v>0.5</v>
      </c>
      <c r="R5509" s="16" t="str">
        <f t="shared" si="465"/>
        <v>KOMODO</v>
      </c>
      <c r="S5509" s="19"/>
      <c r="T5509" s="19"/>
    </row>
    <row r="5510" spans="1:20" ht="27" customHeight="1" x14ac:dyDescent="0.25">
      <c r="A5510" s="32" t="s">
        <v>3977</v>
      </c>
      <c r="H5510" s="8" t="s">
        <v>11394</v>
      </c>
      <c r="I5510" t="s">
        <v>11395</v>
      </c>
      <c r="J5510" s="34" t="s">
        <v>33</v>
      </c>
      <c r="K5510" s="20">
        <v>90000</v>
      </c>
      <c r="L5510" s="12">
        <f t="shared" si="466"/>
        <v>180000</v>
      </c>
      <c r="M5510" s="8">
        <v>1</v>
      </c>
      <c r="N5510" s="8" t="s">
        <v>27</v>
      </c>
      <c r="O5510" s="13"/>
      <c r="P5510" s="14">
        <v>0</v>
      </c>
      <c r="Q5510" s="15">
        <v>0.5</v>
      </c>
      <c r="R5510" s="16" t="str">
        <f t="shared" si="465"/>
        <v>KOMODO</v>
      </c>
    </row>
    <row r="5511" spans="1:20" ht="27" customHeight="1" x14ac:dyDescent="0.25">
      <c r="A5511" s="32" t="s">
        <v>3977</v>
      </c>
      <c r="H5511" s="8" t="s">
        <v>11396</v>
      </c>
      <c r="I5511" t="s">
        <v>11397</v>
      </c>
      <c r="J5511" s="34" t="s">
        <v>33</v>
      </c>
      <c r="K5511" s="20">
        <v>110000</v>
      </c>
      <c r="L5511" s="12">
        <f t="shared" si="466"/>
        <v>220000</v>
      </c>
      <c r="M5511" s="8">
        <v>1</v>
      </c>
      <c r="N5511" s="8" t="s">
        <v>27</v>
      </c>
      <c r="O5511" s="13"/>
      <c r="P5511" s="14">
        <v>0</v>
      </c>
      <c r="Q5511" s="15">
        <v>0.5</v>
      </c>
      <c r="R5511" s="16" t="str">
        <f t="shared" si="465"/>
        <v>KOMODO</v>
      </c>
    </row>
    <row r="5512" spans="1:20" ht="27" customHeight="1" x14ac:dyDescent="0.25">
      <c r="A5512" s="32" t="s">
        <v>8836</v>
      </c>
      <c r="H5512" s="8" t="s">
        <v>11398</v>
      </c>
      <c r="I5512" t="s">
        <v>11399</v>
      </c>
      <c r="J5512" s="34" t="s">
        <v>33</v>
      </c>
      <c r="K5512" s="20">
        <f>150000*0.85</f>
        <v>127500</v>
      </c>
      <c r="L5512" s="12">
        <f t="shared" si="466"/>
        <v>182143</v>
      </c>
      <c r="M5512" s="8">
        <v>1</v>
      </c>
      <c r="N5512" s="8" t="s">
        <v>27</v>
      </c>
      <c r="O5512" s="13"/>
      <c r="P5512" s="14">
        <v>0</v>
      </c>
      <c r="Q5512" s="15">
        <v>0.3</v>
      </c>
      <c r="R5512" s="16" t="str">
        <f t="shared" si="465"/>
        <v>TECNOLITE</v>
      </c>
    </row>
    <row r="5513" spans="1:20" ht="27" customHeight="1" x14ac:dyDescent="0.25">
      <c r="A5513" s="32" t="s">
        <v>2512</v>
      </c>
      <c r="H5513" s="8" t="s">
        <v>11400</v>
      </c>
      <c r="I5513" t="s">
        <v>11401</v>
      </c>
      <c r="J5513" s="34" t="s">
        <v>33</v>
      </c>
      <c r="K5513" s="20">
        <v>2000</v>
      </c>
      <c r="L5513" s="12">
        <f t="shared" si="466"/>
        <v>10000</v>
      </c>
      <c r="M5513" s="8">
        <v>1</v>
      </c>
      <c r="N5513" s="8" t="s">
        <v>27</v>
      </c>
      <c r="O5513" s="13"/>
      <c r="P5513" s="14">
        <v>0</v>
      </c>
      <c r="Q5513" s="15">
        <v>0.8</v>
      </c>
      <c r="R5513" s="16" t="str">
        <f t="shared" si="465"/>
        <v>GENERAL</v>
      </c>
    </row>
    <row r="5514" spans="1:20" ht="27" customHeight="1" x14ac:dyDescent="0.25">
      <c r="A5514" s="32" t="s">
        <v>1867</v>
      </c>
      <c r="H5514" s="8" t="s">
        <v>11402</v>
      </c>
      <c r="I5514" t="s">
        <v>11403</v>
      </c>
      <c r="J5514" s="34" t="s">
        <v>26</v>
      </c>
      <c r="K5514" s="20">
        <v>625</v>
      </c>
      <c r="L5514" s="12">
        <f t="shared" si="466"/>
        <v>893</v>
      </c>
      <c r="M5514" s="8">
        <v>1</v>
      </c>
      <c r="N5514" s="8" t="s">
        <v>27</v>
      </c>
      <c r="O5514" s="13"/>
      <c r="P5514" s="14">
        <v>0</v>
      </c>
      <c r="Q5514" s="15">
        <v>0.3</v>
      </c>
      <c r="R5514" s="16" t="str">
        <f t="shared" si="465"/>
        <v>DENON</v>
      </c>
    </row>
    <row r="5515" spans="1:20" ht="27" customHeight="1" x14ac:dyDescent="0.25">
      <c r="A5515" s="32" t="s">
        <v>10370</v>
      </c>
      <c r="H5515" s="8" t="s">
        <v>11404</v>
      </c>
      <c r="I5515" t="s">
        <v>11405</v>
      </c>
      <c r="J5515" s="34" t="s">
        <v>26</v>
      </c>
      <c r="K5515" s="20">
        <v>2.39</v>
      </c>
      <c r="L5515" s="12">
        <f t="shared" si="466"/>
        <v>7</v>
      </c>
      <c r="M5515" s="8">
        <v>1</v>
      </c>
      <c r="N5515" s="8" t="s">
        <v>27</v>
      </c>
      <c r="O5515" s="13"/>
      <c r="P5515" s="14">
        <v>0.3</v>
      </c>
      <c r="Q5515" s="15">
        <v>0.5</v>
      </c>
      <c r="R5515" s="16" t="str">
        <f t="shared" si="465"/>
        <v>LEDYI</v>
      </c>
    </row>
    <row r="5516" spans="1:20" ht="27" customHeight="1" x14ac:dyDescent="0.25">
      <c r="A5516" s="32" t="s">
        <v>10370</v>
      </c>
      <c r="H5516" s="8" t="s">
        <v>11406</v>
      </c>
      <c r="I5516" t="s">
        <v>11407</v>
      </c>
      <c r="J5516" s="34" t="s">
        <v>26</v>
      </c>
      <c r="K5516" s="20">
        <v>6.55</v>
      </c>
      <c r="L5516" s="12">
        <f t="shared" si="466"/>
        <v>18</v>
      </c>
      <c r="M5516" s="8">
        <v>1</v>
      </c>
      <c r="N5516" s="8" t="s">
        <v>27</v>
      </c>
      <c r="O5516" s="13"/>
      <c r="P5516" s="14">
        <v>0.3</v>
      </c>
      <c r="Q5516" s="15">
        <v>0.5</v>
      </c>
      <c r="R5516" s="16" t="str">
        <f t="shared" si="465"/>
        <v>LEDYI</v>
      </c>
    </row>
    <row r="5517" spans="1:20" ht="27" customHeight="1" x14ac:dyDescent="0.25">
      <c r="A5517" s="32" t="s">
        <v>10370</v>
      </c>
      <c r="H5517" s="8" t="s">
        <v>11408</v>
      </c>
      <c r="I5517" t="s">
        <v>11409</v>
      </c>
      <c r="J5517" s="34" t="s">
        <v>26</v>
      </c>
      <c r="K5517" s="20">
        <v>9.6199999999999992</v>
      </c>
      <c r="L5517" s="12">
        <f t="shared" si="466"/>
        <v>26</v>
      </c>
      <c r="M5517" s="8">
        <v>1</v>
      </c>
      <c r="N5517" s="8" t="s">
        <v>27</v>
      </c>
      <c r="O5517" s="13"/>
      <c r="P5517" s="14">
        <v>0.3</v>
      </c>
      <c r="Q5517" s="15">
        <v>0.5</v>
      </c>
      <c r="R5517" s="16" t="str">
        <f t="shared" si="465"/>
        <v>LEDYI</v>
      </c>
    </row>
    <row r="5518" spans="1:20" ht="27" customHeight="1" x14ac:dyDescent="0.25">
      <c r="A5518" s="32" t="s">
        <v>5672</v>
      </c>
      <c r="H5518" s="8" t="s">
        <v>11410</v>
      </c>
      <c r="I5518" t="s">
        <v>11411</v>
      </c>
      <c r="J5518" s="34" t="s">
        <v>26</v>
      </c>
      <c r="K5518" s="42">
        <v>60</v>
      </c>
      <c r="L5518" s="12">
        <f t="shared" si="466"/>
        <v>120</v>
      </c>
      <c r="M5518" s="8">
        <v>1</v>
      </c>
      <c r="N5518" s="8" t="s">
        <v>27</v>
      </c>
      <c r="O5518" s="13"/>
      <c r="P5518" s="14">
        <v>0.2</v>
      </c>
      <c r="Q5518" s="15">
        <v>0.4</v>
      </c>
      <c r="R5518" s="16" t="str">
        <f t="shared" si="465"/>
        <v>LUTRON</v>
      </c>
    </row>
    <row r="5519" spans="1:20" ht="27" customHeight="1" x14ac:dyDescent="0.25">
      <c r="A5519" s="32" t="s">
        <v>5672</v>
      </c>
      <c r="H5519" s="8" t="s">
        <v>9946</v>
      </c>
      <c r="I5519" t="s">
        <v>11412</v>
      </c>
      <c r="J5519" s="34" t="s">
        <v>26</v>
      </c>
      <c r="K5519" s="42">
        <v>1020.3</v>
      </c>
      <c r="L5519" s="12">
        <f t="shared" si="466"/>
        <v>1790</v>
      </c>
      <c r="M5519" s="8">
        <v>1</v>
      </c>
      <c r="N5519" s="8" t="s">
        <v>27</v>
      </c>
      <c r="O5519" s="13"/>
      <c r="P5519" s="14">
        <v>0.2</v>
      </c>
      <c r="Q5519" s="15">
        <v>0.31569333333333333</v>
      </c>
      <c r="R5519" s="16" t="str">
        <f t="shared" si="465"/>
        <v>LUTRON</v>
      </c>
    </row>
    <row r="5520" spans="1:20" ht="27" customHeight="1" x14ac:dyDescent="0.25">
      <c r="A5520" s="32" t="s">
        <v>10249</v>
      </c>
      <c r="H5520" s="8" t="s">
        <v>11413</v>
      </c>
      <c r="I5520" t="s">
        <v>11414</v>
      </c>
      <c r="J5520" s="34" t="s">
        <v>26</v>
      </c>
      <c r="K5520" s="20">
        <v>14.7</v>
      </c>
      <c r="L5520" s="12">
        <f t="shared" si="466"/>
        <v>42</v>
      </c>
      <c r="M5520" s="8">
        <v>1</v>
      </c>
      <c r="N5520" s="8" t="s">
        <v>27</v>
      </c>
      <c r="O5520" s="13"/>
      <c r="P5520" s="14">
        <v>0.4</v>
      </c>
      <c r="Q5520" s="15">
        <v>0.5</v>
      </c>
      <c r="R5520" s="16" t="str">
        <f t="shared" si="465"/>
        <v>SKYDANCE</v>
      </c>
    </row>
    <row r="5521" spans="1:19" ht="27" customHeight="1" x14ac:dyDescent="0.25">
      <c r="A5521" s="32" t="s">
        <v>10249</v>
      </c>
      <c r="H5521" s="8" t="s">
        <v>11415</v>
      </c>
      <c r="I5521" t="s">
        <v>11416</v>
      </c>
      <c r="J5521" s="34" t="s">
        <v>26</v>
      </c>
      <c r="K5521" s="20">
        <v>12.8</v>
      </c>
      <c r="L5521" s="12">
        <f t="shared" si="466"/>
        <v>36</v>
      </c>
      <c r="M5521" s="8">
        <v>1</v>
      </c>
      <c r="N5521" s="8" t="s">
        <v>27</v>
      </c>
      <c r="O5521" s="13"/>
      <c r="P5521" s="14">
        <v>0.4</v>
      </c>
      <c r="Q5521" s="15">
        <v>0.5</v>
      </c>
      <c r="R5521" s="16" t="str">
        <f t="shared" si="465"/>
        <v>SKYDANCE</v>
      </c>
    </row>
    <row r="5522" spans="1:19" ht="27" customHeight="1" x14ac:dyDescent="0.25">
      <c r="A5522" s="43" t="s">
        <v>5672</v>
      </c>
      <c r="B5522" s="19"/>
      <c r="C5522" s="19"/>
      <c r="D5522" s="19"/>
      <c r="E5522" s="19"/>
      <c r="F5522" s="19"/>
      <c r="G5522" s="19"/>
      <c r="H5522" s="8" t="s">
        <v>11417</v>
      </c>
      <c r="I5522" s="19" t="s">
        <v>11418</v>
      </c>
      <c r="J5522" s="19" t="s">
        <v>26</v>
      </c>
      <c r="K5522" s="59">
        <v>44.9</v>
      </c>
      <c r="L5522" s="12">
        <f t="shared" ref="L5522:L5552" si="467">K5522*(1+P5522)/(1-Q5522)</f>
        <v>89.8</v>
      </c>
      <c r="M5522" s="8">
        <v>1</v>
      </c>
      <c r="N5522" s="8" t="s">
        <v>27</v>
      </c>
      <c r="O5522" s="13"/>
      <c r="P5522" s="14">
        <v>0.2</v>
      </c>
      <c r="Q5522" s="15">
        <v>0.4</v>
      </c>
      <c r="R5522" s="16" t="str">
        <f t="shared" si="465"/>
        <v>LUTRON</v>
      </c>
      <c r="S5522" s="19"/>
    </row>
    <row r="5523" spans="1:19" ht="27" customHeight="1" x14ac:dyDescent="0.25">
      <c r="A5523" s="32" t="s">
        <v>5672</v>
      </c>
      <c r="H5523" s="8" t="s">
        <v>6443</v>
      </c>
      <c r="I5523" t="s">
        <v>11419</v>
      </c>
      <c r="J5523" s="34" t="s">
        <v>26</v>
      </c>
      <c r="K5523" s="42">
        <v>43.35</v>
      </c>
      <c r="L5523" s="12">
        <f t="shared" si="467"/>
        <v>86.7</v>
      </c>
      <c r="M5523" s="8">
        <v>1</v>
      </c>
      <c r="N5523" s="8" t="s">
        <v>27</v>
      </c>
      <c r="O5523" s="13"/>
      <c r="P5523" s="14">
        <v>0.2</v>
      </c>
      <c r="Q5523" s="15">
        <v>0.4</v>
      </c>
      <c r="R5523" s="16" t="str">
        <f t="shared" si="465"/>
        <v>LUTRON</v>
      </c>
    </row>
    <row r="5524" spans="1:19" ht="27" customHeight="1" x14ac:dyDescent="0.25">
      <c r="A5524" s="32" t="s">
        <v>5672</v>
      </c>
      <c r="H5524" s="8" t="s">
        <v>11420</v>
      </c>
      <c r="I5524" t="s">
        <v>11421</v>
      </c>
      <c r="J5524" s="34" t="s">
        <v>26</v>
      </c>
      <c r="K5524" s="42">
        <v>154.69999999999999</v>
      </c>
      <c r="L5524" s="12">
        <f t="shared" si="467"/>
        <v>271.40351094306629</v>
      </c>
      <c r="M5524" s="8">
        <v>1</v>
      </c>
      <c r="N5524" s="8" t="s">
        <v>27</v>
      </c>
      <c r="O5524" s="13"/>
      <c r="P5524" s="14">
        <v>0.2</v>
      </c>
      <c r="Q5524" s="15">
        <v>0.3160000054717691</v>
      </c>
      <c r="R5524" s="16" t="str">
        <f t="shared" si="465"/>
        <v>LUTRON</v>
      </c>
    </row>
    <row r="5525" spans="1:19" ht="27" customHeight="1" x14ac:dyDescent="0.25">
      <c r="A5525" t="s">
        <v>10370</v>
      </c>
      <c r="H5525" s="8" t="s">
        <v>11404</v>
      </c>
      <c r="I5525" t="s">
        <v>11422</v>
      </c>
      <c r="J5525" t="s">
        <v>26</v>
      </c>
      <c r="K5525" s="42">
        <v>2.39</v>
      </c>
      <c r="L5525" s="12">
        <f t="shared" si="467"/>
        <v>6.2140000000000004</v>
      </c>
      <c r="M5525" s="8">
        <v>1</v>
      </c>
      <c r="N5525" s="8" t="s">
        <v>27</v>
      </c>
      <c r="O5525" s="13"/>
      <c r="P5525" s="14">
        <v>0.3</v>
      </c>
      <c r="Q5525" s="15">
        <v>0.5</v>
      </c>
      <c r="R5525" s="16" t="str">
        <f t="shared" si="465"/>
        <v>LEDYI</v>
      </c>
    </row>
    <row r="5526" spans="1:19" ht="27" customHeight="1" x14ac:dyDescent="0.25">
      <c r="A5526" t="s">
        <v>10370</v>
      </c>
      <c r="H5526" s="8" t="s">
        <v>11406</v>
      </c>
      <c r="I5526" t="s">
        <v>11423</v>
      </c>
      <c r="J5526" t="s">
        <v>26</v>
      </c>
      <c r="K5526" s="42">
        <v>6.55</v>
      </c>
      <c r="L5526" s="12">
        <f t="shared" si="467"/>
        <v>17.03</v>
      </c>
      <c r="M5526" s="8">
        <v>1</v>
      </c>
      <c r="N5526" s="8" t="s">
        <v>27</v>
      </c>
      <c r="O5526" s="13"/>
      <c r="P5526" s="14">
        <v>0.3</v>
      </c>
      <c r="Q5526" s="15">
        <v>0.5</v>
      </c>
      <c r="R5526" s="16" t="str">
        <f t="shared" si="465"/>
        <v>LEDYI</v>
      </c>
    </row>
    <row r="5527" spans="1:19" ht="27" customHeight="1" x14ac:dyDescent="0.25">
      <c r="A5527" t="s">
        <v>10370</v>
      </c>
      <c r="H5527" s="8" t="s">
        <v>11408</v>
      </c>
      <c r="I5527" t="s">
        <v>11424</v>
      </c>
      <c r="J5527" t="s">
        <v>26</v>
      </c>
      <c r="K5527" s="42">
        <v>9.6199999999999992</v>
      </c>
      <c r="L5527" s="12">
        <f t="shared" si="467"/>
        <v>25.012</v>
      </c>
      <c r="M5527" s="8">
        <v>1</v>
      </c>
      <c r="N5527" s="8" t="s">
        <v>27</v>
      </c>
      <c r="O5527" s="13"/>
      <c r="P5527" s="14">
        <v>0.3</v>
      </c>
      <c r="Q5527" s="15">
        <v>0.5</v>
      </c>
      <c r="R5527" s="16" t="str">
        <f t="shared" si="465"/>
        <v>LEDYI</v>
      </c>
    </row>
    <row r="5528" spans="1:19" ht="27" customHeight="1" x14ac:dyDescent="0.25">
      <c r="A5528" t="s">
        <v>10370</v>
      </c>
      <c r="H5528" s="8" t="s">
        <v>11425</v>
      </c>
      <c r="I5528" t="s">
        <v>11426</v>
      </c>
      <c r="J5528" t="s">
        <v>26</v>
      </c>
      <c r="K5528" s="42">
        <v>2.63</v>
      </c>
      <c r="L5528" s="12">
        <f t="shared" si="467"/>
        <v>6.8380000000000001</v>
      </c>
      <c r="M5528" s="8">
        <v>1</v>
      </c>
      <c r="N5528" s="8" t="s">
        <v>27</v>
      </c>
      <c r="O5528" s="13"/>
      <c r="P5528" s="14">
        <v>0.3</v>
      </c>
      <c r="Q5528" s="15">
        <v>0.5</v>
      </c>
      <c r="R5528" s="16" t="str">
        <f t="shared" si="465"/>
        <v>LEDYI</v>
      </c>
    </row>
    <row r="5529" spans="1:19" ht="27" customHeight="1" x14ac:dyDescent="0.25">
      <c r="A5529" t="s">
        <v>10370</v>
      </c>
      <c r="H5529" s="8" t="s">
        <v>11427</v>
      </c>
      <c r="I5529" t="s">
        <v>11426</v>
      </c>
      <c r="J5529" t="s">
        <v>26</v>
      </c>
      <c r="K5529" s="42">
        <v>1.9</v>
      </c>
      <c r="L5529" s="12">
        <f t="shared" si="467"/>
        <v>4.9399999999999995</v>
      </c>
      <c r="M5529" s="8">
        <v>1</v>
      </c>
      <c r="N5529" s="8" t="s">
        <v>27</v>
      </c>
      <c r="O5529" s="13"/>
      <c r="P5529" s="14">
        <v>0.3</v>
      </c>
      <c r="Q5529" s="15">
        <v>0.5</v>
      </c>
      <c r="R5529" s="16" t="str">
        <f t="shared" si="465"/>
        <v>LEDYI</v>
      </c>
    </row>
    <row r="5530" spans="1:19" ht="27" customHeight="1" x14ac:dyDescent="0.25">
      <c r="A5530" t="s">
        <v>10370</v>
      </c>
      <c r="H5530" s="8" t="s">
        <v>11428</v>
      </c>
      <c r="I5530" t="s">
        <v>11429</v>
      </c>
      <c r="J5530" t="s">
        <v>26</v>
      </c>
      <c r="K5530" s="42">
        <v>2.63</v>
      </c>
      <c r="L5530" s="12">
        <f t="shared" si="467"/>
        <v>6.8380000000000001</v>
      </c>
      <c r="M5530" s="8">
        <v>1</v>
      </c>
      <c r="N5530" s="8" t="s">
        <v>27</v>
      </c>
      <c r="O5530" s="13"/>
      <c r="P5530" s="14">
        <v>0.3</v>
      </c>
      <c r="Q5530" s="15">
        <v>0.5</v>
      </c>
      <c r="R5530" s="16" t="str">
        <f t="shared" si="465"/>
        <v>LEDYI</v>
      </c>
    </row>
    <row r="5531" spans="1:19" ht="27" customHeight="1" x14ac:dyDescent="0.25">
      <c r="A5531" t="s">
        <v>10370</v>
      </c>
      <c r="H5531" s="8" t="s">
        <v>11430</v>
      </c>
      <c r="I5531" t="s">
        <v>11431</v>
      </c>
      <c r="J5531" t="s">
        <v>26</v>
      </c>
      <c r="K5531" s="42">
        <v>64.17</v>
      </c>
      <c r="L5531" s="12">
        <f t="shared" si="467"/>
        <v>166.84200000000001</v>
      </c>
      <c r="M5531" s="8">
        <v>1</v>
      </c>
      <c r="N5531" s="8" t="s">
        <v>27</v>
      </c>
      <c r="O5531" s="13"/>
      <c r="P5531" s="14">
        <v>0.3</v>
      </c>
      <c r="Q5531" s="15">
        <v>0.5</v>
      </c>
      <c r="R5531" s="16" t="str">
        <f t="shared" si="465"/>
        <v>LEDYI</v>
      </c>
    </row>
    <row r="5532" spans="1:19" ht="27" customHeight="1" x14ac:dyDescent="0.25">
      <c r="A5532" t="s">
        <v>10370</v>
      </c>
      <c r="H5532" s="8" t="s">
        <v>11432</v>
      </c>
      <c r="I5532" t="s">
        <v>11433</v>
      </c>
      <c r="J5532" t="s">
        <v>26</v>
      </c>
      <c r="K5532" s="42">
        <v>77.260000000000005</v>
      </c>
      <c r="L5532" s="12">
        <f t="shared" si="467"/>
        <v>200.87600000000003</v>
      </c>
      <c r="M5532" s="8">
        <v>1</v>
      </c>
      <c r="N5532" s="8" t="s">
        <v>27</v>
      </c>
      <c r="O5532" s="13"/>
      <c r="P5532" s="14">
        <v>0.3</v>
      </c>
      <c r="Q5532" s="15">
        <v>0.5</v>
      </c>
      <c r="R5532" s="16" t="str">
        <f t="shared" si="465"/>
        <v>LEDYI</v>
      </c>
    </row>
    <row r="5533" spans="1:19" ht="27" customHeight="1" x14ac:dyDescent="0.25">
      <c r="A5533" t="s">
        <v>10370</v>
      </c>
      <c r="H5533" s="8" t="s">
        <v>11434</v>
      </c>
      <c r="I5533" t="s">
        <v>11435</v>
      </c>
      <c r="J5533" t="s">
        <v>26</v>
      </c>
      <c r="K5533" s="42">
        <v>16.579999999999998</v>
      </c>
      <c r="L5533" s="12">
        <f t="shared" si="467"/>
        <v>43.107999999999997</v>
      </c>
      <c r="M5533" s="8">
        <v>1</v>
      </c>
      <c r="N5533" s="8" t="s">
        <v>27</v>
      </c>
      <c r="O5533" s="13"/>
      <c r="P5533" s="14">
        <v>0.3</v>
      </c>
      <c r="Q5533" s="15">
        <v>0.5</v>
      </c>
      <c r="R5533" s="16" t="str">
        <f t="shared" si="465"/>
        <v>LEDYI</v>
      </c>
    </row>
    <row r="5534" spans="1:19" ht="27" customHeight="1" x14ac:dyDescent="0.25">
      <c r="A5534" t="s">
        <v>10370</v>
      </c>
      <c r="H5534" s="8" t="s">
        <v>11436</v>
      </c>
      <c r="I5534" t="s">
        <v>11437</v>
      </c>
      <c r="J5534" t="s">
        <v>26</v>
      </c>
      <c r="K5534" s="42">
        <v>6.55</v>
      </c>
      <c r="L5534" s="12">
        <f t="shared" si="467"/>
        <v>17.03</v>
      </c>
      <c r="M5534" s="8">
        <v>1</v>
      </c>
      <c r="N5534" s="8" t="s">
        <v>27</v>
      </c>
      <c r="O5534" s="13"/>
      <c r="P5534" s="14">
        <v>0.3</v>
      </c>
      <c r="Q5534" s="15">
        <v>0.5</v>
      </c>
      <c r="R5534" s="16" t="str">
        <f t="shared" si="465"/>
        <v>LEDYI</v>
      </c>
    </row>
    <row r="5535" spans="1:19" ht="27" customHeight="1" x14ac:dyDescent="0.25">
      <c r="A5535" t="s">
        <v>10370</v>
      </c>
      <c r="H5535" s="8" t="s">
        <v>11438</v>
      </c>
      <c r="I5535" t="s">
        <v>11439</v>
      </c>
      <c r="J5535" t="s">
        <v>26</v>
      </c>
      <c r="K5535" s="42">
        <v>5.5</v>
      </c>
      <c r="L5535" s="12">
        <f t="shared" si="467"/>
        <v>14.3</v>
      </c>
      <c r="M5535" s="8">
        <v>1</v>
      </c>
      <c r="N5535" s="8" t="s">
        <v>27</v>
      </c>
      <c r="O5535" s="13"/>
      <c r="P5535" s="14">
        <v>0.3</v>
      </c>
      <c r="Q5535" s="15">
        <v>0.5</v>
      </c>
      <c r="R5535" s="16" t="str">
        <f t="shared" si="465"/>
        <v>LEDYI</v>
      </c>
    </row>
    <row r="5536" spans="1:19" ht="27" customHeight="1" x14ac:dyDescent="0.25">
      <c r="A5536" t="s">
        <v>10370</v>
      </c>
      <c r="H5536" s="8" t="s">
        <v>11440</v>
      </c>
      <c r="I5536" t="s">
        <v>11441</v>
      </c>
      <c r="J5536" t="s">
        <v>26</v>
      </c>
      <c r="K5536" s="42">
        <v>11.44</v>
      </c>
      <c r="L5536" s="12">
        <f t="shared" si="467"/>
        <v>29.744</v>
      </c>
      <c r="M5536" s="8">
        <v>1</v>
      </c>
      <c r="N5536" s="8" t="s">
        <v>27</v>
      </c>
      <c r="O5536" s="13"/>
      <c r="P5536" s="14">
        <v>0.3</v>
      </c>
      <c r="Q5536" s="15">
        <v>0.5</v>
      </c>
      <c r="R5536" s="16" t="str">
        <f t="shared" si="465"/>
        <v>LEDYI</v>
      </c>
    </row>
    <row r="5537" spans="1:20" ht="27" customHeight="1" x14ac:dyDescent="0.25">
      <c r="A5537" t="s">
        <v>10370</v>
      </c>
      <c r="H5537" s="8" t="s">
        <v>11442</v>
      </c>
      <c r="I5537" s="38" t="s">
        <v>11443</v>
      </c>
      <c r="J5537" t="s">
        <v>26</v>
      </c>
      <c r="K5537" s="42">
        <v>9.7100000000000009</v>
      </c>
      <c r="L5537" s="12">
        <f t="shared" si="467"/>
        <v>25.246000000000002</v>
      </c>
      <c r="M5537" s="8">
        <v>1</v>
      </c>
      <c r="N5537" s="8" t="s">
        <v>27</v>
      </c>
      <c r="O5537" s="13"/>
      <c r="P5537" s="14">
        <v>0.3</v>
      </c>
      <c r="Q5537" s="15">
        <v>0.5</v>
      </c>
      <c r="R5537" s="16" t="str">
        <f t="shared" si="465"/>
        <v>LEDYI</v>
      </c>
    </row>
    <row r="5538" spans="1:20" ht="27" customHeight="1" x14ac:dyDescent="0.25">
      <c r="A5538" t="s">
        <v>10370</v>
      </c>
      <c r="H5538" s="8" t="s">
        <v>11444</v>
      </c>
      <c r="I5538" s="38" t="s">
        <v>11445</v>
      </c>
      <c r="J5538" t="s">
        <v>26</v>
      </c>
      <c r="K5538" s="42">
        <v>17.03</v>
      </c>
      <c r="L5538" s="12">
        <f t="shared" si="467"/>
        <v>44.278000000000006</v>
      </c>
      <c r="M5538" s="8">
        <v>1</v>
      </c>
      <c r="N5538" s="8" t="s">
        <v>27</v>
      </c>
      <c r="O5538" s="13"/>
      <c r="P5538" s="14">
        <v>0.3</v>
      </c>
      <c r="Q5538" s="15">
        <v>0.5</v>
      </c>
      <c r="R5538" s="16" t="str">
        <f t="shared" si="465"/>
        <v>LEDYI</v>
      </c>
    </row>
    <row r="5539" spans="1:20" ht="27" customHeight="1" x14ac:dyDescent="0.25">
      <c r="A5539" t="s">
        <v>10370</v>
      </c>
      <c r="H5539" s="8" t="s">
        <v>11446</v>
      </c>
      <c r="I5539" s="38" t="s">
        <v>11447</v>
      </c>
      <c r="J5539" t="s">
        <v>26</v>
      </c>
      <c r="K5539" s="42">
        <v>14.7</v>
      </c>
      <c r="L5539" s="12">
        <f t="shared" si="467"/>
        <v>38.22</v>
      </c>
      <c r="M5539" s="8">
        <v>1</v>
      </c>
      <c r="N5539" s="8" t="s">
        <v>27</v>
      </c>
      <c r="O5539" s="13"/>
      <c r="P5539" s="14">
        <v>0.3</v>
      </c>
      <c r="Q5539" s="15">
        <v>0.5</v>
      </c>
      <c r="R5539" s="16" t="str">
        <f t="shared" si="465"/>
        <v>LEDYI</v>
      </c>
    </row>
    <row r="5540" spans="1:20" ht="27" customHeight="1" x14ac:dyDescent="0.25">
      <c r="A5540" t="s">
        <v>10370</v>
      </c>
      <c r="H5540" s="8" t="s">
        <v>11448</v>
      </c>
      <c r="I5540" s="38" t="s">
        <v>11449</v>
      </c>
      <c r="J5540" t="s">
        <v>26</v>
      </c>
      <c r="K5540" s="42">
        <v>6.07</v>
      </c>
      <c r="L5540" s="12">
        <f t="shared" si="467"/>
        <v>15.782000000000002</v>
      </c>
      <c r="M5540" s="8">
        <v>1</v>
      </c>
      <c r="N5540" s="8" t="s">
        <v>27</v>
      </c>
      <c r="O5540" s="13"/>
      <c r="P5540" s="14">
        <v>0.3</v>
      </c>
      <c r="Q5540" s="15">
        <v>0.5</v>
      </c>
      <c r="R5540" s="16" t="str">
        <f t="shared" si="465"/>
        <v>LEDYI</v>
      </c>
    </row>
    <row r="5541" spans="1:20" ht="27" customHeight="1" x14ac:dyDescent="0.25">
      <c r="A5541" t="s">
        <v>10370</v>
      </c>
      <c r="H5541" s="8" t="s">
        <v>11450</v>
      </c>
      <c r="I5541" t="s">
        <v>11451</v>
      </c>
      <c r="J5541" t="s">
        <v>26</v>
      </c>
      <c r="K5541" s="42">
        <v>0.23</v>
      </c>
      <c r="L5541" s="12">
        <f t="shared" si="467"/>
        <v>0.59800000000000009</v>
      </c>
      <c r="M5541" s="8">
        <v>1</v>
      </c>
      <c r="N5541" s="8" t="s">
        <v>27</v>
      </c>
      <c r="O5541" s="13"/>
      <c r="P5541" s="14">
        <v>0.3</v>
      </c>
      <c r="Q5541" s="15">
        <v>0.5</v>
      </c>
      <c r="R5541" s="16" t="str">
        <f t="shared" si="465"/>
        <v>LEDYI</v>
      </c>
    </row>
    <row r="5542" spans="1:20" ht="27" customHeight="1" x14ac:dyDescent="0.25">
      <c r="A5542" t="s">
        <v>10370</v>
      </c>
      <c r="H5542" s="8" t="s">
        <v>11452</v>
      </c>
      <c r="I5542" t="s">
        <v>10380</v>
      </c>
      <c r="J5542" t="s">
        <v>26</v>
      </c>
      <c r="K5542" s="42">
        <v>0.23</v>
      </c>
      <c r="L5542" s="12">
        <f t="shared" si="467"/>
        <v>0.59800000000000009</v>
      </c>
      <c r="M5542" s="8">
        <v>1</v>
      </c>
      <c r="N5542" s="8" t="s">
        <v>27</v>
      </c>
      <c r="O5542" s="13"/>
      <c r="P5542" s="14">
        <v>0.3</v>
      </c>
      <c r="Q5542" s="15">
        <v>0.5</v>
      </c>
      <c r="R5542" s="16" t="str">
        <f t="shared" si="465"/>
        <v>LEDYI</v>
      </c>
    </row>
    <row r="5543" spans="1:20" ht="27" customHeight="1" x14ac:dyDescent="0.25">
      <c r="A5543" t="s">
        <v>10370</v>
      </c>
      <c r="H5543" s="8" t="s">
        <v>11453</v>
      </c>
      <c r="I5543" t="s">
        <v>11454</v>
      </c>
      <c r="J5543" t="s">
        <v>26</v>
      </c>
      <c r="K5543" s="42">
        <v>0.41</v>
      </c>
      <c r="L5543" s="12">
        <f t="shared" si="467"/>
        <v>1.0660000000000001</v>
      </c>
      <c r="M5543" s="8">
        <v>1</v>
      </c>
      <c r="N5543" s="8" t="s">
        <v>27</v>
      </c>
      <c r="O5543" s="13"/>
      <c r="P5543" s="14">
        <v>0.3</v>
      </c>
      <c r="Q5543" s="15">
        <v>0.5</v>
      </c>
      <c r="R5543" s="16" t="str">
        <f t="shared" si="465"/>
        <v>LEDYI</v>
      </c>
    </row>
    <row r="5544" spans="1:20" ht="27" customHeight="1" x14ac:dyDescent="0.25">
      <c r="A5544" t="s">
        <v>10370</v>
      </c>
      <c r="H5544" s="8" t="s">
        <v>11455</v>
      </c>
      <c r="I5544" t="s">
        <v>11456</v>
      </c>
      <c r="J5544" t="s">
        <v>26</v>
      </c>
      <c r="K5544" s="42">
        <v>0.14000000000000001</v>
      </c>
      <c r="L5544" s="12">
        <f t="shared" si="467"/>
        <v>0.36400000000000005</v>
      </c>
      <c r="M5544" s="8">
        <v>1</v>
      </c>
      <c r="N5544" s="8" t="s">
        <v>27</v>
      </c>
      <c r="O5544" s="13"/>
      <c r="P5544" s="14">
        <v>0.3</v>
      </c>
      <c r="Q5544" s="15">
        <v>0.5</v>
      </c>
      <c r="R5544" s="16" t="str">
        <f t="shared" si="465"/>
        <v>LEDYI</v>
      </c>
    </row>
    <row r="5545" spans="1:20" ht="27" customHeight="1" x14ac:dyDescent="0.25">
      <c r="A5545" t="s">
        <v>10370</v>
      </c>
      <c r="H5545" s="8" t="s">
        <v>11457</v>
      </c>
      <c r="I5545" t="s">
        <v>11458</v>
      </c>
      <c r="J5545" t="s">
        <v>26</v>
      </c>
      <c r="K5545" s="42">
        <v>0.35</v>
      </c>
      <c r="L5545" s="12">
        <f t="shared" si="467"/>
        <v>0.90999999999999992</v>
      </c>
      <c r="M5545" s="8">
        <v>1</v>
      </c>
      <c r="N5545" s="8" t="s">
        <v>27</v>
      </c>
      <c r="O5545" s="13"/>
      <c r="P5545" s="14">
        <v>0.3</v>
      </c>
      <c r="Q5545" s="15">
        <v>0.5</v>
      </c>
      <c r="R5545" s="16" t="str">
        <f t="shared" si="465"/>
        <v>LEDYI</v>
      </c>
    </row>
    <row r="5546" spans="1:20" ht="27" customHeight="1" x14ac:dyDescent="0.25">
      <c r="A5546" t="s">
        <v>10370</v>
      </c>
      <c r="H5546" s="8" t="s">
        <v>11459</v>
      </c>
      <c r="I5546" t="s">
        <v>11460</v>
      </c>
      <c r="J5546" t="s">
        <v>26</v>
      </c>
      <c r="K5546" s="42">
        <v>1.08</v>
      </c>
      <c r="L5546" s="12">
        <f t="shared" si="467"/>
        <v>2.8080000000000003</v>
      </c>
      <c r="M5546" s="8">
        <v>1</v>
      </c>
      <c r="N5546" s="8" t="s">
        <v>27</v>
      </c>
      <c r="O5546" s="13"/>
      <c r="P5546" s="14">
        <v>0.3</v>
      </c>
      <c r="Q5546" s="15">
        <v>0.5</v>
      </c>
      <c r="R5546" s="16" t="str">
        <f t="shared" si="465"/>
        <v>LEDYI</v>
      </c>
    </row>
    <row r="5547" spans="1:20" ht="27" customHeight="1" x14ac:dyDescent="0.25">
      <c r="A5547" t="s">
        <v>10370</v>
      </c>
      <c r="H5547" s="8" t="s">
        <v>11461</v>
      </c>
      <c r="I5547" t="s">
        <v>11462</v>
      </c>
      <c r="J5547" t="s">
        <v>26</v>
      </c>
      <c r="K5547" s="42">
        <v>1.89</v>
      </c>
      <c r="L5547" s="12">
        <f t="shared" si="467"/>
        <v>4.9139999999999997</v>
      </c>
      <c r="M5547" s="8">
        <v>1</v>
      </c>
      <c r="N5547" s="8" t="s">
        <v>27</v>
      </c>
      <c r="O5547" s="13"/>
      <c r="P5547" s="14">
        <v>0.3</v>
      </c>
      <c r="Q5547" s="15">
        <v>0.5</v>
      </c>
      <c r="R5547" s="16" t="str">
        <f t="shared" si="465"/>
        <v>LEDYI</v>
      </c>
    </row>
    <row r="5548" spans="1:20" ht="27" customHeight="1" x14ac:dyDescent="0.25">
      <c r="A5548" t="s">
        <v>5672</v>
      </c>
      <c r="H5548" s="8" t="s">
        <v>11463</v>
      </c>
      <c r="I5548" t="s">
        <v>11464</v>
      </c>
      <c r="J5548" t="s">
        <v>26</v>
      </c>
      <c r="K5548" s="42">
        <v>82.65</v>
      </c>
      <c r="L5548" s="12">
        <f t="shared" si="467"/>
        <v>145.00000420563072</v>
      </c>
      <c r="M5548" s="8">
        <v>1</v>
      </c>
      <c r="N5548" s="8" t="s">
        <v>27</v>
      </c>
      <c r="O5548" s="13"/>
      <c r="P5548" s="14">
        <v>0.25</v>
      </c>
      <c r="Q5548" s="15">
        <v>0.2875000206655986</v>
      </c>
      <c r="R5548" s="16" t="str">
        <f t="shared" si="465"/>
        <v>LUTRON</v>
      </c>
    </row>
    <row r="5549" spans="1:20" ht="27" customHeight="1" x14ac:dyDescent="0.25">
      <c r="A5549" t="s">
        <v>5672</v>
      </c>
      <c r="H5549" s="8" t="s">
        <v>11465</v>
      </c>
      <c r="I5549" s="10" t="s">
        <v>11466</v>
      </c>
      <c r="J5549" s="11" t="s">
        <v>26</v>
      </c>
      <c r="K5549" s="57">
        <v>32.9</v>
      </c>
      <c r="L5549" s="12">
        <f t="shared" si="467"/>
        <v>65.799998661012452</v>
      </c>
      <c r="M5549" s="8">
        <v>1</v>
      </c>
      <c r="N5549" s="8" t="s">
        <v>27</v>
      </c>
      <c r="O5549" s="13"/>
      <c r="P5549" s="14">
        <v>0.2</v>
      </c>
      <c r="Q5549" s="15">
        <v>0.39999998779038692</v>
      </c>
      <c r="R5549" s="16" t="str">
        <f t="shared" si="465"/>
        <v>LUTRON</v>
      </c>
      <c r="S5549" s="17"/>
      <c r="T5549" s="10"/>
    </row>
    <row r="5550" spans="1:20" ht="27" customHeight="1" x14ac:dyDescent="0.25">
      <c r="A5550" t="s">
        <v>5672</v>
      </c>
      <c r="H5550" s="8" t="s">
        <v>11467</v>
      </c>
      <c r="I5550" s="33" t="s">
        <v>11468</v>
      </c>
      <c r="J5550" t="s">
        <v>26</v>
      </c>
      <c r="K5550" s="42">
        <v>22.5</v>
      </c>
      <c r="L5550" s="12">
        <f t="shared" si="467"/>
        <v>44.99999908427904</v>
      </c>
      <c r="M5550" s="8">
        <v>1</v>
      </c>
      <c r="N5550" s="8" t="s">
        <v>27</v>
      </c>
      <c r="O5550" s="13"/>
      <c r="P5550" s="14">
        <v>0.2</v>
      </c>
      <c r="Q5550" s="15">
        <v>0.39999998779038692</v>
      </c>
      <c r="R5550" s="16" t="str">
        <f t="shared" si="465"/>
        <v>LUTRON</v>
      </c>
    </row>
    <row r="5551" spans="1:20" ht="27" customHeight="1" x14ac:dyDescent="0.25">
      <c r="A5551" t="s">
        <v>10370</v>
      </c>
      <c r="H5551" s="8" t="s">
        <v>11406</v>
      </c>
      <c r="I5551" t="s">
        <v>11469</v>
      </c>
      <c r="J5551" t="s">
        <v>26</v>
      </c>
      <c r="K5551" s="42">
        <v>6.55</v>
      </c>
      <c r="L5551" s="12">
        <f t="shared" si="467"/>
        <v>17.03</v>
      </c>
      <c r="M5551" s="8">
        <v>1</v>
      </c>
      <c r="N5551" s="8" t="s">
        <v>27</v>
      </c>
      <c r="O5551" s="13"/>
      <c r="P5551" s="14">
        <v>0.3</v>
      </c>
      <c r="Q5551" s="15">
        <v>0.5</v>
      </c>
      <c r="R5551" s="16" t="str">
        <f t="shared" ref="R5551:R5614" si="468">A5551</f>
        <v>LEDYI</v>
      </c>
    </row>
    <row r="5552" spans="1:20" ht="27" customHeight="1" x14ac:dyDescent="0.25">
      <c r="A5552" s="8" t="s">
        <v>5672</v>
      </c>
      <c r="B5552" s="9"/>
      <c r="C5552" s="9"/>
      <c r="D5552" s="8"/>
      <c r="E5552" s="8"/>
      <c r="F5552" s="8"/>
      <c r="G5552" s="10"/>
      <c r="H5552" s="8" t="s">
        <v>11470</v>
      </c>
      <c r="I5552" s="10" t="s">
        <v>11471</v>
      </c>
      <c r="J5552" s="11" t="s">
        <v>26</v>
      </c>
      <c r="K5552" s="57">
        <v>57.5</v>
      </c>
      <c r="L5552" s="12">
        <f t="shared" si="467"/>
        <v>115</v>
      </c>
      <c r="M5552" s="8">
        <v>1</v>
      </c>
      <c r="N5552" s="8" t="s">
        <v>27</v>
      </c>
      <c r="O5552" s="13"/>
      <c r="P5552" s="14">
        <v>0.2</v>
      </c>
      <c r="Q5552" s="15">
        <v>0.4</v>
      </c>
      <c r="R5552" s="16" t="str">
        <f t="shared" si="468"/>
        <v>LUTRON</v>
      </c>
      <c r="S5552" s="17"/>
      <c r="T5552" s="10"/>
    </row>
    <row r="5553" spans="1:20" ht="27" customHeight="1" x14ac:dyDescent="0.25">
      <c r="A5553" s="8" t="s">
        <v>5672</v>
      </c>
      <c r="B5553" s="9" t="s">
        <v>5666</v>
      </c>
      <c r="C5553" s="9"/>
      <c r="D5553" s="8" t="s">
        <v>188</v>
      </c>
      <c r="E5553" s="8">
        <v>26</v>
      </c>
      <c r="F5553" s="8" t="s">
        <v>22</v>
      </c>
      <c r="G5553" s="10" t="s">
        <v>5977</v>
      </c>
      <c r="H5553" s="8" t="s">
        <v>11472</v>
      </c>
      <c r="I5553" s="10" t="s">
        <v>11473</v>
      </c>
      <c r="J5553" s="11" t="s">
        <v>26</v>
      </c>
      <c r="K5553" s="57">
        <v>25.5</v>
      </c>
      <c r="L5553" s="12">
        <f t="shared" ref="L5553:L5563" si="469">ROUNDUP(K5553*(1+P5553)/(1-Q5553),0)</f>
        <v>51</v>
      </c>
      <c r="M5553" s="8">
        <v>1</v>
      </c>
      <c r="N5553" s="8" t="s">
        <v>27</v>
      </c>
      <c r="O5553" s="13"/>
      <c r="P5553" s="14">
        <v>0.2</v>
      </c>
      <c r="Q5553" s="15">
        <v>0.4</v>
      </c>
      <c r="R5553" s="16" t="str">
        <f t="shared" si="468"/>
        <v>LUTRON</v>
      </c>
      <c r="S5553" s="17" t="str">
        <f t="shared" ref="S5553:S5562" si="470">A5553</f>
        <v>LUTRON</v>
      </c>
      <c r="T5553" s="10" t="str">
        <f t="shared" ref="T5553:T5562" si="471">G5553</f>
        <v>TAPA DECORATIVA DE CUATRO UNIDADES A PRESIÓN BLANCA.</v>
      </c>
    </row>
    <row r="5554" spans="1:20" ht="27" customHeight="1" x14ac:dyDescent="0.25">
      <c r="A5554" s="8" t="s">
        <v>5672</v>
      </c>
      <c r="B5554" s="9" t="s">
        <v>5666</v>
      </c>
      <c r="C5554" s="9"/>
      <c r="D5554" s="8" t="s">
        <v>188</v>
      </c>
      <c r="E5554" s="8">
        <v>26</v>
      </c>
      <c r="F5554" s="8" t="s">
        <v>22</v>
      </c>
      <c r="G5554" s="10" t="s">
        <v>5977</v>
      </c>
      <c r="H5554" s="8" t="s">
        <v>11474</v>
      </c>
      <c r="I5554" s="10" t="s">
        <v>11475</v>
      </c>
      <c r="J5554" s="11" t="s">
        <v>26</v>
      </c>
      <c r="K5554" s="57">
        <v>35.5</v>
      </c>
      <c r="L5554" s="12">
        <f t="shared" si="469"/>
        <v>71</v>
      </c>
      <c r="M5554" s="8">
        <v>1</v>
      </c>
      <c r="N5554" s="8" t="s">
        <v>27</v>
      </c>
      <c r="O5554" s="13"/>
      <c r="P5554" s="14">
        <v>0.2</v>
      </c>
      <c r="Q5554" s="15">
        <v>0.4</v>
      </c>
      <c r="R5554" s="16" t="str">
        <f t="shared" si="468"/>
        <v>LUTRON</v>
      </c>
      <c r="S5554" s="17" t="str">
        <f t="shared" si="470"/>
        <v>LUTRON</v>
      </c>
      <c r="T5554" s="10" t="str">
        <f t="shared" si="471"/>
        <v>TAPA DECORATIVA DE CUATRO UNIDADES A PRESIÓN BLANCA.</v>
      </c>
    </row>
    <row r="5555" spans="1:20" ht="27" customHeight="1" x14ac:dyDescent="0.25">
      <c r="A5555" s="32" t="s">
        <v>183</v>
      </c>
      <c r="H5555" s="8" t="s">
        <v>11177</v>
      </c>
      <c r="I5555" s="33" t="s">
        <v>11476</v>
      </c>
      <c r="J5555" s="34" t="s">
        <v>26</v>
      </c>
      <c r="K5555" s="42">
        <v>300</v>
      </c>
      <c r="L5555" s="12">
        <f t="shared" si="469"/>
        <v>600</v>
      </c>
      <c r="M5555" s="8">
        <v>1</v>
      </c>
      <c r="N5555" s="8" t="s">
        <v>27</v>
      </c>
      <c r="O5555" s="13"/>
      <c r="P5555" s="14">
        <v>0.2</v>
      </c>
      <c r="Q5555" s="15">
        <v>0.4</v>
      </c>
      <c r="R5555" s="16" t="str">
        <f t="shared" si="468"/>
        <v>AMX</v>
      </c>
      <c r="S5555" s="17" t="str">
        <f t="shared" si="470"/>
        <v>AMX</v>
      </c>
      <c r="T5555" s="10">
        <f t="shared" si="471"/>
        <v>0</v>
      </c>
    </row>
    <row r="5556" spans="1:20" ht="27" customHeight="1" x14ac:dyDescent="0.25">
      <c r="A5556" s="32" t="s">
        <v>5672</v>
      </c>
      <c r="H5556" s="8" t="s">
        <v>11477</v>
      </c>
      <c r="I5556" s="33" t="s">
        <v>11478</v>
      </c>
      <c r="J5556" s="34" t="s">
        <v>26</v>
      </c>
      <c r="K5556" s="42">
        <f>2860/2*1.1</f>
        <v>1573.0000000000002</v>
      </c>
      <c r="L5556" s="12">
        <f t="shared" si="469"/>
        <v>3146</v>
      </c>
      <c r="M5556" s="8">
        <v>1</v>
      </c>
      <c r="N5556" s="8" t="s">
        <v>27</v>
      </c>
      <c r="O5556" s="13"/>
      <c r="P5556" s="14">
        <v>0.2</v>
      </c>
      <c r="Q5556" s="15">
        <v>0.4</v>
      </c>
      <c r="R5556" s="16" t="str">
        <f t="shared" si="468"/>
        <v>LUTRON</v>
      </c>
      <c r="S5556" s="17" t="str">
        <f t="shared" si="470"/>
        <v>LUTRON</v>
      </c>
      <c r="T5556" s="10">
        <f t="shared" si="471"/>
        <v>0</v>
      </c>
    </row>
    <row r="5557" spans="1:20" ht="27" customHeight="1" x14ac:dyDescent="0.25">
      <c r="A5557" s="32" t="s">
        <v>5672</v>
      </c>
      <c r="H5557" s="8" t="s">
        <v>11479</v>
      </c>
      <c r="I5557" s="33" t="s">
        <v>11480</v>
      </c>
      <c r="J5557" s="34" t="s">
        <v>26</v>
      </c>
      <c r="K5557" s="129">
        <v>764.5</v>
      </c>
      <c r="L5557" s="12">
        <f t="shared" si="469"/>
        <v>1529</v>
      </c>
      <c r="M5557" s="8">
        <v>1</v>
      </c>
      <c r="N5557" s="8" t="s">
        <v>27</v>
      </c>
      <c r="O5557" s="13"/>
      <c r="P5557" s="14">
        <v>0.2</v>
      </c>
      <c r="Q5557" s="15">
        <v>0.4</v>
      </c>
      <c r="R5557" s="16" t="str">
        <f t="shared" si="468"/>
        <v>LUTRON</v>
      </c>
      <c r="S5557" s="17" t="str">
        <f t="shared" si="470"/>
        <v>LUTRON</v>
      </c>
      <c r="T5557" s="10">
        <f t="shared" si="471"/>
        <v>0</v>
      </c>
    </row>
    <row r="5558" spans="1:20" ht="27" customHeight="1" x14ac:dyDescent="0.25">
      <c r="A5558" s="32" t="s">
        <v>5672</v>
      </c>
      <c r="H5558" s="8" t="s">
        <v>11481</v>
      </c>
      <c r="I5558" s="33" t="s">
        <v>11482</v>
      </c>
      <c r="J5558" s="34" t="s">
        <v>26</v>
      </c>
      <c r="K5558" s="42">
        <f>1150/2</f>
        <v>575</v>
      </c>
      <c r="L5558" s="12">
        <f t="shared" si="469"/>
        <v>1150</v>
      </c>
      <c r="M5558" s="8">
        <v>1</v>
      </c>
      <c r="N5558" s="8" t="s">
        <v>27</v>
      </c>
      <c r="O5558" s="13"/>
      <c r="P5558" s="14">
        <v>0.2</v>
      </c>
      <c r="Q5558" s="15">
        <v>0.4</v>
      </c>
      <c r="R5558" s="16" t="str">
        <f t="shared" si="468"/>
        <v>LUTRON</v>
      </c>
      <c r="S5558" s="17" t="str">
        <f t="shared" si="470"/>
        <v>LUTRON</v>
      </c>
      <c r="T5558" s="10">
        <f t="shared" si="471"/>
        <v>0</v>
      </c>
    </row>
    <row r="5559" spans="1:20" ht="27" customHeight="1" x14ac:dyDescent="0.25">
      <c r="A5559" s="32" t="s">
        <v>5672</v>
      </c>
      <c r="H5559" s="8" t="s">
        <v>11483</v>
      </c>
      <c r="I5559" s="33" t="s">
        <v>11484</v>
      </c>
      <c r="J5559" s="34" t="s">
        <v>26</v>
      </c>
      <c r="K5559" s="42">
        <v>0</v>
      </c>
      <c r="L5559" s="12">
        <f t="shared" si="469"/>
        <v>0</v>
      </c>
      <c r="M5559" s="8">
        <v>1</v>
      </c>
      <c r="N5559" s="8" t="s">
        <v>27</v>
      </c>
      <c r="O5559" s="13"/>
      <c r="P5559" s="14">
        <v>0.2</v>
      </c>
      <c r="Q5559" s="15">
        <v>0.4</v>
      </c>
      <c r="R5559" s="16" t="str">
        <f t="shared" si="468"/>
        <v>LUTRON</v>
      </c>
      <c r="S5559" s="17" t="str">
        <f t="shared" si="470"/>
        <v>LUTRON</v>
      </c>
      <c r="T5559" s="10">
        <f t="shared" si="471"/>
        <v>0</v>
      </c>
    </row>
    <row r="5560" spans="1:20" ht="27" customHeight="1" x14ac:dyDescent="0.25">
      <c r="A5560" s="32" t="s">
        <v>5672</v>
      </c>
      <c r="H5560" s="8" t="s">
        <v>11485</v>
      </c>
      <c r="I5560" s="33" t="s">
        <v>11486</v>
      </c>
      <c r="J5560" s="34" t="s">
        <v>26</v>
      </c>
      <c r="K5560" s="42">
        <v>0</v>
      </c>
      <c r="L5560" s="12">
        <f t="shared" si="469"/>
        <v>0</v>
      </c>
      <c r="M5560" s="8">
        <v>1</v>
      </c>
      <c r="N5560" s="8" t="s">
        <v>27</v>
      </c>
      <c r="O5560" s="13"/>
      <c r="P5560" s="14">
        <v>0.2</v>
      </c>
      <c r="Q5560" s="15">
        <v>0.4</v>
      </c>
      <c r="R5560" s="16" t="str">
        <f t="shared" si="468"/>
        <v>LUTRON</v>
      </c>
      <c r="S5560" s="17" t="str">
        <f t="shared" si="470"/>
        <v>LUTRON</v>
      </c>
      <c r="T5560" s="10">
        <f t="shared" si="471"/>
        <v>0</v>
      </c>
    </row>
    <row r="5561" spans="1:20" ht="27" customHeight="1" x14ac:dyDescent="0.25">
      <c r="A5561" s="32" t="s">
        <v>5672</v>
      </c>
      <c r="H5561" s="8" t="s">
        <v>11487</v>
      </c>
      <c r="I5561" s="33" t="s">
        <v>11488</v>
      </c>
      <c r="J5561" s="34" t="s">
        <v>26</v>
      </c>
      <c r="K5561" s="42">
        <v>241</v>
      </c>
      <c r="L5561" s="12">
        <f t="shared" si="469"/>
        <v>482</v>
      </c>
      <c r="M5561" s="8">
        <v>1</v>
      </c>
      <c r="N5561" s="8" t="s">
        <v>27</v>
      </c>
      <c r="O5561" s="13"/>
      <c r="P5561" s="14">
        <v>0.2</v>
      </c>
      <c r="Q5561" s="15">
        <v>0.4</v>
      </c>
      <c r="R5561" s="16" t="str">
        <f t="shared" si="468"/>
        <v>LUTRON</v>
      </c>
      <c r="S5561" s="17" t="str">
        <f t="shared" si="470"/>
        <v>LUTRON</v>
      </c>
      <c r="T5561" s="10">
        <f t="shared" si="471"/>
        <v>0</v>
      </c>
    </row>
    <row r="5562" spans="1:20" ht="27" customHeight="1" x14ac:dyDescent="0.25">
      <c r="A5562" s="32" t="s">
        <v>5672</v>
      </c>
      <c r="H5562" s="8" t="s">
        <v>11489</v>
      </c>
      <c r="I5562" s="33" t="s">
        <v>11488</v>
      </c>
      <c r="J5562" s="34" t="s">
        <v>26</v>
      </c>
      <c r="K5562" s="42">
        <v>54.2</v>
      </c>
      <c r="L5562" s="12">
        <f t="shared" si="469"/>
        <v>109</v>
      </c>
      <c r="M5562" s="8">
        <v>1</v>
      </c>
      <c r="N5562" s="8" t="s">
        <v>27</v>
      </c>
      <c r="O5562" s="13"/>
      <c r="P5562" s="14">
        <v>0.2</v>
      </c>
      <c r="Q5562" s="15">
        <v>0.4</v>
      </c>
      <c r="R5562" s="16" t="str">
        <f t="shared" si="468"/>
        <v>LUTRON</v>
      </c>
      <c r="S5562" s="17" t="str">
        <f t="shared" si="470"/>
        <v>LUTRON</v>
      </c>
      <c r="T5562" s="10">
        <f t="shared" si="471"/>
        <v>0</v>
      </c>
    </row>
    <row r="5563" spans="1:20" ht="27" customHeight="1" x14ac:dyDescent="0.25">
      <c r="A5563" s="32" t="s">
        <v>11095</v>
      </c>
      <c r="H5563" s="8" t="s">
        <v>11490</v>
      </c>
      <c r="I5563" s="33" t="s">
        <v>11491</v>
      </c>
      <c r="J5563" s="34" t="s">
        <v>26</v>
      </c>
      <c r="K5563" s="20">
        <v>201</v>
      </c>
      <c r="L5563" s="12">
        <f t="shared" si="469"/>
        <v>374</v>
      </c>
      <c r="M5563" s="8">
        <v>1</v>
      </c>
      <c r="N5563" s="8" t="s">
        <v>27</v>
      </c>
      <c r="O5563" s="13"/>
      <c r="P5563" s="14">
        <v>0.3</v>
      </c>
      <c r="Q5563" s="15">
        <v>0.3</v>
      </c>
      <c r="R5563" s="16" t="str">
        <f t="shared" si="468"/>
        <v>SCP</v>
      </c>
    </row>
    <row r="5564" spans="1:20" ht="27" customHeight="1" x14ac:dyDescent="0.25">
      <c r="A5564" s="49" t="s">
        <v>5672</v>
      </c>
      <c r="B5564" s="19"/>
      <c r="C5564" s="19"/>
      <c r="D5564" s="19"/>
      <c r="E5564" s="19"/>
      <c r="F5564" s="19"/>
      <c r="G5564" s="19"/>
      <c r="H5564" s="8" t="s">
        <v>10989</v>
      </c>
      <c r="I5564" s="60" t="s">
        <v>11238</v>
      </c>
      <c r="J5564" s="25" t="s">
        <v>26</v>
      </c>
      <c r="K5564" s="59">
        <v>125.4</v>
      </c>
      <c r="L5564" s="12">
        <f t="shared" ref="L5564:L5598" si="472">K5564*(1+P5564)/(1-Q5564)</f>
        <v>208.99990375873821</v>
      </c>
      <c r="M5564" s="8">
        <v>1</v>
      </c>
      <c r="N5564" s="8" t="s">
        <v>27</v>
      </c>
      <c r="O5564" s="13"/>
      <c r="P5564" s="14">
        <v>0.2</v>
      </c>
      <c r="Q5564" s="15">
        <v>0.27999966845100299</v>
      </c>
      <c r="R5564" s="16" t="str">
        <f t="shared" si="468"/>
        <v>LUTRON</v>
      </c>
      <c r="S5564" s="17" t="str">
        <f t="shared" ref="S5564:S5598" si="473">A5564</f>
        <v>LUTRON</v>
      </c>
      <c r="T5564" s="19"/>
    </row>
    <row r="5565" spans="1:20" ht="27" customHeight="1" x14ac:dyDescent="0.25">
      <c r="A5565" s="32" t="s">
        <v>6990</v>
      </c>
      <c r="H5565" s="8" t="s">
        <v>11492</v>
      </c>
      <c r="I5565" s="33" t="s">
        <v>11493</v>
      </c>
      <c r="J5565" s="34" t="s">
        <v>26</v>
      </c>
      <c r="K5565" s="42">
        <v>585</v>
      </c>
      <c r="L5565" s="12">
        <f t="shared" si="472"/>
        <v>1170</v>
      </c>
      <c r="M5565" s="8">
        <v>1</v>
      </c>
      <c r="N5565" s="8" t="s">
        <v>27</v>
      </c>
      <c r="O5565" s="13"/>
      <c r="P5565" s="14">
        <v>0.2</v>
      </c>
      <c r="Q5565" s="15">
        <v>0.4</v>
      </c>
      <c r="R5565" s="16" t="str">
        <f t="shared" si="468"/>
        <v>NEC</v>
      </c>
      <c r="S5565" s="17" t="str">
        <f t="shared" si="473"/>
        <v>NEC</v>
      </c>
    </row>
    <row r="5566" spans="1:20" ht="27" customHeight="1" x14ac:dyDescent="0.25">
      <c r="A5566" s="32" t="s">
        <v>38</v>
      </c>
      <c r="H5566" s="8" t="s">
        <v>11494</v>
      </c>
      <c r="I5566" s="33" t="s">
        <v>11495</v>
      </c>
      <c r="J5566" s="34" t="s">
        <v>26</v>
      </c>
      <c r="K5566" s="42">
        <v>529</v>
      </c>
      <c r="L5566" s="12">
        <f t="shared" si="472"/>
        <v>881.66666666666674</v>
      </c>
      <c r="M5566" s="8">
        <v>1</v>
      </c>
      <c r="N5566" s="8" t="s">
        <v>27</v>
      </c>
      <c r="O5566" s="13"/>
      <c r="P5566" s="14">
        <v>0</v>
      </c>
      <c r="Q5566" s="15">
        <v>0.4</v>
      </c>
      <c r="R5566" s="16" t="str">
        <f t="shared" si="468"/>
        <v>CONTROL4</v>
      </c>
      <c r="S5566" s="17" t="str">
        <f t="shared" si="473"/>
        <v>CONTROL4</v>
      </c>
    </row>
    <row r="5567" spans="1:20" ht="27" customHeight="1" x14ac:dyDescent="0.25">
      <c r="A5567" s="32" t="s">
        <v>3424</v>
      </c>
      <c r="H5567" s="8" t="s">
        <v>11496</v>
      </c>
      <c r="I5567" s="33" t="s">
        <v>11497</v>
      </c>
      <c r="J5567" s="34" t="s">
        <v>33</v>
      </c>
      <c r="K5567" s="42">
        <v>434000</v>
      </c>
      <c r="L5567" s="12">
        <f t="shared" si="472"/>
        <v>723333.33333333337</v>
      </c>
      <c r="M5567" s="8">
        <v>1</v>
      </c>
      <c r="N5567" s="8" t="s">
        <v>27</v>
      </c>
      <c r="O5567" s="13"/>
      <c r="P5567" s="14">
        <v>0</v>
      </c>
      <c r="Q5567" s="15">
        <v>0.4</v>
      </c>
      <c r="R5567" s="16" t="str">
        <f t="shared" si="468"/>
        <v>GRANDSTREAM</v>
      </c>
      <c r="S5567" s="17" t="str">
        <f t="shared" si="473"/>
        <v>GRANDSTREAM</v>
      </c>
    </row>
    <row r="5568" spans="1:20" ht="27" customHeight="1" x14ac:dyDescent="0.25">
      <c r="A5568" s="32" t="s">
        <v>5672</v>
      </c>
      <c r="H5568" s="8" t="s">
        <v>11498</v>
      </c>
      <c r="I5568" s="33" t="s">
        <v>11499</v>
      </c>
      <c r="J5568" s="34" t="s">
        <v>26</v>
      </c>
      <c r="K5568" s="42">
        <v>94.2</v>
      </c>
      <c r="L5568" s="12">
        <f t="shared" si="472"/>
        <v>157.00003000512447</v>
      </c>
      <c r="M5568" s="8">
        <v>1</v>
      </c>
      <c r="N5568" s="8" t="s">
        <v>27</v>
      </c>
      <c r="O5568" s="13"/>
      <c r="P5568" s="14">
        <v>0.2</v>
      </c>
      <c r="Q5568" s="15">
        <v>0.28000013760309228</v>
      </c>
      <c r="R5568" s="16" t="str">
        <f t="shared" si="468"/>
        <v>LUTRON</v>
      </c>
      <c r="S5568" s="17" t="str">
        <f t="shared" si="473"/>
        <v>LUTRON</v>
      </c>
    </row>
    <row r="5569" spans="1:19" ht="27" customHeight="1" x14ac:dyDescent="0.25">
      <c r="A5569" s="8" t="s">
        <v>2512</v>
      </c>
      <c r="B5569" s="19"/>
      <c r="C5569" s="19"/>
      <c r="D5569" s="19" t="s">
        <v>45</v>
      </c>
      <c r="E5569" s="19"/>
      <c r="F5569" s="19"/>
      <c r="G5569" s="19" t="s">
        <v>11391</v>
      </c>
      <c r="H5569" s="8" t="s">
        <v>11500</v>
      </c>
      <c r="I5569" s="19" t="s">
        <v>11501</v>
      </c>
      <c r="J5569" s="19" t="s">
        <v>33</v>
      </c>
      <c r="K5569" s="19">
        <v>66000</v>
      </c>
      <c r="L5569" s="12">
        <f t="shared" si="472"/>
        <v>110000</v>
      </c>
      <c r="M5569" s="8">
        <v>1</v>
      </c>
      <c r="N5569" s="8" t="s">
        <v>27</v>
      </c>
      <c r="O5569" s="13"/>
      <c r="P5569" s="14">
        <v>0</v>
      </c>
      <c r="Q5569" s="15">
        <v>0.4</v>
      </c>
      <c r="R5569" s="16" t="str">
        <f t="shared" si="468"/>
        <v>GENERAL</v>
      </c>
      <c r="S5569" s="17" t="str">
        <f t="shared" si="473"/>
        <v>GENERAL</v>
      </c>
    </row>
    <row r="5570" spans="1:19" ht="27" customHeight="1" x14ac:dyDescent="0.25">
      <c r="A5570" s="32" t="s">
        <v>11502</v>
      </c>
      <c r="H5570" s="8" t="s">
        <v>11503</v>
      </c>
      <c r="I5570" s="33" t="s">
        <v>11504</v>
      </c>
      <c r="J5570" s="34" t="s">
        <v>33</v>
      </c>
      <c r="K5570" s="42">
        <v>37000</v>
      </c>
      <c r="L5570" s="12">
        <f t="shared" si="472"/>
        <v>61666.666666666672</v>
      </c>
      <c r="M5570" s="8">
        <v>1</v>
      </c>
      <c r="N5570" s="8" t="s">
        <v>27</v>
      </c>
      <c r="O5570" s="13"/>
      <c r="P5570" s="14">
        <v>0</v>
      </c>
      <c r="Q5570" s="15">
        <v>0.4</v>
      </c>
      <c r="R5570" s="16" t="str">
        <f t="shared" si="468"/>
        <v>FULL</v>
      </c>
      <c r="S5570" s="17" t="str">
        <f t="shared" si="473"/>
        <v>FULL</v>
      </c>
    </row>
    <row r="5571" spans="1:19" ht="27" customHeight="1" x14ac:dyDescent="0.25">
      <c r="A5571" s="32" t="s">
        <v>8404</v>
      </c>
      <c r="H5571" s="8" t="s">
        <v>11505</v>
      </c>
      <c r="I5571" s="33" t="s">
        <v>11506</v>
      </c>
      <c r="J5571" s="34" t="s">
        <v>26</v>
      </c>
      <c r="K5571" s="42">
        <v>359</v>
      </c>
      <c r="L5571" s="12">
        <f t="shared" si="472"/>
        <v>574.4</v>
      </c>
      <c r="M5571" s="8">
        <v>1</v>
      </c>
      <c r="N5571" s="8" t="s">
        <v>27</v>
      </c>
      <c r="O5571" s="13"/>
      <c r="P5571" s="14">
        <v>0.2</v>
      </c>
      <c r="Q5571" s="15">
        <v>0.25</v>
      </c>
      <c r="R5571" s="16" t="str">
        <f t="shared" si="468"/>
        <v>SONOS</v>
      </c>
      <c r="S5571" s="17" t="str">
        <f t="shared" si="473"/>
        <v>SONOS</v>
      </c>
    </row>
    <row r="5572" spans="1:19" ht="27" customHeight="1" x14ac:dyDescent="0.25">
      <c r="A5572" s="32" t="s">
        <v>8404</v>
      </c>
      <c r="H5572" s="8" t="s">
        <v>11507</v>
      </c>
      <c r="I5572" s="33" t="s">
        <v>11508</v>
      </c>
      <c r="J5572" s="34" t="s">
        <v>26</v>
      </c>
      <c r="K5572" s="42">
        <v>319</v>
      </c>
      <c r="L5572" s="12">
        <f t="shared" si="472"/>
        <v>510.40000000000003</v>
      </c>
      <c r="M5572" s="8">
        <v>1</v>
      </c>
      <c r="N5572" s="8" t="s">
        <v>27</v>
      </c>
      <c r="O5572" s="13"/>
      <c r="P5572" s="14">
        <v>0.2</v>
      </c>
      <c r="Q5572" s="15">
        <v>0.25</v>
      </c>
      <c r="R5572" s="16" t="str">
        <f t="shared" si="468"/>
        <v>SONOS</v>
      </c>
      <c r="S5572" s="17" t="str">
        <f t="shared" si="473"/>
        <v>SONOS</v>
      </c>
    </row>
    <row r="5573" spans="1:19" ht="27" customHeight="1" x14ac:dyDescent="0.25">
      <c r="A5573" s="32" t="s">
        <v>5672</v>
      </c>
      <c r="H5573" s="8" t="s">
        <v>11509</v>
      </c>
      <c r="I5573" s="33" t="s">
        <v>11510</v>
      </c>
      <c r="J5573" s="34" t="s">
        <v>26</v>
      </c>
      <c r="K5573" s="42">
        <f>890*0.5</f>
        <v>445</v>
      </c>
      <c r="L5573" s="12">
        <f t="shared" si="472"/>
        <v>890</v>
      </c>
      <c r="M5573" s="8">
        <v>1</v>
      </c>
      <c r="N5573" s="8" t="s">
        <v>27</v>
      </c>
      <c r="O5573" s="13"/>
      <c r="P5573" s="14">
        <v>0.2</v>
      </c>
      <c r="Q5573" s="15">
        <v>0.4</v>
      </c>
      <c r="R5573" s="16" t="str">
        <f t="shared" si="468"/>
        <v>LUTRON</v>
      </c>
      <c r="S5573" s="17" t="str">
        <f t="shared" si="473"/>
        <v>LUTRON</v>
      </c>
    </row>
    <row r="5574" spans="1:19" ht="27" customHeight="1" x14ac:dyDescent="0.25">
      <c r="A5574" s="32" t="s">
        <v>5672</v>
      </c>
      <c r="H5574" s="8" t="s">
        <v>11511</v>
      </c>
      <c r="I5574" s="33" t="s">
        <v>11512</v>
      </c>
      <c r="J5574" s="34" t="s">
        <v>26</v>
      </c>
      <c r="K5574" s="42">
        <v>279</v>
      </c>
      <c r="L5574" s="12">
        <f t="shared" si="472"/>
        <v>558</v>
      </c>
      <c r="M5574" s="8">
        <v>1</v>
      </c>
      <c r="N5574" s="8" t="s">
        <v>27</v>
      </c>
      <c r="O5574" s="13"/>
      <c r="P5574" s="14">
        <v>0.2</v>
      </c>
      <c r="Q5574" s="15">
        <v>0.4</v>
      </c>
      <c r="R5574" s="16" t="str">
        <f t="shared" si="468"/>
        <v>LUTRON</v>
      </c>
      <c r="S5574" s="17" t="str">
        <f t="shared" si="473"/>
        <v>LUTRON</v>
      </c>
    </row>
    <row r="5575" spans="1:19" ht="27" customHeight="1" x14ac:dyDescent="0.25">
      <c r="A5575" s="32" t="s">
        <v>5672</v>
      </c>
      <c r="H5575" s="8" t="s">
        <v>11513</v>
      </c>
      <c r="I5575" t="s">
        <v>11514</v>
      </c>
      <c r="J5575" s="34" t="s">
        <v>26</v>
      </c>
      <c r="K5575" s="42">
        <f>520*0.5</f>
        <v>260</v>
      </c>
      <c r="L5575" s="12">
        <f t="shared" si="472"/>
        <v>520</v>
      </c>
      <c r="M5575" s="8">
        <v>1</v>
      </c>
      <c r="N5575" s="8" t="s">
        <v>27</v>
      </c>
      <c r="O5575" s="13"/>
      <c r="P5575" s="14">
        <v>0.2</v>
      </c>
      <c r="Q5575" s="15">
        <v>0.4</v>
      </c>
      <c r="R5575" s="16" t="str">
        <f t="shared" si="468"/>
        <v>LUTRON</v>
      </c>
      <c r="S5575" s="17" t="str">
        <f t="shared" si="473"/>
        <v>LUTRON</v>
      </c>
    </row>
    <row r="5576" spans="1:19" ht="27" customHeight="1" x14ac:dyDescent="0.25">
      <c r="A5576" s="32" t="s">
        <v>5672</v>
      </c>
      <c r="H5576" s="8" t="s">
        <v>11515</v>
      </c>
      <c r="I5576" s="33" t="s">
        <v>11516</v>
      </c>
      <c r="J5576" s="34" t="s">
        <v>26</v>
      </c>
      <c r="K5576" s="42">
        <v>44</v>
      </c>
      <c r="L5576" s="12">
        <f t="shared" si="472"/>
        <v>88</v>
      </c>
      <c r="M5576" s="8">
        <v>1</v>
      </c>
      <c r="N5576" s="8" t="s">
        <v>27</v>
      </c>
      <c r="O5576" s="13"/>
      <c r="P5576" s="14">
        <v>0.2</v>
      </c>
      <c r="Q5576" s="15">
        <v>0.4</v>
      </c>
      <c r="R5576" s="16" t="str">
        <f t="shared" si="468"/>
        <v>LUTRON</v>
      </c>
      <c r="S5576" s="17" t="str">
        <f t="shared" si="473"/>
        <v>LUTRON</v>
      </c>
    </row>
    <row r="5577" spans="1:19" ht="27" customHeight="1" x14ac:dyDescent="0.25">
      <c r="A5577" s="32" t="s">
        <v>10370</v>
      </c>
      <c r="H5577" s="8" t="s">
        <v>11517</v>
      </c>
      <c r="I5577" s="33" t="s">
        <v>11518</v>
      </c>
      <c r="J5577" s="34" t="s">
        <v>26</v>
      </c>
      <c r="K5577" s="42">
        <v>47.4</v>
      </c>
      <c r="L5577" s="12">
        <f t="shared" si="472"/>
        <v>123.24</v>
      </c>
      <c r="M5577" s="8">
        <v>1</v>
      </c>
      <c r="N5577" s="8" t="s">
        <v>27</v>
      </c>
      <c r="O5577" s="13"/>
      <c r="P5577" s="14">
        <v>0.3</v>
      </c>
      <c r="Q5577" s="15">
        <v>0.5</v>
      </c>
      <c r="R5577" s="16" t="str">
        <f t="shared" si="468"/>
        <v>LEDYI</v>
      </c>
      <c r="S5577" s="17" t="str">
        <f t="shared" si="473"/>
        <v>LEDYI</v>
      </c>
    </row>
    <row r="5578" spans="1:19" ht="27" customHeight="1" x14ac:dyDescent="0.25">
      <c r="A5578" s="32" t="s">
        <v>10370</v>
      </c>
      <c r="H5578" s="8" t="s">
        <v>11519</v>
      </c>
      <c r="I5578" s="33" t="s">
        <v>11520</v>
      </c>
      <c r="J5578" s="34" t="s">
        <v>26</v>
      </c>
      <c r="K5578" s="42">
        <v>0.95</v>
      </c>
      <c r="L5578" s="12">
        <f t="shared" si="472"/>
        <v>2.4699999999999998</v>
      </c>
      <c r="M5578" s="8">
        <v>1</v>
      </c>
      <c r="N5578" s="8" t="s">
        <v>27</v>
      </c>
      <c r="O5578" s="13"/>
      <c r="P5578" s="14">
        <v>0.3</v>
      </c>
      <c r="Q5578" s="15">
        <v>0.5</v>
      </c>
      <c r="R5578" s="16" t="str">
        <f t="shared" si="468"/>
        <v>LEDYI</v>
      </c>
      <c r="S5578" s="17" t="str">
        <f t="shared" si="473"/>
        <v>LEDYI</v>
      </c>
    </row>
    <row r="5579" spans="1:19" ht="27" customHeight="1" x14ac:dyDescent="0.25">
      <c r="A5579" s="32" t="s">
        <v>10370</v>
      </c>
      <c r="H5579" s="8" t="s">
        <v>11521</v>
      </c>
      <c r="I5579" s="33" t="s">
        <v>11522</v>
      </c>
      <c r="J5579" s="34" t="s">
        <v>26</v>
      </c>
      <c r="K5579" s="42">
        <v>0.95</v>
      </c>
      <c r="L5579" s="12">
        <f t="shared" si="472"/>
        <v>2.4699999999999998</v>
      </c>
      <c r="M5579" s="8">
        <v>1</v>
      </c>
      <c r="N5579" s="8" t="s">
        <v>27</v>
      </c>
      <c r="O5579" s="13"/>
      <c r="P5579" s="14">
        <v>0.3</v>
      </c>
      <c r="Q5579" s="15">
        <v>0.5</v>
      </c>
      <c r="R5579" s="16" t="str">
        <f t="shared" si="468"/>
        <v>LEDYI</v>
      </c>
      <c r="S5579" s="17" t="str">
        <f t="shared" si="473"/>
        <v>LEDYI</v>
      </c>
    </row>
    <row r="5580" spans="1:19" ht="27" customHeight="1" x14ac:dyDescent="0.25">
      <c r="A5580" s="32" t="s">
        <v>10370</v>
      </c>
      <c r="H5580" s="8" t="s">
        <v>11523</v>
      </c>
      <c r="I5580" s="33" t="s">
        <v>11524</v>
      </c>
      <c r="J5580" s="34" t="s">
        <v>26</v>
      </c>
      <c r="K5580" s="42">
        <v>0.66</v>
      </c>
      <c r="L5580" s="12">
        <f t="shared" si="472"/>
        <v>1.7160000000000002</v>
      </c>
      <c r="M5580" s="8">
        <v>1</v>
      </c>
      <c r="N5580" s="8" t="s">
        <v>27</v>
      </c>
      <c r="O5580" s="13"/>
      <c r="P5580" s="14">
        <v>0.3</v>
      </c>
      <c r="Q5580" s="15">
        <v>0.5</v>
      </c>
      <c r="R5580" s="16" t="str">
        <f t="shared" si="468"/>
        <v>LEDYI</v>
      </c>
      <c r="S5580" s="17" t="str">
        <f t="shared" si="473"/>
        <v>LEDYI</v>
      </c>
    </row>
    <row r="5581" spans="1:19" ht="27" customHeight="1" x14ac:dyDescent="0.25">
      <c r="A5581" s="32" t="s">
        <v>10370</v>
      </c>
      <c r="H5581" s="8" t="s">
        <v>10653</v>
      </c>
      <c r="I5581" s="33" t="s">
        <v>11525</v>
      </c>
      <c r="J5581" s="34" t="s">
        <v>26</v>
      </c>
      <c r="K5581" s="42">
        <v>0.31923076923076921</v>
      </c>
      <c r="L5581" s="12">
        <f t="shared" si="472"/>
        <v>0.83</v>
      </c>
      <c r="M5581" s="8">
        <v>1</v>
      </c>
      <c r="N5581" s="8" t="s">
        <v>27</v>
      </c>
      <c r="O5581" s="13"/>
      <c r="P5581" s="14">
        <v>0.3</v>
      </c>
      <c r="Q5581" s="15">
        <v>0.5</v>
      </c>
      <c r="R5581" s="16" t="str">
        <f t="shared" si="468"/>
        <v>LEDYI</v>
      </c>
      <c r="S5581" s="52" t="str">
        <f t="shared" si="473"/>
        <v>LEDYI</v>
      </c>
    </row>
    <row r="5582" spans="1:19" ht="27" customHeight="1" x14ac:dyDescent="0.25">
      <c r="A5582" s="32" t="s">
        <v>10370</v>
      </c>
      <c r="H5582" s="8" t="s">
        <v>11526</v>
      </c>
      <c r="I5582" s="33" t="s">
        <v>11520</v>
      </c>
      <c r="J5582" s="34" t="s">
        <v>26</v>
      </c>
      <c r="K5582" s="42">
        <v>0.95</v>
      </c>
      <c r="L5582" s="12">
        <f t="shared" si="472"/>
        <v>2.4699999999999998</v>
      </c>
      <c r="M5582" s="8">
        <v>1</v>
      </c>
      <c r="N5582" s="8" t="s">
        <v>27</v>
      </c>
      <c r="O5582" s="13"/>
      <c r="P5582" s="14">
        <v>0.3</v>
      </c>
      <c r="Q5582" s="15">
        <v>0.5</v>
      </c>
      <c r="R5582" s="16" t="str">
        <f t="shared" si="468"/>
        <v>LEDYI</v>
      </c>
      <c r="S5582" s="17" t="str">
        <f t="shared" si="473"/>
        <v>LEDYI</v>
      </c>
    </row>
    <row r="5583" spans="1:19" ht="27" customHeight="1" x14ac:dyDescent="0.25">
      <c r="A5583" s="32" t="s">
        <v>10370</v>
      </c>
      <c r="H5583" s="8" t="s">
        <v>11527</v>
      </c>
      <c r="I5583" s="33" t="s">
        <v>11522</v>
      </c>
      <c r="J5583" s="34" t="s">
        <v>26</v>
      </c>
      <c r="K5583" s="42">
        <v>0.95</v>
      </c>
      <c r="L5583" s="12">
        <f t="shared" si="472"/>
        <v>2.4699999999999998</v>
      </c>
      <c r="M5583" s="8">
        <v>1</v>
      </c>
      <c r="N5583" s="8" t="s">
        <v>27</v>
      </c>
      <c r="O5583" s="13"/>
      <c r="P5583" s="14">
        <v>0.3</v>
      </c>
      <c r="Q5583" s="15">
        <v>0.5</v>
      </c>
      <c r="R5583" s="16" t="str">
        <f t="shared" si="468"/>
        <v>LEDYI</v>
      </c>
      <c r="S5583" s="17" t="str">
        <f t="shared" si="473"/>
        <v>LEDYI</v>
      </c>
    </row>
    <row r="5584" spans="1:19" ht="27" customHeight="1" x14ac:dyDescent="0.25">
      <c r="A5584" s="32" t="s">
        <v>10370</v>
      </c>
      <c r="H5584" s="8" t="s">
        <v>11528</v>
      </c>
      <c r="I5584" s="33" t="s">
        <v>11524</v>
      </c>
      <c r="J5584" s="34" t="s">
        <v>26</v>
      </c>
      <c r="K5584" s="42">
        <v>0.66</v>
      </c>
      <c r="L5584" s="12">
        <f t="shared" si="472"/>
        <v>1.7160000000000002</v>
      </c>
      <c r="M5584" s="8">
        <v>1</v>
      </c>
      <c r="N5584" s="8" t="s">
        <v>27</v>
      </c>
      <c r="O5584" s="13"/>
      <c r="P5584" s="14">
        <v>0.3</v>
      </c>
      <c r="Q5584" s="15">
        <v>0.5</v>
      </c>
      <c r="R5584" s="16" t="str">
        <f t="shared" si="468"/>
        <v>LEDYI</v>
      </c>
      <c r="S5584" s="17" t="str">
        <f t="shared" si="473"/>
        <v>LEDYI</v>
      </c>
    </row>
    <row r="5585" spans="1:22" ht="27" customHeight="1" x14ac:dyDescent="0.25">
      <c r="A5585" s="32" t="s">
        <v>10370</v>
      </c>
      <c r="H5585" s="8" t="s">
        <v>11529</v>
      </c>
      <c r="I5585" s="33" t="s">
        <v>11525</v>
      </c>
      <c r="J5585" s="34" t="s">
        <v>26</v>
      </c>
      <c r="K5585" s="42">
        <v>0.31923076923076921</v>
      </c>
      <c r="L5585" s="12">
        <f t="shared" si="472"/>
        <v>0.83</v>
      </c>
      <c r="M5585" s="8">
        <v>1</v>
      </c>
      <c r="N5585" s="8" t="s">
        <v>27</v>
      </c>
      <c r="O5585" s="13"/>
      <c r="P5585" s="14">
        <v>0.3</v>
      </c>
      <c r="Q5585" s="15">
        <v>0.5</v>
      </c>
      <c r="R5585" s="16" t="str">
        <f t="shared" si="468"/>
        <v>LEDYI</v>
      </c>
      <c r="S5585" s="52" t="str">
        <f t="shared" si="473"/>
        <v>LEDYI</v>
      </c>
    </row>
    <row r="5586" spans="1:22" ht="27" customHeight="1" x14ac:dyDescent="0.25">
      <c r="A5586" s="32" t="s">
        <v>10370</v>
      </c>
      <c r="H5586" s="8" t="s">
        <v>11530</v>
      </c>
      <c r="I5586" s="33" t="s">
        <v>11531</v>
      </c>
      <c r="J5586" s="34" t="s">
        <v>26</v>
      </c>
      <c r="K5586" s="42">
        <v>47.4</v>
      </c>
      <c r="L5586" s="12">
        <f t="shared" si="472"/>
        <v>123.24</v>
      </c>
      <c r="M5586" s="8">
        <v>1</v>
      </c>
      <c r="N5586" s="8" t="s">
        <v>27</v>
      </c>
      <c r="O5586" s="13"/>
      <c r="P5586" s="14">
        <v>0.3</v>
      </c>
      <c r="Q5586" s="15">
        <v>0.5</v>
      </c>
      <c r="R5586" s="16" t="str">
        <f t="shared" si="468"/>
        <v>LEDYI</v>
      </c>
      <c r="S5586" s="17" t="str">
        <f t="shared" si="473"/>
        <v>LEDYI</v>
      </c>
    </row>
    <row r="5587" spans="1:22" ht="27" customHeight="1" x14ac:dyDescent="0.25">
      <c r="A5587" s="32" t="s">
        <v>5170</v>
      </c>
      <c r="H5587" s="8" t="s">
        <v>11532</v>
      </c>
      <c r="I5587" s="33" t="s">
        <v>11533</v>
      </c>
      <c r="J5587" s="34" t="s">
        <v>33</v>
      </c>
      <c r="K5587" s="42">
        <v>195200</v>
      </c>
      <c r="L5587" s="12">
        <f t="shared" si="472"/>
        <v>278857.1428571429</v>
      </c>
      <c r="M5587" s="8">
        <v>1</v>
      </c>
      <c r="N5587" s="8" t="s">
        <v>27</v>
      </c>
      <c r="O5587" s="13"/>
      <c r="P5587" s="14">
        <v>0</v>
      </c>
      <c r="Q5587" s="15">
        <v>0.3</v>
      </c>
      <c r="R5587" s="16" t="str">
        <f t="shared" si="468"/>
        <v>LEVITON</v>
      </c>
      <c r="S5587" s="17" t="str">
        <f t="shared" si="473"/>
        <v>LEVITON</v>
      </c>
    </row>
    <row r="5588" spans="1:22" ht="27" customHeight="1" x14ac:dyDescent="0.25">
      <c r="A5588" s="32" t="s">
        <v>5170</v>
      </c>
      <c r="H5588" s="8" t="s">
        <v>11534</v>
      </c>
      <c r="I5588" s="33" t="s">
        <v>11535</v>
      </c>
      <c r="J5588" s="34" t="s">
        <v>33</v>
      </c>
      <c r="K5588" s="42">
        <v>243700</v>
      </c>
      <c r="L5588" s="12">
        <f t="shared" si="472"/>
        <v>348142.85714285716</v>
      </c>
      <c r="M5588" s="8">
        <v>1</v>
      </c>
      <c r="N5588" s="8" t="s">
        <v>27</v>
      </c>
      <c r="O5588" s="13"/>
      <c r="P5588" s="14">
        <v>0</v>
      </c>
      <c r="Q5588" s="15">
        <v>0.3</v>
      </c>
      <c r="R5588" s="16" t="str">
        <f t="shared" si="468"/>
        <v>LEVITON</v>
      </c>
      <c r="S5588" s="17" t="str">
        <f t="shared" si="473"/>
        <v>LEVITON</v>
      </c>
    </row>
    <row r="5589" spans="1:22" ht="27" customHeight="1" x14ac:dyDescent="0.25">
      <c r="A5589" s="32" t="s">
        <v>5170</v>
      </c>
      <c r="H5589" s="8" t="s">
        <v>11536</v>
      </c>
      <c r="I5589" s="33" t="s">
        <v>11537</v>
      </c>
      <c r="J5589" s="34" t="s">
        <v>33</v>
      </c>
      <c r="K5589" s="42">
        <v>63900</v>
      </c>
      <c r="L5589" s="12">
        <f t="shared" si="472"/>
        <v>91285.71428571429</v>
      </c>
      <c r="M5589" s="8">
        <v>1</v>
      </c>
      <c r="N5589" s="8" t="s">
        <v>27</v>
      </c>
      <c r="O5589" s="13"/>
      <c r="P5589" s="14">
        <v>0</v>
      </c>
      <c r="Q5589" s="15">
        <v>0.3</v>
      </c>
      <c r="R5589" s="16" t="str">
        <f t="shared" si="468"/>
        <v>LEVITON</v>
      </c>
      <c r="S5589" s="17" t="str">
        <f t="shared" si="473"/>
        <v>LEVITON</v>
      </c>
    </row>
    <row r="5590" spans="1:22" ht="27" customHeight="1" x14ac:dyDescent="0.25">
      <c r="A5590" s="32" t="s">
        <v>5170</v>
      </c>
      <c r="H5590" s="8" t="s">
        <v>11538</v>
      </c>
      <c r="I5590" s="33" t="s">
        <v>11539</v>
      </c>
      <c r="J5590" s="34" t="s">
        <v>33</v>
      </c>
      <c r="K5590" s="42">
        <v>189900</v>
      </c>
      <c r="L5590" s="12">
        <f t="shared" si="472"/>
        <v>271285.71428571432</v>
      </c>
      <c r="M5590" s="8">
        <v>1</v>
      </c>
      <c r="N5590" s="8" t="s">
        <v>27</v>
      </c>
      <c r="O5590" s="13"/>
      <c r="P5590" s="14">
        <v>0</v>
      </c>
      <c r="Q5590" s="15">
        <v>0.3</v>
      </c>
      <c r="R5590" s="16" t="str">
        <f t="shared" si="468"/>
        <v>LEVITON</v>
      </c>
      <c r="S5590" s="17" t="str">
        <f t="shared" si="473"/>
        <v>LEVITON</v>
      </c>
    </row>
    <row r="5591" spans="1:22" ht="27" customHeight="1" x14ac:dyDescent="0.25">
      <c r="A5591" s="32" t="s">
        <v>5170</v>
      </c>
      <c r="H5591" s="8" t="s">
        <v>11540</v>
      </c>
      <c r="I5591" s="33" t="s">
        <v>11541</v>
      </c>
      <c r="J5591" s="34" t="s">
        <v>33</v>
      </c>
      <c r="K5591" s="42">
        <v>9800</v>
      </c>
      <c r="L5591" s="12">
        <f t="shared" si="472"/>
        <v>14000</v>
      </c>
      <c r="M5591" s="8">
        <v>1</v>
      </c>
      <c r="N5591" s="8" t="s">
        <v>27</v>
      </c>
      <c r="O5591" s="13"/>
      <c r="P5591" s="14">
        <v>0</v>
      </c>
      <c r="Q5591" s="15">
        <v>0.3</v>
      </c>
      <c r="R5591" s="16" t="str">
        <f t="shared" si="468"/>
        <v>LEVITON</v>
      </c>
      <c r="S5591" s="17" t="str">
        <f t="shared" si="473"/>
        <v>LEVITON</v>
      </c>
    </row>
    <row r="5592" spans="1:22" ht="27" customHeight="1" x14ac:dyDescent="0.25">
      <c r="A5592" s="32" t="s">
        <v>5170</v>
      </c>
      <c r="H5592" s="8" t="s">
        <v>11542</v>
      </c>
      <c r="I5592" s="33" t="s">
        <v>11543</v>
      </c>
      <c r="J5592" s="34" t="s">
        <v>33</v>
      </c>
      <c r="K5592" s="42">
        <v>7700</v>
      </c>
      <c r="L5592" s="12">
        <f t="shared" si="472"/>
        <v>11000</v>
      </c>
      <c r="M5592" s="8">
        <v>1</v>
      </c>
      <c r="N5592" s="8" t="s">
        <v>27</v>
      </c>
      <c r="O5592" s="13"/>
      <c r="P5592" s="14">
        <v>0</v>
      </c>
      <c r="Q5592" s="15">
        <v>0.3</v>
      </c>
      <c r="R5592" s="16" t="str">
        <f t="shared" si="468"/>
        <v>LEVITON</v>
      </c>
      <c r="S5592" s="17" t="str">
        <f t="shared" si="473"/>
        <v>LEVITON</v>
      </c>
    </row>
    <row r="5593" spans="1:22" ht="27" customHeight="1" x14ac:dyDescent="0.25">
      <c r="A5593" s="32" t="s">
        <v>5170</v>
      </c>
      <c r="H5593" s="8" t="s">
        <v>11544</v>
      </c>
      <c r="I5593" s="33" t="s">
        <v>11545</v>
      </c>
      <c r="J5593" s="34" t="s">
        <v>33</v>
      </c>
      <c r="K5593" s="42">
        <v>11700</v>
      </c>
      <c r="L5593" s="12">
        <f t="shared" si="472"/>
        <v>16714.285714285714</v>
      </c>
      <c r="M5593" s="8">
        <v>1</v>
      </c>
      <c r="N5593" s="8" t="s">
        <v>27</v>
      </c>
      <c r="O5593" s="13"/>
      <c r="P5593" s="14">
        <v>0</v>
      </c>
      <c r="Q5593" s="15">
        <v>0.3</v>
      </c>
      <c r="R5593" s="16" t="str">
        <f t="shared" si="468"/>
        <v>LEVITON</v>
      </c>
      <c r="S5593" s="17" t="str">
        <f t="shared" si="473"/>
        <v>LEVITON</v>
      </c>
    </row>
    <row r="5594" spans="1:22" ht="27" customHeight="1" x14ac:dyDescent="0.25">
      <c r="A5594" s="32" t="s">
        <v>5170</v>
      </c>
      <c r="H5594" s="8" t="s">
        <v>11546</v>
      </c>
      <c r="I5594" s="33" t="s">
        <v>11547</v>
      </c>
      <c r="J5594" s="34" t="s">
        <v>33</v>
      </c>
      <c r="K5594" s="42">
        <v>13100</v>
      </c>
      <c r="L5594" s="12">
        <f t="shared" si="472"/>
        <v>18714.285714285714</v>
      </c>
      <c r="M5594" s="8">
        <v>1</v>
      </c>
      <c r="N5594" s="8" t="s">
        <v>27</v>
      </c>
      <c r="O5594" s="13"/>
      <c r="P5594" s="14">
        <v>0</v>
      </c>
      <c r="Q5594" s="15">
        <v>0.3</v>
      </c>
      <c r="R5594" s="16" t="str">
        <f t="shared" si="468"/>
        <v>LEVITON</v>
      </c>
      <c r="S5594" s="17" t="str">
        <f t="shared" si="473"/>
        <v>LEVITON</v>
      </c>
    </row>
    <row r="5595" spans="1:22" ht="27" customHeight="1" x14ac:dyDescent="0.25">
      <c r="A5595" s="32" t="s">
        <v>5170</v>
      </c>
      <c r="H5595" s="8" t="s">
        <v>11548</v>
      </c>
      <c r="I5595" s="33" t="s">
        <v>11549</v>
      </c>
      <c r="J5595" s="34" t="s">
        <v>33</v>
      </c>
      <c r="K5595" s="42">
        <v>87400</v>
      </c>
      <c r="L5595" s="12">
        <f t="shared" si="472"/>
        <v>124857.14285714287</v>
      </c>
      <c r="M5595" s="8">
        <v>1</v>
      </c>
      <c r="N5595" s="8" t="s">
        <v>27</v>
      </c>
      <c r="O5595" s="13"/>
      <c r="P5595" s="14">
        <v>0</v>
      </c>
      <c r="Q5595" s="15">
        <v>0.3</v>
      </c>
      <c r="R5595" s="16" t="str">
        <f t="shared" si="468"/>
        <v>LEVITON</v>
      </c>
      <c r="S5595" s="17" t="str">
        <f t="shared" si="473"/>
        <v>LEVITON</v>
      </c>
    </row>
    <row r="5596" spans="1:22" ht="27" customHeight="1" x14ac:dyDescent="0.25">
      <c r="A5596" s="32" t="s">
        <v>3821</v>
      </c>
      <c r="H5596" s="8" t="s">
        <v>11550</v>
      </c>
      <c r="I5596" s="33" t="s">
        <v>11551</v>
      </c>
      <c r="J5596" s="34" t="s">
        <v>26</v>
      </c>
      <c r="K5596" s="42">
        <v>107</v>
      </c>
      <c r="L5596" s="12">
        <f t="shared" si="472"/>
        <v>214.00000000000003</v>
      </c>
      <c r="M5596" s="8">
        <v>1</v>
      </c>
      <c r="N5596" s="8" t="s">
        <v>27</v>
      </c>
      <c r="O5596" s="13"/>
      <c r="P5596" s="14">
        <v>0.2</v>
      </c>
      <c r="Q5596" s="15">
        <v>0.4</v>
      </c>
      <c r="R5596" s="16" t="str">
        <f t="shared" si="468"/>
        <v>KEF</v>
      </c>
      <c r="S5596" s="17" t="str">
        <f t="shared" si="473"/>
        <v>KEF</v>
      </c>
    </row>
    <row r="5597" spans="1:22" ht="27" customHeight="1" x14ac:dyDescent="0.25">
      <c r="A5597" s="32" t="s">
        <v>3821</v>
      </c>
      <c r="H5597" s="8" t="s">
        <v>11552</v>
      </c>
      <c r="I5597" s="33" t="s">
        <v>11553</v>
      </c>
      <c r="J5597" s="34" t="s">
        <v>26</v>
      </c>
      <c r="K5597" s="42">
        <v>87</v>
      </c>
      <c r="L5597" s="12">
        <f t="shared" si="472"/>
        <v>174</v>
      </c>
      <c r="M5597" s="8">
        <v>1</v>
      </c>
      <c r="N5597" s="8" t="s">
        <v>27</v>
      </c>
      <c r="O5597" s="13"/>
      <c r="P5597" s="14">
        <v>0.2</v>
      </c>
      <c r="Q5597" s="15">
        <v>0.4</v>
      </c>
      <c r="R5597" s="16" t="str">
        <f t="shared" si="468"/>
        <v>KEF</v>
      </c>
      <c r="S5597" s="17" t="str">
        <f t="shared" si="473"/>
        <v>KEF</v>
      </c>
    </row>
    <row r="5598" spans="1:22" ht="27" customHeight="1" x14ac:dyDescent="0.25">
      <c r="A5598" s="32" t="s">
        <v>3821</v>
      </c>
      <c r="H5598" s="8" t="s">
        <v>11554</v>
      </c>
      <c r="I5598" s="33" t="s">
        <v>11555</v>
      </c>
      <c r="J5598" s="34" t="s">
        <v>26</v>
      </c>
      <c r="K5598" s="42">
        <v>242</v>
      </c>
      <c r="L5598" s="12">
        <f t="shared" si="472"/>
        <v>484</v>
      </c>
      <c r="M5598" s="8">
        <v>1</v>
      </c>
      <c r="N5598" s="8" t="s">
        <v>27</v>
      </c>
      <c r="O5598" s="13"/>
      <c r="P5598" s="14">
        <v>0.2</v>
      </c>
      <c r="Q5598" s="15">
        <v>0.4</v>
      </c>
      <c r="R5598" s="16" t="str">
        <f t="shared" si="468"/>
        <v>KEF</v>
      </c>
      <c r="S5598" s="17" t="str">
        <f t="shared" si="473"/>
        <v>KEF</v>
      </c>
    </row>
    <row r="5599" spans="1:22" ht="27" customHeight="1" x14ac:dyDescent="0.25">
      <c r="A5599" s="8" t="s">
        <v>7474</v>
      </c>
      <c r="B5599" s="9"/>
      <c r="C5599" s="9"/>
      <c r="D5599" s="8"/>
      <c r="E5599" s="8"/>
      <c r="F5599" s="8"/>
      <c r="G5599" s="10"/>
      <c r="H5599" s="8" t="s">
        <v>10556</v>
      </c>
      <c r="I5599" s="10" t="s">
        <v>11556</v>
      </c>
      <c r="J5599" s="11" t="s">
        <v>26</v>
      </c>
      <c r="K5599" s="18">
        <v>508</v>
      </c>
      <c r="L5599" s="12">
        <f>IF(J5599="P",ROUNDUP(K5599/(1-Q5599),-2),K5599*(1+P5599)/(1-Q5599))</f>
        <v>937.84615384615381</v>
      </c>
      <c r="M5599" s="8">
        <v>1</v>
      </c>
      <c r="N5599" s="8" t="s">
        <v>27</v>
      </c>
      <c r="O5599" s="13"/>
      <c r="P5599" s="14">
        <v>0.2</v>
      </c>
      <c r="Q5599" s="15">
        <v>0.35</v>
      </c>
      <c r="R5599" s="16" t="str">
        <f t="shared" si="468"/>
        <v>ONKYO</v>
      </c>
      <c r="S5599" s="17"/>
      <c r="T5599" s="10"/>
      <c r="V5599" s="21"/>
    </row>
    <row r="5600" spans="1:22" ht="27" customHeight="1" x14ac:dyDescent="0.25">
      <c r="A5600" s="32" t="s">
        <v>11557</v>
      </c>
      <c r="H5600" s="8" t="s">
        <v>11558</v>
      </c>
      <c r="I5600" s="33" t="s">
        <v>11559</v>
      </c>
      <c r="J5600" s="34" t="s">
        <v>26</v>
      </c>
      <c r="K5600" s="42">
        <v>40</v>
      </c>
      <c r="L5600" s="12">
        <f>IF(J5600="P",ROUNDUP(K5600/(1-Q5600),-2),K5600*(1+P5600)/(1-Q5600))</f>
        <v>73.84615384615384</v>
      </c>
      <c r="M5600" s="8">
        <v>1</v>
      </c>
      <c r="N5600" s="8" t="s">
        <v>27</v>
      </c>
      <c r="O5600" s="13"/>
      <c r="P5600" s="14">
        <v>0.2</v>
      </c>
      <c r="Q5600" s="15">
        <v>0.35</v>
      </c>
      <c r="R5600" s="16" t="str">
        <f t="shared" si="468"/>
        <v>DEMAO</v>
      </c>
      <c r="T5600" s="39" t="s">
        <v>11560</v>
      </c>
    </row>
    <row r="5601" spans="1:20" ht="27" customHeight="1" x14ac:dyDescent="0.25">
      <c r="A5601" s="32" t="s">
        <v>2512</v>
      </c>
      <c r="H5601" s="8" t="s">
        <v>11561</v>
      </c>
      <c r="I5601" s="33" t="s">
        <v>11562</v>
      </c>
      <c r="J5601" s="34" t="s">
        <v>33</v>
      </c>
      <c r="K5601" s="42">
        <v>24000</v>
      </c>
      <c r="L5601" s="12">
        <f>IF(J5601="P",ROUNDUP(K5601/(1-Q5601),-2),K5601*(1+P5601)/(1-Q5601))</f>
        <v>40000</v>
      </c>
      <c r="M5601" s="8">
        <v>1</v>
      </c>
      <c r="N5601" s="8" t="s">
        <v>27</v>
      </c>
      <c r="O5601" s="13"/>
      <c r="P5601" s="14">
        <v>0</v>
      </c>
      <c r="Q5601" s="15">
        <v>0.4</v>
      </c>
      <c r="R5601" s="16" t="str">
        <f t="shared" si="468"/>
        <v>GENERAL</v>
      </c>
    </row>
    <row r="5602" spans="1:20" ht="27" customHeight="1" x14ac:dyDescent="0.25">
      <c r="A5602" s="32" t="s">
        <v>11563</v>
      </c>
      <c r="H5602" s="8" t="s">
        <v>11564</v>
      </c>
      <c r="I5602" s="33" t="s">
        <v>11565</v>
      </c>
      <c r="J5602" s="34" t="s">
        <v>33</v>
      </c>
      <c r="K5602" s="42">
        <v>10000</v>
      </c>
      <c r="L5602" s="12">
        <f>IF(J5602="P",ROUNDUP(K5602/(1-Q5602),-2),K5602*(1+P5602)/(1-Q5602))</f>
        <v>16700</v>
      </c>
      <c r="M5602" s="8">
        <v>1</v>
      </c>
      <c r="N5602" s="8" t="s">
        <v>27</v>
      </c>
      <c r="O5602" s="13"/>
      <c r="P5602" s="14">
        <v>0</v>
      </c>
      <c r="Q5602" s="15">
        <v>0.4</v>
      </c>
      <c r="R5602" s="16" t="str">
        <f t="shared" si="468"/>
        <v>PIRIK</v>
      </c>
    </row>
    <row r="5603" spans="1:20" ht="27" customHeight="1" x14ac:dyDescent="0.25">
      <c r="A5603" s="32" t="s">
        <v>8836</v>
      </c>
      <c r="H5603" s="8" t="s">
        <v>11566</v>
      </c>
      <c r="I5603" s="33" t="s">
        <v>11567</v>
      </c>
      <c r="J5603" s="34" t="s">
        <v>33</v>
      </c>
      <c r="K5603" s="42">
        <v>12089</v>
      </c>
      <c r="L5603" s="12">
        <f>IF(J5603="P",ROUNDUP(K5603/(1-Q5603),-2),K5603*(1+P5603)/(1-Q5603))</f>
        <v>20200</v>
      </c>
      <c r="M5603" s="8">
        <v>1</v>
      </c>
      <c r="N5603" s="8" t="s">
        <v>27</v>
      </c>
      <c r="O5603" s="13"/>
      <c r="P5603" s="14">
        <v>0</v>
      </c>
      <c r="Q5603" s="15">
        <v>0.4</v>
      </c>
      <c r="R5603" s="16" t="str">
        <f t="shared" si="468"/>
        <v>TECNOLITE</v>
      </c>
    </row>
    <row r="5604" spans="1:20" ht="27" customHeight="1" x14ac:dyDescent="0.25">
      <c r="A5604" s="32" t="s">
        <v>10103</v>
      </c>
      <c r="H5604" s="8" t="s">
        <v>11568</v>
      </c>
      <c r="I5604" s="33" t="s">
        <v>11569</v>
      </c>
      <c r="J5604" s="34" t="s">
        <v>26</v>
      </c>
      <c r="K5604" s="42">
        <v>644</v>
      </c>
      <c r="L5604" s="12">
        <f t="shared" ref="L5604:L5613" si="474">K5604*(1+P5604)/(1-Q5604)</f>
        <v>987.73006134969319</v>
      </c>
      <c r="M5604" s="8">
        <v>1</v>
      </c>
      <c r="N5604" s="8" t="s">
        <v>27</v>
      </c>
      <c r="O5604" s="13"/>
      <c r="P5604" s="14">
        <v>0</v>
      </c>
      <c r="Q5604" s="15">
        <v>0.34799999999999998</v>
      </c>
      <c r="R5604" s="16" t="str">
        <f t="shared" si="468"/>
        <v>MONITOR</v>
      </c>
    </row>
    <row r="5605" spans="1:20" ht="27" customHeight="1" x14ac:dyDescent="0.25">
      <c r="A5605" s="32" t="s">
        <v>10677</v>
      </c>
      <c r="H5605" s="8" t="s">
        <v>11570</v>
      </c>
      <c r="I5605" s="33" t="s">
        <v>11571</v>
      </c>
      <c r="J5605" s="34" t="s">
        <v>26</v>
      </c>
      <c r="K5605" s="42">
        <f>195/2</f>
        <v>97.5</v>
      </c>
      <c r="L5605" s="12">
        <f t="shared" si="474"/>
        <v>162.5</v>
      </c>
      <c r="M5605" s="8">
        <v>1</v>
      </c>
      <c r="N5605" s="8" t="s">
        <v>27</v>
      </c>
      <c r="O5605" s="13"/>
      <c r="P5605" s="14">
        <v>0</v>
      </c>
      <c r="Q5605" s="15">
        <v>0.4</v>
      </c>
      <c r="R5605" s="16" t="str">
        <f t="shared" si="468"/>
        <v>SONANCE</v>
      </c>
    </row>
    <row r="5606" spans="1:20" ht="27" customHeight="1" x14ac:dyDescent="0.25">
      <c r="A5606" s="43" t="s">
        <v>2270</v>
      </c>
      <c r="B5606" s="19"/>
      <c r="C5606" s="19"/>
      <c r="D5606" s="19"/>
      <c r="E5606" s="19"/>
      <c r="F5606" s="19"/>
      <c r="G5606" s="19"/>
      <c r="H5606" s="8" t="s">
        <v>11572</v>
      </c>
      <c r="I5606" s="19" t="s">
        <v>11573</v>
      </c>
      <c r="J5606" s="19" t="s">
        <v>26</v>
      </c>
      <c r="K5606" s="36">
        <v>384</v>
      </c>
      <c r="L5606" s="12">
        <f t="shared" si="474"/>
        <v>832.00000000000011</v>
      </c>
      <c r="M5606" s="8">
        <v>1</v>
      </c>
      <c r="N5606" s="8" t="s">
        <v>27</v>
      </c>
      <c r="O5606" s="13"/>
      <c r="P5606" s="14">
        <v>0.3</v>
      </c>
      <c r="Q5606" s="15">
        <v>0.4</v>
      </c>
      <c r="R5606" s="16" t="str">
        <f t="shared" si="468"/>
        <v>ELITE</v>
      </c>
      <c r="S5606" s="19"/>
    </row>
    <row r="5607" spans="1:20" ht="27" customHeight="1" x14ac:dyDescent="0.25">
      <c r="A5607" s="32" t="s">
        <v>11574</v>
      </c>
      <c r="H5607" s="8" t="s">
        <v>11575</v>
      </c>
      <c r="I5607" s="33" t="s">
        <v>11576</v>
      </c>
      <c r="J5607" s="34" t="s">
        <v>26</v>
      </c>
      <c r="K5607" s="36">
        <v>528</v>
      </c>
      <c r="L5607" s="12">
        <f t="shared" si="474"/>
        <v>880</v>
      </c>
      <c r="M5607" s="8">
        <v>1</v>
      </c>
      <c r="N5607" s="8" t="s">
        <v>27</v>
      </c>
      <c r="O5607" s="13"/>
      <c r="P5607" s="14">
        <v>0</v>
      </c>
      <c r="Q5607" s="15">
        <v>0.4</v>
      </c>
      <c r="R5607" s="16" t="str">
        <f t="shared" si="468"/>
        <v>ALBION</v>
      </c>
    </row>
    <row r="5608" spans="1:20" ht="27" customHeight="1" x14ac:dyDescent="0.25">
      <c r="A5608" s="32" t="s">
        <v>11574</v>
      </c>
      <c r="H5608" s="8" t="s">
        <v>11577</v>
      </c>
      <c r="I5608" s="33" t="s">
        <v>11578</v>
      </c>
      <c r="J5608" s="34" t="s">
        <v>26</v>
      </c>
      <c r="K5608" s="36">
        <v>631</v>
      </c>
      <c r="L5608" s="12">
        <f t="shared" si="474"/>
        <v>1051.6666666666667</v>
      </c>
      <c r="M5608" s="8">
        <v>1</v>
      </c>
      <c r="N5608" s="8" t="s">
        <v>27</v>
      </c>
      <c r="O5608" s="13"/>
      <c r="P5608" s="14">
        <v>0</v>
      </c>
      <c r="Q5608" s="15">
        <v>0.4</v>
      </c>
      <c r="R5608" s="16" t="str">
        <f t="shared" si="468"/>
        <v>ALBION</v>
      </c>
    </row>
    <row r="5609" spans="1:20" ht="27" customHeight="1" x14ac:dyDescent="0.25">
      <c r="A5609" s="32" t="s">
        <v>3915</v>
      </c>
      <c r="H5609" s="8" t="s">
        <v>11579</v>
      </c>
      <c r="I5609" s="33" t="s">
        <v>11580</v>
      </c>
      <c r="J5609" s="34" t="s">
        <v>26</v>
      </c>
      <c r="K5609" s="42">
        <f>218/2</f>
        <v>109</v>
      </c>
      <c r="L5609" s="12">
        <f t="shared" si="474"/>
        <v>217.99999999999997</v>
      </c>
      <c r="M5609" s="8">
        <v>1</v>
      </c>
      <c r="N5609" s="8" t="s">
        <v>27</v>
      </c>
      <c r="O5609" s="13"/>
      <c r="P5609" s="14">
        <v>0.2</v>
      </c>
      <c r="Q5609" s="15">
        <v>0.4</v>
      </c>
      <c r="R5609" s="16" t="str">
        <f t="shared" si="468"/>
        <v>KLIPSCH</v>
      </c>
    </row>
    <row r="5610" spans="1:20" ht="27" customHeight="1" x14ac:dyDescent="0.25">
      <c r="A5610" s="32" t="s">
        <v>11581</v>
      </c>
      <c r="H5610" s="8" t="s">
        <v>11582</v>
      </c>
      <c r="I5610" s="33" t="s">
        <v>11583</v>
      </c>
      <c r="J5610" s="34" t="s">
        <v>26</v>
      </c>
      <c r="K5610" s="42">
        <f>219/2</f>
        <v>109.5</v>
      </c>
      <c r="L5610" s="12">
        <f t="shared" si="474"/>
        <v>202.15384615384616</v>
      </c>
      <c r="M5610" s="8">
        <v>1</v>
      </c>
      <c r="N5610" s="8" t="s">
        <v>27</v>
      </c>
      <c r="O5610" s="13"/>
      <c r="P5610" s="14">
        <v>0.2</v>
      </c>
      <c r="Q5610" s="15">
        <v>0.35</v>
      </c>
      <c r="R5610" s="16" t="str">
        <f t="shared" si="468"/>
        <v>JAMO</v>
      </c>
    </row>
    <row r="5611" spans="1:20" ht="27" customHeight="1" x14ac:dyDescent="0.25">
      <c r="A5611" s="32" t="s">
        <v>11581</v>
      </c>
      <c r="H5611" s="8" t="s">
        <v>11584</v>
      </c>
      <c r="I5611" s="33" t="s">
        <v>11585</v>
      </c>
      <c r="J5611" s="34" t="s">
        <v>26</v>
      </c>
      <c r="K5611" s="42">
        <f>256/2</f>
        <v>128</v>
      </c>
      <c r="L5611" s="12">
        <f t="shared" si="474"/>
        <v>236.30769230769229</v>
      </c>
      <c r="M5611" s="8">
        <v>1</v>
      </c>
      <c r="N5611" s="8" t="s">
        <v>27</v>
      </c>
      <c r="O5611" s="13"/>
      <c r="P5611" s="14">
        <v>0.2</v>
      </c>
      <c r="Q5611" s="15">
        <v>0.35</v>
      </c>
      <c r="R5611" s="16" t="str">
        <f t="shared" si="468"/>
        <v>JAMO</v>
      </c>
      <c r="T5611" s="21"/>
    </row>
    <row r="5612" spans="1:20" ht="27" customHeight="1" x14ac:dyDescent="0.25">
      <c r="A5612" s="32" t="s">
        <v>7989</v>
      </c>
      <c r="H5612" s="8" t="s">
        <v>11586</v>
      </c>
      <c r="I5612" s="33" t="s">
        <v>11587</v>
      </c>
      <c r="J5612" s="34" t="s">
        <v>26</v>
      </c>
      <c r="K5612" s="42">
        <v>120</v>
      </c>
      <c r="L5612" s="12">
        <f t="shared" si="474"/>
        <v>221.53846153846152</v>
      </c>
      <c r="M5612" s="8">
        <v>1</v>
      </c>
      <c r="N5612" s="8" t="s">
        <v>27</v>
      </c>
      <c r="O5612" s="13"/>
      <c r="P5612" s="14">
        <v>0.2</v>
      </c>
      <c r="Q5612" s="15">
        <v>0.35</v>
      </c>
      <c r="R5612" s="16" t="str">
        <f t="shared" si="468"/>
        <v>RUSSOUND</v>
      </c>
    </row>
    <row r="5613" spans="1:20" ht="27" customHeight="1" x14ac:dyDescent="0.25">
      <c r="A5613" s="32" t="s">
        <v>7989</v>
      </c>
      <c r="H5613" s="8" t="s">
        <v>11588</v>
      </c>
      <c r="I5613" s="33" t="s">
        <v>11589</v>
      </c>
      <c r="J5613" s="34" t="s">
        <v>26</v>
      </c>
      <c r="K5613" s="42">
        <f>207/2</f>
        <v>103.5</v>
      </c>
      <c r="L5613" s="12">
        <f t="shared" si="474"/>
        <v>191.07692307692307</v>
      </c>
      <c r="M5613" s="8">
        <v>1</v>
      </c>
      <c r="N5613" s="8" t="s">
        <v>27</v>
      </c>
      <c r="O5613" s="13"/>
      <c r="P5613" s="14">
        <v>0.2</v>
      </c>
      <c r="Q5613" s="15">
        <v>0.35</v>
      </c>
      <c r="R5613" s="16" t="str">
        <f t="shared" si="468"/>
        <v>RUSSOUND</v>
      </c>
    </row>
    <row r="5614" spans="1:20" ht="27" customHeight="1" x14ac:dyDescent="0.25">
      <c r="A5614" s="32" t="s">
        <v>5672</v>
      </c>
      <c r="H5614" s="8" t="s">
        <v>11590</v>
      </c>
      <c r="I5614" s="33" t="s">
        <v>10988</v>
      </c>
      <c r="J5614" s="34" t="s">
        <v>26</v>
      </c>
      <c r="K5614" s="42">
        <v>125.4</v>
      </c>
      <c r="L5614" s="12">
        <f t="shared" ref="L5614:L5624" si="475">IF(J5614="P",ROUNDUP(K5614/(1-Q5614),-2),K5614*(1+P5614)/(1-Q5614))</f>
        <v>209.00008099195745</v>
      </c>
      <c r="M5614" s="8">
        <v>1</v>
      </c>
      <c r="N5614" s="8" t="s">
        <v>27</v>
      </c>
      <c r="O5614" s="13"/>
      <c r="P5614" s="14">
        <v>0.2</v>
      </c>
      <c r="Q5614" s="15">
        <v>0.28000027901524771</v>
      </c>
      <c r="R5614" s="40" t="str">
        <f t="shared" si="468"/>
        <v>LUTRON</v>
      </c>
    </row>
    <row r="5615" spans="1:20" ht="27" customHeight="1" x14ac:dyDescent="0.25">
      <c r="A5615" s="32" t="s">
        <v>5672</v>
      </c>
      <c r="H5615" s="8" t="s">
        <v>11591</v>
      </c>
      <c r="I5615" s="33" t="s">
        <v>10990</v>
      </c>
      <c r="J5615" s="34" t="s">
        <v>26</v>
      </c>
      <c r="K5615" s="42">
        <v>125.4</v>
      </c>
      <c r="L5615" s="12">
        <f t="shared" si="475"/>
        <v>209.00008099195745</v>
      </c>
      <c r="M5615" s="8">
        <v>1</v>
      </c>
      <c r="N5615" s="8" t="s">
        <v>27</v>
      </c>
      <c r="O5615" s="13"/>
      <c r="P5615" s="14">
        <v>0.2</v>
      </c>
      <c r="Q5615" s="15">
        <v>0.28000027901524771</v>
      </c>
      <c r="R5615" s="40" t="str">
        <f t="shared" ref="R5615:R5678" si="476">A5615</f>
        <v>LUTRON</v>
      </c>
    </row>
    <row r="5616" spans="1:20" ht="27" customHeight="1" x14ac:dyDescent="0.25">
      <c r="A5616" s="32" t="s">
        <v>5672</v>
      </c>
      <c r="H5616" s="8" t="s">
        <v>11592</v>
      </c>
      <c r="I5616" s="33" t="s">
        <v>10994</v>
      </c>
      <c r="J5616" s="34" t="s">
        <v>26</v>
      </c>
      <c r="K5616" s="42">
        <v>209.4</v>
      </c>
      <c r="L5616" s="12">
        <f t="shared" si="475"/>
        <v>349</v>
      </c>
      <c r="M5616" s="8">
        <v>1</v>
      </c>
      <c r="N5616" s="8" t="s">
        <v>27</v>
      </c>
      <c r="O5616" s="13"/>
      <c r="P5616" s="14">
        <v>0.2</v>
      </c>
      <c r="Q5616" s="15">
        <v>0.28000000000000003</v>
      </c>
      <c r="R5616" s="40" t="str">
        <f t="shared" si="476"/>
        <v>LUTRON</v>
      </c>
    </row>
    <row r="5617" spans="1:28" ht="27" customHeight="1" x14ac:dyDescent="0.25">
      <c r="A5617" s="32" t="s">
        <v>1561</v>
      </c>
      <c r="G5617" t="s">
        <v>11593</v>
      </c>
      <c r="H5617" s="8" t="s">
        <v>11594</v>
      </c>
      <c r="I5617" s="33" t="s">
        <v>11595</v>
      </c>
      <c r="J5617" s="34" t="s">
        <v>33</v>
      </c>
      <c r="K5617" s="42">
        <v>360000</v>
      </c>
      <c r="L5617" s="12">
        <f t="shared" si="475"/>
        <v>600000</v>
      </c>
      <c r="M5617" s="8">
        <v>1</v>
      </c>
      <c r="N5617" s="8" t="s">
        <v>27</v>
      </c>
      <c r="O5617" s="13"/>
      <c r="P5617" s="14">
        <v>0</v>
      </c>
      <c r="Q5617" s="15">
        <v>0.4</v>
      </c>
      <c r="R5617" s="40" t="str">
        <f t="shared" si="476"/>
        <v>DAHUA</v>
      </c>
    </row>
    <row r="5618" spans="1:28" ht="27" customHeight="1" x14ac:dyDescent="0.25">
      <c r="A5618" s="32" t="s">
        <v>7554</v>
      </c>
      <c r="H5618" s="8" t="s">
        <v>11596</v>
      </c>
      <c r="I5618" s="33" t="s">
        <v>11597</v>
      </c>
      <c r="J5618" s="34" t="s">
        <v>33</v>
      </c>
      <c r="K5618" s="42">
        <v>195000</v>
      </c>
      <c r="L5618" s="12">
        <f t="shared" si="475"/>
        <v>325000</v>
      </c>
      <c r="M5618" s="8">
        <v>1</v>
      </c>
      <c r="N5618" s="8" t="s">
        <v>27</v>
      </c>
      <c r="O5618" s="13"/>
      <c r="P5618" s="14">
        <v>0</v>
      </c>
      <c r="Q5618" s="15">
        <v>0.4</v>
      </c>
      <c r="R5618" s="40" t="str">
        <f t="shared" si="476"/>
        <v>OSRAM</v>
      </c>
    </row>
    <row r="5619" spans="1:28" ht="27" customHeight="1" x14ac:dyDescent="0.25">
      <c r="A5619" s="32" t="s">
        <v>3977</v>
      </c>
      <c r="H5619" s="8" t="s">
        <v>11598</v>
      </c>
      <c r="I5619" s="33" t="s">
        <v>11599</v>
      </c>
      <c r="J5619" s="34" t="s">
        <v>33</v>
      </c>
      <c r="K5619" s="42">
        <v>15000</v>
      </c>
      <c r="L5619" s="12">
        <f t="shared" si="475"/>
        <v>25000</v>
      </c>
      <c r="M5619" s="8">
        <v>1</v>
      </c>
      <c r="N5619" s="8" t="s">
        <v>27</v>
      </c>
      <c r="O5619" s="13"/>
      <c r="P5619" s="14">
        <v>0</v>
      </c>
      <c r="Q5619" s="15">
        <v>0.4</v>
      </c>
      <c r="R5619" s="40" t="str">
        <f t="shared" si="476"/>
        <v>KOMODO</v>
      </c>
    </row>
    <row r="5620" spans="1:28" ht="27" customHeight="1" x14ac:dyDescent="0.25">
      <c r="A5620" s="32" t="s">
        <v>7931</v>
      </c>
      <c r="H5620" s="8" t="s">
        <v>11600</v>
      </c>
      <c r="I5620" s="33" t="s">
        <v>11601</v>
      </c>
      <c r="J5620" s="34" t="s">
        <v>33</v>
      </c>
      <c r="K5620" s="42">
        <v>12000</v>
      </c>
      <c r="L5620" s="12">
        <f t="shared" si="475"/>
        <v>20000</v>
      </c>
      <c r="M5620" s="8">
        <v>1</v>
      </c>
      <c r="N5620" s="8" t="s">
        <v>27</v>
      </c>
      <c r="O5620" s="13"/>
      <c r="P5620" s="14">
        <v>0</v>
      </c>
      <c r="Q5620" s="15">
        <v>0.4</v>
      </c>
      <c r="R5620" s="40" t="str">
        <f t="shared" si="476"/>
        <v>SYLVANIA</v>
      </c>
    </row>
    <row r="5621" spans="1:28" ht="27" customHeight="1" x14ac:dyDescent="0.25">
      <c r="A5621" s="32" t="s">
        <v>7825</v>
      </c>
      <c r="H5621" s="8" t="s">
        <v>11602</v>
      </c>
      <c r="I5621" s="33" t="s">
        <v>11603</v>
      </c>
      <c r="J5621" s="34" t="s">
        <v>26</v>
      </c>
      <c r="K5621" s="42">
        <v>88</v>
      </c>
      <c r="L5621" s="12">
        <f t="shared" si="475"/>
        <v>150.85714285714286</v>
      </c>
      <c r="M5621" s="8">
        <v>1</v>
      </c>
      <c r="N5621" s="8" t="s">
        <v>27</v>
      </c>
      <c r="O5621" s="13"/>
      <c r="P5621" s="14">
        <v>0.2</v>
      </c>
      <c r="Q5621" s="15">
        <v>0.3</v>
      </c>
      <c r="R5621" s="40" t="str">
        <f t="shared" si="476"/>
        <v>PYLE</v>
      </c>
      <c r="S5621" t="s">
        <v>11604</v>
      </c>
      <c r="AB5621" s="112">
        <v>1</v>
      </c>
    </row>
    <row r="5622" spans="1:28" ht="27" customHeight="1" x14ac:dyDescent="0.25">
      <c r="A5622" s="32" t="s">
        <v>5672</v>
      </c>
      <c r="H5622" s="8" t="s">
        <v>11605</v>
      </c>
      <c r="I5622" s="33" t="s">
        <v>11606</v>
      </c>
      <c r="J5622" s="34" t="s">
        <v>26</v>
      </c>
      <c r="K5622" s="42">
        <v>48</v>
      </c>
      <c r="L5622" s="12">
        <f t="shared" si="475"/>
        <v>87.27272727272728</v>
      </c>
      <c r="M5622" s="8">
        <v>1</v>
      </c>
      <c r="N5622" s="8" t="s">
        <v>27</v>
      </c>
      <c r="O5622" s="13"/>
      <c r="P5622" s="14">
        <v>0.2</v>
      </c>
      <c r="Q5622" s="15">
        <v>0.34</v>
      </c>
      <c r="R5622" s="40" t="str">
        <f t="shared" si="476"/>
        <v>LUTRON</v>
      </c>
    </row>
    <row r="5623" spans="1:28" ht="27" customHeight="1" x14ac:dyDescent="0.25">
      <c r="A5623" s="32" t="s">
        <v>5672</v>
      </c>
      <c r="H5623" s="8" t="s">
        <v>11607</v>
      </c>
      <c r="I5623" s="33" t="s">
        <v>11608</v>
      </c>
      <c r="J5623" s="34" t="s">
        <v>26</v>
      </c>
      <c r="K5623" s="42">
        <v>48</v>
      </c>
      <c r="L5623" s="12">
        <f t="shared" si="475"/>
        <v>87.27272727272728</v>
      </c>
      <c r="M5623" s="8">
        <v>1</v>
      </c>
      <c r="N5623" s="8" t="s">
        <v>27</v>
      </c>
      <c r="O5623" s="13"/>
      <c r="P5623" s="14">
        <v>0.2</v>
      </c>
      <c r="Q5623" s="15">
        <v>0.34</v>
      </c>
      <c r="R5623" s="40" t="str">
        <f t="shared" si="476"/>
        <v>LUTRON</v>
      </c>
    </row>
    <row r="5624" spans="1:28" ht="27" customHeight="1" x14ac:dyDescent="0.25">
      <c r="A5624" s="32" t="s">
        <v>11609</v>
      </c>
      <c r="H5624" s="8" t="s">
        <v>11610</v>
      </c>
      <c r="I5624" s="33" t="s">
        <v>11611</v>
      </c>
      <c r="J5624" s="34" t="s">
        <v>26</v>
      </c>
      <c r="K5624" s="42">
        <v>20</v>
      </c>
      <c r="L5624" s="12">
        <f t="shared" si="475"/>
        <v>56</v>
      </c>
      <c r="M5624" s="8">
        <v>1</v>
      </c>
      <c r="N5624" s="8" t="s">
        <v>27</v>
      </c>
      <c r="O5624" s="13"/>
      <c r="P5624" s="14">
        <v>0.4</v>
      </c>
      <c r="Q5624" s="15">
        <v>0.5</v>
      </c>
      <c r="R5624" s="40" t="str">
        <f t="shared" si="476"/>
        <v>SUNRICHER</v>
      </c>
    </row>
    <row r="5625" spans="1:28" ht="27" customHeight="1" x14ac:dyDescent="0.25">
      <c r="A5625" s="32" t="s">
        <v>10356</v>
      </c>
      <c r="H5625" s="8" t="s">
        <v>11612</v>
      </c>
      <c r="I5625" s="38" t="s">
        <v>11613</v>
      </c>
      <c r="J5625" s="34" t="s">
        <v>33</v>
      </c>
      <c r="K5625" s="42">
        <f>4335819*0.8</f>
        <v>3468655.2</v>
      </c>
      <c r="L5625" s="12">
        <f t="shared" ref="L5625:L5635" si="477">K5625*(1+P5625)/(1-Q5625)</f>
        <v>4335819</v>
      </c>
      <c r="M5625" s="8">
        <v>1</v>
      </c>
      <c r="N5625" s="8" t="s">
        <v>27</v>
      </c>
      <c r="O5625" s="13"/>
      <c r="P5625" s="14">
        <v>0</v>
      </c>
      <c r="Q5625" s="15">
        <v>0.2</v>
      </c>
      <c r="R5625" s="40" t="str">
        <f t="shared" si="476"/>
        <v>LUXYCON</v>
      </c>
    </row>
    <row r="5626" spans="1:28" ht="27" customHeight="1" x14ac:dyDescent="0.25">
      <c r="A5626" s="32" t="s">
        <v>10356</v>
      </c>
      <c r="H5626" s="8" t="s">
        <v>11614</v>
      </c>
      <c r="I5626" s="33" t="s">
        <v>11615</v>
      </c>
      <c r="J5626" s="34" t="s">
        <v>33</v>
      </c>
      <c r="K5626" s="42">
        <f>8471638*0.8</f>
        <v>6777310.4000000004</v>
      </c>
      <c r="L5626" s="12">
        <f t="shared" si="477"/>
        <v>8471638</v>
      </c>
      <c r="M5626" s="8">
        <v>1</v>
      </c>
      <c r="N5626" s="8" t="s">
        <v>27</v>
      </c>
      <c r="O5626" s="13"/>
      <c r="P5626" s="14">
        <v>0</v>
      </c>
      <c r="Q5626" s="15">
        <v>0.2</v>
      </c>
      <c r="R5626" s="40" t="str">
        <f t="shared" si="476"/>
        <v>LUXYCON</v>
      </c>
    </row>
    <row r="5627" spans="1:28" ht="27" customHeight="1" x14ac:dyDescent="0.25">
      <c r="A5627" s="32" t="s">
        <v>861</v>
      </c>
      <c r="H5627" s="8" t="s">
        <v>11616</v>
      </c>
      <c r="I5627" s="33" t="s">
        <v>11617</v>
      </c>
      <c r="J5627" s="34" t="s">
        <v>26</v>
      </c>
      <c r="K5627" s="42">
        <f>950*0.85</f>
        <v>807.5</v>
      </c>
      <c r="L5627" s="12">
        <f t="shared" si="477"/>
        <v>950</v>
      </c>
      <c r="M5627" s="8">
        <v>1</v>
      </c>
      <c r="N5627" s="8" t="s">
        <v>27</v>
      </c>
      <c r="O5627" s="13"/>
      <c r="P5627" s="14">
        <v>0</v>
      </c>
      <c r="Q5627" s="15">
        <v>0.15</v>
      </c>
      <c r="R5627" s="40" t="str">
        <f t="shared" si="476"/>
        <v>BLUOS</v>
      </c>
    </row>
    <row r="5628" spans="1:28" ht="27" customHeight="1" x14ac:dyDescent="0.25">
      <c r="A5628" s="32" t="s">
        <v>6983</v>
      </c>
      <c r="H5628" s="8" t="s">
        <v>11618</v>
      </c>
      <c r="I5628" s="33" t="s">
        <v>11619</v>
      </c>
      <c r="J5628" s="34" t="s">
        <v>26</v>
      </c>
      <c r="K5628" s="42">
        <f>13500000/4500*0.85</f>
        <v>2550</v>
      </c>
      <c r="L5628" s="12">
        <f t="shared" si="477"/>
        <v>3000</v>
      </c>
      <c r="M5628" s="8">
        <v>1</v>
      </c>
      <c r="N5628" s="8" t="s">
        <v>27</v>
      </c>
      <c r="O5628" s="13"/>
      <c r="P5628" s="14">
        <v>0</v>
      </c>
      <c r="Q5628" s="15">
        <v>0.15</v>
      </c>
      <c r="R5628" s="40" t="str">
        <f t="shared" si="476"/>
        <v>NAD</v>
      </c>
    </row>
    <row r="5629" spans="1:28" ht="27" customHeight="1" x14ac:dyDescent="0.25">
      <c r="A5629" s="32" t="s">
        <v>10103</v>
      </c>
      <c r="H5629" s="8" t="s">
        <v>11620</v>
      </c>
      <c r="I5629" s="33" t="s">
        <v>11621</v>
      </c>
      <c r="J5629" s="34" t="s">
        <v>26</v>
      </c>
      <c r="K5629" s="42">
        <v>357</v>
      </c>
      <c r="L5629" s="12">
        <f t="shared" si="477"/>
        <v>540.90909090909099</v>
      </c>
      <c r="M5629" s="8">
        <v>1</v>
      </c>
      <c r="N5629" s="8" t="s">
        <v>27</v>
      </c>
      <c r="O5629" s="13"/>
      <c r="P5629" s="14">
        <v>0</v>
      </c>
      <c r="Q5629" s="15">
        <v>0.34</v>
      </c>
      <c r="R5629" s="40" t="str">
        <f t="shared" si="476"/>
        <v>MONITOR</v>
      </c>
    </row>
    <row r="5630" spans="1:28" ht="27" customHeight="1" x14ac:dyDescent="0.25">
      <c r="A5630" s="32" t="s">
        <v>10103</v>
      </c>
      <c r="H5630" s="8" t="s">
        <v>11622</v>
      </c>
      <c r="I5630" s="33" t="s">
        <v>11623</v>
      </c>
      <c r="J5630" s="34" t="s">
        <v>26</v>
      </c>
      <c r="K5630" s="42">
        <f>553*1.2</f>
        <v>663.6</v>
      </c>
      <c r="L5630" s="12">
        <f t="shared" si="477"/>
        <v>1005.4545454545456</v>
      </c>
      <c r="M5630" s="8">
        <v>1</v>
      </c>
      <c r="N5630" s="8" t="s">
        <v>27</v>
      </c>
      <c r="O5630" s="13"/>
      <c r="P5630" s="14">
        <v>0</v>
      </c>
      <c r="Q5630" s="15">
        <v>0.34</v>
      </c>
      <c r="R5630" s="40" t="str">
        <f t="shared" si="476"/>
        <v>MONITOR</v>
      </c>
    </row>
    <row r="5631" spans="1:28" ht="27" customHeight="1" x14ac:dyDescent="0.25">
      <c r="A5631" s="32" t="s">
        <v>9822</v>
      </c>
      <c r="H5631" s="8" t="s">
        <v>11624</v>
      </c>
      <c r="I5631" s="33" t="s">
        <v>11625</v>
      </c>
      <c r="J5631" s="34" t="s">
        <v>33</v>
      </c>
      <c r="K5631" s="20">
        <f>6630000*0.8/2</f>
        <v>2652000</v>
      </c>
      <c r="L5631" s="12">
        <f t="shared" si="477"/>
        <v>3120000</v>
      </c>
      <c r="M5631" s="8">
        <v>1</v>
      </c>
      <c r="N5631" s="8" t="s">
        <v>27</v>
      </c>
      <c r="O5631" s="13"/>
      <c r="P5631" s="14">
        <v>0</v>
      </c>
      <c r="Q5631" s="15">
        <v>0.15</v>
      </c>
      <c r="R5631" s="40" t="str">
        <f t="shared" si="476"/>
        <v>FYNE</v>
      </c>
    </row>
    <row r="5632" spans="1:28" ht="27" customHeight="1" x14ac:dyDescent="0.25">
      <c r="A5632" s="32" t="s">
        <v>861</v>
      </c>
      <c r="H5632" s="8" t="s">
        <v>11626</v>
      </c>
      <c r="I5632" s="33" t="s">
        <v>11627</v>
      </c>
      <c r="J5632" s="34" t="s">
        <v>33</v>
      </c>
      <c r="K5632" s="42">
        <f>4050000*0.85</f>
        <v>3442500</v>
      </c>
      <c r="L5632" s="12">
        <f t="shared" si="477"/>
        <v>4050000</v>
      </c>
      <c r="M5632" s="8">
        <v>1</v>
      </c>
      <c r="N5632" s="8" t="s">
        <v>27</v>
      </c>
      <c r="O5632" s="13"/>
      <c r="P5632" s="14">
        <v>0</v>
      </c>
      <c r="Q5632" s="15">
        <v>0.15</v>
      </c>
      <c r="R5632" s="40" t="str">
        <f t="shared" si="476"/>
        <v>BLUOS</v>
      </c>
    </row>
    <row r="5633" spans="1:20" ht="27" customHeight="1" x14ac:dyDescent="0.25">
      <c r="A5633" s="32" t="s">
        <v>861</v>
      </c>
      <c r="H5633" s="8" t="s">
        <v>11628</v>
      </c>
      <c r="I5633" s="33" t="s">
        <v>11629</v>
      </c>
      <c r="J5633" s="34" t="s">
        <v>33</v>
      </c>
      <c r="K5633" s="42">
        <f>3600000*0.85</f>
        <v>3060000</v>
      </c>
      <c r="L5633" s="12">
        <f t="shared" si="477"/>
        <v>3600000</v>
      </c>
      <c r="M5633" s="8">
        <v>1</v>
      </c>
      <c r="N5633" s="8" t="s">
        <v>27</v>
      </c>
      <c r="O5633" s="13"/>
      <c r="P5633" s="14">
        <v>0</v>
      </c>
      <c r="Q5633" s="15">
        <v>0.15</v>
      </c>
      <c r="R5633" s="40" t="str">
        <f t="shared" si="476"/>
        <v>BLUOS</v>
      </c>
    </row>
    <row r="5634" spans="1:20" ht="27" customHeight="1" x14ac:dyDescent="0.25">
      <c r="A5634" s="32" t="s">
        <v>5380</v>
      </c>
      <c r="H5634" s="8" t="s">
        <v>11630</v>
      </c>
      <c r="I5634" t="s">
        <v>11631</v>
      </c>
      <c r="J5634" s="34" t="s">
        <v>33</v>
      </c>
      <c r="K5634" s="42">
        <v>69000</v>
      </c>
      <c r="L5634" s="12">
        <f t="shared" si="477"/>
        <v>138000</v>
      </c>
      <c r="M5634" s="8">
        <v>1</v>
      </c>
      <c r="N5634" s="8" t="s">
        <v>27</v>
      </c>
      <c r="O5634" s="13"/>
      <c r="P5634" s="14">
        <v>0</v>
      </c>
      <c r="Q5634" s="15">
        <v>0.5</v>
      </c>
      <c r="R5634" s="40" t="str">
        <f t="shared" si="476"/>
        <v>LINDY</v>
      </c>
    </row>
    <row r="5635" spans="1:20" ht="27" customHeight="1" x14ac:dyDescent="0.25">
      <c r="A5635" s="32" t="s">
        <v>8308</v>
      </c>
      <c r="H5635" s="8" t="s">
        <v>11632</v>
      </c>
      <c r="I5635" t="s">
        <v>11633</v>
      </c>
      <c r="J5635" s="34" t="s">
        <v>33</v>
      </c>
      <c r="K5635" s="42">
        <v>9857000</v>
      </c>
      <c r="L5635" s="12">
        <f t="shared" si="477"/>
        <v>13142666.666666666</v>
      </c>
      <c r="M5635" s="8">
        <v>1</v>
      </c>
      <c r="N5635" s="8" t="s">
        <v>27</v>
      </c>
      <c r="O5635" s="13"/>
      <c r="P5635" s="14">
        <v>0</v>
      </c>
      <c r="Q5635" s="15">
        <v>0.25</v>
      </c>
      <c r="R5635" s="40" t="str">
        <f t="shared" si="476"/>
        <v>SOLIDVIEW</v>
      </c>
    </row>
    <row r="5636" spans="1:20" ht="27" customHeight="1" x14ac:dyDescent="0.25">
      <c r="A5636" s="8" t="s">
        <v>2512</v>
      </c>
      <c r="B5636" s="9"/>
      <c r="C5636" s="9"/>
      <c r="D5636" s="8"/>
      <c r="E5636" s="8"/>
      <c r="F5636" s="8"/>
      <c r="G5636" s="10"/>
      <c r="H5636" s="8" t="s">
        <v>11634</v>
      </c>
      <c r="I5636" s="10" t="s">
        <v>11635</v>
      </c>
      <c r="J5636" s="11" t="s">
        <v>33</v>
      </c>
      <c r="K5636" s="18">
        <v>17000</v>
      </c>
      <c r="L5636" s="12">
        <f>IF(J5636="P",ROUNDUP(K5636/(1-Q5636),-2),K5636*(1+P5636)/(1-Q5636))</f>
        <v>24300</v>
      </c>
      <c r="M5636" s="8">
        <v>1</v>
      </c>
      <c r="N5636" s="8" t="s">
        <v>27</v>
      </c>
      <c r="O5636" s="13">
        <f>F5636</f>
        <v>0</v>
      </c>
      <c r="P5636" s="14">
        <v>0</v>
      </c>
      <c r="Q5636" s="15">
        <v>0.3</v>
      </c>
      <c r="R5636" s="16" t="str">
        <f t="shared" si="476"/>
        <v>GENERAL</v>
      </c>
      <c r="S5636" s="17"/>
      <c r="T5636" s="10"/>
    </row>
    <row r="5637" spans="1:20" ht="27" customHeight="1" x14ac:dyDescent="0.25">
      <c r="A5637" s="32" t="s">
        <v>5672</v>
      </c>
      <c r="H5637" s="8" t="s">
        <v>11636</v>
      </c>
      <c r="I5637" s="33" t="s">
        <v>11637</v>
      </c>
      <c r="J5637" s="34" t="s">
        <v>33</v>
      </c>
      <c r="K5637" s="42">
        <v>16.5</v>
      </c>
      <c r="L5637" s="12">
        <f>K5637*(1+P5637)/(1-Q5637)</f>
        <v>33</v>
      </c>
      <c r="M5637" s="8">
        <v>1</v>
      </c>
      <c r="N5637" s="8" t="s">
        <v>27</v>
      </c>
      <c r="O5637" s="13">
        <f>F5637</f>
        <v>0</v>
      </c>
      <c r="P5637" s="14">
        <v>0.2</v>
      </c>
      <c r="Q5637" s="15">
        <v>0.4</v>
      </c>
      <c r="R5637" s="16" t="str">
        <f t="shared" si="476"/>
        <v>LUTRON</v>
      </c>
      <c r="S5637" s="17"/>
    </row>
    <row r="5638" spans="1:20" ht="27" customHeight="1" x14ac:dyDescent="0.25">
      <c r="A5638" s="32" t="s">
        <v>1561</v>
      </c>
      <c r="H5638" s="8" t="s">
        <v>1686</v>
      </c>
      <c r="I5638" s="10" t="s">
        <v>1687</v>
      </c>
      <c r="J5638" s="11" t="s">
        <v>33</v>
      </c>
      <c r="K5638" s="18">
        <v>142290</v>
      </c>
      <c r="L5638" s="12">
        <f>IF(J5638="P",ROUNDUP(K5638/(1-Q5638),-2),K5638*(1+P5638)/(1-Q5638))</f>
        <v>237200</v>
      </c>
      <c r="M5638" s="8">
        <v>1</v>
      </c>
      <c r="N5638" s="8" t="s">
        <v>27</v>
      </c>
      <c r="O5638" s="13"/>
      <c r="P5638" s="14">
        <v>0</v>
      </c>
      <c r="Q5638" s="15">
        <v>0.4</v>
      </c>
      <c r="R5638" s="16" t="str">
        <f t="shared" si="476"/>
        <v>DAHUA</v>
      </c>
      <c r="S5638" s="17"/>
      <c r="T5638" s="10"/>
    </row>
    <row r="5639" spans="1:20" ht="27" customHeight="1" x14ac:dyDescent="0.25">
      <c r="A5639" s="32" t="s">
        <v>8308</v>
      </c>
      <c r="H5639" s="8" t="s">
        <v>8389</v>
      </c>
      <c r="I5639" s="33" t="s">
        <v>11638</v>
      </c>
      <c r="J5639" s="34" t="s">
        <v>33</v>
      </c>
      <c r="K5639" s="42">
        <v>3493500</v>
      </c>
      <c r="L5639" s="12">
        <f>IF(J5639="P",ROUNDUP(K5639/(1-Q5639),-2),K5639*(1+P5639)/(1-Q5639))</f>
        <v>5822500</v>
      </c>
      <c r="M5639" s="8">
        <v>1</v>
      </c>
      <c r="N5639" s="8" t="s">
        <v>27</v>
      </c>
      <c r="O5639" s="13"/>
      <c r="P5639" s="14">
        <v>0</v>
      </c>
      <c r="Q5639" s="15">
        <v>0.4</v>
      </c>
      <c r="R5639" s="16" t="str">
        <f t="shared" si="476"/>
        <v>SOLIDVIEW</v>
      </c>
    </row>
    <row r="5640" spans="1:20" ht="27" customHeight="1" x14ac:dyDescent="0.25">
      <c r="A5640" s="32" t="s">
        <v>2512</v>
      </c>
      <c r="H5640" s="8" t="s">
        <v>11639</v>
      </c>
      <c r="I5640" s="33" t="s">
        <v>11640</v>
      </c>
      <c r="J5640" s="34" t="s">
        <v>33</v>
      </c>
      <c r="K5640" s="42">
        <v>700000</v>
      </c>
      <c r="L5640" s="12">
        <f>IF(J5640="P",ROUNDUP(K5640/(1-Q5640),-2),K5640*(1+P5640)/(1-Q5640))</f>
        <v>1166700</v>
      </c>
      <c r="M5640" s="8">
        <v>1</v>
      </c>
      <c r="N5640" s="8" t="s">
        <v>27</v>
      </c>
      <c r="O5640" s="13"/>
      <c r="P5640" s="14">
        <v>0</v>
      </c>
      <c r="Q5640" s="15">
        <v>0.4</v>
      </c>
      <c r="R5640" s="16" t="str">
        <f t="shared" si="476"/>
        <v>GENERAL</v>
      </c>
    </row>
    <row r="5641" spans="1:20" ht="27" customHeight="1" x14ac:dyDescent="0.25">
      <c r="A5641" s="8" t="s">
        <v>5672</v>
      </c>
      <c r="B5641" s="9"/>
      <c r="C5641" s="9"/>
      <c r="D5641" s="8"/>
      <c r="E5641" s="8"/>
      <c r="F5641" s="8" t="s">
        <v>22</v>
      </c>
      <c r="G5641" s="10" t="s">
        <v>6370</v>
      </c>
      <c r="H5641" s="8" t="s">
        <v>11641</v>
      </c>
      <c r="I5641" s="10" t="s">
        <v>11642</v>
      </c>
      <c r="J5641" s="11" t="s">
        <v>26</v>
      </c>
      <c r="K5641" s="18">
        <v>23.5</v>
      </c>
      <c r="L5641" s="12">
        <f>ROUNDUP(K5641*(1+P5641)/(1-Q5641),0)</f>
        <v>47</v>
      </c>
      <c r="M5641" s="8">
        <v>1</v>
      </c>
      <c r="N5641" s="8" t="s">
        <v>27</v>
      </c>
      <c r="O5641" s="13"/>
      <c r="P5641" s="14">
        <v>0.2</v>
      </c>
      <c r="Q5641" s="15">
        <v>0.4</v>
      </c>
      <c r="R5641" s="16" t="str">
        <f t="shared" si="476"/>
        <v>LUTRON</v>
      </c>
    </row>
    <row r="5642" spans="1:20" ht="27" customHeight="1" x14ac:dyDescent="0.25">
      <c r="A5642" s="32" t="s">
        <v>2512</v>
      </c>
      <c r="H5642" s="8" t="s">
        <v>11643</v>
      </c>
      <c r="I5642" s="33" t="s">
        <v>11644</v>
      </c>
      <c r="J5642" s="34" t="s">
        <v>33</v>
      </c>
      <c r="K5642" s="42">
        <f>39900/3</f>
        <v>13300</v>
      </c>
      <c r="L5642" s="12">
        <f>ROUNDUP(K5642*(1+P5642)/(1-Q5642),0)</f>
        <v>22167</v>
      </c>
      <c r="M5642" s="8">
        <v>1</v>
      </c>
      <c r="N5642" s="8" t="s">
        <v>27</v>
      </c>
      <c r="O5642" s="13"/>
      <c r="P5642" s="14">
        <v>0</v>
      </c>
      <c r="Q5642" s="15">
        <v>0.4</v>
      </c>
      <c r="R5642" s="16" t="str">
        <f t="shared" si="476"/>
        <v>GENERAL</v>
      </c>
    </row>
    <row r="5643" spans="1:20" ht="27" customHeight="1" x14ac:dyDescent="0.25">
      <c r="A5643" s="32" t="s">
        <v>2512</v>
      </c>
      <c r="H5643" s="8" t="s">
        <v>11645</v>
      </c>
      <c r="I5643" s="33" t="s">
        <v>11646</v>
      </c>
      <c r="J5643" t="s">
        <v>33</v>
      </c>
      <c r="K5643" s="42">
        <v>11000</v>
      </c>
      <c r="L5643" s="12">
        <f>ROUNDUP(K5643*(1+P5643)/(1-Q5643),0)</f>
        <v>18334</v>
      </c>
      <c r="M5643" s="8">
        <v>1</v>
      </c>
      <c r="N5643" s="8" t="s">
        <v>27</v>
      </c>
      <c r="O5643" s="13"/>
      <c r="P5643" s="14">
        <v>0</v>
      </c>
      <c r="Q5643" s="15">
        <v>0.4</v>
      </c>
      <c r="R5643" s="16" t="str">
        <f t="shared" si="476"/>
        <v>GENERAL</v>
      </c>
    </row>
    <row r="5644" spans="1:20" ht="27" customHeight="1" x14ac:dyDescent="0.25">
      <c r="A5644" s="32" t="s">
        <v>7474</v>
      </c>
      <c r="H5644" s="8" t="s">
        <v>11647</v>
      </c>
      <c r="I5644" s="33" t="s">
        <v>11648</v>
      </c>
      <c r="J5644" s="34" t="s">
        <v>26</v>
      </c>
      <c r="K5644" s="42">
        <v>260</v>
      </c>
      <c r="L5644" s="12">
        <f>ROUNDUP(K5644*(1+P5644)/(1-Q5644),0)</f>
        <v>446</v>
      </c>
      <c r="M5644" s="8">
        <v>1</v>
      </c>
      <c r="N5644" s="8" t="s">
        <v>27</v>
      </c>
      <c r="O5644" s="13"/>
      <c r="P5644" s="14">
        <v>0.2</v>
      </c>
      <c r="Q5644" s="15">
        <v>0.3</v>
      </c>
      <c r="R5644" s="16" t="str">
        <f t="shared" si="476"/>
        <v>ONKYO</v>
      </c>
    </row>
    <row r="5645" spans="1:20" ht="27" customHeight="1" x14ac:dyDescent="0.25">
      <c r="A5645" s="32" t="s">
        <v>7474</v>
      </c>
      <c r="H5645" s="8" t="s">
        <v>11649</v>
      </c>
      <c r="I5645" s="33" t="s">
        <v>11650</v>
      </c>
      <c r="J5645" s="34" t="s">
        <v>26</v>
      </c>
      <c r="K5645" s="42">
        <v>302</v>
      </c>
      <c r="L5645" s="12">
        <f>ROUNDUP(K5645*(1+P5645)/(1-Q5645),0)</f>
        <v>518</v>
      </c>
      <c r="M5645" s="8">
        <v>1</v>
      </c>
      <c r="N5645" s="8" t="s">
        <v>27</v>
      </c>
      <c r="O5645" s="13"/>
      <c r="P5645" s="14">
        <v>0.2</v>
      </c>
      <c r="Q5645" s="15">
        <v>0.3</v>
      </c>
      <c r="R5645" s="16" t="str">
        <f t="shared" si="476"/>
        <v>ONKYO</v>
      </c>
    </row>
    <row r="5646" spans="1:20" ht="27" customHeight="1" x14ac:dyDescent="0.25">
      <c r="A5646" s="32" t="s">
        <v>7649</v>
      </c>
      <c r="H5646" s="8" t="s">
        <v>11651</v>
      </c>
      <c r="I5646" s="33" t="s">
        <v>11652</v>
      </c>
      <c r="J5646" s="34" t="s">
        <v>33</v>
      </c>
      <c r="K5646" s="42">
        <v>1627015</v>
      </c>
      <c r="L5646" s="12">
        <f>K5646*(1+P5646)/(1-Q5646)</f>
        <v>2324307.1428571432</v>
      </c>
      <c r="M5646" s="8">
        <v>1</v>
      </c>
      <c r="N5646" s="8" t="s">
        <v>27</v>
      </c>
      <c r="O5646" s="13"/>
      <c r="P5646" s="14">
        <v>0</v>
      </c>
      <c r="Q5646" s="15">
        <v>0.3</v>
      </c>
      <c r="R5646" s="16" t="str">
        <f t="shared" si="476"/>
        <v>PANORAMA</v>
      </c>
      <c r="S5646" s="17" t="str">
        <f>A5646</f>
        <v>PANORAMA</v>
      </c>
    </row>
    <row r="5647" spans="1:20" ht="27" customHeight="1" x14ac:dyDescent="0.25">
      <c r="A5647" s="32" t="s">
        <v>5672</v>
      </c>
      <c r="H5647" s="8" t="s">
        <v>11653</v>
      </c>
      <c r="I5647" s="33" t="s">
        <v>11654</v>
      </c>
      <c r="J5647" s="34" t="s">
        <v>33</v>
      </c>
      <c r="K5647" s="42">
        <v>26000</v>
      </c>
      <c r="L5647" s="12">
        <f>K5647*(1+P5647)/(1-Q5647)</f>
        <v>37142.857142857145</v>
      </c>
      <c r="M5647" s="8">
        <v>1</v>
      </c>
      <c r="N5647" s="8" t="s">
        <v>27</v>
      </c>
      <c r="O5647" s="13"/>
      <c r="P5647" s="14">
        <v>0</v>
      </c>
      <c r="Q5647" s="15">
        <v>0.3</v>
      </c>
      <c r="R5647" s="16" t="str">
        <f t="shared" si="476"/>
        <v>LUTRON</v>
      </c>
    </row>
    <row r="5648" spans="1:20" ht="27" customHeight="1" x14ac:dyDescent="0.25">
      <c r="A5648" s="32" t="s">
        <v>11655</v>
      </c>
      <c r="H5648" s="8" t="s">
        <v>11656</v>
      </c>
      <c r="I5648" s="33" t="s">
        <v>11657</v>
      </c>
      <c r="J5648" s="34" t="s">
        <v>33</v>
      </c>
      <c r="K5648" s="42">
        <v>370000</v>
      </c>
      <c r="L5648" s="12">
        <f>K5648*(1+P5648)/(1-Q5648)</f>
        <v>528571.42857142864</v>
      </c>
      <c r="M5648" s="8">
        <v>1</v>
      </c>
      <c r="N5648" s="8" t="s">
        <v>27</v>
      </c>
      <c r="O5648" s="13"/>
      <c r="P5648" s="14">
        <v>0</v>
      </c>
      <c r="Q5648" s="15">
        <v>0.3</v>
      </c>
      <c r="R5648" s="16" t="str">
        <f t="shared" si="476"/>
        <v>TOPSEC</v>
      </c>
    </row>
    <row r="5649" spans="1:28" ht="27" customHeight="1" x14ac:dyDescent="0.25">
      <c r="A5649" s="32" t="s">
        <v>59</v>
      </c>
      <c r="H5649" s="8" t="s">
        <v>11658</v>
      </c>
      <c r="I5649" s="33" t="s">
        <v>11659</v>
      </c>
      <c r="J5649" s="34" t="s">
        <v>33</v>
      </c>
      <c r="K5649" s="42">
        <v>8000</v>
      </c>
      <c r="R5649" s="40" t="str">
        <f t="shared" si="476"/>
        <v>COLMENA</v>
      </c>
    </row>
    <row r="5650" spans="1:28" ht="27" customHeight="1" x14ac:dyDescent="0.25">
      <c r="A5650" s="8" t="s">
        <v>59</v>
      </c>
      <c r="B5650" s="9"/>
      <c r="C5650" s="9"/>
      <c r="D5650" s="8"/>
      <c r="E5650" s="8"/>
      <c r="F5650" s="8" t="s">
        <v>22</v>
      </c>
      <c r="G5650" s="10" t="s">
        <v>1387</v>
      </c>
      <c r="H5650" s="8" t="s">
        <v>11660</v>
      </c>
      <c r="I5650" s="10" t="s">
        <v>11661</v>
      </c>
      <c r="J5650" s="11" t="s">
        <v>33</v>
      </c>
      <c r="K5650" s="18">
        <v>300</v>
      </c>
      <c r="L5650" s="12">
        <f t="shared" ref="L5650:L5688" si="478">IF(J5650="P",ROUNDUP(K5650/(1-Q5650),-2),K5650*(1+P5650)/(1-Q5650))</f>
        <v>500</v>
      </c>
      <c r="M5650" s="8">
        <v>1</v>
      </c>
      <c r="N5650" s="8" t="s">
        <v>27</v>
      </c>
      <c r="O5650" s="13"/>
      <c r="P5650" s="14">
        <v>0.2</v>
      </c>
      <c r="Q5650" s="15">
        <v>0.4</v>
      </c>
      <c r="R5650" s="16" t="str">
        <f t="shared" si="476"/>
        <v>COLMENA</v>
      </c>
      <c r="S5650" s="17"/>
      <c r="T5650" s="10" t="str">
        <f>G5650</f>
        <v>GRAPA METÁLICA PARA TUBO 1 Y 1/4</v>
      </c>
    </row>
    <row r="5651" spans="1:28" ht="27" customHeight="1" x14ac:dyDescent="0.25">
      <c r="A5651" s="32" t="s">
        <v>59</v>
      </c>
      <c r="H5651" s="8" t="s">
        <v>11662</v>
      </c>
      <c r="I5651" s="33" t="s">
        <v>11663</v>
      </c>
      <c r="J5651" s="34" t="s">
        <v>33</v>
      </c>
      <c r="K5651" s="42">
        <v>68800</v>
      </c>
      <c r="L5651" s="12">
        <f t="shared" si="478"/>
        <v>114700</v>
      </c>
      <c r="M5651" s="8">
        <v>1</v>
      </c>
      <c r="N5651" s="8" t="s">
        <v>27</v>
      </c>
      <c r="O5651" s="13"/>
      <c r="P5651" s="14">
        <v>0.2</v>
      </c>
      <c r="Q5651" s="15">
        <v>0.4</v>
      </c>
      <c r="R5651" s="16" t="str">
        <f t="shared" si="476"/>
        <v>COLMENA</v>
      </c>
      <c r="S5651" s="17"/>
      <c r="T5651" s="10">
        <f>G5651</f>
        <v>0</v>
      </c>
    </row>
    <row r="5652" spans="1:28" ht="27" customHeight="1" x14ac:dyDescent="0.25">
      <c r="A5652" s="32" t="s">
        <v>5646</v>
      </c>
      <c r="H5652" s="8" t="s">
        <v>11664</v>
      </c>
      <c r="I5652" s="33" t="s">
        <v>11665</v>
      </c>
      <c r="J5652" s="34" t="s">
        <v>33</v>
      </c>
      <c r="K5652" s="42">
        <v>267000</v>
      </c>
      <c r="L5652" s="12">
        <f t="shared" si="478"/>
        <v>445000</v>
      </c>
      <c r="M5652" s="8">
        <v>1</v>
      </c>
      <c r="N5652" s="8" t="s">
        <v>27</v>
      </c>
      <c r="O5652" s="13"/>
      <c r="P5652" s="14">
        <v>0</v>
      </c>
      <c r="Q5652" s="15">
        <v>0.4</v>
      </c>
      <c r="R5652" s="16" t="str">
        <f t="shared" si="476"/>
        <v>LUMINEX</v>
      </c>
      <c r="S5652" s="17"/>
      <c r="T5652" s="10">
        <f>G5652</f>
        <v>0</v>
      </c>
    </row>
    <row r="5653" spans="1:28" ht="27" customHeight="1" x14ac:dyDescent="0.25">
      <c r="A5653" s="32" t="s">
        <v>7989</v>
      </c>
      <c r="H5653" s="8" t="s">
        <v>11666</v>
      </c>
      <c r="I5653" s="33" t="s">
        <v>11667</v>
      </c>
      <c r="J5653" s="34" t="s">
        <v>26</v>
      </c>
      <c r="K5653" s="42">
        <v>105</v>
      </c>
      <c r="L5653" s="12">
        <f t="shared" si="478"/>
        <v>210</v>
      </c>
      <c r="M5653" s="8">
        <v>1</v>
      </c>
      <c r="N5653" s="8" t="s">
        <v>27</v>
      </c>
      <c r="O5653" s="13"/>
      <c r="P5653" s="14">
        <v>0.2</v>
      </c>
      <c r="Q5653" s="15">
        <v>0.4</v>
      </c>
      <c r="R5653" s="16" t="str">
        <f t="shared" si="476"/>
        <v>RUSSOUND</v>
      </c>
    </row>
    <row r="5654" spans="1:28" ht="27" customHeight="1" x14ac:dyDescent="0.25">
      <c r="A5654" s="32" t="s">
        <v>7989</v>
      </c>
      <c r="H5654" s="8" t="s">
        <v>11668</v>
      </c>
      <c r="I5654" s="33" t="s">
        <v>11669</v>
      </c>
      <c r="J5654" s="34" t="s">
        <v>26</v>
      </c>
      <c r="K5654" s="42">
        <v>105</v>
      </c>
      <c r="L5654" s="12">
        <f t="shared" si="478"/>
        <v>210</v>
      </c>
      <c r="M5654" s="8">
        <v>1</v>
      </c>
      <c r="N5654" s="8" t="s">
        <v>27</v>
      </c>
      <c r="O5654" s="13"/>
      <c r="P5654" s="14">
        <v>0.2</v>
      </c>
      <c r="Q5654" s="15">
        <v>0.4</v>
      </c>
      <c r="R5654" s="16" t="str">
        <f t="shared" si="476"/>
        <v>RUSSOUND</v>
      </c>
    </row>
    <row r="5655" spans="1:28" ht="27" customHeight="1" x14ac:dyDescent="0.25">
      <c r="A5655" s="32" t="s">
        <v>3611</v>
      </c>
      <c r="H5655" s="8" t="s">
        <v>11670</v>
      </c>
      <c r="I5655" s="33" t="s">
        <v>11671</v>
      </c>
      <c r="J5655" s="34" t="s">
        <v>33</v>
      </c>
      <c r="K5655" s="42">
        <v>168067</v>
      </c>
      <c r="L5655" s="12">
        <f t="shared" si="478"/>
        <v>280200</v>
      </c>
      <c r="M5655" s="8">
        <v>1</v>
      </c>
      <c r="N5655" s="8" t="s">
        <v>27</v>
      </c>
      <c r="O5655" s="13"/>
      <c r="P5655" s="14">
        <v>0</v>
      </c>
      <c r="Q5655" s="15">
        <v>0.4</v>
      </c>
      <c r="R5655" s="16" t="str">
        <f t="shared" si="476"/>
        <v>IDEA</v>
      </c>
    </row>
    <row r="5656" spans="1:28" ht="27" customHeight="1" x14ac:dyDescent="0.25">
      <c r="A5656" s="32" t="s">
        <v>6886</v>
      </c>
      <c r="H5656" s="8" t="s">
        <v>11672</v>
      </c>
      <c r="I5656" s="33" t="s">
        <v>11673</v>
      </c>
      <c r="J5656" s="34" t="s">
        <v>33</v>
      </c>
      <c r="K5656" s="42">
        <v>119000</v>
      </c>
      <c r="L5656" s="12">
        <f t="shared" si="478"/>
        <v>198400</v>
      </c>
      <c r="M5656" s="8">
        <v>1</v>
      </c>
      <c r="N5656" s="8" t="s">
        <v>27</v>
      </c>
      <c r="O5656" s="13"/>
      <c r="P5656" s="14">
        <v>0</v>
      </c>
      <c r="Q5656" s="15">
        <v>0.4</v>
      </c>
      <c r="R5656" s="16" t="str">
        <f t="shared" si="476"/>
        <v>MEANWELL</v>
      </c>
    </row>
    <row r="5657" spans="1:28" ht="27" customHeight="1" x14ac:dyDescent="0.25">
      <c r="A5657" s="8" t="s">
        <v>1561</v>
      </c>
      <c r="B5657" s="9"/>
      <c r="C5657" s="9"/>
      <c r="D5657" s="8"/>
      <c r="E5657" s="8"/>
      <c r="F5657" s="8"/>
      <c r="G5657" s="10"/>
      <c r="H5657" s="8" t="s">
        <v>11674</v>
      </c>
      <c r="I5657" s="10" t="s">
        <v>1715</v>
      </c>
      <c r="J5657" s="11" t="s">
        <v>33</v>
      </c>
      <c r="K5657" s="18">
        <v>142290</v>
      </c>
      <c r="L5657" s="12">
        <f t="shared" si="478"/>
        <v>203300</v>
      </c>
      <c r="M5657" s="8">
        <v>1</v>
      </c>
      <c r="N5657" s="8" t="s">
        <v>27</v>
      </c>
      <c r="O5657" s="13">
        <f t="shared" ref="O5657:O5677" si="479">F5657</f>
        <v>0</v>
      </c>
      <c r="P5657" s="14">
        <v>0</v>
      </c>
      <c r="Q5657" s="15">
        <v>0.3</v>
      </c>
      <c r="R5657" s="16" t="str">
        <f t="shared" si="476"/>
        <v>DAHUA</v>
      </c>
      <c r="S5657" s="17"/>
      <c r="T5657" s="10"/>
    </row>
    <row r="5658" spans="1:28" ht="27" customHeight="1" x14ac:dyDescent="0.25">
      <c r="A5658" s="32" t="s">
        <v>1867</v>
      </c>
      <c r="H5658" s="8" t="s">
        <v>11675</v>
      </c>
      <c r="I5658" s="33" t="s">
        <v>11676</v>
      </c>
      <c r="J5658" s="34" t="s">
        <v>26</v>
      </c>
      <c r="K5658" s="18">
        <v>466</v>
      </c>
      <c r="L5658" s="12">
        <f t="shared" si="478"/>
        <v>665.71428571428578</v>
      </c>
      <c r="M5658" s="8">
        <v>1</v>
      </c>
      <c r="N5658" s="8" t="s">
        <v>27</v>
      </c>
      <c r="O5658" s="13">
        <f t="shared" si="479"/>
        <v>0</v>
      </c>
      <c r="P5658" s="14">
        <v>0</v>
      </c>
      <c r="Q5658" s="15">
        <v>0.3</v>
      </c>
      <c r="R5658" s="16" t="str">
        <f t="shared" si="476"/>
        <v>DENON</v>
      </c>
    </row>
    <row r="5659" spans="1:28" ht="27" customHeight="1" x14ac:dyDescent="0.25">
      <c r="A5659" s="8" t="s">
        <v>904</v>
      </c>
      <c r="H5659" s="8" t="s">
        <v>11677</v>
      </c>
      <c r="I5659" s="33" t="s">
        <v>11678</v>
      </c>
      <c r="J5659" s="34" t="s">
        <v>26</v>
      </c>
      <c r="K5659" s="42">
        <v>148</v>
      </c>
      <c r="L5659" s="12">
        <f t="shared" si="478"/>
        <v>246.66666666666669</v>
      </c>
      <c r="M5659" s="8">
        <v>1</v>
      </c>
      <c r="N5659" s="8" t="s">
        <v>27</v>
      </c>
      <c r="O5659" s="13">
        <f t="shared" si="479"/>
        <v>0</v>
      </c>
      <c r="P5659" s="14">
        <v>0</v>
      </c>
      <c r="Q5659" s="15">
        <v>0.4</v>
      </c>
      <c r="R5659" s="16" t="str">
        <f t="shared" si="476"/>
        <v>BOWER AND WILKINS</v>
      </c>
      <c r="AB5659" s="112">
        <v>10</v>
      </c>
    </row>
    <row r="5660" spans="1:28" ht="27" customHeight="1" x14ac:dyDescent="0.25">
      <c r="A5660" s="32" t="s">
        <v>2512</v>
      </c>
      <c r="H5660" s="8" t="s">
        <v>11679</v>
      </c>
      <c r="I5660" s="33" t="s">
        <v>11680</v>
      </c>
      <c r="J5660" s="34" t="s">
        <v>33</v>
      </c>
      <c r="K5660" s="42">
        <v>2195619</v>
      </c>
      <c r="L5660" s="12">
        <f t="shared" si="478"/>
        <v>3136600</v>
      </c>
      <c r="M5660" s="8">
        <v>1</v>
      </c>
      <c r="N5660" s="8" t="s">
        <v>27</v>
      </c>
      <c r="O5660" s="13">
        <f t="shared" si="479"/>
        <v>0</v>
      </c>
      <c r="P5660" s="14">
        <v>0</v>
      </c>
      <c r="Q5660" s="15">
        <v>0.3</v>
      </c>
      <c r="R5660" s="16" t="str">
        <f t="shared" si="476"/>
        <v>GENERAL</v>
      </c>
    </row>
    <row r="5661" spans="1:28" ht="27" customHeight="1" x14ac:dyDescent="0.25">
      <c r="A5661" s="32" t="s">
        <v>3977</v>
      </c>
      <c r="H5661" s="8" t="s">
        <v>11681</v>
      </c>
      <c r="I5661" s="33" t="s">
        <v>11682</v>
      </c>
      <c r="J5661" s="34" t="s">
        <v>33</v>
      </c>
      <c r="K5661" s="42">
        <v>200000</v>
      </c>
      <c r="L5661" s="12">
        <f t="shared" si="478"/>
        <v>285800</v>
      </c>
      <c r="M5661" s="8">
        <v>1</v>
      </c>
      <c r="N5661" s="8" t="s">
        <v>27</v>
      </c>
      <c r="O5661" s="13">
        <f t="shared" si="479"/>
        <v>0</v>
      </c>
      <c r="P5661" s="14">
        <v>0</v>
      </c>
      <c r="Q5661" s="15">
        <v>0.3</v>
      </c>
      <c r="R5661" s="16" t="str">
        <f t="shared" si="476"/>
        <v>KOMODO</v>
      </c>
    </row>
    <row r="5662" spans="1:28" ht="27" customHeight="1" x14ac:dyDescent="0.25">
      <c r="A5662" s="32" t="s">
        <v>3977</v>
      </c>
      <c r="H5662" s="8" t="s">
        <v>11683</v>
      </c>
      <c r="I5662" t="s">
        <v>11684</v>
      </c>
      <c r="J5662" s="34" t="s">
        <v>33</v>
      </c>
      <c r="K5662" s="42">
        <f>45000</f>
        <v>45000</v>
      </c>
      <c r="L5662" s="12">
        <f t="shared" si="478"/>
        <v>64300</v>
      </c>
      <c r="M5662" s="8">
        <v>1</v>
      </c>
      <c r="N5662" s="8" t="s">
        <v>27</v>
      </c>
      <c r="O5662" s="13">
        <f t="shared" si="479"/>
        <v>0</v>
      </c>
      <c r="P5662" s="14">
        <v>0</v>
      </c>
      <c r="Q5662" s="15">
        <v>0.3</v>
      </c>
      <c r="R5662" s="16" t="str">
        <f t="shared" si="476"/>
        <v>KOMODO</v>
      </c>
    </row>
    <row r="5663" spans="1:28" ht="27" customHeight="1" x14ac:dyDescent="0.25">
      <c r="A5663" s="32" t="s">
        <v>11685</v>
      </c>
      <c r="H5663" s="8" t="s">
        <v>11686</v>
      </c>
      <c r="I5663" s="33" t="s">
        <v>11687</v>
      </c>
      <c r="J5663" s="34" t="s">
        <v>26</v>
      </c>
      <c r="K5663" s="42">
        <v>92</v>
      </c>
      <c r="L5663" s="12">
        <f t="shared" si="478"/>
        <v>143.75</v>
      </c>
      <c r="M5663" s="8">
        <v>1</v>
      </c>
      <c r="N5663" s="8" t="s">
        <v>27</v>
      </c>
      <c r="O5663" s="13">
        <f t="shared" si="479"/>
        <v>0</v>
      </c>
      <c r="P5663" s="14">
        <v>0</v>
      </c>
      <c r="Q5663" s="15">
        <v>0.36</v>
      </c>
      <c r="R5663" s="16" t="str">
        <f t="shared" si="476"/>
        <v>RUIJIE</v>
      </c>
    </row>
    <row r="5664" spans="1:28" ht="27" customHeight="1" x14ac:dyDescent="0.25">
      <c r="A5664" s="32" t="s">
        <v>11685</v>
      </c>
      <c r="H5664" s="8" t="s">
        <v>11688</v>
      </c>
      <c r="I5664" s="33" t="s">
        <v>11689</v>
      </c>
      <c r="J5664" s="34" t="s">
        <v>26</v>
      </c>
      <c r="K5664" s="42">
        <v>30.5</v>
      </c>
      <c r="L5664" s="12">
        <f t="shared" si="478"/>
        <v>47.65625</v>
      </c>
      <c r="M5664" s="8">
        <v>1</v>
      </c>
      <c r="N5664" s="8" t="s">
        <v>27</v>
      </c>
      <c r="O5664" s="13">
        <f t="shared" si="479"/>
        <v>0</v>
      </c>
      <c r="P5664" s="14">
        <v>0</v>
      </c>
      <c r="Q5664" s="15">
        <v>0.36</v>
      </c>
      <c r="R5664" s="16" t="str">
        <f t="shared" si="476"/>
        <v>RUIJIE</v>
      </c>
    </row>
    <row r="5665" spans="1:20" ht="27" customHeight="1" x14ac:dyDescent="0.25">
      <c r="A5665" s="32" t="s">
        <v>11685</v>
      </c>
      <c r="H5665" s="8" t="s">
        <v>11690</v>
      </c>
      <c r="I5665" s="33" t="s">
        <v>11691</v>
      </c>
      <c r="J5665" s="34" t="s">
        <v>26</v>
      </c>
      <c r="K5665" s="42">
        <v>378</v>
      </c>
      <c r="L5665" s="12">
        <f t="shared" si="478"/>
        <v>590.625</v>
      </c>
      <c r="M5665" s="8">
        <v>1</v>
      </c>
      <c r="N5665" s="8" t="s">
        <v>27</v>
      </c>
      <c r="O5665" s="13">
        <f t="shared" si="479"/>
        <v>0</v>
      </c>
      <c r="P5665" s="14">
        <v>0</v>
      </c>
      <c r="Q5665" s="15">
        <v>0.36</v>
      </c>
      <c r="R5665" s="16" t="str">
        <f t="shared" si="476"/>
        <v>RUIJIE</v>
      </c>
    </row>
    <row r="5666" spans="1:20" ht="27" customHeight="1" x14ac:dyDescent="0.25">
      <c r="A5666" s="32" t="s">
        <v>11685</v>
      </c>
      <c r="H5666" s="8" t="s">
        <v>11692</v>
      </c>
      <c r="I5666" s="33" t="s">
        <v>11693</v>
      </c>
      <c r="J5666" s="34" t="s">
        <v>26</v>
      </c>
      <c r="K5666" s="42">
        <v>178</v>
      </c>
      <c r="L5666" s="12">
        <f t="shared" si="478"/>
        <v>278.125</v>
      </c>
      <c r="M5666" s="8">
        <v>1</v>
      </c>
      <c r="N5666" s="8" t="s">
        <v>27</v>
      </c>
      <c r="O5666" s="13">
        <f t="shared" si="479"/>
        <v>0</v>
      </c>
      <c r="P5666" s="14">
        <v>0</v>
      </c>
      <c r="Q5666" s="15">
        <v>0.36</v>
      </c>
      <c r="R5666" s="16" t="str">
        <f t="shared" si="476"/>
        <v>RUIJIE</v>
      </c>
    </row>
    <row r="5667" spans="1:20" ht="27" customHeight="1" x14ac:dyDescent="0.25">
      <c r="A5667" s="32" t="s">
        <v>1836</v>
      </c>
      <c r="H5667" s="8" t="s">
        <v>11694</v>
      </c>
      <c r="I5667" s="33" t="s">
        <v>11695</v>
      </c>
      <c r="J5667" s="34" t="s">
        <v>33</v>
      </c>
      <c r="K5667" s="42">
        <v>224356.36</v>
      </c>
      <c r="L5667" s="12">
        <f t="shared" si="478"/>
        <v>345200</v>
      </c>
      <c r="M5667" s="8">
        <v>1</v>
      </c>
      <c r="N5667" s="8" t="s">
        <v>27</v>
      </c>
      <c r="O5667" s="13">
        <f t="shared" si="479"/>
        <v>0</v>
      </c>
      <c r="P5667" s="14">
        <v>0</v>
      </c>
      <c r="Q5667" s="15">
        <v>0.35</v>
      </c>
      <c r="R5667" s="16" t="str">
        <f t="shared" si="476"/>
        <v>DELTA</v>
      </c>
    </row>
    <row r="5668" spans="1:20" ht="27" customHeight="1" x14ac:dyDescent="0.25">
      <c r="A5668" s="32" t="s">
        <v>8308</v>
      </c>
      <c r="H5668" s="8" t="s">
        <v>11696</v>
      </c>
      <c r="I5668" s="33" t="s">
        <v>11697</v>
      </c>
      <c r="J5668" s="34" t="s">
        <v>33</v>
      </c>
      <c r="K5668" s="42">
        <v>6723800</v>
      </c>
      <c r="L5668" s="12">
        <f t="shared" si="478"/>
        <v>9605500</v>
      </c>
      <c r="M5668" s="8">
        <v>1</v>
      </c>
      <c r="N5668" s="8" t="s">
        <v>27</v>
      </c>
      <c r="O5668" s="13">
        <f t="shared" si="479"/>
        <v>0</v>
      </c>
      <c r="P5668" s="14">
        <v>0</v>
      </c>
      <c r="Q5668" s="15">
        <v>0.3</v>
      </c>
      <c r="R5668" s="16" t="str">
        <f t="shared" si="476"/>
        <v>SOLIDVIEW</v>
      </c>
    </row>
    <row r="5669" spans="1:20" ht="27" customHeight="1" x14ac:dyDescent="0.25">
      <c r="A5669" s="32" t="s">
        <v>11698</v>
      </c>
      <c r="H5669" s="8" t="s">
        <v>11699</v>
      </c>
      <c r="I5669" s="33" t="s">
        <v>11700</v>
      </c>
      <c r="J5669" s="34" t="s">
        <v>26</v>
      </c>
      <c r="K5669" s="42">
        <v>2597</v>
      </c>
      <c r="L5669" s="12">
        <f t="shared" si="478"/>
        <v>4651.3432835820904</v>
      </c>
      <c r="M5669" s="8">
        <v>1</v>
      </c>
      <c r="N5669" s="8" t="s">
        <v>27</v>
      </c>
      <c r="O5669" s="13">
        <f t="shared" si="479"/>
        <v>0</v>
      </c>
      <c r="P5669" s="14">
        <v>0.2</v>
      </c>
      <c r="Q5669" s="15">
        <v>0.33</v>
      </c>
      <c r="R5669" s="16" t="str">
        <f t="shared" si="476"/>
        <v>NEXUS_21</v>
      </c>
    </row>
    <row r="5670" spans="1:20" ht="27" customHeight="1" x14ac:dyDescent="0.25">
      <c r="A5670" s="32" t="s">
        <v>11701</v>
      </c>
      <c r="H5670" s="8" t="s">
        <v>11702</v>
      </c>
      <c r="I5670" s="32" t="s">
        <v>11703</v>
      </c>
      <c r="J5670" s="34" t="s">
        <v>26</v>
      </c>
      <c r="K5670" s="42">
        <v>480</v>
      </c>
      <c r="L5670" s="12">
        <f t="shared" si="478"/>
        <v>822.85714285714289</v>
      </c>
      <c r="M5670" s="8">
        <v>1</v>
      </c>
      <c r="N5670" s="8" t="s">
        <v>27</v>
      </c>
      <c r="O5670" s="13">
        <f t="shared" si="479"/>
        <v>0</v>
      </c>
      <c r="P5670" s="14">
        <v>0.2</v>
      </c>
      <c r="Q5670" s="15">
        <v>0.3</v>
      </c>
      <c r="R5670" s="16" t="str">
        <f t="shared" si="476"/>
        <v>VOLGEL</v>
      </c>
    </row>
    <row r="5671" spans="1:20" ht="27" customHeight="1" x14ac:dyDescent="0.25">
      <c r="A5671" s="32" t="s">
        <v>11701</v>
      </c>
      <c r="H5671" s="8" t="s">
        <v>11704</v>
      </c>
      <c r="I5671" s="32" t="s">
        <v>11705</v>
      </c>
      <c r="J5671" s="34" t="s">
        <v>26</v>
      </c>
      <c r="K5671" s="42">
        <v>110</v>
      </c>
      <c r="L5671" s="12">
        <f t="shared" si="478"/>
        <v>188.57142857142858</v>
      </c>
      <c r="M5671" s="8">
        <v>1</v>
      </c>
      <c r="N5671" s="8" t="s">
        <v>27</v>
      </c>
      <c r="O5671" s="13">
        <f t="shared" si="479"/>
        <v>0</v>
      </c>
      <c r="P5671" s="14">
        <v>0.2</v>
      </c>
      <c r="Q5671" s="15">
        <v>0.3</v>
      </c>
      <c r="R5671" s="16" t="str">
        <f t="shared" si="476"/>
        <v>VOLGEL</v>
      </c>
    </row>
    <row r="5672" spans="1:20" ht="27" customHeight="1" x14ac:dyDescent="0.25">
      <c r="A5672" s="32" t="s">
        <v>11706</v>
      </c>
      <c r="H5672" s="8" t="s">
        <v>11707</v>
      </c>
      <c r="I5672" s="33" t="s">
        <v>11708</v>
      </c>
      <c r="J5672" s="34" t="s">
        <v>26</v>
      </c>
      <c r="K5672" s="42">
        <f>719*1.1</f>
        <v>790.90000000000009</v>
      </c>
      <c r="L5672" s="12">
        <f t="shared" si="478"/>
        <v>1779.5250000000003</v>
      </c>
      <c r="M5672" s="8">
        <v>1</v>
      </c>
      <c r="N5672" s="8" t="s">
        <v>27</v>
      </c>
      <c r="O5672" s="13">
        <f t="shared" si="479"/>
        <v>0</v>
      </c>
      <c r="P5672" s="14">
        <v>0.35</v>
      </c>
      <c r="Q5672" s="15">
        <v>0.4</v>
      </c>
      <c r="R5672" s="16" t="str">
        <f t="shared" si="476"/>
        <v>VOGEL</v>
      </c>
      <c r="S5672" s="39" t="s">
        <v>11709</v>
      </c>
    </row>
    <row r="5673" spans="1:20" ht="27" customHeight="1" x14ac:dyDescent="0.25">
      <c r="A5673" s="32" t="s">
        <v>8308</v>
      </c>
      <c r="H5673" s="8" t="s">
        <v>11710</v>
      </c>
      <c r="I5673" s="33" t="s">
        <v>11711</v>
      </c>
      <c r="J5673" s="34" t="s">
        <v>33</v>
      </c>
      <c r="K5673" s="42">
        <v>178100</v>
      </c>
      <c r="L5673" s="12">
        <f t="shared" si="478"/>
        <v>296900</v>
      </c>
      <c r="M5673" s="8">
        <v>1</v>
      </c>
      <c r="N5673" s="8" t="s">
        <v>27</v>
      </c>
      <c r="O5673" s="13">
        <f t="shared" si="479"/>
        <v>0</v>
      </c>
      <c r="P5673" s="14">
        <v>0</v>
      </c>
      <c r="Q5673" s="15">
        <v>0.4</v>
      </c>
      <c r="R5673" s="16" t="str">
        <f t="shared" si="476"/>
        <v>SOLIDVIEW</v>
      </c>
    </row>
    <row r="5674" spans="1:20" ht="27" customHeight="1" x14ac:dyDescent="0.25">
      <c r="A5674" s="32" t="s">
        <v>8308</v>
      </c>
      <c r="H5674" s="8" t="s">
        <v>11712</v>
      </c>
      <c r="I5674" s="33" t="s">
        <v>11713</v>
      </c>
      <c r="J5674" s="34" t="s">
        <v>33</v>
      </c>
      <c r="K5674" s="42">
        <v>213512</v>
      </c>
      <c r="L5674" s="12">
        <f t="shared" si="478"/>
        <v>355900</v>
      </c>
      <c r="M5674" s="8">
        <v>1</v>
      </c>
      <c r="N5674" s="8" t="s">
        <v>27</v>
      </c>
      <c r="O5674" s="13">
        <f t="shared" si="479"/>
        <v>0</v>
      </c>
      <c r="P5674" s="14">
        <v>0</v>
      </c>
      <c r="Q5674" s="15">
        <v>0.4</v>
      </c>
      <c r="R5674" s="16" t="str">
        <f t="shared" si="476"/>
        <v>SOLIDVIEW</v>
      </c>
    </row>
    <row r="5675" spans="1:20" ht="27" customHeight="1" x14ac:dyDescent="0.25">
      <c r="A5675" s="32" t="s">
        <v>3672</v>
      </c>
      <c r="H5675" s="8" t="s">
        <v>11714</v>
      </c>
      <c r="I5675" s="33" t="s">
        <v>11715</v>
      </c>
      <c r="J5675" s="34" t="s">
        <v>33</v>
      </c>
      <c r="K5675" s="18">
        <v>16387</v>
      </c>
      <c r="L5675" s="12">
        <f t="shared" si="478"/>
        <v>27400</v>
      </c>
      <c r="M5675" s="8">
        <v>1</v>
      </c>
      <c r="N5675" s="8" t="s">
        <v>27</v>
      </c>
      <c r="O5675" s="13">
        <f t="shared" si="479"/>
        <v>0</v>
      </c>
      <c r="P5675" s="14">
        <v>0</v>
      </c>
      <c r="Q5675" s="15">
        <v>0.4</v>
      </c>
      <c r="R5675" s="16" t="str">
        <f t="shared" si="476"/>
        <v>ILUMAX</v>
      </c>
    </row>
    <row r="5676" spans="1:20" ht="27" customHeight="1" x14ac:dyDescent="0.25">
      <c r="A5676" s="32" t="s">
        <v>861</v>
      </c>
      <c r="H5676" s="8" t="s">
        <v>11716</v>
      </c>
      <c r="I5676" s="38" t="s">
        <v>11717</v>
      </c>
      <c r="J5676" s="34" t="s">
        <v>26</v>
      </c>
      <c r="K5676" s="42">
        <f>800*0.85</f>
        <v>680</v>
      </c>
      <c r="L5676" s="12">
        <f t="shared" si="478"/>
        <v>800</v>
      </c>
      <c r="M5676" s="8">
        <v>1</v>
      </c>
      <c r="N5676" s="8" t="s">
        <v>27</v>
      </c>
      <c r="O5676" s="13">
        <f t="shared" si="479"/>
        <v>0</v>
      </c>
      <c r="P5676" s="14">
        <v>0</v>
      </c>
      <c r="Q5676" s="15">
        <v>0.15</v>
      </c>
      <c r="R5676" s="16" t="str">
        <f t="shared" si="476"/>
        <v>BLUOS</v>
      </c>
    </row>
    <row r="5677" spans="1:20" ht="27" customHeight="1" x14ac:dyDescent="0.25">
      <c r="A5677" s="32" t="s">
        <v>861</v>
      </c>
      <c r="H5677" s="8" t="s">
        <v>11718</v>
      </c>
      <c r="I5677" s="33" t="s">
        <v>11719</v>
      </c>
      <c r="J5677" s="34" t="s">
        <v>26</v>
      </c>
      <c r="K5677" s="42">
        <f>600*0.85</f>
        <v>510</v>
      </c>
      <c r="L5677" s="12">
        <f t="shared" si="478"/>
        <v>600</v>
      </c>
      <c r="M5677" s="8">
        <v>1</v>
      </c>
      <c r="N5677" s="8" t="s">
        <v>27</v>
      </c>
      <c r="O5677" s="13">
        <f t="shared" si="479"/>
        <v>0</v>
      </c>
      <c r="P5677" s="14">
        <v>0</v>
      </c>
      <c r="Q5677" s="15">
        <v>0.15</v>
      </c>
      <c r="R5677" s="16" t="str">
        <f t="shared" si="476"/>
        <v>BLUOS</v>
      </c>
    </row>
    <row r="5678" spans="1:20" ht="27" customHeight="1" x14ac:dyDescent="0.25">
      <c r="A5678" s="32" t="s">
        <v>11720</v>
      </c>
      <c r="H5678" s="8" t="s">
        <v>11721</v>
      </c>
      <c r="I5678" s="33" t="s">
        <v>11722</v>
      </c>
      <c r="J5678" s="34" t="s">
        <v>33</v>
      </c>
      <c r="K5678" s="42">
        <v>7600</v>
      </c>
      <c r="L5678" s="12">
        <f t="shared" si="478"/>
        <v>12700</v>
      </c>
      <c r="M5678" s="8">
        <v>1</v>
      </c>
      <c r="N5678" s="8" t="s">
        <v>27</v>
      </c>
      <c r="O5678" s="13"/>
      <c r="P5678" s="14">
        <v>0</v>
      </c>
      <c r="Q5678" s="15">
        <v>0.4</v>
      </c>
      <c r="R5678" s="16" t="str">
        <f t="shared" si="476"/>
        <v>LEXMANA</v>
      </c>
    </row>
    <row r="5679" spans="1:20" ht="27" customHeight="1" x14ac:dyDescent="0.25">
      <c r="A5679" s="32" t="s">
        <v>11720</v>
      </c>
      <c r="H5679" s="8" t="s">
        <v>11723</v>
      </c>
      <c r="I5679" s="33" t="s">
        <v>11724</v>
      </c>
      <c r="J5679" s="34" t="s">
        <v>33</v>
      </c>
      <c r="K5679" s="42">
        <v>6800</v>
      </c>
      <c r="L5679" s="12">
        <f t="shared" si="478"/>
        <v>11400</v>
      </c>
      <c r="M5679" s="8">
        <v>1</v>
      </c>
      <c r="N5679" s="8" t="s">
        <v>27</v>
      </c>
      <c r="O5679" s="13"/>
      <c r="P5679" s="14">
        <v>0</v>
      </c>
      <c r="Q5679" s="15">
        <v>0.4</v>
      </c>
      <c r="R5679" s="16" t="str">
        <f t="shared" ref="R5679:R5742" si="480">A5679</f>
        <v>LEXMANA</v>
      </c>
    </row>
    <row r="5680" spans="1:20" ht="27" customHeight="1" x14ac:dyDescent="0.25">
      <c r="A5680" s="8" t="s">
        <v>2512</v>
      </c>
      <c r="B5680" s="9"/>
      <c r="C5680" s="9"/>
      <c r="D5680" s="8"/>
      <c r="E5680" s="8"/>
      <c r="F5680" s="8"/>
      <c r="G5680" s="10"/>
      <c r="H5680" s="8" t="s">
        <v>11725</v>
      </c>
      <c r="I5680" s="10" t="s">
        <v>11726</v>
      </c>
      <c r="J5680" s="11" t="s">
        <v>26</v>
      </c>
      <c r="K5680" s="18">
        <v>31.19</v>
      </c>
      <c r="L5680" s="12">
        <f t="shared" si="478"/>
        <v>51.983333333333334</v>
      </c>
      <c r="M5680" s="8">
        <v>1</v>
      </c>
      <c r="N5680" s="8" t="s">
        <v>27</v>
      </c>
      <c r="O5680" s="13"/>
      <c r="P5680" s="14">
        <v>0</v>
      </c>
      <c r="Q5680" s="15">
        <v>0.4</v>
      </c>
      <c r="R5680" s="16" t="str">
        <f t="shared" si="480"/>
        <v>GENERAL</v>
      </c>
      <c r="S5680" s="17"/>
      <c r="T5680" s="10"/>
    </row>
    <row r="5681" spans="1:20" ht="27" customHeight="1" x14ac:dyDescent="0.25">
      <c r="A5681" s="32" t="s">
        <v>3977</v>
      </c>
      <c r="H5681" s="8" t="s">
        <v>11727</v>
      </c>
      <c r="I5681" s="33" t="s">
        <v>11728</v>
      </c>
      <c r="J5681" s="34" t="s">
        <v>33</v>
      </c>
      <c r="K5681" s="42">
        <v>850000</v>
      </c>
      <c r="L5681" s="12">
        <f t="shared" si="478"/>
        <v>1214300</v>
      </c>
      <c r="M5681" s="8">
        <v>1</v>
      </c>
      <c r="N5681" s="8" t="s">
        <v>27</v>
      </c>
      <c r="O5681" s="13"/>
      <c r="P5681" s="14">
        <v>0</v>
      </c>
      <c r="Q5681" s="15">
        <v>0.3</v>
      </c>
      <c r="R5681" s="16" t="str">
        <f t="shared" si="480"/>
        <v>KOMODO</v>
      </c>
    </row>
    <row r="5682" spans="1:20" ht="27" customHeight="1" x14ac:dyDescent="0.25">
      <c r="A5682" s="32" t="s">
        <v>5672</v>
      </c>
      <c r="H5682" s="8" t="s">
        <v>11729</v>
      </c>
      <c r="I5682" s="33" t="s">
        <v>11730</v>
      </c>
      <c r="J5682" s="34" t="s">
        <v>26</v>
      </c>
      <c r="K5682" s="42">
        <v>1000</v>
      </c>
      <c r="L5682" s="12">
        <f t="shared" si="478"/>
        <v>1428.5714285714287</v>
      </c>
      <c r="M5682" s="8">
        <v>1</v>
      </c>
      <c r="N5682" s="8" t="s">
        <v>27</v>
      </c>
      <c r="O5682" s="13"/>
      <c r="P5682" s="14">
        <v>0</v>
      </c>
      <c r="Q5682" s="15">
        <v>0.3</v>
      </c>
      <c r="R5682" s="16" t="str">
        <f t="shared" si="480"/>
        <v>LUTRON</v>
      </c>
    </row>
    <row r="5683" spans="1:20" ht="27" customHeight="1" x14ac:dyDescent="0.25">
      <c r="A5683" s="32" t="s">
        <v>38</v>
      </c>
      <c r="H5683" s="8" t="s">
        <v>11731</v>
      </c>
      <c r="I5683" s="33" t="s">
        <v>11732</v>
      </c>
      <c r="J5683" s="34" t="s">
        <v>26</v>
      </c>
      <c r="K5683" s="42">
        <v>610</v>
      </c>
      <c r="L5683" s="12">
        <f t="shared" si="478"/>
        <v>871.42857142857144</v>
      </c>
      <c r="M5683" s="8">
        <v>1</v>
      </c>
      <c r="N5683" s="8" t="s">
        <v>27</v>
      </c>
      <c r="O5683" s="13"/>
      <c r="P5683" s="14">
        <v>0</v>
      </c>
      <c r="Q5683" s="15">
        <v>0.3</v>
      </c>
      <c r="R5683" s="16" t="str">
        <f t="shared" si="480"/>
        <v>CONTROL4</v>
      </c>
    </row>
    <row r="5684" spans="1:20" ht="27" customHeight="1" x14ac:dyDescent="0.25">
      <c r="A5684" s="32" t="s">
        <v>38</v>
      </c>
      <c r="H5684" s="8" t="s">
        <v>11733</v>
      </c>
      <c r="I5684" s="33" t="s">
        <v>11734</v>
      </c>
      <c r="J5684" t="s">
        <v>26</v>
      </c>
      <c r="K5684" s="42">
        <v>700</v>
      </c>
      <c r="L5684" s="12">
        <f t="shared" si="478"/>
        <v>1000.0000000000001</v>
      </c>
      <c r="M5684" s="8">
        <v>1</v>
      </c>
      <c r="N5684" s="8" t="s">
        <v>27</v>
      </c>
      <c r="O5684" s="13"/>
      <c r="P5684" s="14">
        <v>0</v>
      </c>
      <c r="Q5684" s="15">
        <v>0.3</v>
      </c>
      <c r="R5684" s="16" t="str">
        <f t="shared" si="480"/>
        <v>CONTROL4</v>
      </c>
    </row>
    <row r="5685" spans="1:20" ht="27" customHeight="1" x14ac:dyDescent="0.25">
      <c r="A5685" s="32" t="s">
        <v>5155</v>
      </c>
      <c r="H5685" s="8" t="s">
        <v>11735</v>
      </c>
      <c r="I5685" s="33" t="s">
        <v>11736</v>
      </c>
      <c r="J5685" s="34" t="s">
        <v>33</v>
      </c>
      <c r="K5685" s="42">
        <v>650000</v>
      </c>
      <c r="L5685" s="12">
        <f t="shared" si="478"/>
        <v>866700</v>
      </c>
      <c r="M5685" s="8">
        <v>1</v>
      </c>
      <c r="N5685" s="8" t="s">
        <v>27</v>
      </c>
      <c r="O5685" s="13"/>
      <c r="P5685" s="14">
        <v>0</v>
      </c>
      <c r="Q5685" s="15">
        <v>0.25</v>
      </c>
      <c r="R5685" s="16" t="str">
        <f t="shared" si="480"/>
        <v>LENOVO</v>
      </c>
    </row>
    <row r="5686" spans="1:20" ht="27" customHeight="1" x14ac:dyDescent="0.25">
      <c r="A5686" s="32" t="s">
        <v>9258</v>
      </c>
      <c r="H5686" s="8" t="s">
        <v>11737</v>
      </c>
      <c r="I5686" s="33" t="s">
        <v>11738</v>
      </c>
      <c r="J5686" s="34" t="s">
        <v>33</v>
      </c>
      <c r="K5686" s="42">
        <v>1810000</v>
      </c>
      <c r="L5686" s="12">
        <f t="shared" si="478"/>
        <v>2413400</v>
      </c>
      <c r="M5686" s="8">
        <v>1</v>
      </c>
      <c r="N5686" s="8" t="s">
        <v>27</v>
      </c>
      <c r="O5686" s="13"/>
      <c r="P5686" s="14">
        <v>0</v>
      </c>
      <c r="Q5686" s="15">
        <v>0.25</v>
      </c>
      <c r="R5686" s="16" t="str">
        <f t="shared" si="480"/>
        <v>TP_LINK</v>
      </c>
    </row>
    <row r="5687" spans="1:20" ht="27" customHeight="1" x14ac:dyDescent="0.25">
      <c r="A5687" s="32" t="s">
        <v>11739</v>
      </c>
      <c r="H5687" s="8" t="s">
        <v>11740</v>
      </c>
      <c r="I5687" s="33" t="s">
        <v>11741</v>
      </c>
      <c r="J5687" s="34" t="s">
        <v>33</v>
      </c>
      <c r="K5687" s="42">
        <v>15000</v>
      </c>
      <c r="L5687" s="12">
        <f t="shared" si="478"/>
        <v>20000</v>
      </c>
      <c r="M5687" s="8">
        <v>1</v>
      </c>
      <c r="N5687" s="8" t="s">
        <v>27</v>
      </c>
      <c r="O5687" s="13"/>
      <c r="P5687" s="14">
        <v>0</v>
      </c>
      <c r="Q5687" s="15">
        <v>0.25</v>
      </c>
      <c r="R5687" s="16" t="str">
        <f t="shared" si="480"/>
        <v>C2B</v>
      </c>
    </row>
    <row r="5688" spans="1:20" ht="27" customHeight="1" x14ac:dyDescent="0.25">
      <c r="A5688" s="32" t="s">
        <v>5672</v>
      </c>
      <c r="H5688" s="8" t="s">
        <v>6375</v>
      </c>
      <c r="I5688" s="33" t="s">
        <v>11742</v>
      </c>
      <c r="J5688" s="34" t="s">
        <v>26</v>
      </c>
      <c r="K5688" s="42">
        <v>7.2</v>
      </c>
      <c r="L5688" s="12">
        <f t="shared" si="478"/>
        <v>14.400000000000002</v>
      </c>
      <c r="M5688" s="8">
        <v>1</v>
      </c>
      <c r="N5688" s="8" t="s">
        <v>27</v>
      </c>
      <c r="O5688" s="13"/>
      <c r="P5688" s="14">
        <v>0.2</v>
      </c>
      <c r="Q5688" s="15">
        <v>0.4</v>
      </c>
      <c r="R5688" s="16" t="str">
        <f t="shared" si="480"/>
        <v>LUTRON</v>
      </c>
    </row>
    <row r="5689" spans="1:20" ht="27" customHeight="1" x14ac:dyDescent="0.25">
      <c r="A5689" s="8" t="s">
        <v>5672</v>
      </c>
      <c r="B5689" s="9"/>
      <c r="C5689" s="9"/>
      <c r="D5689" s="8" t="s">
        <v>45</v>
      </c>
      <c r="E5689" s="8"/>
      <c r="F5689" s="8" t="s">
        <v>22</v>
      </c>
      <c r="G5689" s="10" t="str">
        <f>B5689&amp;"-"&amp;D5689&amp;"-"&amp;E5689&amp;F5689</f>
        <v>-PROG_-BLANCO</v>
      </c>
      <c r="H5689" s="8" t="s">
        <v>11119</v>
      </c>
      <c r="I5689" s="10" t="s">
        <v>11743</v>
      </c>
      <c r="J5689" s="11" t="s">
        <v>26</v>
      </c>
      <c r="K5689" s="57">
        <v>16.2</v>
      </c>
      <c r="L5689" s="12">
        <f>K5689*(1+P5689)/(1-Q5689)</f>
        <v>32.4</v>
      </c>
      <c r="M5689" s="8">
        <v>1</v>
      </c>
      <c r="N5689" s="8" t="s">
        <v>27</v>
      </c>
      <c r="O5689" s="13"/>
      <c r="P5689" s="14">
        <v>0.2</v>
      </c>
      <c r="Q5689" s="15">
        <v>0.4</v>
      </c>
      <c r="R5689" s="16" t="str">
        <f t="shared" si="480"/>
        <v>LUTRON</v>
      </c>
      <c r="S5689" s="17"/>
      <c r="T5689" s="10" t="str">
        <f>G5689</f>
        <v>-PROG_-BLANCO</v>
      </c>
    </row>
    <row r="5690" spans="1:20" ht="27" customHeight="1" x14ac:dyDescent="0.25">
      <c r="A5690" s="32" t="s">
        <v>5672</v>
      </c>
      <c r="H5690" s="8" t="s">
        <v>6381</v>
      </c>
      <c r="I5690" s="33" t="s">
        <v>11744</v>
      </c>
      <c r="J5690" s="34" t="s">
        <v>26</v>
      </c>
      <c r="K5690" s="42">
        <v>44.5</v>
      </c>
      <c r="L5690" s="12">
        <f>K5690*(1+P5690)/(1-Q5690)</f>
        <v>89</v>
      </c>
      <c r="M5690" s="8">
        <v>1</v>
      </c>
      <c r="N5690" s="8" t="s">
        <v>27</v>
      </c>
      <c r="O5690" s="13"/>
      <c r="P5690" s="14">
        <v>0.2</v>
      </c>
      <c r="Q5690" s="15">
        <v>0.4</v>
      </c>
      <c r="R5690" s="16" t="str">
        <f t="shared" si="480"/>
        <v>LUTRON</v>
      </c>
    </row>
    <row r="5691" spans="1:20" ht="27" customHeight="1" x14ac:dyDescent="0.25">
      <c r="A5691" s="32" t="s">
        <v>5672</v>
      </c>
      <c r="H5691" s="8" t="s">
        <v>6371</v>
      </c>
      <c r="I5691" s="33" t="s">
        <v>11745</v>
      </c>
      <c r="J5691" s="34" t="s">
        <v>26</v>
      </c>
      <c r="K5691" s="42">
        <v>24.7</v>
      </c>
      <c r="R5691" s="64" t="str">
        <f t="shared" si="480"/>
        <v>LUTRON</v>
      </c>
    </row>
    <row r="5692" spans="1:20" ht="27" customHeight="1" x14ac:dyDescent="0.25">
      <c r="A5692" s="32" t="s">
        <v>5672</v>
      </c>
      <c r="H5692" s="8" t="s">
        <v>10570</v>
      </c>
      <c r="I5692" s="33" t="s">
        <v>11746</v>
      </c>
      <c r="J5692" s="34" t="s">
        <v>26</v>
      </c>
      <c r="K5692" s="42">
        <v>811</v>
      </c>
      <c r="L5692" s="12">
        <f>K5692*(1+P5692)/(1-Q5692)</f>
        <v>1398.9999664711381</v>
      </c>
      <c r="M5692" s="8">
        <v>1</v>
      </c>
      <c r="N5692" s="8" t="s">
        <v>27</v>
      </c>
      <c r="O5692" s="13"/>
      <c r="P5692" s="14">
        <v>0.2</v>
      </c>
      <c r="Q5692" s="15">
        <v>0.30436024065474671</v>
      </c>
      <c r="R5692" s="16" t="str">
        <f t="shared" si="480"/>
        <v>LUTRON</v>
      </c>
    </row>
    <row r="5693" spans="1:20" ht="27" customHeight="1" x14ac:dyDescent="0.25">
      <c r="A5693" s="32" t="s">
        <v>7483</v>
      </c>
      <c r="H5693" s="8" t="s">
        <v>7499</v>
      </c>
      <c r="I5693" s="33" t="s">
        <v>11747</v>
      </c>
      <c r="J5693" s="34" t="s">
        <v>26</v>
      </c>
      <c r="K5693" s="42">
        <v>1349</v>
      </c>
      <c r="L5693" s="12">
        <f>K5693*(1+P5693)/(1-Q5693)</f>
        <v>2327.0665286924359</v>
      </c>
      <c r="M5693" s="8">
        <v>1</v>
      </c>
      <c r="N5693" s="8" t="s">
        <v>27</v>
      </c>
      <c r="O5693" s="13"/>
      <c r="P5693" s="14">
        <v>0.2</v>
      </c>
      <c r="Q5693" s="15">
        <v>0.30436024065474671</v>
      </c>
      <c r="R5693" s="16" t="str">
        <f t="shared" si="480"/>
        <v>OPTOMA</v>
      </c>
    </row>
    <row r="5694" spans="1:20" ht="27" customHeight="1" x14ac:dyDescent="0.25">
      <c r="A5694" s="32" t="s">
        <v>2512</v>
      </c>
      <c r="H5694" s="8" t="s">
        <v>11748</v>
      </c>
      <c r="I5694" s="33" t="s">
        <v>11749</v>
      </c>
      <c r="J5694" s="34" t="s">
        <v>33</v>
      </c>
      <c r="R5694" s="64" t="str">
        <f t="shared" si="480"/>
        <v>GENERAL</v>
      </c>
    </row>
    <row r="5695" spans="1:20" ht="27" customHeight="1" x14ac:dyDescent="0.25">
      <c r="A5695" s="32" t="s">
        <v>5672</v>
      </c>
      <c r="H5695" s="8" t="s">
        <v>11750</v>
      </c>
      <c r="I5695" s="33" t="s">
        <v>11751</v>
      </c>
      <c r="J5695" s="34" t="s">
        <v>26</v>
      </c>
      <c r="K5695" s="42">
        <v>13.5</v>
      </c>
      <c r="L5695" s="12">
        <f>K5695*(1+P5695)/(1-Q5695)</f>
        <v>27</v>
      </c>
      <c r="M5695" s="8">
        <v>1</v>
      </c>
      <c r="N5695" s="8" t="s">
        <v>27</v>
      </c>
      <c r="O5695" s="13"/>
      <c r="P5695" s="14">
        <v>0.2</v>
      </c>
      <c r="Q5695" s="15">
        <v>0.4</v>
      </c>
      <c r="R5695" s="16" t="str">
        <f t="shared" si="480"/>
        <v>LUTRON</v>
      </c>
    </row>
    <row r="5696" spans="1:20" ht="27" customHeight="1" x14ac:dyDescent="0.25">
      <c r="A5696" s="32" t="s">
        <v>5672</v>
      </c>
      <c r="H5696" s="8" t="s">
        <v>11752</v>
      </c>
      <c r="I5696" s="65" t="s">
        <v>11753</v>
      </c>
      <c r="J5696" s="34" t="s">
        <v>26</v>
      </c>
      <c r="K5696" s="42">
        <v>235</v>
      </c>
      <c r="L5696" s="12">
        <f>K5696*(1+P5696)/(1-Q5696)</f>
        <v>470</v>
      </c>
      <c r="M5696" s="8">
        <v>1</v>
      </c>
      <c r="N5696" s="8" t="s">
        <v>27</v>
      </c>
      <c r="O5696" s="13"/>
      <c r="P5696" s="14">
        <v>0.2</v>
      </c>
      <c r="Q5696" s="15">
        <v>0.4</v>
      </c>
      <c r="R5696" s="16" t="str">
        <f t="shared" si="480"/>
        <v>LUTRON</v>
      </c>
    </row>
    <row r="5697" spans="1:19" ht="27" customHeight="1" x14ac:dyDescent="0.25">
      <c r="A5697" s="32" t="s">
        <v>5672</v>
      </c>
      <c r="H5697" s="8" t="s">
        <v>11483</v>
      </c>
      <c r="R5697" s="64" t="str">
        <f t="shared" si="480"/>
        <v>LUTRON</v>
      </c>
    </row>
    <row r="5698" spans="1:19" ht="27" customHeight="1" x14ac:dyDescent="0.25">
      <c r="A5698" s="32" t="s">
        <v>5170</v>
      </c>
      <c r="H5698" s="8" t="s">
        <v>11136</v>
      </c>
      <c r="I5698" s="33" t="s">
        <v>11754</v>
      </c>
      <c r="J5698" s="34" t="s">
        <v>33</v>
      </c>
      <c r="K5698" s="42">
        <v>43300</v>
      </c>
      <c r="L5698" s="12">
        <f t="shared" ref="L5698:L5728" si="481">K5698*(1+P5698)/(1-Q5698)</f>
        <v>72166.666666666672</v>
      </c>
      <c r="M5698" s="8">
        <v>1</v>
      </c>
      <c r="N5698" s="8" t="s">
        <v>27</v>
      </c>
      <c r="O5698" s="13"/>
      <c r="P5698" s="14">
        <v>0</v>
      </c>
      <c r="Q5698" s="15">
        <v>0.4</v>
      </c>
      <c r="R5698" s="16" t="str">
        <f t="shared" si="480"/>
        <v>LEVITON</v>
      </c>
    </row>
    <row r="5699" spans="1:19" ht="27" customHeight="1" x14ac:dyDescent="0.25">
      <c r="A5699" s="32" t="s">
        <v>8836</v>
      </c>
      <c r="H5699" s="8" t="s">
        <v>11755</v>
      </c>
      <c r="I5699" s="33" t="s">
        <v>11756</v>
      </c>
      <c r="J5699" s="34" t="s">
        <v>33</v>
      </c>
      <c r="K5699" s="20">
        <f>43400*0.9</f>
        <v>39060</v>
      </c>
      <c r="L5699" s="12">
        <f t="shared" si="481"/>
        <v>55800</v>
      </c>
      <c r="M5699" s="8">
        <v>1</v>
      </c>
      <c r="N5699" s="8" t="s">
        <v>27</v>
      </c>
      <c r="O5699" s="13"/>
      <c r="P5699" s="14">
        <v>0</v>
      </c>
      <c r="Q5699" s="15">
        <v>0.3</v>
      </c>
      <c r="R5699" s="16" t="str">
        <f t="shared" si="480"/>
        <v>TECNOLITE</v>
      </c>
    </row>
    <row r="5700" spans="1:19" ht="27" customHeight="1" x14ac:dyDescent="0.25">
      <c r="A5700" s="32" t="s">
        <v>11757</v>
      </c>
      <c r="H5700" s="8" t="s">
        <v>11758</v>
      </c>
      <c r="I5700" s="33" t="s">
        <v>3705</v>
      </c>
      <c r="J5700" s="34" t="s">
        <v>26</v>
      </c>
      <c r="K5700" s="20">
        <v>155</v>
      </c>
      <c r="L5700" s="12">
        <f t="shared" si="481"/>
        <v>221.42857142857144</v>
      </c>
      <c r="M5700" s="8">
        <v>1</v>
      </c>
      <c r="N5700" s="8" t="s">
        <v>27</v>
      </c>
      <c r="O5700" s="13"/>
      <c r="P5700" s="14">
        <v>0</v>
      </c>
      <c r="Q5700" s="15">
        <v>0.3</v>
      </c>
      <c r="R5700" s="16" t="str">
        <f t="shared" si="480"/>
        <v>SKAR</v>
      </c>
    </row>
    <row r="5701" spans="1:19" ht="27" customHeight="1" x14ac:dyDescent="0.25">
      <c r="A5701" s="32" t="s">
        <v>11759</v>
      </c>
      <c r="H5701" s="8" t="s">
        <v>11760</v>
      </c>
      <c r="I5701" s="33" t="s">
        <v>11761</v>
      </c>
      <c r="J5701" s="34" t="s">
        <v>33</v>
      </c>
      <c r="K5701" s="20">
        <v>469800</v>
      </c>
      <c r="L5701" s="12">
        <f t="shared" si="481"/>
        <v>671142.85714285716</v>
      </c>
      <c r="M5701" s="8">
        <v>1</v>
      </c>
      <c r="N5701" s="8" t="s">
        <v>27</v>
      </c>
      <c r="O5701" s="13"/>
      <c r="P5701" s="14">
        <v>0</v>
      </c>
      <c r="Q5701" s="15">
        <v>0.3</v>
      </c>
      <c r="R5701" s="16" t="str">
        <f t="shared" si="480"/>
        <v>CSA</v>
      </c>
    </row>
    <row r="5702" spans="1:19" ht="27" customHeight="1" x14ac:dyDescent="0.25">
      <c r="A5702" s="32" t="s">
        <v>8308</v>
      </c>
      <c r="H5702" s="8" t="s">
        <v>11762</v>
      </c>
      <c r="I5702" s="33" t="s">
        <v>11763</v>
      </c>
      <c r="J5702" s="34" t="s">
        <v>33</v>
      </c>
      <c r="K5702" s="20">
        <v>3745600</v>
      </c>
      <c r="L5702" s="12">
        <f t="shared" si="481"/>
        <v>5350857.1428571437</v>
      </c>
      <c r="M5702" s="8">
        <v>1</v>
      </c>
      <c r="N5702" s="8" t="s">
        <v>27</v>
      </c>
      <c r="O5702" s="13"/>
      <c r="P5702" s="14">
        <v>0</v>
      </c>
      <c r="Q5702" s="15">
        <v>0.3</v>
      </c>
      <c r="R5702" s="16" t="str">
        <f t="shared" si="480"/>
        <v>SOLIDVIEW</v>
      </c>
    </row>
    <row r="5703" spans="1:19" ht="27" customHeight="1" x14ac:dyDescent="0.25">
      <c r="A5703" s="32" t="s">
        <v>8191</v>
      </c>
      <c r="H5703" s="8" t="s">
        <v>11764</v>
      </c>
      <c r="I5703" s="33" t="s">
        <v>11765</v>
      </c>
      <c r="J5703" s="34" t="s">
        <v>26</v>
      </c>
      <c r="K5703" s="42">
        <v>1015</v>
      </c>
      <c r="L5703" s="12">
        <f t="shared" si="481"/>
        <v>2069.9999974341699</v>
      </c>
      <c r="M5703" s="8">
        <v>1</v>
      </c>
      <c r="N5703" s="8" t="s">
        <v>27</v>
      </c>
      <c r="O5703" s="13"/>
      <c r="P5703" s="14">
        <v>0.35</v>
      </c>
      <c r="Q5703" s="15">
        <v>0.33804347744035368</v>
      </c>
      <c r="R5703" s="16" t="str">
        <f t="shared" si="480"/>
        <v>SEVERTSON</v>
      </c>
    </row>
    <row r="5704" spans="1:19" ht="27" customHeight="1" x14ac:dyDescent="0.25">
      <c r="A5704" s="32" t="s">
        <v>7931</v>
      </c>
      <c r="H5704" s="8" t="s">
        <v>8703</v>
      </c>
      <c r="I5704" s="33" t="s">
        <v>11766</v>
      </c>
      <c r="J5704" s="34" t="s">
        <v>33</v>
      </c>
      <c r="K5704" s="42">
        <v>64217</v>
      </c>
      <c r="L5704" s="12">
        <f t="shared" si="481"/>
        <v>110086.28571428571</v>
      </c>
      <c r="M5704" s="8">
        <v>1</v>
      </c>
      <c r="N5704" s="8" t="s">
        <v>27</v>
      </c>
      <c r="O5704" s="13"/>
      <c r="P5704" s="14">
        <v>0.2</v>
      </c>
      <c r="Q5704" s="15">
        <v>0.3</v>
      </c>
      <c r="R5704" s="16" t="str">
        <f t="shared" si="480"/>
        <v>SYLVANIA</v>
      </c>
      <c r="S5704" s="52" t="str">
        <f t="shared" ref="S5704:S5733" si="482">A5704</f>
        <v>SYLVANIA</v>
      </c>
    </row>
    <row r="5705" spans="1:19" ht="27" customHeight="1" x14ac:dyDescent="0.25">
      <c r="A5705" s="32" t="s">
        <v>5672</v>
      </c>
      <c r="H5705" s="8" t="s">
        <v>11767</v>
      </c>
      <c r="I5705" s="33" t="s">
        <v>11768</v>
      </c>
      <c r="J5705" s="34" t="s">
        <v>26</v>
      </c>
      <c r="K5705" s="42">
        <v>156.75</v>
      </c>
      <c r="L5705" s="12">
        <f t="shared" si="481"/>
        <v>274.999998966948</v>
      </c>
      <c r="M5705" s="8">
        <v>1</v>
      </c>
      <c r="N5705" s="8" t="s">
        <v>27</v>
      </c>
      <c r="O5705" s="13"/>
      <c r="P5705" s="14">
        <v>0.2</v>
      </c>
      <c r="Q5705" s="15">
        <v>0.31599999743051782</v>
      </c>
      <c r="R5705" s="16" t="str">
        <f t="shared" si="480"/>
        <v>LUTRON</v>
      </c>
      <c r="S5705" s="52" t="str">
        <f t="shared" si="482"/>
        <v>LUTRON</v>
      </c>
    </row>
    <row r="5706" spans="1:19" ht="27" customHeight="1" x14ac:dyDescent="0.25">
      <c r="A5706" s="32" t="s">
        <v>3977</v>
      </c>
      <c r="H5706" s="8" t="s">
        <v>11769</v>
      </c>
      <c r="I5706" s="33" t="s">
        <v>11770</v>
      </c>
      <c r="J5706" s="34" t="s">
        <v>33</v>
      </c>
      <c r="K5706" s="42">
        <v>629999.99999999988</v>
      </c>
      <c r="L5706" s="12">
        <f t="shared" si="481"/>
        <v>1049999.9999999998</v>
      </c>
      <c r="M5706" s="8">
        <v>1</v>
      </c>
      <c r="N5706" s="8" t="s">
        <v>27</v>
      </c>
      <c r="O5706" s="13"/>
      <c r="P5706" s="14">
        <v>0</v>
      </c>
      <c r="Q5706" s="15">
        <v>0.4</v>
      </c>
      <c r="R5706" s="16" t="str">
        <f t="shared" si="480"/>
        <v>KOMODO</v>
      </c>
      <c r="S5706" s="52" t="str">
        <f t="shared" si="482"/>
        <v>KOMODO</v>
      </c>
    </row>
    <row r="5707" spans="1:19" ht="27" customHeight="1" x14ac:dyDescent="0.25">
      <c r="A5707" s="32" t="s">
        <v>10370</v>
      </c>
      <c r="H5707" s="8" t="s">
        <v>11771</v>
      </c>
      <c r="I5707" s="33" t="s">
        <v>11772</v>
      </c>
      <c r="J5707" s="34" t="s">
        <v>26</v>
      </c>
      <c r="K5707" s="42">
        <v>3.91</v>
      </c>
      <c r="L5707" s="12">
        <f t="shared" si="481"/>
        <v>9.7799999999999976</v>
      </c>
      <c r="M5707" s="8">
        <v>1</v>
      </c>
      <c r="N5707" s="8" t="s">
        <v>27</v>
      </c>
      <c r="O5707" s="13"/>
      <c r="P5707" s="14">
        <v>0.50076726342710964</v>
      </c>
      <c r="Q5707" s="15">
        <v>0.4</v>
      </c>
      <c r="R5707" s="16" t="str">
        <f t="shared" si="480"/>
        <v>LEDYI</v>
      </c>
      <c r="S5707" s="52" t="str">
        <f t="shared" si="482"/>
        <v>LEDYI</v>
      </c>
    </row>
    <row r="5708" spans="1:19" ht="27" customHeight="1" x14ac:dyDescent="0.25">
      <c r="A5708" s="32" t="s">
        <v>10370</v>
      </c>
      <c r="H5708" s="8" t="s">
        <v>11773</v>
      </c>
      <c r="I5708" s="33" t="s">
        <v>11774</v>
      </c>
      <c r="J5708" s="34" t="s">
        <v>26</v>
      </c>
      <c r="K5708" s="42">
        <v>7.54</v>
      </c>
      <c r="L5708" s="12">
        <f t="shared" si="481"/>
        <v>18.859641943734012</v>
      </c>
      <c r="M5708" s="8">
        <v>1</v>
      </c>
      <c r="N5708" s="8" t="s">
        <v>27</v>
      </c>
      <c r="O5708" s="13"/>
      <c r="P5708" s="14">
        <v>0.50076726342710964</v>
      </c>
      <c r="Q5708" s="15">
        <v>0.4</v>
      </c>
      <c r="R5708" s="16" t="str">
        <f t="shared" si="480"/>
        <v>LEDYI</v>
      </c>
      <c r="S5708" s="52" t="str">
        <f t="shared" si="482"/>
        <v>LEDYI</v>
      </c>
    </row>
    <row r="5709" spans="1:19" ht="27" customHeight="1" x14ac:dyDescent="0.25">
      <c r="A5709" s="32" t="s">
        <v>10370</v>
      </c>
      <c r="H5709" s="8" t="s">
        <v>11775</v>
      </c>
      <c r="I5709" s="33" t="s">
        <v>11776</v>
      </c>
      <c r="J5709" s="34" t="s">
        <v>26</v>
      </c>
      <c r="K5709" s="42">
        <v>0.17</v>
      </c>
      <c r="L5709" s="12">
        <f t="shared" si="481"/>
        <v>0.42521739130434777</v>
      </c>
      <c r="M5709" s="8">
        <v>1</v>
      </c>
      <c r="N5709" s="8" t="s">
        <v>27</v>
      </c>
      <c r="O5709" s="13"/>
      <c r="P5709" s="14">
        <v>0.50076726342710964</v>
      </c>
      <c r="Q5709" s="15">
        <v>0.4</v>
      </c>
      <c r="R5709" s="16" t="str">
        <f t="shared" si="480"/>
        <v>LEDYI</v>
      </c>
      <c r="S5709" s="52" t="str">
        <f t="shared" si="482"/>
        <v>LEDYI</v>
      </c>
    </row>
    <row r="5710" spans="1:19" ht="27" customHeight="1" x14ac:dyDescent="0.25">
      <c r="A5710" s="32" t="s">
        <v>10370</v>
      </c>
      <c r="H5710" s="8" t="s">
        <v>11777</v>
      </c>
      <c r="I5710" s="33" t="s">
        <v>11778</v>
      </c>
      <c r="J5710" s="34" t="s">
        <v>26</v>
      </c>
      <c r="K5710" s="42">
        <v>2.66</v>
      </c>
      <c r="L5710" s="12">
        <f t="shared" si="481"/>
        <v>6.6534015345268536</v>
      </c>
      <c r="M5710" s="8">
        <v>1</v>
      </c>
      <c r="N5710" s="8" t="s">
        <v>27</v>
      </c>
      <c r="O5710" s="13"/>
      <c r="P5710" s="14">
        <v>0.50076726342710964</v>
      </c>
      <c r="Q5710" s="15">
        <v>0.4</v>
      </c>
      <c r="R5710" s="16" t="str">
        <f t="shared" si="480"/>
        <v>LEDYI</v>
      </c>
      <c r="S5710" s="52" t="str">
        <f t="shared" si="482"/>
        <v>LEDYI</v>
      </c>
    </row>
    <row r="5711" spans="1:19" ht="27" customHeight="1" x14ac:dyDescent="0.25">
      <c r="A5711" s="32" t="s">
        <v>10370</v>
      </c>
      <c r="H5711" s="8" t="s">
        <v>11779</v>
      </c>
      <c r="I5711" s="33" t="s">
        <v>11780</v>
      </c>
      <c r="J5711" s="34" t="s">
        <v>26</v>
      </c>
      <c r="K5711" s="42">
        <v>3.8</v>
      </c>
      <c r="L5711" s="12">
        <f t="shared" si="481"/>
        <v>9.5048593350383612</v>
      </c>
      <c r="M5711" s="8">
        <v>1</v>
      </c>
      <c r="N5711" s="8" t="s">
        <v>27</v>
      </c>
      <c r="O5711" s="13"/>
      <c r="P5711" s="14">
        <v>0.50076726342710964</v>
      </c>
      <c r="Q5711" s="15">
        <v>0.4</v>
      </c>
      <c r="R5711" s="16" t="str">
        <f t="shared" si="480"/>
        <v>LEDYI</v>
      </c>
      <c r="S5711" s="52" t="str">
        <f t="shared" si="482"/>
        <v>LEDYI</v>
      </c>
    </row>
    <row r="5712" spans="1:19" ht="27" customHeight="1" x14ac:dyDescent="0.25">
      <c r="A5712" s="32" t="s">
        <v>10370</v>
      </c>
      <c r="H5712" s="8" t="s">
        <v>11781</v>
      </c>
      <c r="I5712" s="33" t="s">
        <v>11782</v>
      </c>
      <c r="J5712" s="34" t="s">
        <v>26</v>
      </c>
      <c r="K5712" s="42">
        <v>3.78</v>
      </c>
      <c r="L5712" s="12">
        <f t="shared" si="481"/>
        <v>9.454833759590791</v>
      </c>
      <c r="M5712" s="8">
        <v>1</v>
      </c>
      <c r="N5712" s="8" t="s">
        <v>27</v>
      </c>
      <c r="O5712" s="13"/>
      <c r="P5712" s="14">
        <v>0.50076726342710964</v>
      </c>
      <c r="Q5712" s="15">
        <v>0.4</v>
      </c>
      <c r="R5712" s="16" t="str">
        <f t="shared" si="480"/>
        <v>LEDYI</v>
      </c>
      <c r="S5712" s="52" t="str">
        <f t="shared" si="482"/>
        <v>LEDYI</v>
      </c>
    </row>
    <row r="5713" spans="1:20" ht="27" customHeight="1" x14ac:dyDescent="0.25">
      <c r="A5713" s="32" t="s">
        <v>10370</v>
      </c>
      <c r="H5713" s="8" t="s">
        <v>11783</v>
      </c>
      <c r="I5713" s="33" t="s">
        <v>11784</v>
      </c>
      <c r="J5713" s="34" t="s">
        <v>26</v>
      </c>
      <c r="K5713" s="42">
        <v>3.8</v>
      </c>
      <c r="L5713" s="12">
        <f t="shared" si="481"/>
        <v>9.5048593350383612</v>
      </c>
      <c r="M5713" s="8">
        <v>1</v>
      </c>
      <c r="N5713" s="8" t="s">
        <v>27</v>
      </c>
      <c r="O5713" s="13"/>
      <c r="P5713" s="14">
        <v>0.50076726342710964</v>
      </c>
      <c r="Q5713" s="15">
        <v>0.4</v>
      </c>
      <c r="R5713" s="16" t="str">
        <f t="shared" si="480"/>
        <v>LEDYI</v>
      </c>
      <c r="S5713" s="52" t="str">
        <f t="shared" si="482"/>
        <v>LEDYI</v>
      </c>
    </row>
    <row r="5714" spans="1:20" ht="27" customHeight="1" x14ac:dyDescent="0.25">
      <c r="A5714" s="32" t="s">
        <v>10370</v>
      </c>
      <c r="H5714" s="8" t="s">
        <v>11785</v>
      </c>
      <c r="I5714" s="33" t="s">
        <v>11782</v>
      </c>
      <c r="J5714" s="34" t="s">
        <v>26</v>
      </c>
      <c r="K5714" s="42">
        <v>3.8</v>
      </c>
      <c r="L5714" s="12">
        <f t="shared" si="481"/>
        <v>9.5048593350383612</v>
      </c>
      <c r="M5714" s="8">
        <v>1</v>
      </c>
      <c r="N5714" s="8" t="s">
        <v>27</v>
      </c>
      <c r="O5714" s="13"/>
      <c r="P5714" s="14">
        <v>0.50076726342710964</v>
      </c>
      <c r="Q5714" s="15">
        <v>0.4</v>
      </c>
      <c r="R5714" s="16" t="str">
        <f t="shared" si="480"/>
        <v>LEDYI</v>
      </c>
      <c r="S5714" s="52" t="str">
        <f t="shared" si="482"/>
        <v>LEDYI</v>
      </c>
    </row>
    <row r="5715" spans="1:20" ht="27" customHeight="1" x14ac:dyDescent="0.25">
      <c r="A5715" s="32" t="s">
        <v>10370</v>
      </c>
      <c r="H5715" s="8" t="s">
        <v>11786</v>
      </c>
      <c r="I5715" s="33" t="s">
        <v>11787</v>
      </c>
      <c r="J5715" s="34" t="s">
        <v>26</v>
      </c>
      <c r="K5715" s="42">
        <v>7.54</v>
      </c>
      <c r="L5715" s="12">
        <f t="shared" si="481"/>
        <v>18.859641943734012</v>
      </c>
      <c r="M5715" s="8">
        <v>1</v>
      </c>
      <c r="N5715" s="8" t="s">
        <v>27</v>
      </c>
      <c r="O5715" s="13"/>
      <c r="P5715" s="14">
        <v>0.50076726342710964</v>
      </c>
      <c r="Q5715" s="15">
        <v>0.4</v>
      </c>
      <c r="R5715" s="16" t="str">
        <f t="shared" si="480"/>
        <v>LEDYI</v>
      </c>
      <c r="S5715" s="52" t="str">
        <f t="shared" si="482"/>
        <v>LEDYI</v>
      </c>
    </row>
    <row r="5716" spans="1:20" ht="27" customHeight="1" x14ac:dyDescent="0.25">
      <c r="A5716" s="32" t="s">
        <v>10258</v>
      </c>
      <c r="H5716" s="8" t="s">
        <v>11788</v>
      </c>
      <c r="I5716" s="33" t="s">
        <v>11789</v>
      </c>
      <c r="J5716" s="34" t="s">
        <v>26</v>
      </c>
      <c r="K5716" s="20">
        <v>30.32</v>
      </c>
      <c r="L5716" s="12">
        <f t="shared" si="481"/>
        <v>70.74666666666667</v>
      </c>
      <c r="M5716" s="8">
        <v>1</v>
      </c>
      <c r="N5716" s="8" t="s">
        <v>27</v>
      </c>
      <c r="O5716" s="13"/>
      <c r="P5716" s="14">
        <v>0.4</v>
      </c>
      <c r="Q5716" s="15">
        <v>0.4</v>
      </c>
      <c r="R5716" s="16" t="str">
        <f t="shared" si="480"/>
        <v>SC_POWER</v>
      </c>
      <c r="S5716" s="52" t="str">
        <f t="shared" si="482"/>
        <v>SC_POWER</v>
      </c>
    </row>
    <row r="5717" spans="1:20" ht="27" customHeight="1" x14ac:dyDescent="0.25">
      <c r="A5717" s="32" t="s">
        <v>10258</v>
      </c>
      <c r="H5717" s="8" t="s">
        <v>11790</v>
      </c>
      <c r="I5717" s="33" t="s">
        <v>11192</v>
      </c>
      <c r="J5717" s="34" t="s">
        <v>26</v>
      </c>
      <c r="K5717" s="20">
        <v>30.32</v>
      </c>
      <c r="L5717" s="12">
        <f t="shared" si="481"/>
        <v>70.74666666666667</v>
      </c>
      <c r="M5717" s="8">
        <v>1</v>
      </c>
      <c r="N5717" s="8" t="s">
        <v>27</v>
      </c>
      <c r="O5717" s="13"/>
      <c r="P5717" s="14">
        <v>0.4</v>
      </c>
      <c r="Q5717" s="15">
        <v>0.4</v>
      </c>
      <c r="R5717" s="16" t="str">
        <f t="shared" si="480"/>
        <v>SC_POWER</v>
      </c>
      <c r="S5717" s="52" t="str">
        <f t="shared" si="482"/>
        <v>SC_POWER</v>
      </c>
    </row>
    <row r="5718" spans="1:20" ht="27" customHeight="1" x14ac:dyDescent="0.25">
      <c r="A5718" s="32" t="s">
        <v>2512</v>
      </c>
      <c r="H5718" s="8" t="s">
        <v>11791</v>
      </c>
      <c r="I5718" s="33" t="s">
        <v>11792</v>
      </c>
      <c r="J5718" s="34" t="s">
        <v>26</v>
      </c>
      <c r="K5718" s="42">
        <v>5</v>
      </c>
      <c r="L5718" s="12">
        <f t="shared" si="481"/>
        <v>10</v>
      </c>
      <c r="M5718" s="8">
        <v>1</v>
      </c>
      <c r="N5718" s="8" t="s">
        <v>27</v>
      </c>
      <c r="O5718" s="13"/>
      <c r="P5718" s="14">
        <v>0.2</v>
      </c>
      <c r="Q5718" s="15">
        <v>0.4</v>
      </c>
      <c r="R5718" s="16" t="str">
        <f t="shared" si="480"/>
        <v>GENERAL</v>
      </c>
      <c r="S5718" s="52" t="str">
        <f t="shared" si="482"/>
        <v>GENERAL</v>
      </c>
    </row>
    <row r="5719" spans="1:20" ht="27" customHeight="1" x14ac:dyDescent="0.25">
      <c r="A5719" s="32" t="s">
        <v>657</v>
      </c>
      <c r="H5719" s="8" t="s">
        <v>11793</v>
      </c>
      <c r="I5719" s="33" t="s">
        <v>11794</v>
      </c>
      <c r="J5719" s="34" t="s">
        <v>26</v>
      </c>
      <c r="K5719" s="42">
        <v>839.5</v>
      </c>
      <c r="L5719" s="12">
        <f t="shared" si="481"/>
        <v>1199.2857142857144</v>
      </c>
      <c r="M5719" s="8">
        <v>1</v>
      </c>
      <c r="N5719" s="8" t="s">
        <v>27</v>
      </c>
      <c r="O5719" s="13"/>
      <c r="P5719" s="14">
        <v>0</v>
      </c>
      <c r="Q5719" s="15">
        <v>0.3</v>
      </c>
      <c r="R5719" s="16" t="str">
        <f t="shared" si="480"/>
        <v>ATLONA</v>
      </c>
      <c r="S5719" s="52" t="str">
        <f t="shared" si="482"/>
        <v>ATLONA</v>
      </c>
    </row>
    <row r="5720" spans="1:20" ht="27" customHeight="1" x14ac:dyDescent="0.25">
      <c r="A5720" s="32" t="s">
        <v>9426</v>
      </c>
      <c r="H5720" s="8" t="s">
        <v>11795</v>
      </c>
      <c r="I5720" s="33" t="s">
        <v>11796</v>
      </c>
      <c r="J5720" s="34" t="s">
        <v>33</v>
      </c>
      <c r="K5720" s="42">
        <v>35550</v>
      </c>
      <c r="L5720" s="12">
        <f t="shared" si="481"/>
        <v>59250</v>
      </c>
      <c r="M5720" s="8">
        <v>1</v>
      </c>
      <c r="N5720" s="8" t="s">
        <v>27</v>
      </c>
      <c r="O5720" s="13"/>
      <c r="P5720" s="14">
        <v>0</v>
      </c>
      <c r="Q5720" s="15">
        <v>0.4</v>
      </c>
      <c r="R5720" s="16" t="str">
        <f t="shared" si="480"/>
        <v>UNIVERSAL</v>
      </c>
      <c r="S5720" s="52" t="str">
        <f t="shared" si="482"/>
        <v>UNIVERSAL</v>
      </c>
    </row>
    <row r="5721" spans="1:20" ht="27" customHeight="1" x14ac:dyDescent="0.25">
      <c r="A5721" s="32" t="s">
        <v>9967</v>
      </c>
      <c r="H5721" s="8" t="s">
        <v>9968</v>
      </c>
      <c r="I5721" s="33" t="s">
        <v>11797</v>
      </c>
      <c r="J5721" s="34" t="s">
        <v>33</v>
      </c>
      <c r="K5721" s="42">
        <v>30000</v>
      </c>
      <c r="L5721" s="12">
        <f t="shared" si="481"/>
        <v>60000</v>
      </c>
      <c r="M5721" s="8">
        <v>1</v>
      </c>
      <c r="N5721" s="8" t="s">
        <v>27</v>
      </c>
      <c r="O5721" s="13"/>
      <c r="P5721" s="14">
        <v>0</v>
      </c>
      <c r="Q5721" s="15">
        <v>0.5</v>
      </c>
      <c r="R5721" s="16" t="str">
        <f t="shared" si="480"/>
        <v>SCANDISK</v>
      </c>
      <c r="S5721" s="52" t="str">
        <f t="shared" si="482"/>
        <v>SCANDISK</v>
      </c>
    </row>
    <row r="5722" spans="1:20" ht="27" customHeight="1" x14ac:dyDescent="0.25">
      <c r="A5722" s="32" t="s">
        <v>2512</v>
      </c>
      <c r="H5722" s="8" t="s">
        <v>11798</v>
      </c>
      <c r="I5722" s="33" t="s">
        <v>11799</v>
      </c>
      <c r="J5722" s="34" t="s">
        <v>33</v>
      </c>
      <c r="K5722" s="42">
        <v>12000</v>
      </c>
      <c r="L5722" s="12">
        <f t="shared" si="481"/>
        <v>24000</v>
      </c>
      <c r="M5722" s="8">
        <v>1</v>
      </c>
      <c r="N5722" s="8" t="s">
        <v>27</v>
      </c>
      <c r="O5722" s="13"/>
      <c r="P5722" s="14">
        <v>0</v>
      </c>
      <c r="Q5722" s="15">
        <v>0.5</v>
      </c>
      <c r="R5722" s="16" t="str">
        <f t="shared" si="480"/>
        <v>GENERAL</v>
      </c>
      <c r="S5722" s="52" t="str">
        <f t="shared" si="482"/>
        <v>GENERAL</v>
      </c>
    </row>
    <row r="5723" spans="1:20" ht="27" customHeight="1" x14ac:dyDescent="0.25">
      <c r="A5723" s="32" t="s">
        <v>10367</v>
      </c>
      <c r="H5723" s="8" t="s">
        <v>11800</v>
      </c>
      <c r="I5723" s="33" t="s">
        <v>11801</v>
      </c>
      <c r="J5723" s="34" t="s">
        <v>33</v>
      </c>
      <c r="K5723" s="42">
        <v>3000</v>
      </c>
      <c r="L5723" s="12">
        <f t="shared" si="481"/>
        <v>6000</v>
      </c>
      <c r="M5723" s="8">
        <v>1</v>
      </c>
      <c r="N5723" s="8" t="s">
        <v>27</v>
      </c>
      <c r="O5723" s="13"/>
      <c r="P5723" s="14">
        <v>0</v>
      </c>
      <c r="Q5723" s="15">
        <v>0.5</v>
      </c>
      <c r="R5723" s="16" t="str">
        <f t="shared" si="480"/>
        <v>COOPER</v>
      </c>
      <c r="S5723" s="52" t="str">
        <f t="shared" si="482"/>
        <v>COOPER</v>
      </c>
    </row>
    <row r="5724" spans="1:20" ht="27" customHeight="1" x14ac:dyDescent="0.25">
      <c r="A5724" s="32" t="s">
        <v>5170</v>
      </c>
      <c r="H5724" s="8" t="s">
        <v>11802</v>
      </c>
      <c r="I5724" s="33" t="s">
        <v>11803</v>
      </c>
      <c r="J5724" s="34" t="s">
        <v>33</v>
      </c>
      <c r="K5724" s="42">
        <v>19800</v>
      </c>
      <c r="L5724" s="12">
        <f t="shared" si="481"/>
        <v>39600</v>
      </c>
      <c r="M5724" s="8">
        <v>1</v>
      </c>
      <c r="N5724" s="8" t="s">
        <v>27</v>
      </c>
      <c r="O5724" s="13"/>
      <c r="P5724" s="14">
        <v>0</v>
      </c>
      <c r="Q5724" s="15">
        <v>0.5</v>
      </c>
      <c r="R5724" s="16" t="str">
        <f t="shared" si="480"/>
        <v>LEVITON</v>
      </c>
      <c r="S5724" s="52" t="str">
        <f t="shared" si="482"/>
        <v>LEVITON</v>
      </c>
    </row>
    <row r="5725" spans="1:20" ht="27" customHeight="1" x14ac:dyDescent="0.25">
      <c r="A5725" s="32" t="s">
        <v>11804</v>
      </c>
      <c r="H5725" s="8" t="s">
        <v>11805</v>
      </c>
      <c r="I5725" s="33" t="s">
        <v>11806</v>
      </c>
      <c r="J5725" s="34" t="s">
        <v>26</v>
      </c>
      <c r="K5725" s="42">
        <v>56</v>
      </c>
      <c r="L5725" s="12">
        <f t="shared" si="481"/>
        <v>96.000000000000014</v>
      </c>
      <c r="M5725" s="8">
        <v>1</v>
      </c>
      <c r="N5725" s="8" t="s">
        <v>27</v>
      </c>
      <c r="O5725" s="13"/>
      <c r="P5725" s="14">
        <v>0.2</v>
      </c>
      <c r="Q5725" s="15">
        <v>0.3</v>
      </c>
      <c r="R5725" s="16" t="str">
        <f t="shared" si="480"/>
        <v>WEBANG</v>
      </c>
      <c r="S5725" s="52" t="str">
        <f t="shared" si="482"/>
        <v>WEBANG</v>
      </c>
      <c r="T5725" s="39" t="s">
        <v>11807</v>
      </c>
    </row>
    <row r="5726" spans="1:20" ht="27" customHeight="1" x14ac:dyDescent="0.25">
      <c r="A5726" s="32" t="s">
        <v>11808</v>
      </c>
      <c r="H5726" s="8" t="s">
        <v>11809</v>
      </c>
      <c r="I5726" s="33" t="s">
        <v>11810</v>
      </c>
      <c r="J5726" s="34" t="s">
        <v>26</v>
      </c>
      <c r="K5726" s="42">
        <v>378</v>
      </c>
      <c r="L5726" s="12">
        <f t="shared" si="481"/>
        <v>756</v>
      </c>
      <c r="M5726" s="8">
        <v>1</v>
      </c>
      <c r="N5726" s="8" t="s">
        <v>27</v>
      </c>
      <c r="O5726" s="13"/>
      <c r="P5726" s="14">
        <v>0.2</v>
      </c>
      <c r="Q5726" s="15">
        <v>0.4</v>
      </c>
      <c r="R5726" s="16" t="str">
        <f t="shared" si="480"/>
        <v>POLK</v>
      </c>
      <c r="S5726" s="52" t="str">
        <f t="shared" si="482"/>
        <v>POLK</v>
      </c>
    </row>
    <row r="5727" spans="1:20" ht="27" customHeight="1" x14ac:dyDescent="0.25">
      <c r="A5727" s="32" t="s">
        <v>11808</v>
      </c>
      <c r="H5727" s="8" t="s">
        <v>11811</v>
      </c>
      <c r="I5727" s="33" t="s">
        <v>11812</v>
      </c>
      <c r="J5727" s="34" t="s">
        <v>26</v>
      </c>
      <c r="K5727" s="42">
        <f>173/2</f>
        <v>86.5</v>
      </c>
      <c r="L5727" s="12">
        <f t="shared" si="481"/>
        <v>173</v>
      </c>
      <c r="M5727" s="8">
        <v>1</v>
      </c>
      <c r="N5727" s="8" t="s">
        <v>27</v>
      </c>
      <c r="O5727" s="13"/>
      <c r="P5727" s="14">
        <v>0.2</v>
      </c>
      <c r="Q5727" s="15">
        <v>0.4</v>
      </c>
      <c r="R5727" s="16" t="str">
        <f t="shared" si="480"/>
        <v>POLK</v>
      </c>
      <c r="S5727" s="52" t="str">
        <f t="shared" si="482"/>
        <v>POLK</v>
      </c>
    </row>
    <row r="5728" spans="1:20" ht="27" customHeight="1" x14ac:dyDescent="0.25">
      <c r="A5728" s="32" t="s">
        <v>11808</v>
      </c>
      <c r="H5728" s="8" t="s">
        <v>11813</v>
      </c>
      <c r="I5728" s="33" t="s">
        <v>11814</v>
      </c>
      <c r="J5728" s="34" t="s">
        <v>26</v>
      </c>
      <c r="K5728" s="42">
        <v>173</v>
      </c>
      <c r="L5728" s="12">
        <f t="shared" si="481"/>
        <v>346</v>
      </c>
      <c r="M5728" s="8">
        <v>1</v>
      </c>
      <c r="N5728" s="8" t="s">
        <v>27</v>
      </c>
      <c r="O5728" s="13"/>
      <c r="P5728" s="14">
        <v>0.2</v>
      </c>
      <c r="Q5728" s="15">
        <v>0.4</v>
      </c>
      <c r="R5728" s="16" t="str">
        <f t="shared" si="480"/>
        <v>POLK</v>
      </c>
      <c r="S5728" s="52" t="str">
        <f t="shared" si="482"/>
        <v>POLK</v>
      </c>
    </row>
    <row r="5729" spans="1:20" ht="27" customHeight="1" x14ac:dyDescent="0.25">
      <c r="A5729" s="32" t="s">
        <v>9426</v>
      </c>
      <c r="H5729" s="8" t="s">
        <v>11815</v>
      </c>
      <c r="I5729" s="33" t="s">
        <v>11816</v>
      </c>
      <c r="J5729" s="34" t="s">
        <v>33</v>
      </c>
      <c r="R5729" s="40" t="str">
        <f t="shared" si="480"/>
        <v>UNIVERSAL</v>
      </c>
      <c r="S5729" s="52" t="str">
        <f t="shared" si="482"/>
        <v>UNIVERSAL</v>
      </c>
    </row>
    <row r="5730" spans="1:20" ht="27" customHeight="1" x14ac:dyDescent="0.25">
      <c r="A5730" s="32" t="s">
        <v>7930</v>
      </c>
      <c r="H5730" s="8" t="s">
        <v>11817</v>
      </c>
      <c r="I5730" s="33" t="s">
        <v>11818</v>
      </c>
      <c r="J5730" s="34" t="s">
        <v>33</v>
      </c>
      <c r="K5730" s="42">
        <v>1071000</v>
      </c>
      <c r="L5730" s="12">
        <f>K5730*(1+P5730)/(1-Q5730)</f>
        <v>1530000</v>
      </c>
      <c r="M5730" s="8">
        <v>1</v>
      </c>
      <c r="N5730" s="8" t="s">
        <v>27</v>
      </c>
      <c r="O5730" s="13"/>
      <c r="P5730" s="14">
        <v>0</v>
      </c>
      <c r="Q5730" s="15">
        <v>0.3</v>
      </c>
      <c r="R5730" s="16" t="str">
        <f t="shared" si="480"/>
        <v>RGB</v>
      </c>
      <c r="S5730" s="52" t="str">
        <f t="shared" si="482"/>
        <v>RGB</v>
      </c>
    </row>
    <row r="5731" spans="1:20" ht="27" customHeight="1" x14ac:dyDescent="0.25">
      <c r="A5731" s="32" t="s">
        <v>10533</v>
      </c>
      <c r="H5731" s="8" t="s">
        <v>11819</v>
      </c>
      <c r="I5731" s="33" t="s">
        <v>11820</v>
      </c>
      <c r="J5731" s="34" t="s">
        <v>26</v>
      </c>
      <c r="K5731" s="42">
        <v>15</v>
      </c>
      <c r="L5731" s="12">
        <f>K5731*(1+P5731)/(1-Q5731)</f>
        <v>25.714285714285715</v>
      </c>
      <c r="M5731" s="8">
        <v>1</v>
      </c>
      <c r="N5731" s="8" t="s">
        <v>27</v>
      </c>
      <c r="O5731" s="13"/>
      <c r="P5731" s="14">
        <v>0.2</v>
      </c>
      <c r="Q5731" s="15">
        <v>0.3</v>
      </c>
      <c r="R5731" s="16" t="str">
        <f t="shared" si="480"/>
        <v>QLEE</v>
      </c>
      <c r="S5731" s="52" t="str">
        <f t="shared" si="482"/>
        <v>QLEE</v>
      </c>
      <c r="T5731" s="39" t="s">
        <v>11821</v>
      </c>
    </row>
    <row r="5732" spans="1:20" ht="27" customHeight="1" x14ac:dyDescent="0.25">
      <c r="A5732" s="32" t="s">
        <v>8836</v>
      </c>
      <c r="H5732" s="8" t="s">
        <v>11822</v>
      </c>
      <c r="I5732" s="33" t="s">
        <v>11823</v>
      </c>
      <c r="J5732" s="34" t="s">
        <v>26</v>
      </c>
      <c r="K5732" s="42">
        <v>99000</v>
      </c>
      <c r="L5732" s="12">
        <f>K5732*(1+P5732)/(1-Q5732)</f>
        <v>141428.57142857145</v>
      </c>
      <c r="M5732" s="8">
        <v>1</v>
      </c>
      <c r="N5732" s="8" t="s">
        <v>27</v>
      </c>
      <c r="O5732" s="13"/>
      <c r="P5732" s="14">
        <v>0</v>
      </c>
      <c r="Q5732" s="15">
        <v>0.3</v>
      </c>
      <c r="R5732" s="16" t="str">
        <f t="shared" si="480"/>
        <v>TECNOLITE</v>
      </c>
      <c r="S5732" s="52" t="str">
        <f t="shared" si="482"/>
        <v>TECNOLITE</v>
      </c>
    </row>
    <row r="5733" spans="1:20" ht="27" customHeight="1" x14ac:dyDescent="0.25">
      <c r="A5733" s="32" t="s">
        <v>5672</v>
      </c>
      <c r="H5733" s="8" t="s">
        <v>11824</v>
      </c>
      <c r="I5733" s="33" t="s">
        <v>11825</v>
      </c>
      <c r="J5733" s="34" t="s">
        <v>26</v>
      </c>
      <c r="K5733" s="42">
        <v>40</v>
      </c>
      <c r="L5733" s="12">
        <f>K5733*(1+P5733)/(1-Q5733)</f>
        <v>68.571428571428569</v>
      </c>
      <c r="M5733" s="8">
        <v>1</v>
      </c>
      <c r="N5733" s="8" t="s">
        <v>27</v>
      </c>
      <c r="O5733" s="13"/>
      <c r="P5733" s="14">
        <v>0.2</v>
      </c>
      <c r="Q5733" s="15">
        <v>0.3</v>
      </c>
      <c r="R5733" s="16" t="str">
        <f t="shared" si="480"/>
        <v>LUTRON</v>
      </c>
      <c r="S5733" s="52" t="str">
        <f t="shared" si="482"/>
        <v>LUTRON</v>
      </c>
    </row>
    <row r="5734" spans="1:20" ht="27" customHeight="1" x14ac:dyDescent="0.25">
      <c r="A5734" s="8" t="s">
        <v>3977</v>
      </c>
      <c r="B5734" s="9"/>
      <c r="C5734" s="9"/>
      <c r="D5734" s="8"/>
      <c r="E5734" s="8"/>
      <c r="F5734" s="8"/>
      <c r="G5734" s="10"/>
      <c r="H5734" s="8" t="s">
        <v>11826</v>
      </c>
      <c r="I5734" s="10" t="s">
        <v>11827</v>
      </c>
      <c r="J5734" s="11" t="s">
        <v>33</v>
      </c>
      <c r="K5734" s="18">
        <v>35000</v>
      </c>
      <c r="L5734" s="12">
        <f>ROUNDUP(K5734*(1+P5734)/(1-Q5734),0)</f>
        <v>50000</v>
      </c>
      <c r="M5734" s="8">
        <v>1</v>
      </c>
      <c r="N5734" s="8" t="s">
        <v>27</v>
      </c>
      <c r="O5734" s="13"/>
      <c r="P5734" s="14">
        <v>0</v>
      </c>
      <c r="Q5734" s="15">
        <v>0.3</v>
      </c>
      <c r="R5734" s="16" t="str">
        <f t="shared" si="480"/>
        <v>KOMODO</v>
      </c>
      <c r="S5734" s="17"/>
    </row>
    <row r="5735" spans="1:20" ht="27" customHeight="1" x14ac:dyDescent="0.25">
      <c r="A5735" s="32" t="s">
        <v>2512</v>
      </c>
      <c r="H5735" s="8" t="s">
        <v>11828</v>
      </c>
      <c r="I5735" s="33" t="s">
        <v>11829</v>
      </c>
      <c r="J5735" s="34" t="s">
        <v>33</v>
      </c>
      <c r="K5735" s="42">
        <v>3950</v>
      </c>
      <c r="L5735" s="12">
        <f>ROUNDUP(K5735*(1+P5735)/(1-Q5735),0)</f>
        <v>7900</v>
      </c>
      <c r="M5735" s="8">
        <v>1</v>
      </c>
      <c r="N5735" s="8" t="s">
        <v>27</v>
      </c>
      <c r="O5735" s="13"/>
      <c r="P5735" s="14">
        <v>0</v>
      </c>
      <c r="Q5735" s="15">
        <v>0.5</v>
      </c>
      <c r="R5735" s="16" t="str">
        <f t="shared" si="480"/>
        <v>GENERAL</v>
      </c>
    </row>
    <row r="5736" spans="1:20" ht="27" customHeight="1" x14ac:dyDescent="0.25">
      <c r="A5736" s="66" t="s">
        <v>1561</v>
      </c>
      <c r="H5736" s="8" t="s">
        <v>11830</v>
      </c>
      <c r="I5736" s="33" t="s">
        <v>11831</v>
      </c>
      <c r="J5736" s="34" t="s">
        <v>33</v>
      </c>
      <c r="K5736" s="42">
        <v>773822.5</v>
      </c>
      <c r="L5736" s="12">
        <f>IF(J5736="P",ROUNDUP(K5736/(1-Q5736),-2),K5736*(1+P5736)/(1-Q5736))</f>
        <v>1289800</v>
      </c>
      <c r="M5736" s="8">
        <v>1</v>
      </c>
      <c r="N5736" s="8" t="s">
        <v>27</v>
      </c>
      <c r="O5736" s="13"/>
      <c r="P5736" s="14">
        <v>0</v>
      </c>
      <c r="Q5736" s="15">
        <v>0.4</v>
      </c>
      <c r="R5736" s="16" t="str">
        <f t="shared" si="480"/>
        <v>DAHUA</v>
      </c>
    </row>
    <row r="5737" spans="1:20" ht="27" customHeight="1" x14ac:dyDescent="0.25">
      <c r="A5737" s="66" t="s">
        <v>1561</v>
      </c>
      <c r="H5737" s="8" t="s">
        <v>11832</v>
      </c>
      <c r="I5737" s="33" t="s">
        <v>11833</v>
      </c>
      <c r="J5737" s="34" t="s">
        <v>33</v>
      </c>
      <c r="K5737" s="42">
        <v>162959</v>
      </c>
      <c r="L5737" s="12">
        <f>IF(J5737="P",ROUNDUP(K5737/(1-Q5737),-2),K5737*(1+P5737)/(1-Q5737))</f>
        <v>271600</v>
      </c>
      <c r="M5737" s="8">
        <v>1</v>
      </c>
      <c r="N5737" s="8" t="s">
        <v>27</v>
      </c>
      <c r="O5737" s="13"/>
      <c r="P5737" s="14">
        <v>0</v>
      </c>
      <c r="Q5737" s="15">
        <v>0.4</v>
      </c>
      <c r="R5737" s="16" t="str">
        <f t="shared" si="480"/>
        <v>DAHUA</v>
      </c>
    </row>
    <row r="5738" spans="1:20" ht="27" customHeight="1" x14ac:dyDescent="0.25">
      <c r="A5738" s="32" t="s">
        <v>3977</v>
      </c>
      <c r="H5738" s="8" t="s">
        <v>11834</v>
      </c>
      <c r="I5738" s="33" t="s">
        <v>11835</v>
      </c>
      <c r="J5738" s="34" t="s">
        <v>33</v>
      </c>
      <c r="K5738" s="42">
        <v>80000</v>
      </c>
      <c r="L5738" s="12">
        <f>IF(J5738="P",ROUNDUP(K5738/(1-Q5738),-2),K5738*(1+P5738)/(1-Q5738))</f>
        <v>133400</v>
      </c>
      <c r="M5738" s="8">
        <v>1</v>
      </c>
      <c r="N5738" s="8" t="s">
        <v>27</v>
      </c>
      <c r="O5738" s="13"/>
      <c r="P5738" s="14">
        <v>0</v>
      </c>
      <c r="Q5738" s="15">
        <v>0.4</v>
      </c>
      <c r="R5738" s="16" t="str">
        <f t="shared" si="480"/>
        <v>KOMODO</v>
      </c>
    </row>
    <row r="5739" spans="1:20" ht="27" customHeight="1" x14ac:dyDescent="0.25">
      <c r="A5739" s="32" t="s">
        <v>2467</v>
      </c>
      <c r="H5739" s="8" t="s">
        <v>11836</v>
      </c>
      <c r="I5739" s="33" t="s">
        <v>11837</v>
      </c>
      <c r="J5739" s="34" t="s">
        <v>26</v>
      </c>
      <c r="K5739" s="42">
        <v>666</v>
      </c>
      <c r="L5739" s="12">
        <f>IF(J5739="P",ROUNDUP(K5739/(1-Q5739),-2),K5739*(1+P5739)/(1-Q5739))</f>
        <v>1141.7142857142858</v>
      </c>
      <c r="M5739" s="8">
        <v>1</v>
      </c>
      <c r="N5739" s="8" t="s">
        <v>27</v>
      </c>
      <c r="O5739" s="13"/>
      <c r="P5739" s="14">
        <v>0.2</v>
      </c>
      <c r="Q5739" s="15">
        <v>0.3</v>
      </c>
      <c r="R5739" s="16" t="str">
        <f t="shared" si="480"/>
        <v>GEFEN</v>
      </c>
    </row>
    <row r="5740" spans="1:20" ht="27" customHeight="1" x14ac:dyDescent="0.25">
      <c r="A5740" s="32" t="s">
        <v>8478</v>
      </c>
      <c r="H5740" s="8" t="s">
        <v>11838</v>
      </c>
      <c r="I5740" s="33" t="s">
        <v>11839</v>
      </c>
      <c r="J5740" s="34" t="s">
        <v>33</v>
      </c>
      <c r="K5740" s="42">
        <v>415000</v>
      </c>
      <c r="L5740" s="12">
        <f>IF(J5740="P",ROUNDUP(K5740/(1-Q5740),-2),K5740*(1+P5740)/(1-Q5740))</f>
        <v>691700</v>
      </c>
      <c r="M5740" s="8">
        <v>1</v>
      </c>
      <c r="N5740" s="8" t="s">
        <v>27</v>
      </c>
      <c r="O5740" s="13"/>
      <c r="P5740" s="14">
        <v>0</v>
      </c>
      <c r="Q5740" s="15">
        <v>0.4</v>
      </c>
      <c r="R5740" s="16" t="str">
        <f t="shared" si="480"/>
        <v>STEREN</v>
      </c>
    </row>
    <row r="5741" spans="1:20" ht="27" customHeight="1" x14ac:dyDescent="0.25">
      <c r="A5741" s="32" t="s">
        <v>1561</v>
      </c>
      <c r="H5741" s="8" t="s">
        <v>11840</v>
      </c>
      <c r="I5741" s="33" t="s">
        <v>11841</v>
      </c>
      <c r="J5741" s="34" t="s">
        <v>33</v>
      </c>
      <c r="R5741" s="40" t="str">
        <f t="shared" si="480"/>
        <v>DAHUA</v>
      </c>
    </row>
    <row r="5742" spans="1:20" ht="27" customHeight="1" x14ac:dyDescent="0.25">
      <c r="A5742" s="32" t="s">
        <v>3977</v>
      </c>
      <c r="H5742" s="8" t="s">
        <v>11842</v>
      </c>
      <c r="I5742" s="33" t="s">
        <v>11843</v>
      </c>
      <c r="J5742" s="34" t="s">
        <v>33</v>
      </c>
      <c r="K5742" s="42">
        <v>55000</v>
      </c>
      <c r="L5742" s="12">
        <f t="shared" ref="L5742:L5747" si="483">IF(J5742="P",ROUNDUP(K5742/(1-Q5742),-2),K5742*(1+P5742)/(1-Q5742))</f>
        <v>91700</v>
      </c>
      <c r="M5742" s="8">
        <v>1</v>
      </c>
      <c r="N5742" s="8" t="s">
        <v>27</v>
      </c>
      <c r="O5742" s="13"/>
      <c r="P5742" s="14">
        <v>0</v>
      </c>
      <c r="Q5742" s="15">
        <v>0.4</v>
      </c>
      <c r="R5742" s="16" t="str">
        <f t="shared" si="480"/>
        <v>KOMODO</v>
      </c>
    </row>
    <row r="5743" spans="1:20" ht="27" customHeight="1" x14ac:dyDescent="0.25">
      <c r="A5743" s="32" t="s">
        <v>1561</v>
      </c>
      <c r="H5743" s="8" t="s">
        <v>11844</v>
      </c>
      <c r="I5743" s="33" t="s">
        <v>11845</v>
      </c>
      <c r="J5743" s="34" t="s">
        <v>33</v>
      </c>
      <c r="K5743" s="42">
        <v>374440</v>
      </c>
      <c r="L5743" s="12">
        <f t="shared" si="483"/>
        <v>624100</v>
      </c>
      <c r="M5743" s="8">
        <v>1</v>
      </c>
      <c r="N5743" s="8" t="s">
        <v>27</v>
      </c>
      <c r="O5743" s="13"/>
      <c r="P5743" s="14">
        <v>0</v>
      </c>
      <c r="Q5743" s="15">
        <v>0.4</v>
      </c>
      <c r="R5743" s="16" t="str">
        <f t="shared" ref="R5743:R5806" si="484">A5743</f>
        <v>DAHUA</v>
      </c>
    </row>
    <row r="5744" spans="1:20" ht="27" customHeight="1" x14ac:dyDescent="0.25">
      <c r="A5744" s="32" t="s">
        <v>9208</v>
      </c>
      <c r="H5744" s="8" t="s">
        <v>11846</v>
      </c>
      <c r="I5744" s="33" t="s">
        <v>11847</v>
      </c>
      <c r="J5744" s="34" t="s">
        <v>33</v>
      </c>
      <c r="K5744" s="42">
        <v>306200</v>
      </c>
      <c r="L5744" s="12">
        <f t="shared" si="483"/>
        <v>510400</v>
      </c>
      <c r="M5744" s="8">
        <v>1</v>
      </c>
      <c r="N5744" s="8" t="s">
        <v>27</v>
      </c>
      <c r="O5744" s="13"/>
      <c r="P5744" s="14">
        <v>0</v>
      </c>
      <c r="Q5744" s="15">
        <v>0.4</v>
      </c>
      <c r="R5744" s="16" t="str">
        <f t="shared" si="484"/>
        <v>TENDA</v>
      </c>
    </row>
    <row r="5745" spans="1:18" ht="27" customHeight="1" x14ac:dyDescent="0.25">
      <c r="A5745" s="32" t="s">
        <v>2286</v>
      </c>
      <c r="H5745" s="8" t="s">
        <v>11848</v>
      </c>
      <c r="I5745" s="33" t="s">
        <v>11849</v>
      </c>
      <c r="J5745" s="34" t="s">
        <v>33</v>
      </c>
      <c r="K5745" s="42">
        <v>396715</v>
      </c>
      <c r="L5745" s="12">
        <f t="shared" si="483"/>
        <v>661200</v>
      </c>
      <c r="M5745" s="8">
        <v>1</v>
      </c>
      <c r="N5745" s="8" t="s">
        <v>27</v>
      </c>
      <c r="O5745" s="13"/>
      <c r="P5745" s="14">
        <v>0</v>
      </c>
      <c r="Q5745" s="15">
        <v>0.4</v>
      </c>
      <c r="R5745" s="16" t="str">
        <f t="shared" si="484"/>
        <v>ENERLINE</v>
      </c>
    </row>
    <row r="5746" spans="1:18" ht="27" customHeight="1" x14ac:dyDescent="0.25">
      <c r="A5746" s="32" t="s">
        <v>9546</v>
      </c>
      <c r="H5746" s="8" t="s">
        <v>11850</v>
      </c>
      <c r="I5746" s="33" t="s">
        <v>11851</v>
      </c>
      <c r="J5746" s="34" t="s">
        <v>33</v>
      </c>
      <c r="K5746" s="42">
        <v>744000</v>
      </c>
      <c r="L5746" s="12">
        <f t="shared" si="483"/>
        <v>1240000</v>
      </c>
      <c r="M5746" s="8">
        <v>1</v>
      </c>
      <c r="N5746" s="8" t="s">
        <v>27</v>
      </c>
      <c r="O5746" s="13"/>
      <c r="P5746" s="14">
        <v>0</v>
      </c>
      <c r="Q5746" s="15">
        <v>0.4</v>
      </c>
      <c r="R5746" s="16" t="str">
        <f t="shared" si="484"/>
        <v>WD</v>
      </c>
    </row>
    <row r="5747" spans="1:18" ht="27" customHeight="1" x14ac:dyDescent="0.25">
      <c r="A5747" s="32" t="s">
        <v>7761</v>
      </c>
      <c r="H5747" s="8" t="s">
        <v>11852</v>
      </c>
      <c r="I5747" s="33" t="s">
        <v>11853</v>
      </c>
      <c r="J5747" s="34" t="s">
        <v>33</v>
      </c>
      <c r="K5747" s="42">
        <v>313700</v>
      </c>
      <c r="L5747" s="12">
        <f t="shared" si="483"/>
        <v>448200</v>
      </c>
      <c r="M5747" s="8">
        <v>1</v>
      </c>
      <c r="N5747" s="8" t="s">
        <v>27</v>
      </c>
      <c r="O5747" s="13"/>
      <c r="P5747" s="14">
        <v>0</v>
      </c>
      <c r="Q5747" s="15">
        <v>0.3</v>
      </c>
      <c r="R5747" s="16" t="str">
        <f t="shared" si="484"/>
        <v>POWEST</v>
      </c>
    </row>
    <row r="5748" spans="1:18" ht="27" customHeight="1" x14ac:dyDescent="0.25">
      <c r="A5748" s="32" t="s">
        <v>8308</v>
      </c>
      <c r="H5748" s="8" t="s">
        <v>11854</v>
      </c>
      <c r="I5748" s="33" t="s">
        <v>11855</v>
      </c>
      <c r="J5748" s="34" t="s">
        <v>33</v>
      </c>
      <c r="K5748" s="42">
        <v>311000</v>
      </c>
      <c r="L5748" s="12">
        <f t="shared" ref="L5748:L5782" si="485">K5748*(1+P5748)/(1-Q5748)</f>
        <v>444285.71428571432</v>
      </c>
      <c r="M5748" s="8">
        <v>1</v>
      </c>
      <c r="N5748" s="8" t="s">
        <v>27</v>
      </c>
      <c r="O5748" s="13"/>
      <c r="P5748" s="14">
        <v>0</v>
      </c>
      <c r="Q5748" s="15">
        <v>0.3</v>
      </c>
      <c r="R5748" s="16" t="str">
        <f t="shared" si="484"/>
        <v>SOLIDVIEW</v>
      </c>
    </row>
    <row r="5749" spans="1:18" ht="27" customHeight="1" x14ac:dyDescent="0.25">
      <c r="A5749" s="32" t="s">
        <v>11856</v>
      </c>
      <c r="H5749" s="8" t="s">
        <v>11857</v>
      </c>
      <c r="I5749" s="33" t="s">
        <v>11858</v>
      </c>
      <c r="J5749" s="34" t="s">
        <v>26</v>
      </c>
      <c r="K5749" s="42">
        <v>50</v>
      </c>
      <c r="L5749" s="12">
        <f t="shared" si="485"/>
        <v>71.428571428571431</v>
      </c>
      <c r="M5749" s="8">
        <v>1</v>
      </c>
      <c r="N5749" s="8" t="s">
        <v>27</v>
      </c>
      <c r="O5749" s="13"/>
      <c r="P5749" s="14">
        <v>0</v>
      </c>
      <c r="Q5749" s="15">
        <v>0.3</v>
      </c>
      <c r="R5749" s="16" t="str">
        <f t="shared" si="484"/>
        <v>PAUTIX</v>
      </c>
    </row>
    <row r="5750" spans="1:18" ht="27" customHeight="1" x14ac:dyDescent="0.25">
      <c r="A5750" s="32" t="s">
        <v>10356</v>
      </c>
      <c r="H5750" s="8">
        <v>6298</v>
      </c>
      <c r="I5750" s="33" t="s">
        <v>11859</v>
      </c>
      <c r="J5750" s="34" t="s">
        <v>33</v>
      </c>
      <c r="K5750" s="42">
        <v>680110</v>
      </c>
      <c r="L5750" s="12">
        <f t="shared" si="485"/>
        <v>971585.71428571432</v>
      </c>
      <c r="M5750" s="8">
        <v>1</v>
      </c>
      <c r="N5750" s="8" t="s">
        <v>27</v>
      </c>
      <c r="O5750" s="13"/>
      <c r="P5750" s="14">
        <v>0</v>
      </c>
      <c r="Q5750" s="15">
        <v>0.3</v>
      </c>
      <c r="R5750" s="16" t="str">
        <f t="shared" si="484"/>
        <v>LUXYCON</v>
      </c>
    </row>
    <row r="5751" spans="1:18" ht="27" customHeight="1" x14ac:dyDescent="0.25">
      <c r="A5751" s="32" t="s">
        <v>10356</v>
      </c>
      <c r="H5751" s="8">
        <v>64679</v>
      </c>
      <c r="I5751" s="33" t="s">
        <v>11860</v>
      </c>
      <c r="J5751" s="34" t="s">
        <v>33</v>
      </c>
      <c r="K5751" s="42">
        <v>693745</v>
      </c>
      <c r="L5751" s="12">
        <f t="shared" si="485"/>
        <v>991064.2857142858</v>
      </c>
      <c r="M5751" s="8">
        <v>1</v>
      </c>
      <c r="N5751" s="8" t="s">
        <v>27</v>
      </c>
      <c r="O5751" s="13"/>
      <c r="P5751" s="14">
        <v>0</v>
      </c>
      <c r="Q5751" s="15">
        <v>0.3</v>
      </c>
      <c r="R5751" s="16" t="str">
        <f t="shared" si="484"/>
        <v>LUXYCON</v>
      </c>
    </row>
    <row r="5752" spans="1:18" ht="27" customHeight="1" x14ac:dyDescent="0.25">
      <c r="A5752" s="32" t="s">
        <v>10356</v>
      </c>
      <c r="H5752" s="8">
        <v>69904</v>
      </c>
      <c r="I5752" s="33" t="s">
        <v>11861</v>
      </c>
      <c r="J5752" s="34" t="s">
        <v>33</v>
      </c>
      <c r="K5752" s="42">
        <v>622910</v>
      </c>
      <c r="L5752" s="12">
        <f t="shared" si="485"/>
        <v>889871.42857142864</v>
      </c>
      <c r="M5752" s="8">
        <v>1</v>
      </c>
      <c r="N5752" s="8" t="s">
        <v>27</v>
      </c>
      <c r="O5752" s="13"/>
      <c r="P5752" s="14">
        <v>0</v>
      </c>
      <c r="Q5752" s="15">
        <v>0.3</v>
      </c>
      <c r="R5752" s="16" t="str">
        <f t="shared" si="484"/>
        <v>LUXYCON</v>
      </c>
    </row>
    <row r="5753" spans="1:18" ht="27" customHeight="1" x14ac:dyDescent="0.25">
      <c r="A5753" s="32" t="s">
        <v>10356</v>
      </c>
      <c r="H5753" s="8">
        <v>69925</v>
      </c>
      <c r="I5753" s="33" t="s">
        <v>11862</v>
      </c>
      <c r="J5753" s="34" t="s">
        <v>33</v>
      </c>
      <c r="K5753" s="42">
        <v>594036</v>
      </c>
      <c r="L5753" s="12">
        <f t="shared" si="485"/>
        <v>848622.85714285716</v>
      </c>
      <c r="M5753" s="8">
        <v>1</v>
      </c>
      <c r="N5753" s="8" t="s">
        <v>27</v>
      </c>
      <c r="O5753" s="13"/>
      <c r="P5753" s="14">
        <v>0</v>
      </c>
      <c r="Q5753" s="15">
        <v>0.3</v>
      </c>
      <c r="R5753" s="16" t="str">
        <f t="shared" si="484"/>
        <v>LUXYCON</v>
      </c>
    </row>
    <row r="5754" spans="1:18" ht="27" customHeight="1" x14ac:dyDescent="0.25">
      <c r="A5754" s="32" t="s">
        <v>10356</v>
      </c>
      <c r="H5754" s="8">
        <v>64695</v>
      </c>
      <c r="I5754" s="33" t="s">
        <v>11863</v>
      </c>
      <c r="J5754" s="34" t="s">
        <v>33</v>
      </c>
      <c r="K5754" s="42">
        <v>586626</v>
      </c>
      <c r="L5754" s="12">
        <f t="shared" si="485"/>
        <v>838037.14285714296</v>
      </c>
      <c r="M5754" s="8">
        <v>1</v>
      </c>
      <c r="N5754" s="8" t="s">
        <v>27</v>
      </c>
      <c r="O5754" s="13"/>
      <c r="P5754" s="14">
        <v>0</v>
      </c>
      <c r="Q5754" s="15">
        <v>0.3</v>
      </c>
      <c r="R5754" s="16" t="str">
        <f t="shared" si="484"/>
        <v>LUXYCON</v>
      </c>
    </row>
    <row r="5755" spans="1:18" ht="27" customHeight="1" x14ac:dyDescent="0.25">
      <c r="A5755" s="32" t="s">
        <v>10356</v>
      </c>
      <c r="H5755" s="8">
        <v>64722</v>
      </c>
      <c r="I5755" s="33" t="s">
        <v>11864</v>
      </c>
      <c r="J5755" s="34" t="s">
        <v>33</v>
      </c>
      <c r="K5755" s="42">
        <v>527529</v>
      </c>
      <c r="L5755" s="12">
        <f t="shared" si="485"/>
        <v>753612.85714285716</v>
      </c>
      <c r="M5755" s="8">
        <v>1</v>
      </c>
      <c r="N5755" s="8" t="s">
        <v>27</v>
      </c>
      <c r="O5755" s="13"/>
      <c r="P5755" s="14">
        <v>0</v>
      </c>
      <c r="Q5755" s="15">
        <v>0.3</v>
      </c>
      <c r="R5755" s="16" t="str">
        <f t="shared" si="484"/>
        <v>LUXYCON</v>
      </c>
    </row>
    <row r="5756" spans="1:18" ht="27" customHeight="1" x14ac:dyDescent="0.25">
      <c r="A5756" s="32" t="s">
        <v>10356</v>
      </c>
      <c r="H5756" s="8">
        <v>69925</v>
      </c>
      <c r="I5756" s="33" t="s">
        <v>11865</v>
      </c>
      <c r="J5756" s="34" t="s">
        <v>33</v>
      </c>
      <c r="K5756" s="42">
        <v>594036</v>
      </c>
      <c r="L5756" s="12">
        <f t="shared" si="485"/>
        <v>848622.85714285716</v>
      </c>
      <c r="M5756" s="8">
        <v>1</v>
      </c>
      <c r="N5756" s="8" t="s">
        <v>27</v>
      </c>
      <c r="O5756" s="13"/>
      <c r="P5756" s="14">
        <v>0</v>
      </c>
      <c r="Q5756" s="15">
        <v>0.3</v>
      </c>
      <c r="R5756" s="16" t="str">
        <f t="shared" si="484"/>
        <v>LUXYCON</v>
      </c>
    </row>
    <row r="5757" spans="1:18" ht="27" customHeight="1" x14ac:dyDescent="0.25">
      <c r="A5757" s="32" t="s">
        <v>5170</v>
      </c>
      <c r="H5757" s="8" t="s">
        <v>11866</v>
      </c>
      <c r="I5757" t="s">
        <v>11867</v>
      </c>
      <c r="J5757" s="34" t="s">
        <v>33</v>
      </c>
      <c r="K5757" s="42">
        <v>172000</v>
      </c>
      <c r="L5757" s="12">
        <f t="shared" si="485"/>
        <v>245714.28571428574</v>
      </c>
      <c r="M5757" s="8">
        <v>1</v>
      </c>
      <c r="N5757" s="8" t="s">
        <v>27</v>
      </c>
      <c r="O5757" s="13"/>
      <c r="P5757" s="14">
        <v>0</v>
      </c>
      <c r="Q5757" s="15">
        <v>0.3</v>
      </c>
      <c r="R5757" s="16" t="str">
        <f t="shared" si="484"/>
        <v>LEVITON</v>
      </c>
    </row>
    <row r="5758" spans="1:18" ht="27" customHeight="1" x14ac:dyDescent="0.25">
      <c r="A5758" s="32" t="s">
        <v>10258</v>
      </c>
      <c r="H5758" s="8" t="s">
        <v>11868</v>
      </c>
      <c r="I5758" s="33" t="s">
        <v>11869</v>
      </c>
      <c r="J5758" s="34" t="s">
        <v>26</v>
      </c>
      <c r="K5758" s="20">
        <f>26.6/100*200</f>
        <v>53.2</v>
      </c>
      <c r="L5758" s="12">
        <f t="shared" si="485"/>
        <v>124.13333333333334</v>
      </c>
      <c r="M5758" s="8">
        <v>1</v>
      </c>
      <c r="N5758" s="8" t="s">
        <v>27</v>
      </c>
      <c r="O5758" s="13"/>
      <c r="P5758" s="14">
        <v>0.4</v>
      </c>
      <c r="Q5758" s="15">
        <v>0.4</v>
      </c>
      <c r="R5758" s="16" t="str">
        <f t="shared" si="484"/>
        <v>SC_POWER</v>
      </c>
    </row>
    <row r="5759" spans="1:18" ht="27" customHeight="1" x14ac:dyDescent="0.25">
      <c r="A5759" s="32" t="s">
        <v>10258</v>
      </c>
      <c r="H5759" s="8" t="s">
        <v>11870</v>
      </c>
      <c r="I5759" s="33" t="s">
        <v>11871</v>
      </c>
      <c r="J5759" s="34" t="s">
        <v>26</v>
      </c>
      <c r="K5759" s="20">
        <f>26.6/100*300</f>
        <v>79.800000000000011</v>
      </c>
      <c r="L5759" s="12">
        <f t="shared" si="485"/>
        <v>186.20000000000002</v>
      </c>
      <c r="M5759" s="8">
        <v>1</v>
      </c>
      <c r="N5759" s="8" t="s">
        <v>27</v>
      </c>
      <c r="O5759" s="13"/>
      <c r="P5759" s="14">
        <v>0.4</v>
      </c>
      <c r="Q5759" s="15">
        <v>0.4</v>
      </c>
      <c r="R5759" s="16" t="str">
        <f t="shared" si="484"/>
        <v>SC_POWER</v>
      </c>
    </row>
    <row r="5760" spans="1:18" ht="27" customHeight="1" x14ac:dyDescent="0.25">
      <c r="A5760" s="32" t="s">
        <v>10258</v>
      </c>
      <c r="H5760" s="8" t="s">
        <v>11872</v>
      </c>
      <c r="I5760" s="33" t="s">
        <v>11873</v>
      </c>
      <c r="J5760" s="34" t="s">
        <v>26</v>
      </c>
      <c r="K5760" s="20">
        <f>26.6/100*384</f>
        <v>102.14400000000001</v>
      </c>
      <c r="L5760" s="12">
        <f t="shared" si="485"/>
        <v>238.33600000000001</v>
      </c>
      <c r="M5760" s="8">
        <v>1</v>
      </c>
      <c r="N5760" s="8" t="s">
        <v>27</v>
      </c>
      <c r="O5760" s="13"/>
      <c r="P5760" s="14">
        <v>0.4</v>
      </c>
      <c r="Q5760" s="15">
        <v>0.4</v>
      </c>
      <c r="R5760" s="16" t="str">
        <f t="shared" si="484"/>
        <v>SC_POWER</v>
      </c>
    </row>
    <row r="5761" spans="1:18" ht="27" customHeight="1" x14ac:dyDescent="0.25">
      <c r="A5761" s="53" t="s">
        <v>5027</v>
      </c>
      <c r="H5761" s="8" t="s">
        <v>11874</v>
      </c>
      <c r="I5761" s="33" t="s">
        <v>11875</v>
      </c>
      <c r="J5761" s="34" t="s">
        <v>26</v>
      </c>
      <c r="K5761" s="42">
        <v>78</v>
      </c>
      <c r="L5761" s="12">
        <f t="shared" si="485"/>
        <v>156</v>
      </c>
      <c r="M5761" s="8">
        <v>1</v>
      </c>
      <c r="N5761" s="8" t="s">
        <v>27</v>
      </c>
      <c r="O5761" s="13"/>
      <c r="P5761" s="14">
        <v>0.2</v>
      </c>
      <c r="Q5761" s="15">
        <v>0.4</v>
      </c>
      <c r="R5761" s="40" t="str">
        <f t="shared" si="484"/>
        <v>LEDS_C4</v>
      </c>
    </row>
    <row r="5762" spans="1:18" ht="27" customHeight="1" x14ac:dyDescent="0.25">
      <c r="A5762" s="53" t="s">
        <v>5027</v>
      </c>
      <c r="H5762" s="8" t="s">
        <v>11876</v>
      </c>
      <c r="I5762" t="s">
        <v>11877</v>
      </c>
      <c r="J5762" s="34" t="s">
        <v>26</v>
      </c>
      <c r="K5762" s="42">
        <v>60</v>
      </c>
      <c r="L5762" s="12">
        <f t="shared" si="485"/>
        <v>120</v>
      </c>
      <c r="M5762" s="8">
        <v>1</v>
      </c>
      <c r="N5762" s="8" t="s">
        <v>27</v>
      </c>
      <c r="O5762" s="13"/>
      <c r="P5762" s="14">
        <v>0.2</v>
      </c>
      <c r="Q5762" s="15">
        <v>0.4</v>
      </c>
      <c r="R5762" s="40" t="str">
        <f t="shared" si="484"/>
        <v>LEDS_C4</v>
      </c>
    </row>
    <row r="5763" spans="1:18" ht="27" customHeight="1" x14ac:dyDescent="0.25">
      <c r="A5763" s="53" t="s">
        <v>5027</v>
      </c>
      <c r="H5763" s="8" t="s">
        <v>11878</v>
      </c>
      <c r="I5763" t="s">
        <v>11879</v>
      </c>
      <c r="J5763" s="34" t="s">
        <v>26</v>
      </c>
      <c r="K5763" s="42">
        <v>2</v>
      </c>
      <c r="L5763" s="12">
        <f t="shared" si="485"/>
        <v>4</v>
      </c>
      <c r="M5763" s="8">
        <v>1</v>
      </c>
      <c r="N5763" s="8" t="s">
        <v>27</v>
      </c>
      <c r="O5763" s="13"/>
      <c r="P5763" s="14">
        <v>0.2</v>
      </c>
      <c r="Q5763" s="15">
        <v>0.4</v>
      </c>
      <c r="R5763" s="40" t="str">
        <f t="shared" si="484"/>
        <v>LEDS_C4</v>
      </c>
    </row>
    <row r="5764" spans="1:18" ht="27" customHeight="1" x14ac:dyDescent="0.25">
      <c r="A5764" s="53" t="s">
        <v>5027</v>
      </c>
      <c r="H5764" s="8" t="s">
        <v>11880</v>
      </c>
      <c r="I5764" s="33" t="s">
        <v>11881</v>
      </c>
      <c r="J5764" s="34" t="s">
        <v>26</v>
      </c>
      <c r="K5764" s="42">
        <v>7</v>
      </c>
      <c r="L5764" s="12">
        <f t="shared" si="485"/>
        <v>14.000000000000002</v>
      </c>
      <c r="M5764" s="8">
        <v>1</v>
      </c>
      <c r="N5764" s="8" t="s">
        <v>27</v>
      </c>
      <c r="O5764" s="13"/>
      <c r="P5764" s="14">
        <v>0.2</v>
      </c>
      <c r="Q5764" s="15">
        <v>0.4</v>
      </c>
      <c r="R5764" s="40" t="str">
        <f t="shared" si="484"/>
        <v>LEDS_C4</v>
      </c>
    </row>
    <row r="5765" spans="1:18" ht="27" customHeight="1" x14ac:dyDescent="0.25">
      <c r="A5765" s="32" t="s">
        <v>9644</v>
      </c>
      <c r="H5765" s="8" t="s">
        <v>11882</v>
      </c>
      <c r="I5765" s="33" t="s">
        <v>11883</v>
      </c>
      <c r="J5765" s="34" t="s">
        <v>33</v>
      </c>
      <c r="K5765" s="42">
        <v>644300</v>
      </c>
      <c r="L5765" s="12">
        <f t="shared" si="485"/>
        <v>1073833.3333333335</v>
      </c>
      <c r="M5765" s="8">
        <v>1</v>
      </c>
      <c r="N5765" s="8" t="s">
        <v>27</v>
      </c>
      <c r="O5765" s="13"/>
      <c r="P5765" s="14">
        <v>0</v>
      </c>
      <c r="Q5765" s="15">
        <v>0.4</v>
      </c>
      <c r="R5765" s="40" t="str">
        <f t="shared" si="484"/>
        <v>ZKTECO</v>
      </c>
    </row>
    <row r="5766" spans="1:18" ht="27" customHeight="1" x14ac:dyDescent="0.25">
      <c r="A5766" s="32" t="s">
        <v>5672</v>
      </c>
      <c r="H5766" s="8" t="s">
        <v>11884</v>
      </c>
      <c r="I5766" s="33" t="s">
        <v>11885</v>
      </c>
      <c r="J5766" s="34" t="s">
        <v>26</v>
      </c>
      <c r="K5766" s="42">
        <v>98</v>
      </c>
      <c r="L5766" s="12">
        <f t="shared" si="485"/>
        <v>196</v>
      </c>
      <c r="M5766" s="8">
        <v>1</v>
      </c>
      <c r="N5766" s="8" t="s">
        <v>27</v>
      </c>
      <c r="O5766" s="13"/>
      <c r="P5766" s="14">
        <v>0.2</v>
      </c>
      <c r="Q5766" s="15">
        <v>0.4</v>
      </c>
      <c r="R5766" s="40" t="str">
        <f t="shared" si="484"/>
        <v>LUTRON</v>
      </c>
    </row>
    <row r="5767" spans="1:18" ht="27" customHeight="1" x14ac:dyDescent="0.25">
      <c r="A5767" s="32" t="s">
        <v>5672</v>
      </c>
      <c r="H5767" s="8" t="s">
        <v>11886</v>
      </c>
      <c r="I5767" s="33" t="s">
        <v>11887</v>
      </c>
      <c r="J5767" s="34" t="s">
        <v>26</v>
      </c>
      <c r="K5767" s="42">
        <v>150</v>
      </c>
      <c r="L5767" s="12">
        <f t="shared" si="485"/>
        <v>300</v>
      </c>
      <c r="M5767" s="8">
        <v>1</v>
      </c>
      <c r="N5767" s="8" t="s">
        <v>27</v>
      </c>
      <c r="O5767" s="13"/>
      <c r="P5767" s="14">
        <v>0.2</v>
      </c>
      <c r="Q5767" s="15">
        <v>0.4</v>
      </c>
      <c r="R5767" s="40" t="str">
        <f t="shared" si="484"/>
        <v>LUTRON</v>
      </c>
    </row>
    <row r="5768" spans="1:18" ht="27" customHeight="1" x14ac:dyDescent="0.25">
      <c r="A5768" s="32" t="s">
        <v>5672</v>
      </c>
      <c r="H5768" s="8" t="s">
        <v>11888</v>
      </c>
      <c r="I5768" s="33" t="s">
        <v>11889</v>
      </c>
      <c r="J5768" s="34" t="s">
        <v>26</v>
      </c>
      <c r="K5768" s="42">
        <f>510/2</f>
        <v>255</v>
      </c>
      <c r="L5768" s="12">
        <f t="shared" si="485"/>
        <v>510</v>
      </c>
      <c r="M5768" s="8">
        <v>1</v>
      </c>
      <c r="N5768" s="8" t="s">
        <v>27</v>
      </c>
      <c r="O5768" s="13"/>
      <c r="P5768" s="14">
        <v>0.2</v>
      </c>
      <c r="Q5768" s="15">
        <v>0.4</v>
      </c>
      <c r="R5768" s="40" t="str">
        <f t="shared" si="484"/>
        <v>LUTRON</v>
      </c>
    </row>
    <row r="5769" spans="1:18" ht="27" customHeight="1" x14ac:dyDescent="0.25">
      <c r="A5769" s="32" t="s">
        <v>5672</v>
      </c>
      <c r="H5769" s="8" t="s">
        <v>11890</v>
      </c>
      <c r="I5769" s="33" t="s">
        <v>11891</v>
      </c>
      <c r="J5769" s="34" t="s">
        <v>26</v>
      </c>
      <c r="K5769" s="42">
        <v>27.5</v>
      </c>
      <c r="L5769" s="12">
        <f t="shared" si="485"/>
        <v>55</v>
      </c>
      <c r="M5769" s="8">
        <v>1</v>
      </c>
      <c r="N5769" s="8" t="s">
        <v>27</v>
      </c>
      <c r="O5769" s="13"/>
      <c r="P5769" s="14">
        <v>0.2</v>
      </c>
      <c r="Q5769" s="15">
        <v>0.4</v>
      </c>
      <c r="R5769" s="40" t="str">
        <f t="shared" si="484"/>
        <v>LUTRON</v>
      </c>
    </row>
    <row r="5770" spans="1:18" ht="27" customHeight="1" x14ac:dyDescent="0.25">
      <c r="A5770" s="32" t="s">
        <v>5672</v>
      </c>
      <c r="H5770" s="8" t="s">
        <v>11892</v>
      </c>
      <c r="I5770" s="33" t="s">
        <v>11893</v>
      </c>
      <c r="J5770" s="34" t="s">
        <v>26</v>
      </c>
      <c r="K5770" s="42">
        <v>82.65</v>
      </c>
      <c r="L5770" s="12">
        <f t="shared" si="485"/>
        <v>145.00039668760419</v>
      </c>
      <c r="M5770" s="8">
        <v>1</v>
      </c>
      <c r="N5770" s="8" t="s">
        <v>27</v>
      </c>
      <c r="O5770" s="13"/>
      <c r="P5770" s="14">
        <v>0.2</v>
      </c>
      <c r="Q5770" s="15">
        <v>0.31600187126606172</v>
      </c>
      <c r="R5770" s="40" t="str">
        <f t="shared" si="484"/>
        <v>LUTRON</v>
      </c>
    </row>
    <row r="5771" spans="1:18" ht="27" customHeight="1" x14ac:dyDescent="0.25">
      <c r="A5771" s="32" t="s">
        <v>5672</v>
      </c>
      <c r="H5771" s="8" t="s">
        <v>10195</v>
      </c>
      <c r="I5771" s="33" t="s">
        <v>11894</v>
      </c>
      <c r="J5771" s="34" t="s">
        <v>26</v>
      </c>
      <c r="K5771" s="42">
        <v>21.5</v>
      </c>
      <c r="L5771" s="12">
        <f t="shared" si="485"/>
        <v>43</v>
      </c>
      <c r="M5771" s="8">
        <v>1</v>
      </c>
      <c r="N5771" s="8" t="s">
        <v>27</v>
      </c>
      <c r="O5771" s="13"/>
      <c r="P5771" s="14">
        <v>0.2</v>
      </c>
      <c r="Q5771" s="15">
        <v>0.4</v>
      </c>
      <c r="R5771" s="40" t="str">
        <f t="shared" si="484"/>
        <v>LUTRON</v>
      </c>
    </row>
    <row r="5772" spans="1:18" ht="27" customHeight="1" x14ac:dyDescent="0.25">
      <c r="A5772" s="32" t="s">
        <v>5672</v>
      </c>
      <c r="H5772" s="8" t="s">
        <v>11895</v>
      </c>
      <c r="I5772" s="33" t="s">
        <v>11896</v>
      </c>
      <c r="J5772" s="34" t="s">
        <v>26</v>
      </c>
      <c r="K5772" s="42">
        <v>32.9</v>
      </c>
      <c r="L5772" s="12">
        <f t="shared" si="485"/>
        <v>65.8</v>
      </c>
      <c r="M5772" s="8">
        <v>1</v>
      </c>
      <c r="N5772" s="8" t="s">
        <v>27</v>
      </c>
      <c r="O5772" s="13"/>
      <c r="P5772" s="14">
        <v>0.2</v>
      </c>
      <c r="Q5772" s="15">
        <v>0.4</v>
      </c>
      <c r="R5772" s="40" t="str">
        <f t="shared" si="484"/>
        <v>LUTRON</v>
      </c>
    </row>
    <row r="5773" spans="1:18" ht="27" customHeight="1" x14ac:dyDescent="0.25">
      <c r="A5773" s="8" t="s">
        <v>5672</v>
      </c>
      <c r="B5773" s="9"/>
      <c r="C5773" s="9"/>
      <c r="D5773" s="8"/>
      <c r="E5773" s="8"/>
      <c r="F5773" s="8"/>
      <c r="G5773" s="10"/>
      <c r="H5773" s="8" t="s">
        <v>11897</v>
      </c>
      <c r="I5773" s="10" t="s">
        <v>11898</v>
      </c>
      <c r="J5773" s="11" t="s">
        <v>26</v>
      </c>
      <c r="K5773" s="57">
        <v>10.6</v>
      </c>
      <c r="L5773" s="12">
        <f t="shared" si="485"/>
        <v>21.2</v>
      </c>
      <c r="M5773" s="8">
        <v>1</v>
      </c>
      <c r="N5773" s="8" t="s">
        <v>27</v>
      </c>
      <c r="O5773" s="13"/>
      <c r="P5773" s="14">
        <v>0.2</v>
      </c>
      <c r="Q5773" s="15">
        <v>0.4</v>
      </c>
      <c r="R5773" s="40" t="str">
        <f t="shared" si="484"/>
        <v>LUTRON</v>
      </c>
    </row>
    <row r="5774" spans="1:18" ht="27" customHeight="1" x14ac:dyDescent="0.25">
      <c r="A5774" s="32" t="s">
        <v>5672</v>
      </c>
      <c r="H5774" s="8" t="s">
        <v>11899</v>
      </c>
      <c r="I5774" s="33" t="s">
        <v>11900</v>
      </c>
      <c r="J5774" s="34" t="s">
        <v>26</v>
      </c>
      <c r="K5774" s="57">
        <v>44</v>
      </c>
      <c r="L5774" s="12">
        <f t="shared" si="485"/>
        <v>88</v>
      </c>
      <c r="M5774" s="8">
        <v>1</v>
      </c>
      <c r="N5774" s="8" t="s">
        <v>27</v>
      </c>
      <c r="O5774" s="13"/>
      <c r="P5774" s="14">
        <v>0.2</v>
      </c>
      <c r="Q5774" s="15">
        <v>0.4</v>
      </c>
      <c r="R5774" s="40" t="str">
        <f t="shared" si="484"/>
        <v>LUTRON</v>
      </c>
    </row>
    <row r="5775" spans="1:18" ht="27" customHeight="1" x14ac:dyDescent="0.25">
      <c r="A5775" s="32" t="s">
        <v>5672</v>
      </c>
      <c r="H5775" s="8" t="s">
        <v>11901</v>
      </c>
      <c r="I5775" s="33" t="s">
        <v>11902</v>
      </c>
      <c r="J5775" s="34" t="s">
        <v>26</v>
      </c>
      <c r="K5775" s="42">
        <v>44</v>
      </c>
      <c r="L5775" s="12">
        <f t="shared" si="485"/>
        <v>80.000008205524679</v>
      </c>
      <c r="M5775" s="8">
        <v>1</v>
      </c>
      <c r="N5775" s="8" t="s">
        <v>27</v>
      </c>
      <c r="O5775" s="13"/>
      <c r="P5775" s="14">
        <v>0.2</v>
      </c>
      <c r="Q5775" s="15">
        <v>0.34000006769557167</v>
      </c>
      <c r="R5775" s="40" t="str">
        <f t="shared" si="484"/>
        <v>LUTRON</v>
      </c>
    </row>
    <row r="5776" spans="1:18" ht="27" customHeight="1" x14ac:dyDescent="0.25">
      <c r="A5776" s="32" t="s">
        <v>5672</v>
      </c>
      <c r="H5776" s="8" t="s">
        <v>11903</v>
      </c>
      <c r="I5776" s="33" t="s">
        <v>11904</v>
      </c>
      <c r="J5776" s="34" t="s">
        <v>26</v>
      </c>
      <c r="K5776" s="42">
        <v>44</v>
      </c>
      <c r="L5776" s="12">
        <f t="shared" si="485"/>
        <v>88</v>
      </c>
      <c r="M5776" s="8">
        <v>1</v>
      </c>
      <c r="N5776" s="8" t="s">
        <v>27</v>
      </c>
      <c r="O5776" s="13"/>
      <c r="P5776" s="14">
        <v>0.2</v>
      </c>
      <c r="Q5776" s="15">
        <v>0.4</v>
      </c>
      <c r="R5776" s="40" t="str">
        <f t="shared" si="484"/>
        <v>LUTRON</v>
      </c>
    </row>
    <row r="5777" spans="1:20" ht="27" customHeight="1" x14ac:dyDescent="0.25">
      <c r="A5777" s="32" t="s">
        <v>5672</v>
      </c>
      <c r="H5777" s="8" t="s">
        <v>11905</v>
      </c>
      <c r="I5777" s="33" t="s">
        <v>11906</v>
      </c>
      <c r="J5777" s="34" t="s">
        <v>26</v>
      </c>
      <c r="K5777" s="42">
        <v>52.8</v>
      </c>
      <c r="L5777" s="12">
        <f t="shared" si="485"/>
        <v>88.000004822415804</v>
      </c>
      <c r="M5777" s="8">
        <v>1</v>
      </c>
      <c r="N5777" s="8" t="s">
        <v>27</v>
      </c>
      <c r="O5777" s="13"/>
      <c r="P5777" s="14">
        <v>0.2</v>
      </c>
      <c r="Q5777" s="15">
        <v>0.28000003945612728</v>
      </c>
      <c r="R5777" s="40" t="str">
        <f t="shared" si="484"/>
        <v>LUTRON</v>
      </c>
    </row>
    <row r="5778" spans="1:20" ht="27" customHeight="1" x14ac:dyDescent="0.25">
      <c r="A5778" s="32" t="s">
        <v>5672</v>
      </c>
      <c r="H5778" s="8" t="s">
        <v>11907</v>
      </c>
      <c r="I5778" s="33" t="s">
        <v>11908</v>
      </c>
      <c r="J5778" s="34" t="s">
        <v>26</v>
      </c>
      <c r="K5778" s="42">
        <v>52.8</v>
      </c>
      <c r="L5778" s="12">
        <f t="shared" si="485"/>
        <v>88.000004822415804</v>
      </c>
      <c r="M5778" s="8">
        <v>1</v>
      </c>
      <c r="N5778" s="8" t="s">
        <v>27</v>
      </c>
      <c r="O5778" s="13"/>
      <c r="P5778" s="14">
        <v>0.2</v>
      </c>
      <c r="Q5778" s="15">
        <v>0.28000003945612728</v>
      </c>
      <c r="R5778" s="40" t="str">
        <f t="shared" si="484"/>
        <v>LUTRON</v>
      </c>
    </row>
    <row r="5779" spans="1:20" ht="27" customHeight="1" x14ac:dyDescent="0.25">
      <c r="A5779" s="32" t="s">
        <v>5672</v>
      </c>
      <c r="H5779" s="8" t="s">
        <v>11009</v>
      </c>
      <c r="I5779" s="33" t="s">
        <v>11909</v>
      </c>
      <c r="J5779" s="34" t="s">
        <v>26</v>
      </c>
      <c r="K5779" s="42">
        <v>52.8</v>
      </c>
      <c r="L5779" s="12">
        <f t="shared" si="485"/>
        <v>88.000004822415804</v>
      </c>
      <c r="M5779" s="8">
        <v>1</v>
      </c>
      <c r="N5779" s="8" t="s">
        <v>27</v>
      </c>
      <c r="O5779" s="13"/>
      <c r="P5779" s="14">
        <v>0.2</v>
      </c>
      <c r="Q5779" s="15">
        <v>0.28000003945612728</v>
      </c>
      <c r="R5779" s="40" t="str">
        <f t="shared" si="484"/>
        <v>LUTRON</v>
      </c>
    </row>
    <row r="5780" spans="1:20" ht="27" customHeight="1" x14ac:dyDescent="0.25">
      <c r="A5780" s="32" t="s">
        <v>5672</v>
      </c>
      <c r="H5780" s="8" t="s">
        <v>11910</v>
      </c>
      <c r="I5780" s="33" t="s">
        <v>11911</v>
      </c>
      <c r="J5780" s="34" t="s">
        <v>26</v>
      </c>
      <c r="K5780" s="42">
        <f>(465+70)/2</f>
        <v>267.5</v>
      </c>
      <c r="L5780" s="12">
        <f t="shared" si="485"/>
        <v>535</v>
      </c>
      <c r="M5780" s="8">
        <v>1</v>
      </c>
      <c r="N5780" s="8" t="s">
        <v>27</v>
      </c>
      <c r="O5780" s="13"/>
      <c r="P5780" s="14">
        <v>0.2</v>
      </c>
      <c r="Q5780" s="15">
        <v>0.4</v>
      </c>
      <c r="R5780" s="40" t="str">
        <f t="shared" si="484"/>
        <v>LUTRON</v>
      </c>
    </row>
    <row r="5781" spans="1:20" ht="27" customHeight="1" x14ac:dyDescent="0.25">
      <c r="A5781" s="32" t="s">
        <v>148</v>
      </c>
      <c r="H5781" s="8" t="s">
        <v>11912</v>
      </c>
      <c r="I5781" s="33" t="s">
        <v>11913</v>
      </c>
      <c r="J5781" s="34" t="s">
        <v>33</v>
      </c>
      <c r="K5781" s="42">
        <v>500</v>
      </c>
      <c r="L5781" s="12">
        <f t="shared" si="485"/>
        <v>1000</v>
      </c>
      <c r="M5781" s="8">
        <v>1</v>
      </c>
      <c r="N5781" s="8" t="s">
        <v>27</v>
      </c>
      <c r="O5781" s="13"/>
      <c r="P5781" s="14">
        <v>0</v>
      </c>
      <c r="Q5781" s="15">
        <v>0.5</v>
      </c>
      <c r="R5781" s="40" t="str">
        <f t="shared" si="484"/>
        <v>AMP</v>
      </c>
    </row>
    <row r="5782" spans="1:20" ht="27" customHeight="1" x14ac:dyDescent="0.25">
      <c r="A5782" s="32" t="s">
        <v>5066</v>
      </c>
      <c r="H5782" s="8" t="s">
        <v>11914</v>
      </c>
      <c r="I5782" s="33" t="s">
        <v>11915</v>
      </c>
      <c r="J5782" s="34" t="s">
        <v>33</v>
      </c>
      <c r="K5782" s="42">
        <v>502860</v>
      </c>
      <c r="L5782" s="12">
        <f t="shared" si="485"/>
        <v>718371.42857142864</v>
      </c>
      <c r="M5782" s="8">
        <v>1</v>
      </c>
      <c r="N5782" s="8" t="s">
        <v>27</v>
      </c>
      <c r="O5782" s="13"/>
      <c r="P5782" s="14">
        <v>0</v>
      </c>
      <c r="Q5782" s="15">
        <v>0.3</v>
      </c>
      <c r="R5782" s="40" t="str">
        <f t="shared" si="484"/>
        <v>LEGRAND</v>
      </c>
    </row>
    <row r="5783" spans="1:20" ht="27" customHeight="1" x14ac:dyDescent="0.25">
      <c r="A5783" s="8" t="s">
        <v>2512</v>
      </c>
      <c r="B5783" s="9"/>
      <c r="C5783" s="9"/>
      <c r="D5783" s="8"/>
      <c r="E5783" s="8"/>
      <c r="F5783" s="8" t="s">
        <v>22</v>
      </c>
      <c r="G5783" s="10" t="s">
        <v>2546</v>
      </c>
      <c r="H5783" s="8" t="s">
        <v>11916</v>
      </c>
      <c r="I5783" s="10" t="s">
        <v>11917</v>
      </c>
      <c r="J5783" s="11" t="s">
        <v>33</v>
      </c>
      <c r="K5783" s="18">
        <v>1300</v>
      </c>
      <c r="L5783" s="12">
        <f t="shared" ref="L5783:L5819" si="486">IF(J5783="P",ROUNDUP(K5783/(1-Q5783),-2),K5783*(1+P5783)/(1-Q5783))</f>
        <v>1900</v>
      </c>
      <c r="M5783" s="8">
        <v>1</v>
      </c>
      <c r="N5783" s="8" t="s">
        <v>27</v>
      </c>
      <c r="O5783" s="13"/>
      <c r="P5783" s="14">
        <v>0</v>
      </c>
      <c r="Q5783" s="15">
        <v>0.3</v>
      </c>
      <c r="R5783" s="16" t="str">
        <f t="shared" si="484"/>
        <v>GENERAL</v>
      </c>
      <c r="S5783" s="17"/>
      <c r="T5783" s="10" t="str">
        <f>G5783</f>
        <v>TERMINAL ESTAÑADA AWG4</v>
      </c>
    </row>
    <row r="5784" spans="1:20" ht="27" customHeight="1" x14ac:dyDescent="0.25">
      <c r="A5784" s="32" t="s">
        <v>6886</v>
      </c>
      <c r="H5784" s="8" t="s">
        <v>11918</v>
      </c>
      <c r="I5784" s="33" t="s">
        <v>11919</v>
      </c>
      <c r="J5784" s="34" t="s">
        <v>33</v>
      </c>
      <c r="K5784" s="42">
        <v>143000</v>
      </c>
      <c r="L5784" s="12">
        <f t="shared" si="486"/>
        <v>204300</v>
      </c>
      <c r="M5784" s="8">
        <v>1</v>
      </c>
      <c r="N5784" s="8" t="s">
        <v>27</v>
      </c>
      <c r="O5784" s="13"/>
      <c r="P5784" s="14">
        <v>0</v>
      </c>
      <c r="Q5784" s="15">
        <v>0.3</v>
      </c>
      <c r="R5784" s="16" t="str">
        <f t="shared" si="484"/>
        <v>MEANWELL</v>
      </c>
    </row>
    <row r="5785" spans="1:20" ht="27" customHeight="1" x14ac:dyDescent="0.25">
      <c r="A5785" s="32" t="s">
        <v>2512</v>
      </c>
      <c r="H5785" s="8" t="s">
        <v>11920</v>
      </c>
      <c r="I5785" s="33" t="s">
        <v>11921</v>
      </c>
      <c r="J5785" s="34" t="s">
        <v>33</v>
      </c>
      <c r="K5785" s="42">
        <v>141765</v>
      </c>
      <c r="L5785" s="12">
        <f t="shared" si="486"/>
        <v>202600</v>
      </c>
      <c r="M5785" s="8">
        <v>1</v>
      </c>
      <c r="N5785" s="8" t="s">
        <v>27</v>
      </c>
      <c r="O5785" s="13"/>
      <c r="P5785" s="14">
        <v>0</v>
      </c>
      <c r="Q5785" s="15">
        <v>0.3</v>
      </c>
      <c r="R5785" s="16" t="str">
        <f t="shared" si="484"/>
        <v>GENERAL</v>
      </c>
    </row>
    <row r="5786" spans="1:20" ht="27" customHeight="1" x14ac:dyDescent="0.25">
      <c r="A5786" s="32" t="s">
        <v>8308</v>
      </c>
      <c r="H5786" s="8" t="s">
        <v>11922</v>
      </c>
      <c r="I5786" s="33" t="s">
        <v>11923</v>
      </c>
      <c r="J5786" s="34" t="s">
        <v>33</v>
      </c>
      <c r="K5786" s="42">
        <v>249800</v>
      </c>
      <c r="L5786" s="12">
        <f t="shared" si="486"/>
        <v>416400</v>
      </c>
      <c r="M5786" s="8">
        <v>1</v>
      </c>
      <c r="N5786" s="8" t="s">
        <v>27</v>
      </c>
      <c r="O5786" s="13"/>
      <c r="P5786" s="14">
        <v>0</v>
      </c>
      <c r="Q5786" s="15">
        <v>0.4</v>
      </c>
      <c r="R5786" s="16" t="str">
        <f t="shared" si="484"/>
        <v>SOLIDVIEW</v>
      </c>
    </row>
    <row r="5787" spans="1:20" ht="27" customHeight="1" x14ac:dyDescent="0.25">
      <c r="A5787" s="32" t="s">
        <v>867</v>
      </c>
      <c r="H5787" s="8" t="s">
        <v>11924</v>
      </c>
      <c r="I5787" s="33" t="s">
        <v>11925</v>
      </c>
      <c r="J5787" s="34" t="s">
        <v>33</v>
      </c>
      <c r="K5787" s="42">
        <f>1600000/2</f>
        <v>800000</v>
      </c>
      <c r="L5787" s="12">
        <f t="shared" si="486"/>
        <v>1142900</v>
      </c>
      <c r="M5787" s="8">
        <v>1</v>
      </c>
      <c r="N5787" s="8" t="s">
        <v>27</v>
      </c>
      <c r="O5787" s="13"/>
      <c r="P5787" s="14">
        <v>0</v>
      </c>
      <c r="Q5787" s="15">
        <v>0.3</v>
      </c>
      <c r="R5787" s="40" t="str">
        <f t="shared" si="484"/>
        <v>BOSE</v>
      </c>
    </row>
    <row r="5788" spans="1:20" ht="27" customHeight="1" x14ac:dyDescent="0.25">
      <c r="A5788" s="32" t="s">
        <v>11095</v>
      </c>
      <c r="H5788" s="8" t="s">
        <v>11926</v>
      </c>
      <c r="I5788" s="33" t="s">
        <v>11927</v>
      </c>
      <c r="J5788" s="34" t="s">
        <v>26</v>
      </c>
      <c r="K5788" s="42">
        <v>312.5</v>
      </c>
      <c r="L5788" s="12">
        <f t="shared" si="486"/>
        <v>558.03571428571433</v>
      </c>
      <c r="M5788" s="8">
        <v>1</v>
      </c>
      <c r="N5788" s="8" t="s">
        <v>27</v>
      </c>
      <c r="O5788" s="13"/>
      <c r="P5788" s="14">
        <v>0.25</v>
      </c>
      <c r="Q5788" s="15">
        <v>0.3</v>
      </c>
      <c r="R5788" s="40" t="str">
        <f t="shared" si="484"/>
        <v>SCP</v>
      </c>
    </row>
    <row r="5789" spans="1:20" ht="27" customHeight="1" x14ac:dyDescent="0.25">
      <c r="A5789" s="32" t="s">
        <v>5672</v>
      </c>
      <c r="H5789" s="8" t="s">
        <v>11928</v>
      </c>
      <c r="I5789" s="33" t="s">
        <v>11929</v>
      </c>
      <c r="J5789" s="34" t="s">
        <v>26</v>
      </c>
      <c r="K5789" s="42">
        <v>2835</v>
      </c>
      <c r="L5789" s="12">
        <f t="shared" si="486"/>
        <v>5670</v>
      </c>
      <c r="M5789" s="8">
        <v>1</v>
      </c>
      <c r="N5789" s="8" t="s">
        <v>27</v>
      </c>
      <c r="O5789" s="13"/>
      <c r="P5789" s="14">
        <v>0.2</v>
      </c>
      <c r="Q5789" s="15">
        <v>0.4</v>
      </c>
      <c r="R5789" s="40" t="str">
        <f t="shared" si="484"/>
        <v>LUTRON</v>
      </c>
    </row>
    <row r="5790" spans="1:20" ht="27" customHeight="1" x14ac:dyDescent="0.25">
      <c r="A5790" s="32" t="s">
        <v>5672</v>
      </c>
      <c r="H5790" s="8" t="s">
        <v>11930</v>
      </c>
      <c r="I5790" t="s">
        <v>11931</v>
      </c>
      <c r="J5790" s="34" t="s">
        <v>26</v>
      </c>
      <c r="K5790" s="42">
        <v>1000</v>
      </c>
      <c r="L5790" s="12">
        <f t="shared" si="486"/>
        <v>2000</v>
      </c>
      <c r="M5790" s="8">
        <v>1</v>
      </c>
      <c r="N5790" s="8" t="s">
        <v>27</v>
      </c>
      <c r="O5790" s="13"/>
      <c r="P5790" s="14">
        <v>0.2</v>
      </c>
      <c r="Q5790" s="15">
        <v>0.4</v>
      </c>
      <c r="R5790" s="40" t="str">
        <f t="shared" si="484"/>
        <v>LUTRON</v>
      </c>
    </row>
    <row r="5791" spans="1:20" ht="27" customHeight="1" x14ac:dyDescent="0.25">
      <c r="A5791" s="32" t="s">
        <v>5672</v>
      </c>
      <c r="H5791" s="8" t="s">
        <v>11932</v>
      </c>
      <c r="I5791" t="s">
        <v>11933</v>
      </c>
      <c r="J5791" s="34" t="s">
        <v>26</v>
      </c>
      <c r="K5791" s="42">
        <v>1000</v>
      </c>
      <c r="L5791" s="12">
        <f t="shared" si="486"/>
        <v>2000</v>
      </c>
      <c r="M5791" s="8">
        <v>1</v>
      </c>
      <c r="N5791" s="8" t="s">
        <v>27</v>
      </c>
      <c r="O5791" s="13"/>
      <c r="P5791" s="14">
        <v>0.2</v>
      </c>
      <c r="Q5791" s="15">
        <v>0.4</v>
      </c>
      <c r="R5791" s="40" t="str">
        <f t="shared" si="484"/>
        <v>LUTRON</v>
      </c>
    </row>
    <row r="5792" spans="1:20" ht="27" customHeight="1" x14ac:dyDescent="0.25">
      <c r="A5792" s="32" t="s">
        <v>11934</v>
      </c>
      <c r="H5792" s="8" t="s">
        <v>11935</v>
      </c>
      <c r="I5792" s="33" t="s">
        <v>11936</v>
      </c>
      <c r="J5792" s="34" t="s">
        <v>33</v>
      </c>
      <c r="K5792" s="42">
        <v>80000</v>
      </c>
      <c r="L5792" s="12">
        <f t="shared" si="486"/>
        <v>187500</v>
      </c>
      <c r="M5792" s="8">
        <v>1</v>
      </c>
      <c r="N5792" s="8" t="s">
        <v>27</v>
      </c>
      <c r="O5792" s="13"/>
      <c r="P5792" s="14">
        <v>0.2</v>
      </c>
      <c r="Q5792" s="15">
        <v>0.57323933074121181</v>
      </c>
      <c r="R5792" s="40" t="str">
        <f t="shared" si="484"/>
        <v>ALCATEL</v>
      </c>
      <c r="S5792">
        <f>150/0.8</f>
        <v>187.5</v>
      </c>
    </row>
    <row r="5793" spans="1:20" ht="27" customHeight="1" x14ac:dyDescent="0.25">
      <c r="A5793" s="32" t="s">
        <v>3977</v>
      </c>
      <c r="H5793" s="8" t="s">
        <v>11937</v>
      </c>
      <c r="I5793" s="33" t="s">
        <v>11938</v>
      </c>
      <c r="J5793" s="34" t="s">
        <v>33</v>
      </c>
      <c r="K5793" s="42">
        <v>31972.473867595822</v>
      </c>
      <c r="L5793" s="12">
        <f t="shared" si="486"/>
        <v>75000</v>
      </c>
      <c r="M5793" s="8">
        <v>1</v>
      </c>
      <c r="N5793" s="8" t="s">
        <v>27</v>
      </c>
      <c r="O5793" s="13"/>
      <c r="P5793" s="14">
        <v>0.2</v>
      </c>
      <c r="Q5793" s="15">
        <v>0.57323933074121181</v>
      </c>
      <c r="R5793" s="40" t="str">
        <f t="shared" si="484"/>
        <v>KOMODO</v>
      </c>
      <c r="S5793">
        <f>60000/0.8</f>
        <v>75000</v>
      </c>
    </row>
    <row r="5794" spans="1:20" ht="27" customHeight="1" x14ac:dyDescent="0.25">
      <c r="A5794" s="32" t="s">
        <v>11939</v>
      </c>
      <c r="H5794" s="8" t="s">
        <v>11940</v>
      </c>
      <c r="I5794" s="33" t="s">
        <v>11941</v>
      </c>
      <c r="J5794" s="34" t="s">
        <v>26</v>
      </c>
      <c r="K5794" s="42">
        <v>20</v>
      </c>
      <c r="L5794" s="12">
        <f t="shared" si="486"/>
        <v>48</v>
      </c>
      <c r="M5794" s="8">
        <v>1</v>
      </c>
      <c r="N5794" s="8" t="s">
        <v>27</v>
      </c>
      <c r="O5794" s="13"/>
      <c r="P5794" s="14">
        <v>0.2</v>
      </c>
      <c r="Q5794" s="15">
        <v>0.5</v>
      </c>
      <c r="R5794" s="40" t="str">
        <f t="shared" si="484"/>
        <v>PHYSEN</v>
      </c>
    </row>
    <row r="5795" spans="1:20" ht="27" customHeight="1" x14ac:dyDescent="0.25">
      <c r="A5795" s="32" t="s">
        <v>11939</v>
      </c>
      <c r="H5795" s="8" t="s">
        <v>11942</v>
      </c>
      <c r="I5795" s="33" t="s">
        <v>11943</v>
      </c>
      <c r="J5795" s="34" t="s">
        <v>26</v>
      </c>
      <c r="K5795" s="42">
        <v>15</v>
      </c>
      <c r="L5795" s="12">
        <f t="shared" si="486"/>
        <v>36</v>
      </c>
      <c r="M5795" s="8">
        <v>1</v>
      </c>
      <c r="N5795" s="8" t="s">
        <v>27</v>
      </c>
      <c r="O5795" s="13"/>
      <c r="P5795" s="14">
        <v>0.2</v>
      </c>
      <c r="Q5795" s="15">
        <v>0.5</v>
      </c>
      <c r="R5795" s="40" t="str">
        <f t="shared" si="484"/>
        <v>PHYSEN</v>
      </c>
    </row>
    <row r="5796" spans="1:20" ht="27" customHeight="1" x14ac:dyDescent="0.25">
      <c r="A5796" s="32" t="s">
        <v>3977</v>
      </c>
      <c r="H5796" s="8" t="s">
        <v>11944</v>
      </c>
      <c r="I5796" s="33" t="s">
        <v>11945</v>
      </c>
      <c r="J5796" s="34" t="s">
        <v>33</v>
      </c>
      <c r="K5796" s="42">
        <v>80000</v>
      </c>
      <c r="L5796" s="12">
        <f t="shared" si="486"/>
        <v>114300</v>
      </c>
      <c r="M5796" s="8">
        <v>1</v>
      </c>
      <c r="N5796" s="8" t="s">
        <v>27</v>
      </c>
      <c r="O5796" s="13"/>
      <c r="P5796" s="14">
        <v>0</v>
      </c>
      <c r="Q5796" s="15">
        <v>0.3</v>
      </c>
      <c r="R5796" s="40" t="str">
        <f t="shared" si="484"/>
        <v>KOMODO</v>
      </c>
    </row>
    <row r="5797" spans="1:20" ht="27" customHeight="1" x14ac:dyDescent="0.25">
      <c r="A5797" s="32" t="s">
        <v>11946</v>
      </c>
      <c r="H5797" s="8" t="s">
        <v>11947</v>
      </c>
      <c r="I5797" s="33" t="s">
        <v>11948</v>
      </c>
      <c r="J5797" s="34" t="s">
        <v>33</v>
      </c>
      <c r="K5797" s="42">
        <v>151261</v>
      </c>
      <c r="L5797" s="12">
        <f t="shared" si="486"/>
        <v>216100</v>
      </c>
      <c r="M5797" s="8">
        <v>1</v>
      </c>
      <c r="N5797" s="8" t="s">
        <v>27</v>
      </c>
      <c r="O5797" s="13"/>
      <c r="P5797" s="14">
        <v>0</v>
      </c>
      <c r="Q5797" s="15">
        <v>0.3</v>
      </c>
      <c r="R5797" s="40" t="str">
        <f t="shared" si="484"/>
        <v>NIA</v>
      </c>
    </row>
    <row r="5798" spans="1:20" ht="27" customHeight="1" x14ac:dyDescent="0.25">
      <c r="A5798" s="32" t="s">
        <v>1561</v>
      </c>
      <c r="H5798" s="8" t="s">
        <v>11949</v>
      </c>
      <c r="I5798" s="33" t="s">
        <v>11950</v>
      </c>
      <c r="J5798" s="34" t="s">
        <v>33</v>
      </c>
      <c r="K5798" s="42">
        <f>322536/2</f>
        <v>161268</v>
      </c>
      <c r="L5798" s="12">
        <f t="shared" si="486"/>
        <v>268800</v>
      </c>
      <c r="M5798" s="8">
        <v>1</v>
      </c>
      <c r="N5798" s="8" t="s">
        <v>27</v>
      </c>
      <c r="O5798" s="13"/>
      <c r="P5798" s="14">
        <v>0</v>
      </c>
      <c r="Q5798" s="15">
        <v>0.4</v>
      </c>
      <c r="R5798" s="40" t="str">
        <f t="shared" si="484"/>
        <v>DAHUA</v>
      </c>
    </row>
    <row r="5799" spans="1:20" ht="27" customHeight="1" x14ac:dyDescent="0.25">
      <c r="A5799" s="32" t="s">
        <v>3977</v>
      </c>
      <c r="H5799" s="8" t="s">
        <v>11951</v>
      </c>
      <c r="I5799" s="33" t="s">
        <v>11952</v>
      </c>
      <c r="J5799" s="34" t="s">
        <v>33</v>
      </c>
      <c r="K5799" s="42">
        <v>30000</v>
      </c>
      <c r="L5799" s="12">
        <f t="shared" si="486"/>
        <v>50000</v>
      </c>
      <c r="M5799" s="8">
        <v>1</v>
      </c>
      <c r="N5799" s="8" t="s">
        <v>27</v>
      </c>
      <c r="O5799" s="13"/>
      <c r="P5799" s="14">
        <v>0</v>
      </c>
      <c r="Q5799" s="15">
        <v>0.4</v>
      </c>
      <c r="R5799" s="40" t="str">
        <f t="shared" si="484"/>
        <v>KOMODO</v>
      </c>
    </row>
    <row r="5800" spans="1:20" ht="27" customHeight="1" x14ac:dyDescent="0.25">
      <c r="A5800" s="32" t="s">
        <v>11953</v>
      </c>
      <c r="H5800" s="8" t="s">
        <v>11954</v>
      </c>
      <c r="I5800" s="33" t="s">
        <v>11955</v>
      </c>
      <c r="J5800" s="34" t="s">
        <v>33</v>
      </c>
      <c r="K5800" s="42">
        <v>151261</v>
      </c>
      <c r="L5800" s="12">
        <f t="shared" si="486"/>
        <v>302600</v>
      </c>
      <c r="M5800" s="8">
        <v>1</v>
      </c>
      <c r="N5800" s="8" t="s">
        <v>27</v>
      </c>
      <c r="O5800" s="13"/>
      <c r="P5800" s="14">
        <v>0</v>
      </c>
      <c r="Q5800" s="15">
        <v>0.5</v>
      </c>
      <c r="R5800" s="40" t="str">
        <f t="shared" si="484"/>
        <v>METALECTRIC</v>
      </c>
    </row>
    <row r="5801" spans="1:20" ht="27" customHeight="1" x14ac:dyDescent="0.25">
      <c r="A5801" s="32" t="s">
        <v>8478</v>
      </c>
      <c r="H5801" s="8" t="s">
        <v>11956</v>
      </c>
      <c r="I5801" s="33" t="s">
        <v>11957</v>
      </c>
      <c r="J5801" s="34" t="s">
        <v>33</v>
      </c>
      <c r="K5801" s="42">
        <v>243613</v>
      </c>
      <c r="L5801" s="12">
        <f t="shared" si="486"/>
        <v>348100</v>
      </c>
      <c r="M5801" s="8">
        <v>1</v>
      </c>
      <c r="N5801" s="8" t="s">
        <v>27</v>
      </c>
      <c r="O5801" s="13"/>
      <c r="P5801" s="14">
        <v>0</v>
      </c>
      <c r="Q5801" s="15">
        <v>0.3</v>
      </c>
      <c r="R5801" s="40" t="str">
        <f t="shared" si="484"/>
        <v>STEREN</v>
      </c>
    </row>
    <row r="5802" spans="1:20" ht="27" customHeight="1" x14ac:dyDescent="0.25">
      <c r="A5802" s="8" t="s">
        <v>2512</v>
      </c>
      <c r="B5802" s="9"/>
      <c r="C5802" s="9"/>
      <c r="D5802" s="8"/>
      <c r="E5802" s="8"/>
      <c r="F5802" s="8" t="s">
        <v>22</v>
      </c>
      <c r="G5802" s="10" t="s">
        <v>2548</v>
      </c>
      <c r="H5802" s="8" t="s">
        <v>11958</v>
      </c>
      <c r="I5802" s="10" t="s">
        <v>11959</v>
      </c>
      <c r="J5802" s="11" t="s">
        <v>33</v>
      </c>
      <c r="K5802" s="18">
        <v>1100</v>
      </c>
      <c r="L5802" s="12">
        <f t="shared" si="486"/>
        <v>1600</v>
      </c>
      <c r="M5802" s="8">
        <v>1</v>
      </c>
      <c r="N5802" s="8" t="s">
        <v>27</v>
      </c>
      <c r="O5802" s="13"/>
      <c r="P5802" s="14">
        <v>0</v>
      </c>
      <c r="Q5802" s="15">
        <v>0.3</v>
      </c>
      <c r="R5802" s="16" t="str">
        <f t="shared" si="484"/>
        <v>GENERAL</v>
      </c>
      <c r="S5802" s="17"/>
      <c r="T5802" s="10" t="str">
        <f>G5802</f>
        <v>TERMINAL DE UNIÓN</v>
      </c>
    </row>
    <row r="5803" spans="1:20" ht="27" customHeight="1" x14ac:dyDescent="0.25">
      <c r="A5803" s="8" t="s">
        <v>1141</v>
      </c>
      <c r="B5803" s="9" t="s">
        <v>1070</v>
      </c>
      <c r="C5803" s="9"/>
      <c r="D5803" s="8" t="s">
        <v>28</v>
      </c>
      <c r="E5803" s="8">
        <v>4</v>
      </c>
      <c r="F5803" s="8" t="s">
        <v>22</v>
      </c>
      <c r="G5803" s="10" t="s">
        <v>1155</v>
      </c>
      <c r="H5803" s="8" t="s">
        <v>11960</v>
      </c>
      <c r="I5803" s="10" t="s">
        <v>11961</v>
      </c>
      <c r="J5803" s="11" t="s">
        <v>33</v>
      </c>
      <c r="K5803" s="18">
        <v>4216</v>
      </c>
      <c r="L5803" s="12">
        <f t="shared" si="486"/>
        <v>6100</v>
      </c>
      <c r="M5803" s="8">
        <v>1</v>
      </c>
      <c r="N5803" s="8" t="s">
        <v>110</v>
      </c>
      <c r="O5803" s="13"/>
      <c r="P5803" s="14">
        <v>0</v>
      </c>
      <c r="Q5803" s="15">
        <v>0.3</v>
      </c>
      <c r="R5803" s="16" t="str">
        <f t="shared" si="484"/>
        <v>CENTELSA</v>
      </c>
      <c r="S5803" s="17"/>
      <c r="T5803" s="10" t="str">
        <f>G5803</f>
        <v>METRO DE CABLE ELÉCTRICO AWG 6 CERTIFICADO</v>
      </c>
    </row>
    <row r="5804" spans="1:20" ht="27" customHeight="1" x14ac:dyDescent="0.25">
      <c r="A5804" s="32" t="s">
        <v>2512</v>
      </c>
      <c r="H5804" s="8" t="s">
        <v>11962</v>
      </c>
      <c r="I5804" s="33" t="s">
        <v>11963</v>
      </c>
      <c r="J5804" t="s">
        <v>33</v>
      </c>
      <c r="K5804" s="42">
        <v>66000</v>
      </c>
      <c r="L5804" s="12">
        <f t="shared" si="486"/>
        <v>94300</v>
      </c>
      <c r="M5804" s="8">
        <v>1</v>
      </c>
      <c r="N5804" s="8" t="s">
        <v>110</v>
      </c>
      <c r="O5804" s="13"/>
      <c r="P5804" s="14">
        <v>0</v>
      </c>
      <c r="Q5804" s="15">
        <v>0.3</v>
      </c>
      <c r="R5804" s="16" t="str">
        <f t="shared" si="484"/>
        <v>GENERAL</v>
      </c>
    </row>
    <row r="5805" spans="1:20" ht="27" customHeight="1" x14ac:dyDescent="0.25">
      <c r="A5805" s="32" t="s">
        <v>8116</v>
      </c>
      <c r="H5805" s="8" t="s">
        <v>11964</v>
      </c>
      <c r="I5805" s="33" t="s">
        <v>11965</v>
      </c>
      <c r="J5805" s="34" t="s">
        <v>33</v>
      </c>
      <c r="K5805" s="42">
        <v>142700</v>
      </c>
      <c r="L5805" s="12">
        <f t="shared" si="486"/>
        <v>203900</v>
      </c>
      <c r="M5805" s="8">
        <v>1</v>
      </c>
      <c r="N5805" s="8" t="s">
        <v>110</v>
      </c>
      <c r="O5805" s="13"/>
      <c r="P5805" s="14">
        <v>0</v>
      </c>
      <c r="Q5805" s="15">
        <v>0.3</v>
      </c>
      <c r="R5805" s="16" t="str">
        <f t="shared" si="484"/>
        <v>SCHNEIDER</v>
      </c>
    </row>
    <row r="5806" spans="1:20" ht="27" customHeight="1" x14ac:dyDescent="0.25">
      <c r="A5806" s="32" t="s">
        <v>11966</v>
      </c>
      <c r="H5806" s="8" t="s">
        <v>11967</v>
      </c>
      <c r="I5806" s="33" t="s">
        <v>11968</v>
      </c>
      <c r="J5806" s="34" t="s">
        <v>33</v>
      </c>
      <c r="K5806" s="42">
        <v>529412</v>
      </c>
      <c r="L5806" s="12">
        <f t="shared" si="486"/>
        <v>756400</v>
      </c>
      <c r="M5806" s="8">
        <v>1</v>
      </c>
      <c r="N5806" s="8" t="s">
        <v>110</v>
      </c>
      <c r="O5806" s="13"/>
      <c r="P5806" s="14">
        <v>0</v>
      </c>
      <c r="Q5806" s="15">
        <v>0.3</v>
      </c>
      <c r="R5806" s="16" t="str">
        <f t="shared" si="484"/>
        <v>ISKO</v>
      </c>
    </row>
    <row r="5807" spans="1:20" ht="27" customHeight="1" x14ac:dyDescent="0.25">
      <c r="A5807" s="32" t="s">
        <v>5449</v>
      </c>
      <c r="H5807" s="8" t="s">
        <v>11969</v>
      </c>
      <c r="I5807" s="33" t="s">
        <v>11970</v>
      </c>
      <c r="J5807" s="34" t="s">
        <v>33</v>
      </c>
      <c r="K5807" s="42">
        <f>100000/1.19</f>
        <v>84033.613445378156</v>
      </c>
      <c r="L5807" s="12">
        <f t="shared" si="486"/>
        <v>140100</v>
      </c>
      <c r="M5807" s="8">
        <v>1</v>
      </c>
      <c r="N5807" s="8" t="s">
        <v>110</v>
      </c>
      <c r="O5807" s="13"/>
      <c r="P5807" s="14">
        <v>0</v>
      </c>
      <c r="Q5807" s="15">
        <v>0.4</v>
      </c>
      <c r="R5807" s="16" t="str">
        <f t="shared" ref="R5807:R5870" si="487">A5807</f>
        <v>LULOVA</v>
      </c>
    </row>
    <row r="5808" spans="1:20" ht="27" customHeight="1" x14ac:dyDescent="0.25">
      <c r="A5808" s="32" t="s">
        <v>3977</v>
      </c>
      <c r="H5808" s="8" t="s">
        <v>11971</v>
      </c>
      <c r="I5808" s="33" t="s">
        <v>11972</v>
      </c>
      <c r="J5808" s="34" t="s">
        <v>33</v>
      </c>
      <c r="K5808" s="42">
        <v>6000</v>
      </c>
      <c r="L5808" s="12">
        <f t="shared" si="486"/>
        <v>12000</v>
      </c>
      <c r="M5808" s="8">
        <v>1</v>
      </c>
      <c r="N5808" s="8" t="s">
        <v>27</v>
      </c>
      <c r="O5808" s="13">
        <f t="shared" ref="O5808:O5821" si="488">F5808</f>
        <v>0</v>
      </c>
      <c r="P5808" s="14">
        <v>0</v>
      </c>
      <c r="Q5808" s="15">
        <v>0.5</v>
      </c>
      <c r="R5808" s="16" t="str">
        <f t="shared" si="487"/>
        <v>KOMODO</v>
      </c>
    </row>
    <row r="5809" spans="1:23" ht="27" customHeight="1" x14ac:dyDescent="0.25">
      <c r="A5809" s="32" t="s">
        <v>8471</v>
      </c>
      <c r="H5809" s="8" t="s">
        <v>11973</v>
      </c>
      <c r="I5809" s="33" t="s">
        <v>11974</v>
      </c>
      <c r="J5809" s="34" t="s">
        <v>33</v>
      </c>
      <c r="K5809" s="42">
        <v>2000</v>
      </c>
      <c r="L5809" s="12">
        <f t="shared" si="486"/>
        <v>3400</v>
      </c>
      <c r="M5809" s="8">
        <v>1</v>
      </c>
      <c r="N5809" s="8" t="s">
        <v>27</v>
      </c>
      <c r="O5809" s="13">
        <f t="shared" si="488"/>
        <v>0</v>
      </c>
      <c r="P5809" s="14">
        <v>0</v>
      </c>
      <c r="Q5809" s="15">
        <v>0.4</v>
      </c>
      <c r="R5809" s="16" t="str">
        <f t="shared" si="487"/>
        <v>STAR</v>
      </c>
    </row>
    <row r="5810" spans="1:23" ht="27" customHeight="1" x14ac:dyDescent="0.25">
      <c r="A5810" s="32" t="s">
        <v>3977</v>
      </c>
      <c r="H5810" s="8" t="s">
        <v>11975</v>
      </c>
      <c r="I5810" s="33" t="s">
        <v>11976</v>
      </c>
      <c r="J5810" s="34" t="s">
        <v>33</v>
      </c>
      <c r="K5810" s="42">
        <v>80000</v>
      </c>
      <c r="L5810" s="12">
        <f t="shared" si="486"/>
        <v>133400</v>
      </c>
      <c r="M5810" s="8">
        <v>1</v>
      </c>
      <c r="N5810" s="8" t="s">
        <v>27</v>
      </c>
      <c r="O5810" s="13">
        <f t="shared" si="488"/>
        <v>0</v>
      </c>
      <c r="P5810" s="14">
        <v>0</v>
      </c>
      <c r="Q5810" s="15">
        <v>0.4</v>
      </c>
      <c r="R5810" s="16" t="str">
        <f t="shared" si="487"/>
        <v>KOMODO</v>
      </c>
    </row>
    <row r="5811" spans="1:23" ht="27" customHeight="1" x14ac:dyDescent="0.25">
      <c r="A5811" s="32" t="s">
        <v>8836</v>
      </c>
      <c r="H5811" s="8" t="s">
        <v>11977</v>
      </c>
      <c r="I5811" s="33" t="s">
        <v>11978</v>
      </c>
      <c r="J5811" s="34" t="s">
        <v>33</v>
      </c>
      <c r="K5811" s="42">
        <v>37201</v>
      </c>
      <c r="L5811" s="12">
        <f t="shared" si="486"/>
        <v>49700</v>
      </c>
      <c r="M5811" s="8">
        <v>1</v>
      </c>
      <c r="N5811" s="8" t="s">
        <v>27</v>
      </c>
      <c r="O5811" s="13">
        <f t="shared" si="488"/>
        <v>0</v>
      </c>
      <c r="P5811" s="14">
        <v>0</v>
      </c>
      <c r="Q5811" s="15">
        <v>0.25</v>
      </c>
      <c r="R5811" s="16" t="str">
        <f t="shared" si="487"/>
        <v>TECNOLITE</v>
      </c>
    </row>
    <row r="5812" spans="1:23" ht="27" customHeight="1" x14ac:dyDescent="0.25">
      <c r="A5812" s="32" t="s">
        <v>8836</v>
      </c>
      <c r="H5812" s="8" t="s">
        <v>11979</v>
      </c>
      <c r="I5812" s="33" t="s">
        <v>11980</v>
      </c>
      <c r="J5812" s="34" t="s">
        <v>33</v>
      </c>
      <c r="K5812" s="42">
        <v>34869</v>
      </c>
      <c r="L5812" s="12">
        <f t="shared" si="486"/>
        <v>46500</v>
      </c>
      <c r="M5812" s="8">
        <v>1</v>
      </c>
      <c r="N5812" s="8" t="s">
        <v>27</v>
      </c>
      <c r="O5812" s="13">
        <f t="shared" si="488"/>
        <v>0</v>
      </c>
      <c r="P5812" s="14">
        <v>0</v>
      </c>
      <c r="Q5812" s="15">
        <v>0.25</v>
      </c>
      <c r="R5812" s="16" t="str">
        <f t="shared" si="487"/>
        <v>TECNOLITE</v>
      </c>
    </row>
    <row r="5813" spans="1:23" ht="27" customHeight="1" x14ac:dyDescent="0.25">
      <c r="A5813" s="32" t="s">
        <v>8836</v>
      </c>
      <c r="H5813" s="8" t="s">
        <v>11981</v>
      </c>
      <c r="I5813" t="s">
        <v>11982</v>
      </c>
      <c r="J5813" s="34" t="s">
        <v>33</v>
      </c>
      <c r="K5813" s="42">
        <v>43805</v>
      </c>
      <c r="L5813" s="12">
        <f t="shared" si="486"/>
        <v>58500</v>
      </c>
      <c r="M5813" s="8">
        <v>1</v>
      </c>
      <c r="N5813" s="8" t="s">
        <v>27</v>
      </c>
      <c r="O5813" s="13">
        <f t="shared" si="488"/>
        <v>0</v>
      </c>
      <c r="P5813" s="14">
        <v>0</v>
      </c>
      <c r="Q5813" s="15">
        <v>0.25</v>
      </c>
      <c r="R5813" s="16" t="str">
        <f t="shared" si="487"/>
        <v>TECNOLITE</v>
      </c>
      <c r="S5813" s="38"/>
    </row>
    <row r="5814" spans="1:23" ht="27" customHeight="1" x14ac:dyDescent="0.25">
      <c r="A5814" s="32" t="s">
        <v>7931</v>
      </c>
      <c r="H5814" s="8" t="s">
        <v>11983</v>
      </c>
      <c r="I5814" s="33" t="s">
        <v>11984</v>
      </c>
      <c r="J5814" s="34" t="s">
        <v>33</v>
      </c>
      <c r="K5814" s="42">
        <v>181951</v>
      </c>
      <c r="L5814" s="12">
        <f t="shared" si="486"/>
        <v>242700</v>
      </c>
      <c r="M5814" s="8">
        <v>1</v>
      </c>
      <c r="N5814" s="8" t="s">
        <v>27</v>
      </c>
      <c r="O5814" s="13">
        <f t="shared" si="488"/>
        <v>0</v>
      </c>
      <c r="P5814" s="14">
        <v>0</v>
      </c>
      <c r="Q5814" s="15">
        <v>0.25</v>
      </c>
      <c r="R5814" s="16" t="str">
        <f t="shared" si="487"/>
        <v>SYLVANIA</v>
      </c>
    </row>
    <row r="5815" spans="1:23" ht="27" customHeight="1" x14ac:dyDescent="0.25">
      <c r="A5815" s="32" t="s">
        <v>3977</v>
      </c>
      <c r="H5815" s="8" t="s">
        <v>11985</v>
      </c>
      <c r="I5815" s="33" t="s">
        <v>11986</v>
      </c>
      <c r="J5815" s="34" t="s">
        <v>33</v>
      </c>
      <c r="K5815" s="42">
        <v>100000</v>
      </c>
      <c r="L5815" s="12">
        <f t="shared" si="486"/>
        <v>166700</v>
      </c>
      <c r="M5815" s="8">
        <v>1</v>
      </c>
      <c r="N5815" s="8" t="s">
        <v>27</v>
      </c>
      <c r="O5815" s="13">
        <f t="shared" si="488"/>
        <v>0</v>
      </c>
      <c r="P5815" s="14">
        <v>0</v>
      </c>
      <c r="Q5815" s="15">
        <v>0.4</v>
      </c>
      <c r="R5815" s="16" t="str">
        <f t="shared" si="487"/>
        <v>KOMODO</v>
      </c>
    </row>
    <row r="5816" spans="1:23" ht="27" customHeight="1" x14ac:dyDescent="0.25">
      <c r="A5816" s="32" t="s">
        <v>5672</v>
      </c>
      <c r="H5816" s="8" t="s">
        <v>11641</v>
      </c>
      <c r="I5816" s="33" t="s">
        <v>11987</v>
      </c>
      <c r="J5816" s="34" t="s">
        <v>26</v>
      </c>
      <c r="K5816" s="42">
        <v>24.7</v>
      </c>
      <c r="L5816" s="12">
        <f t="shared" si="486"/>
        <v>49.4</v>
      </c>
      <c r="M5816" s="8">
        <v>1</v>
      </c>
      <c r="N5816" s="8" t="s">
        <v>27</v>
      </c>
      <c r="O5816" s="13">
        <f t="shared" si="488"/>
        <v>0</v>
      </c>
      <c r="P5816" s="14">
        <v>0.2</v>
      </c>
      <c r="Q5816" s="15">
        <v>0.4</v>
      </c>
      <c r="R5816" s="16" t="str">
        <f t="shared" si="487"/>
        <v>LUTRON</v>
      </c>
    </row>
    <row r="5817" spans="1:23" ht="27" customHeight="1" x14ac:dyDescent="0.25">
      <c r="A5817" s="32" t="s">
        <v>8836</v>
      </c>
      <c r="H5817" s="8" t="s">
        <v>11988</v>
      </c>
      <c r="I5817" s="33" t="s">
        <v>11989</v>
      </c>
      <c r="J5817" s="34" t="s">
        <v>33</v>
      </c>
      <c r="K5817" s="58">
        <v>46000</v>
      </c>
      <c r="L5817" s="12">
        <f t="shared" si="486"/>
        <v>76700</v>
      </c>
      <c r="M5817" s="8">
        <v>1</v>
      </c>
      <c r="N5817" s="8" t="s">
        <v>27</v>
      </c>
      <c r="O5817" s="13">
        <f t="shared" si="488"/>
        <v>0</v>
      </c>
      <c r="P5817" s="14">
        <v>0.2</v>
      </c>
      <c r="Q5817" s="15">
        <v>0.4</v>
      </c>
      <c r="R5817" s="16" t="str">
        <f t="shared" si="487"/>
        <v>TECNOLITE</v>
      </c>
    </row>
    <row r="5818" spans="1:23" ht="27" customHeight="1" x14ac:dyDescent="0.25">
      <c r="A5818" s="32" t="s">
        <v>5672</v>
      </c>
      <c r="H5818" s="8" t="s">
        <v>11990</v>
      </c>
      <c r="I5818" s="33" t="s">
        <v>11991</v>
      </c>
      <c r="J5818" s="34" t="s">
        <v>26</v>
      </c>
      <c r="K5818" s="42">
        <v>75</v>
      </c>
      <c r="L5818" s="12">
        <f t="shared" si="486"/>
        <v>150</v>
      </c>
      <c r="M5818" s="8">
        <v>1</v>
      </c>
      <c r="N5818" s="8" t="s">
        <v>27</v>
      </c>
      <c r="O5818" s="13">
        <f t="shared" si="488"/>
        <v>0</v>
      </c>
      <c r="P5818" s="14">
        <v>0.2</v>
      </c>
      <c r="Q5818" s="15">
        <v>0.4</v>
      </c>
      <c r="R5818" s="16" t="str">
        <f t="shared" si="487"/>
        <v>LUTRON</v>
      </c>
    </row>
    <row r="5819" spans="1:23" ht="27" customHeight="1" x14ac:dyDescent="0.25">
      <c r="A5819" s="32" t="s">
        <v>8836</v>
      </c>
      <c r="H5819" s="8" t="s">
        <v>11992</v>
      </c>
      <c r="I5819" s="33" t="s">
        <v>11993</v>
      </c>
      <c r="J5819" s="34" t="s">
        <v>33</v>
      </c>
      <c r="K5819" s="42">
        <v>87700</v>
      </c>
      <c r="L5819" s="12">
        <f t="shared" si="486"/>
        <v>125300</v>
      </c>
      <c r="M5819" s="8">
        <v>1</v>
      </c>
      <c r="N5819" s="8" t="s">
        <v>27</v>
      </c>
      <c r="O5819" s="13">
        <f t="shared" si="488"/>
        <v>0</v>
      </c>
      <c r="P5819" s="14">
        <v>0</v>
      </c>
      <c r="Q5819" s="15">
        <v>0.3</v>
      </c>
      <c r="R5819" s="16" t="str">
        <f t="shared" si="487"/>
        <v>TECNOLITE</v>
      </c>
    </row>
    <row r="5820" spans="1:23" ht="27" customHeight="1" x14ac:dyDescent="0.25">
      <c r="A5820" s="32" t="s">
        <v>5672</v>
      </c>
      <c r="H5820" s="8" t="s">
        <v>11994</v>
      </c>
      <c r="I5820" s="33" t="s">
        <v>11995</v>
      </c>
      <c r="J5820" s="34" t="s">
        <v>33</v>
      </c>
      <c r="K5820" s="42">
        <v>45</v>
      </c>
      <c r="L5820" s="12">
        <f>K5820*(1+P5820)/(1-Q5820)</f>
        <v>90</v>
      </c>
      <c r="M5820" s="8">
        <v>1</v>
      </c>
      <c r="N5820" s="8" t="s">
        <v>27</v>
      </c>
      <c r="O5820" s="13">
        <f t="shared" si="488"/>
        <v>0</v>
      </c>
      <c r="P5820" s="14">
        <v>0.2</v>
      </c>
      <c r="Q5820" s="15">
        <v>0.4</v>
      </c>
      <c r="R5820" s="16" t="str">
        <f t="shared" si="487"/>
        <v>LUTRON</v>
      </c>
    </row>
    <row r="5821" spans="1:23" ht="27" customHeight="1" x14ac:dyDescent="0.25">
      <c r="A5821" s="32" t="s">
        <v>645</v>
      </c>
      <c r="H5821" s="8" t="s">
        <v>11996</v>
      </c>
      <c r="I5821" s="33" t="s">
        <v>11997</v>
      </c>
      <c r="J5821" s="34" t="s">
        <v>33</v>
      </c>
      <c r="K5821" s="42">
        <v>699000</v>
      </c>
      <c r="L5821" s="12">
        <f>K5821*(1+P5821)/(1-Q5821)</f>
        <v>1398000</v>
      </c>
      <c r="M5821" s="8">
        <v>1</v>
      </c>
      <c r="N5821" s="8" t="s">
        <v>27</v>
      </c>
      <c r="O5821" s="13">
        <f t="shared" si="488"/>
        <v>0</v>
      </c>
      <c r="P5821" s="14">
        <v>0.2</v>
      </c>
      <c r="Q5821" s="15">
        <v>0.4</v>
      </c>
      <c r="R5821" s="16" t="str">
        <f t="shared" si="487"/>
        <v>ATEN</v>
      </c>
    </row>
    <row r="5822" spans="1:23" ht="27" customHeight="1" x14ac:dyDescent="0.25">
      <c r="A5822" s="32" t="s">
        <v>10249</v>
      </c>
      <c r="H5822" s="8" t="s">
        <v>11998</v>
      </c>
      <c r="I5822" t="s">
        <v>11999</v>
      </c>
      <c r="J5822" s="34" t="s">
        <v>26</v>
      </c>
      <c r="K5822" s="20">
        <v>12.8</v>
      </c>
      <c r="L5822" s="12">
        <f>ROUNDUP(K5822*(1+P5822)/(1-Q5822),0)</f>
        <v>36</v>
      </c>
      <c r="M5822" s="8">
        <v>1</v>
      </c>
      <c r="N5822" s="8" t="s">
        <v>27</v>
      </c>
      <c r="O5822" s="13"/>
      <c r="P5822" s="14">
        <v>0.4</v>
      </c>
      <c r="Q5822" s="15">
        <v>0.5</v>
      </c>
      <c r="R5822" s="16" t="str">
        <f t="shared" si="487"/>
        <v>SKYDANCE</v>
      </c>
    </row>
    <row r="5823" spans="1:23" ht="27" customHeight="1" x14ac:dyDescent="0.25">
      <c r="A5823" s="23" t="s">
        <v>2512</v>
      </c>
      <c r="B5823" s="19"/>
      <c r="C5823" s="19"/>
      <c r="D5823" s="19"/>
      <c r="E5823" s="19"/>
      <c r="F5823" s="19"/>
      <c r="G5823" s="19"/>
      <c r="H5823" s="8" t="s">
        <v>12000</v>
      </c>
      <c r="I5823" s="60" t="s">
        <v>12001</v>
      </c>
      <c r="J5823" s="25" t="s">
        <v>33</v>
      </c>
      <c r="K5823" s="59">
        <v>260000</v>
      </c>
      <c r="L5823" s="12">
        <f>ROUNDUP(K5823*(1+P5823)/(1-Q5823),0)</f>
        <v>371429</v>
      </c>
      <c r="M5823" s="8">
        <v>1</v>
      </c>
      <c r="N5823" s="8" t="s">
        <v>27</v>
      </c>
      <c r="O5823" s="13"/>
      <c r="P5823" s="14">
        <v>0</v>
      </c>
      <c r="Q5823" s="15">
        <v>0.3</v>
      </c>
      <c r="R5823" s="16" t="str">
        <f t="shared" si="487"/>
        <v>GENERAL</v>
      </c>
      <c r="S5823" s="19"/>
      <c r="T5823" s="10">
        <f>G5823</f>
        <v>0</v>
      </c>
      <c r="U5823" s="19"/>
      <c r="V5823" s="19"/>
      <c r="W5823" s="19"/>
    </row>
    <row r="5824" spans="1:23" ht="27" customHeight="1" x14ac:dyDescent="0.25">
      <c r="A5824" s="32" t="s">
        <v>6886</v>
      </c>
      <c r="H5824" s="8" t="s">
        <v>166</v>
      </c>
      <c r="I5824" s="33" t="s">
        <v>12002</v>
      </c>
      <c r="J5824" s="34" t="s">
        <v>33</v>
      </c>
      <c r="K5824" s="59">
        <v>59000</v>
      </c>
      <c r="L5824" s="12">
        <f>ROUNDUP(K5824*(1+P5824)/(1-Q5824),0)</f>
        <v>84286</v>
      </c>
      <c r="M5824" s="8">
        <v>1</v>
      </c>
      <c r="N5824" s="8" t="s">
        <v>27</v>
      </c>
      <c r="O5824" s="13"/>
      <c r="P5824" s="14">
        <v>0</v>
      </c>
      <c r="Q5824" s="15">
        <v>0.3</v>
      </c>
      <c r="R5824" s="16" t="str">
        <f t="shared" si="487"/>
        <v>MEANWELL</v>
      </c>
    </row>
    <row r="5825" spans="1:23" ht="27" customHeight="1" x14ac:dyDescent="0.25">
      <c r="A5825" s="32" t="s">
        <v>3977</v>
      </c>
      <c r="H5825" s="8" t="s">
        <v>4750</v>
      </c>
      <c r="I5825" s="33" t="s">
        <v>12003</v>
      </c>
      <c r="J5825" s="34" t="s">
        <v>33</v>
      </c>
      <c r="K5825" s="42">
        <v>220000</v>
      </c>
      <c r="L5825" s="12">
        <f>ROUNDUP(K5825*(1+P5825)/(1-Q5825),0)</f>
        <v>314286</v>
      </c>
      <c r="M5825" s="8">
        <v>1</v>
      </c>
      <c r="N5825" s="8" t="s">
        <v>27</v>
      </c>
      <c r="O5825" s="13"/>
      <c r="P5825" s="14">
        <v>0</v>
      </c>
      <c r="Q5825" s="15">
        <v>0.3</v>
      </c>
      <c r="R5825" s="16" t="str">
        <f t="shared" si="487"/>
        <v>KOMODO</v>
      </c>
    </row>
    <row r="5826" spans="1:23" ht="27" customHeight="1" x14ac:dyDescent="0.25">
      <c r="A5826" s="32" t="s">
        <v>3977</v>
      </c>
      <c r="B5826" s="24"/>
      <c r="C5826" s="24"/>
      <c r="D5826" s="24"/>
      <c r="E5826" s="24"/>
      <c r="F5826" s="24"/>
      <c r="G5826" s="24"/>
      <c r="H5826" s="8" t="s">
        <v>12004</v>
      </c>
      <c r="I5826" s="24" t="s">
        <v>12005</v>
      </c>
      <c r="J5826" s="24" t="s">
        <v>33</v>
      </c>
      <c r="K5826" s="26">
        <v>150000</v>
      </c>
      <c r="L5826" s="12">
        <f t="shared" ref="L5826:L5831" si="489">IF(J5826="P",ROUNDUP(K5826/(1-Q5826),-2),K5826*(1+P5826)/(1-Q5826))</f>
        <v>214300</v>
      </c>
      <c r="M5826" s="8">
        <v>1</v>
      </c>
      <c r="N5826" s="8" t="s">
        <v>27</v>
      </c>
      <c r="O5826" s="13">
        <f t="shared" ref="O5826:O5831" si="490">F5826</f>
        <v>0</v>
      </c>
      <c r="P5826" s="14">
        <v>0</v>
      </c>
      <c r="Q5826" s="15">
        <v>0.3</v>
      </c>
      <c r="R5826" s="16" t="str">
        <f t="shared" si="487"/>
        <v>KOMODO</v>
      </c>
      <c r="S5826" s="17"/>
      <c r="T5826" s="10">
        <f>G5826</f>
        <v>0</v>
      </c>
      <c r="U5826" s="24"/>
      <c r="V5826" s="24"/>
      <c r="W5826" s="24"/>
    </row>
    <row r="5827" spans="1:23" ht="27" customHeight="1" x14ac:dyDescent="0.25">
      <c r="A5827" s="32" t="s">
        <v>10356</v>
      </c>
      <c r="H5827" s="8" t="s">
        <v>12006</v>
      </c>
      <c r="I5827" s="33" t="s">
        <v>12007</v>
      </c>
      <c r="J5827" s="34" t="s">
        <v>33</v>
      </c>
      <c r="K5827" s="42">
        <v>282540</v>
      </c>
      <c r="L5827" s="12">
        <f t="shared" si="489"/>
        <v>403700</v>
      </c>
      <c r="M5827" s="8">
        <v>1</v>
      </c>
      <c r="N5827" s="8" t="s">
        <v>27</v>
      </c>
      <c r="O5827" s="13">
        <f t="shared" si="490"/>
        <v>0</v>
      </c>
      <c r="P5827" s="14">
        <v>0</v>
      </c>
      <c r="Q5827" s="15">
        <v>0.3</v>
      </c>
      <c r="R5827" s="16" t="str">
        <f t="shared" si="487"/>
        <v>LUXYCON</v>
      </c>
    </row>
    <row r="5828" spans="1:23" ht="27" customHeight="1" x14ac:dyDescent="0.25">
      <c r="A5828" s="32" t="s">
        <v>12008</v>
      </c>
      <c r="H5828" s="8" t="s">
        <v>11430</v>
      </c>
      <c r="I5828" s="33" t="s">
        <v>12009</v>
      </c>
      <c r="J5828" s="34" t="s">
        <v>26</v>
      </c>
      <c r="K5828" s="42">
        <v>64.17</v>
      </c>
      <c r="L5828" s="12">
        <f t="shared" si="489"/>
        <v>141.17400000000001</v>
      </c>
      <c r="M5828" s="8">
        <v>1</v>
      </c>
      <c r="N5828" s="8" t="s">
        <v>27</v>
      </c>
      <c r="O5828" s="13">
        <f t="shared" si="490"/>
        <v>0</v>
      </c>
      <c r="P5828" s="14">
        <v>0.32</v>
      </c>
      <c r="Q5828" s="15">
        <v>0.4</v>
      </c>
      <c r="R5828" s="16" t="str">
        <f t="shared" si="487"/>
        <v>LEDYY</v>
      </c>
    </row>
    <row r="5829" spans="1:23" ht="27" customHeight="1" x14ac:dyDescent="0.25">
      <c r="A5829" s="32" t="s">
        <v>12008</v>
      </c>
      <c r="H5829" s="8" t="s">
        <v>11432</v>
      </c>
      <c r="I5829" s="33" t="s">
        <v>12010</v>
      </c>
      <c r="J5829" s="34" t="s">
        <v>26</v>
      </c>
      <c r="K5829" s="42">
        <v>77</v>
      </c>
      <c r="L5829" s="12">
        <f t="shared" si="489"/>
        <v>169.4</v>
      </c>
      <c r="M5829" s="8">
        <v>1</v>
      </c>
      <c r="N5829" s="8" t="s">
        <v>27</v>
      </c>
      <c r="O5829" s="13">
        <f t="shared" si="490"/>
        <v>0</v>
      </c>
      <c r="P5829" s="14">
        <v>0.32</v>
      </c>
      <c r="Q5829" s="15">
        <v>0.4</v>
      </c>
      <c r="R5829" s="16" t="str">
        <f t="shared" si="487"/>
        <v>LEDYY</v>
      </c>
    </row>
    <row r="5830" spans="1:23" ht="27" customHeight="1" x14ac:dyDescent="0.25">
      <c r="A5830" s="32" t="s">
        <v>10258</v>
      </c>
      <c r="H5830" s="8" t="s">
        <v>12011</v>
      </c>
      <c r="I5830" s="33" t="s">
        <v>12012</v>
      </c>
      <c r="J5830" s="34" t="s">
        <v>26</v>
      </c>
      <c r="K5830" s="42">
        <v>16</v>
      </c>
      <c r="L5830" s="12">
        <f t="shared" si="489"/>
        <v>35.200000000000003</v>
      </c>
      <c r="M5830" s="8">
        <v>1</v>
      </c>
      <c r="N5830" s="8" t="s">
        <v>27</v>
      </c>
      <c r="O5830" s="13">
        <f t="shared" si="490"/>
        <v>0</v>
      </c>
      <c r="P5830" s="14">
        <v>0.32</v>
      </c>
      <c r="Q5830" s="15">
        <v>0.4</v>
      </c>
      <c r="R5830" s="16" t="str">
        <f t="shared" si="487"/>
        <v>SC_POWER</v>
      </c>
    </row>
    <row r="5831" spans="1:23" ht="27" customHeight="1" x14ac:dyDescent="0.25">
      <c r="A5831" s="32" t="s">
        <v>10258</v>
      </c>
      <c r="H5831" s="8" t="s">
        <v>12013</v>
      </c>
      <c r="I5831" s="33" t="s">
        <v>12014</v>
      </c>
      <c r="J5831" s="34" t="s">
        <v>26</v>
      </c>
      <c r="K5831" s="42">
        <v>25.3</v>
      </c>
      <c r="L5831" s="12">
        <f t="shared" si="489"/>
        <v>55.660000000000004</v>
      </c>
      <c r="M5831" s="8">
        <v>1</v>
      </c>
      <c r="N5831" s="8" t="s">
        <v>27</v>
      </c>
      <c r="O5831" s="13">
        <f t="shared" si="490"/>
        <v>0</v>
      </c>
      <c r="P5831" s="14">
        <v>0.32</v>
      </c>
      <c r="Q5831" s="15">
        <v>0.4</v>
      </c>
      <c r="R5831" s="16" t="str">
        <f t="shared" si="487"/>
        <v>SC_POWER</v>
      </c>
    </row>
    <row r="5832" spans="1:23" ht="27" customHeight="1" x14ac:dyDescent="0.25">
      <c r="A5832" s="8" t="s">
        <v>5672</v>
      </c>
      <c r="B5832" s="9" t="s">
        <v>5666</v>
      </c>
      <c r="C5832" s="9"/>
      <c r="D5832" s="8" t="s">
        <v>5909</v>
      </c>
      <c r="E5832" s="8">
        <v>1</v>
      </c>
      <c r="F5832" s="8" t="s">
        <v>22</v>
      </c>
      <c r="G5832" s="10" t="s">
        <v>6279</v>
      </c>
      <c r="H5832" s="8" t="s">
        <v>12015</v>
      </c>
      <c r="I5832" s="10" t="s">
        <v>6279</v>
      </c>
      <c r="J5832" s="11" t="s">
        <v>26</v>
      </c>
      <c r="K5832" s="57">
        <v>22.5</v>
      </c>
      <c r="L5832" s="12">
        <f t="shared" ref="L5832:L5837" si="491">ROUNDUP(K5832*(1+P5832)/(1-Q5832),0)</f>
        <v>45</v>
      </c>
      <c r="M5832" s="8">
        <v>1</v>
      </c>
      <c r="N5832" s="8" t="s">
        <v>27</v>
      </c>
      <c r="O5832" s="13"/>
      <c r="P5832" s="14">
        <v>0.2</v>
      </c>
      <c r="Q5832" s="15">
        <v>0.4</v>
      </c>
      <c r="R5832" s="16" t="str">
        <f t="shared" si="487"/>
        <v>LUTRON</v>
      </c>
      <c r="S5832" s="17"/>
      <c r="T5832" s="10" t="str">
        <f>G5832</f>
        <v>TECLADO PICO DE 4 BOTONES</v>
      </c>
    </row>
    <row r="5833" spans="1:23" ht="27" customHeight="1" x14ac:dyDescent="0.25">
      <c r="A5833" s="8" t="s">
        <v>5672</v>
      </c>
      <c r="B5833" s="9" t="s">
        <v>5666</v>
      </c>
      <c r="C5833" s="9"/>
      <c r="D5833" s="8" t="s">
        <v>5909</v>
      </c>
      <c r="E5833" s="8">
        <v>1</v>
      </c>
      <c r="F5833" s="8" t="s">
        <v>22</v>
      </c>
      <c r="G5833" s="10" t="s">
        <v>6279</v>
      </c>
      <c r="H5833" s="8" t="s">
        <v>12016</v>
      </c>
      <c r="I5833" s="10" t="s">
        <v>12017</v>
      </c>
      <c r="J5833" s="11" t="s">
        <v>26</v>
      </c>
      <c r="K5833" s="57">
        <v>37.200000000000003</v>
      </c>
      <c r="L5833" s="12">
        <f t="shared" si="491"/>
        <v>62</v>
      </c>
      <c r="M5833" s="8">
        <v>1</v>
      </c>
      <c r="N5833" s="8" t="s">
        <v>27</v>
      </c>
      <c r="O5833" s="13"/>
      <c r="P5833" s="14">
        <v>0.2</v>
      </c>
      <c r="Q5833" s="15">
        <v>0.27300000000000002</v>
      </c>
      <c r="R5833" s="16" t="str">
        <f t="shared" si="487"/>
        <v>LUTRON</v>
      </c>
      <c r="S5833" s="17"/>
      <c r="T5833" s="10" t="str">
        <f>G5833</f>
        <v>TECLADO PICO DE 4 BOTONES</v>
      </c>
    </row>
    <row r="5834" spans="1:23" ht="27" customHeight="1" x14ac:dyDescent="0.25">
      <c r="A5834" s="32" t="s">
        <v>10677</v>
      </c>
      <c r="H5834" t="s">
        <v>12018</v>
      </c>
      <c r="I5834" s="33" t="s">
        <v>12019</v>
      </c>
      <c r="J5834" s="34" t="s">
        <v>26</v>
      </c>
      <c r="K5834" s="42">
        <f>259/2</f>
        <v>129.5</v>
      </c>
      <c r="L5834" s="12">
        <f t="shared" si="491"/>
        <v>214</v>
      </c>
      <c r="M5834" s="8">
        <v>1</v>
      </c>
      <c r="N5834" s="8" t="s">
        <v>27</v>
      </c>
      <c r="O5834" s="13"/>
      <c r="P5834" s="14">
        <v>0.2</v>
      </c>
      <c r="Q5834" s="15">
        <v>0.27300000000000002</v>
      </c>
      <c r="R5834" s="16" t="str">
        <f t="shared" si="487"/>
        <v>SONANCE</v>
      </c>
    </row>
    <row r="5835" spans="1:23" ht="27" customHeight="1" x14ac:dyDescent="0.25">
      <c r="A5835" s="32" t="s">
        <v>10677</v>
      </c>
      <c r="H5835" t="s">
        <v>12020</v>
      </c>
      <c r="I5835" s="33" t="s">
        <v>12021</v>
      </c>
      <c r="J5835" s="34" t="s">
        <v>26</v>
      </c>
      <c r="K5835" s="42">
        <f>495/2</f>
        <v>247.5</v>
      </c>
      <c r="L5835" s="12">
        <f t="shared" si="491"/>
        <v>409</v>
      </c>
      <c r="M5835" s="8">
        <v>1</v>
      </c>
      <c r="N5835" s="8" t="s">
        <v>27</v>
      </c>
      <c r="O5835" s="13"/>
      <c r="P5835" s="14">
        <v>0.2</v>
      </c>
      <c r="Q5835" s="15">
        <v>0.27300000000000002</v>
      </c>
      <c r="R5835" s="16" t="str">
        <f t="shared" si="487"/>
        <v>SONANCE</v>
      </c>
    </row>
    <row r="5836" spans="1:23" ht="27" customHeight="1" x14ac:dyDescent="0.25">
      <c r="A5836" s="32" t="s">
        <v>10677</v>
      </c>
      <c r="H5836" t="s">
        <v>12022</v>
      </c>
      <c r="I5836" s="33" t="s">
        <v>12023</v>
      </c>
      <c r="J5836" s="34" t="s">
        <v>26</v>
      </c>
      <c r="K5836" s="42">
        <f>424/2</f>
        <v>212</v>
      </c>
      <c r="L5836" s="12">
        <f t="shared" si="491"/>
        <v>350</v>
      </c>
      <c r="M5836" s="8">
        <v>1</v>
      </c>
      <c r="N5836" s="8" t="s">
        <v>27</v>
      </c>
      <c r="O5836" s="13"/>
      <c r="P5836" s="14">
        <v>0.2</v>
      </c>
      <c r="Q5836" s="15">
        <v>0.27300000000000002</v>
      </c>
      <c r="R5836" s="16" t="str">
        <f t="shared" si="487"/>
        <v>SONANCE</v>
      </c>
    </row>
    <row r="5837" spans="1:23" ht="27" customHeight="1" x14ac:dyDescent="0.25">
      <c r="A5837" s="32" t="s">
        <v>12024</v>
      </c>
      <c r="H5837" t="s">
        <v>12025</v>
      </c>
      <c r="I5837" s="33" t="s">
        <v>12026</v>
      </c>
      <c r="J5837" s="34" t="s">
        <v>26</v>
      </c>
      <c r="K5837" s="42">
        <v>35</v>
      </c>
      <c r="L5837" s="12">
        <f t="shared" si="491"/>
        <v>58</v>
      </c>
      <c r="M5837" s="8">
        <v>1</v>
      </c>
      <c r="N5837" s="8" t="s">
        <v>27</v>
      </c>
      <c r="O5837" s="13"/>
      <c r="P5837" s="14">
        <v>0.2</v>
      </c>
      <c r="Q5837" s="15">
        <v>0.27300000000000002</v>
      </c>
      <c r="R5837" s="16" t="str">
        <f t="shared" si="487"/>
        <v>SANUS</v>
      </c>
    </row>
    <row r="5838" spans="1:23" ht="27" customHeight="1" x14ac:dyDescent="0.25">
      <c r="A5838" s="32" t="s">
        <v>11685</v>
      </c>
      <c r="H5838" s="32" t="s">
        <v>12027</v>
      </c>
      <c r="I5838" s="33" t="s">
        <v>12028</v>
      </c>
      <c r="J5838" s="34" t="s">
        <v>33</v>
      </c>
      <c r="K5838" s="42">
        <v>326000</v>
      </c>
      <c r="L5838" s="12">
        <f t="shared" ref="L5838:L5850" si="492">IF(J5838="P",ROUNDUP(K5838/(1-Q5838),-2),K5838*(1+P5838)/(1-Q5838))</f>
        <v>529200</v>
      </c>
      <c r="M5838" s="8">
        <v>1</v>
      </c>
      <c r="N5838" s="8" t="s">
        <v>27</v>
      </c>
      <c r="O5838" s="13">
        <f t="shared" ref="O5838:O5850" si="493">F5838</f>
        <v>0</v>
      </c>
      <c r="P5838" s="14">
        <v>0</v>
      </c>
      <c r="Q5838" s="15">
        <v>0.38388937412080909</v>
      </c>
      <c r="R5838" s="16" t="str">
        <f t="shared" si="487"/>
        <v>RUIJIE</v>
      </c>
    </row>
    <row r="5839" spans="1:23" ht="27" customHeight="1" x14ac:dyDescent="0.25">
      <c r="A5839" s="32" t="s">
        <v>11685</v>
      </c>
      <c r="G5839">
        <v>1187828</v>
      </c>
      <c r="H5839" s="32" t="s">
        <v>12029</v>
      </c>
      <c r="I5839" s="33" t="s">
        <v>12030</v>
      </c>
      <c r="J5839" s="34" t="s">
        <v>33</v>
      </c>
      <c r="K5839" s="42">
        <v>534000</v>
      </c>
      <c r="L5839" s="12">
        <f t="shared" si="492"/>
        <v>869200</v>
      </c>
      <c r="M5839" s="8">
        <v>1</v>
      </c>
      <c r="N5839" s="8" t="s">
        <v>27</v>
      </c>
      <c r="O5839" s="13">
        <f t="shared" si="493"/>
        <v>0</v>
      </c>
      <c r="P5839" s="14">
        <v>0</v>
      </c>
      <c r="Q5839" s="15">
        <v>0.38557852909944151</v>
      </c>
      <c r="R5839" s="16" t="str">
        <f t="shared" si="487"/>
        <v>RUIJIE</v>
      </c>
    </row>
    <row r="5840" spans="1:23" ht="27" customHeight="1" x14ac:dyDescent="0.25">
      <c r="A5840" s="32" t="s">
        <v>11685</v>
      </c>
      <c r="G5840">
        <v>1180828</v>
      </c>
      <c r="H5840" s="32" t="s">
        <v>12031</v>
      </c>
      <c r="I5840" s="33" t="s">
        <v>12032</v>
      </c>
      <c r="J5840" s="34" t="s">
        <v>33</v>
      </c>
      <c r="K5840" s="42">
        <v>813325</v>
      </c>
      <c r="L5840" s="12">
        <f t="shared" si="492"/>
        <v>1470800</v>
      </c>
      <c r="M5840" s="8">
        <v>1</v>
      </c>
      <c r="N5840" s="8" t="s">
        <v>27</v>
      </c>
      <c r="O5840" s="13">
        <f t="shared" si="493"/>
        <v>0</v>
      </c>
      <c r="P5840" s="14">
        <v>0</v>
      </c>
      <c r="Q5840" s="15">
        <v>0.44700895601095031</v>
      </c>
      <c r="R5840" s="16" t="str">
        <f t="shared" si="487"/>
        <v>RUIJIE</v>
      </c>
    </row>
    <row r="5841" spans="1:20" ht="27" customHeight="1" x14ac:dyDescent="0.25">
      <c r="A5841" s="32" t="s">
        <v>11685</v>
      </c>
      <c r="G5841">
        <f>+G5839-G5840</f>
        <v>7000</v>
      </c>
      <c r="H5841" s="32" t="s">
        <v>12033</v>
      </c>
      <c r="I5841" s="33" t="s">
        <v>12034</v>
      </c>
      <c r="J5841" s="34" t="s">
        <v>33</v>
      </c>
      <c r="K5841" s="42">
        <v>392000</v>
      </c>
      <c r="L5841" s="12">
        <f t="shared" si="492"/>
        <v>637200</v>
      </c>
      <c r="M5841" s="8">
        <v>1</v>
      </c>
      <c r="N5841" s="8" t="s">
        <v>27</v>
      </c>
      <c r="O5841" s="13">
        <f t="shared" si="493"/>
        <v>0</v>
      </c>
      <c r="P5841" s="14">
        <v>0</v>
      </c>
      <c r="Q5841" s="15">
        <v>0.3847914749749986</v>
      </c>
      <c r="R5841" s="16" t="str">
        <f t="shared" si="487"/>
        <v>RUIJIE</v>
      </c>
    </row>
    <row r="5842" spans="1:20" ht="27" customHeight="1" x14ac:dyDescent="0.25">
      <c r="A5842" s="32" t="s">
        <v>7474</v>
      </c>
      <c r="H5842" s="44" t="s">
        <v>12035</v>
      </c>
      <c r="I5842" s="45" t="s">
        <v>12036</v>
      </c>
      <c r="J5842" s="41" t="s">
        <v>26</v>
      </c>
      <c r="K5842" s="42">
        <v>508</v>
      </c>
      <c r="L5842" s="12">
        <f t="shared" si="492"/>
        <v>870.85714285714289</v>
      </c>
      <c r="M5842" s="8">
        <v>1</v>
      </c>
      <c r="N5842" s="8" t="s">
        <v>27</v>
      </c>
      <c r="O5842" s="13">
        <f t="shared" si="493"/>
        <v>0</v>
      </c>
      <c r="P5842" s="14">
        <v>0.2</v>
      </c>
      <c r="Q5842" s="15">
        <v>0.3</v>
      </c>
      <c r="R5842" s="16" t="str">
        <f t="shared" si="487"/>
        <v>ONKYO</v>
      </c>
      <c r="S5842" s="17"/>
      <c r="T5842" s="10">
        <f>G5842</f>
        <v>0</v>
      </c>
    </row>
    <row r="5843" spans="1:20" ht="27" customHeight="1" x14ac:dyDescent="0.25">
      <c r="A5843" s="32" t="s">
        <v>2512</v>
      </c>
      <c r="H5843" s="32" t="s">
        <v>12037</v>
      </c>
      <c r="I5843" s="33" t="s">
        <v>12038</v>
      </c>
      <c r="J5843" s="34" t="s">
        <v>33</v>
      </c>
      <c r="K5843" s="42">
        <v>3500</v>
      </c>
      <c r="L5843" s="12">
        <f t="shared" si="492"/>
        <v>5900</v>
      </c>
      <c r="M5843" s="8">
        <v>1</v>
      </c>
      <c r="N5843" s="8" t="s">
        <v>27</v>
      </c>
      <c r="O5843" s="13">
        <f t="shared" si="493"/>
        <v>0</v>
      </c>
      <c r="P5843" s="14">
        <v>0</v>
      </c>
      <c r="Q5843" s="15">
        <v>0.4</v>
      </c>
      <c r="R5843" s="16" t="str">
        <f t="shared" si="487"/>
        <v>GENERAL</v>
      </c>
    </row>
    <row r="5844" spans="1:20" ht="27" customHeight="1" x14ac:dyDescent="0.25">
      <c r="A5844" s="32" t="s">
        <v>6853</v>
      </c>
      <c r="H5844" s="32" t="s">
        <v>12039</v>
      </c>
      <c r="I5844" s="33" t="s">
        <v>12040</v>
      </c>
      <c r="J5844" s="34" t="s">
        <v>33</v>
      </c>
      <c r="K5844" s="42">
        <v>29636000</v>
      </c>
      <c r="L5844" s="12">
        <f t="shared" si="492"/>
        <v>39514700</v>
      </c>
      <c r="M5844" s="8">
        <v>1</v>
      </c>
      <c r="N5844" s="8" t="s">
        <v>27</v>
      </c>
      <c r="O5844" s="13">
        <f t="shared" si="493"/>
        <v>0</v>
      </c>
      <c r="P5844" s="14">
        <v>0</v>
      </c>
      <c r="Q5844" s="15">
        <v>0.25</v>
      </c>
      <c r="R5844" s="16" t="str">
        <f t="shared" si="487"/>
        <v>MAXHUB</v>
      </c>
    </row>
    <row r="5845" spans="1:20" ht="27" customHeight="1" x14ac:dyDescent="0.25">
      <c r="A5845" s="32" t="s">
        <v>12041</v>
      </c>
      <c r="H5845" s="32" t="s">
        <v>12042</v>
      </c>
      <c r="I5845" s="33" t="s">
        <v>12043</v>
      </c>
      <c r="J5845" s="34" t="s">
        <v>33</v>
      </c>
      <c r="K5845" s="42">
        <v>5665000</v>
      </c>
      <c r="L5845" s="12">
        <f t="shared" si="492"/>
        <v>7553400</v>
      </c>
      <c r="M5845" s="8">
        <v>1</v>
      </c>
      <c r="N5845" s="8" t="s">
        <v>27</v>
      </c>
      <c r="O5845" s="13">
        <f t="shared" si="493"/>
        <v>0</v>
      </c>
      <c r="P5845" s="14">
        <v>0</v>
      </c>
      <c r="Q5845" s="15">
        <v>0.25</v>
      </c>
      <c r="R5845" s="16" t="str">
        <f t="shared" si="487"/>
        <v>INTEL</v>
      </c>
    </row>
    <row r="5846" spans="1:20" ht="27" customHeight="1" x14ac:dyDescent="0.25">
      <c r="A5846" s="32" t="s">
        <v>8308</v>
      </c>
      <c r="H5846" s="32" t="s">
        <v>12044</v>
      </c>
      <c r="I5846" s="33" t="s">
        <v>12045</v>
      </c>
      <c r="J5846" s="34" t="s">
        <v>33</v>
      </c>
      <c r="K5846" s="42">
        <v>1235000</v>
      </c>
      <c r="L5846" s="12">
        <f t="shared" si="492"/>
        <v>1900000</v>
      </c>
      <c r="M5846" s="8">
        <v>1</v>
      </c>
      <c r="N5846" s="8" t="s">
        <v>27</v>
      </c>
      <c r="O5846" s="13">
        <f t="shared" si="493"/>
        <v>0</v>
      </c>
      <c r="P5846" s="14">
        <v>0</v>
      </c>
      <c r="Q5846" s="15">
        <v>0.35</v>
      </c>
      <c r="R5846" s="16" t="str">
        <f t="shared" si="487"/>
        <v>SOLIDVIEW</v>
      </c>
    </row>
    <row r="5847" spans="1:20" ht="27" customHeight="1" x14ac:dyDescent="0.25">
      <c r="A5847" s="8" t="s">
        <v>3694</v>
      </c>
      <c r="H5847" s="32" t="s">
        <v>12046</v>
      </c>
      <c r="I5847" t="s">
        <v>12047</v>
      </c>
      <c r="J5847" t="s">
        <v>33</v>
      </c>
      <c r="K5847" s="42">
        <v>210000</v>
      </c>
      <c r="L5847" s="12">
        <f t="shared" si="492"/>
        <v>350000</v>
      </c>
      <c r="M5847" s="8">
        <v>1</v>
      </c>
      <c r="N5847" s="8" t="s">
        <v>27</v>
      </c>
      <c r="O5847" s="13">
        <f t="shared" si="493"/>
        <v>0</v>
      </c>
      <c r="P5847" s="14">
        <v>0</v>
      </c>
      <c r="Q5847" s="15">
        <v>0.4</v>
      </c>
      <c r="R5847" s="16" t="str">
        <f t="shared" si="487"/>
        <v>IMOU</v>
      </c>
    </row>
    <row r="5848" spans="1:20" ht="27" customHeight="1" x14ac:dyDescent="0.25">
      <c r="A5848" t="s">
        <v>10370</v>
      </c>
      <c r="H5848" s="32" t="s">
        <v>12048</v>
      </c>
      <c r="I5848" t="s">
        <v>12049</v>
      </c>
      <c r="J5848" t="s">
        <v>26</v>
      </c>
      <c r="K5848" s="42">
        <v>4.5999999999999996</v>
      </c>
      <c r="L5848" s="12">
        <f t="shared" si="492"/>
        <v>10.733333333333333</v>
      </c>
      <c r="M5848" s="8">
        <v>1</v>
      </c>
      <c r="N5848" s="8" t="s">
        <v>27</v>
      </c>
      <c r="O5848" s="13">
        <f t="shared" si="493"/>
        <v>0</v>
      </c>
      <c r="P5848" s="14">
        <v>0.4</v>
      </c>
      <c r="Q5848" s="15">
        <v>0.4</v>
      </c>
      <c r="R5848" s="16" t="str">
        <f t="shared" si="487"/>
        <v>LEDYI</v>
      </c>
    </row>
    <row r="5849" spans="1:20" ht="27" customHeight="1" x14ac:dyDescent="0.25">
      <c r="A5849" t="s">
        <v>10370</v>
      </c>
      <c r="H5849" s="32" t="s">
        <v>12050</v>
      </c>
      <c r="I5849" t="s">
        <v>12051</v>
      </c>
      <c r="J5849" t="s">
        <v>26</v>
      </c>
      <c r="K5849" s="42">
        <v>3.29</v>
      </c>
      <c r="L5849" s="12">
        <f t="shared" si="492"/>
        <v>7.6766666666666667</v>
      </c>
      <c r="M5849" s="8">
        <v>1</v>
      </c>
      <c r="N5849" s="8" t="s">
        <v>27</v>
      </c>
      <c r="O5849" s="13">
        <f t="shared" si="493"/>
        <v>0</v>
      </c>
      <c r="P5849" s="14">
        <v>0.4</v>
      </c>
      <c r="Q5849" s="15">
        <v>0.4</v>
      </c>
      <c r="R5849" s="16" t="str">
        <f t="shared" si="487"/>
        <v>LEDYI</v>
      </c>
    </row>
    <row r="5850" spans="1:20" ht="27" customHeight="1" x14ac:dyDescent="0.25">
      <c r="A5850" t="s">
        <v>10370</v>
      </c>
      <c r="H5850" s="32" t="s">
        <v>12052</v>
      </c>
      <c r="I5850" t="s">
        <v>12053</v>
      </c>
      <c r="J5850" t="s">
        <v>26</v>
      </c>
      <c r="K5850" s="42">
        <v>6.83</v>
      </c>
      <c r="L5850" s="12">
        <f t="shared" si="492"/>
        <v>15.936666666666666</v>
      </c>
      <c r="M5850" s="8">
        <v>1</v>
      </c>
      <c r="N5850" s="8" t="s">
        <v>27</v>
      </c>
      <c r="O5850" s="13">
        <f t="shared" si="493"/>
        <v>0</v>
      </c>
      <c r="P5850" s="14">
        <v>0.4</v>
      </c>
      <c r="Q5850" s="15">
        <v>0.4</v>
      </c>
      <c r="R5850" s="16" t="str">
        <f t="shared" si="487"/>
        <v>LEDYI</v>
      </c>
    </row>
    <row r="5851" spans="1:20" ht="27" customHeight="1" x14ac:dyDescent="0.25">
      <c r="A5851" s="8" t="s">
        <v>2512</v>
      </c>
      <c r="H5851" s="32" t="s">
        <v>12054</v>
      </c>
      <c r="I5851" t="s">
        <v>12055</v>
      </c>
      <c r="J5851" t="s">
        <v>33</v>
      </c>
      <c r="K5851" s="42">
        <v>21000</v>
      </c>
      <c r="L5851" s="12">
        <f>ROUNDUP(K5851*(1+P5851)/(1-Q5851),0)</f>
        <v>84000</v>
      </c>
      <c r="M5851" s="8">
        <v>1</v>
      </c>
      <c r="N5851" s="8" t="s">
        <v>27</v>
      </c>
      <c r="O5851" s="13" t="s">
        <v>12056</v>
      </c>
      <c r="P5851" s="14">
        <v>0</v>
      </c>
      <c r="Q5851" s="15">
        <v>0.75</v>
      </c>
      <c r="R5851" s="16" t="str">
        <f t="shared" si="487"/>
        <v>GENERAL</v>
      </c>
    </row>
    <row r="5852" spans="1:20" ht="27" customHeight="1" x14ac:dyDescent="0.25">
      <c r="A5852" t="s">
        <v>2413</v>
      </c>
      <c r="H5852" s="32" t="s">
        <v>12057</v>
      </c>
      <c r="I5852" t="s">
        <v>12058</v>
      </c>
      <c r="J5852" t="s">
        <v>33</v>
      </c>
      <c r="K5852" s="42">
        <v>700671.5</v>
      </c>
      <c r="L5852" s="12">
        <f>ROUNDUP(K5852*(1+P5852)/(1-Q5852),0)</f>
        <v>1000960</v>
      </c>
      <c r="M5852" s="8">
        <v>1</v>
      </c>
      <c r="N5852" s="8" t="s">
        <v>27</v>
      </c>
      <c r="O5852" s="13" t="s">
        <v>12056</v>
      </c>
      <c r="P5852" s="14">
        <v>0</v>
      </c>
      <c r="Q5852" s="15">
        <v>0.3</v>
      </c>
      <c r="R5852" s="16" t="str">
        <f t="shared" si="487"/>
        <v>FLOS</v>
      </c>
    </row>
    <row r="5853" spans="1:20" ht="27" customHeight="1" x14ac:dyDescent="0.25">
      <c r="A5853" t="s">
        <v>2413</v>
      </c>
      <c r="H5853" s="32" t="s">
        <v>12059</v>
      </c>
      <c r="I5853" t="s">
        <v>12060</v>
      </c>
      <c r="J5853" t="s">
        <v>33</v>
      </c>
      <c r="K5853" s="42">
        <f>531200</f>
        <v>531200</v>
      </c>
      <c r="L5853" s="12">
        <f>ROUNDUP(K5853*(1+P5853)/(1-Q5853),0)</f>
        <v>758858</v>
      </c>
      <c r="M5853" s="8">
        <v>1</v>
      </c>
      <c r="N5853" s="8" t="s">
        <v>27</v>
      </c>
      <c r="O5853" s="13" t="s">
        <v>12056</v>
      </c>
      <c r="P5853" s="14">
        <v>0</v>
      </c>
      <c r="Q5853" s="15">
        <v>0.3</v>
      </c>
      <c r="R5853" s="16" t="str">
        <f t="shared" si="487"/>
        <v>FLOS</v>
      </c>
    </row>
    <row r="5854" spans="1:20" ht="27" customHeight="1" x14ac:dyDescent="0.25">
      <c r="A5854" s="8" t="s">
        <v>2512</v>
      </c>
      <c r="B5854" s="9"/>
      <c r="C5854" s="9"/>
      <c r="D5854" s="8"/>
      <c r="E5854" s="8"/>
      <c r="F5854" s="8" t="s">
        <v>22</v>
      </c>
      <c r="G5854" s="10" t="s">
        <v>2566</v>
      </c>
      <c r="H5854" s="8" t="s">
        <v>12061</v>
      </c>
      <c r="I5854" s="10" t="s">
        <v>12062</v>
      </c>
      <c r="J5854" s="11" t="s">
        <v>33</v>
      </c>
      <c r="K5854" s="18">
        <v>13500</v>
      </c>
      <c r="L5854" s="12">
        <f>IF(J5854="P",ROUNDUP(K5854/(1-Q5854),-2),K5854*(1+P5854)/(1-Q5854))</f>
        <v>19300</v>
      </c>
      <c r="M5854" s="8">
        <v>1</v>
      </c>
      <c r="N5854" s="8" t="s">
        <v>27</v>
      </c>
      <c r="O5854" s="13"/>
      <c r="P5854" s="14">
        <v>0.2</v>
      </c>
      <c r="Q5854" s="15">
        <v>0.3</v>
      </c>
      <c r="R5854" s="16" t="str">
        <f t="shared" si="487"/>
        <v>GENERAL</v>
      </c>
      <c r="S5854" s="17"/>
      <c r="T5854" s="10" t="str">
        <f>G5854</f>
        <v>BARRAJE EN COBRE DE 16 PINES</v>
      </c>
    </row>
    <row r="5855" spans="1:20" ht="27" customHeight="1" x14ac:dyDescent="0.25">
      <c r="A5855" t="s">
        <v>12063</v>
      </c>
      <c r="H5855" s="32" t="s">
        <v>12064</v>
      </c>
      <c r="I5855" t="s">
        <v>12065</v>
      </c>
      <c r="J5855" t="s">
        <v>33</v>
      </c>
      <c r="K5855" s="42">
        <f>404000*0.9</f>
        <v>363600</v>
      </c>
      <c r="L5855" s="12">
        <f>IF(J5855="P",ROUNDUP(K5855/(1-Q5855),-2),K5855*(1+P5855)/(1-Q5855))</f>
        <v>519500</v>
      </c>
      <c r="M5855" s="8">
        <v>1</v>
      </c>
      <c r="N5855" s="8" t="s">
        <v>27</v>
      </c>
      <c r="O5855" s="13"/>
      <c r="P5855" s="14">
        <v>0</v>
      </c>
      <c r="Q5855" s="15">
        <v>0.3</v>
      </c>
      <c r="R5855" s="16" t="str">
        <f t="shared" si="487"/>
        <v>TECHNOLITE</v>
      </c>
      <c r="S5855" s="17"/>
      <c r="T5855" s="10">
        <f>G5855</f>
        <v>0</v>
      </c>
    </row>
    <row r="5856" spans="1:20" ht="27" customHeight="1" x14ac:dyDescent="0.25">
      <c r="A5856" t="s">
        <v>7989</v>
      </c>
      <c r="H5856" s="32" t="s">
        <v>12066</v>
      </c>
      <c r="I5856" t="s">
        <v>12067</v>
      </c>
      <c r="J5856" t="s">
        <v>26</v>
      </c>
      <c r="L5856" s="12">
        <f>IF(J5856="P",ROUNDUP(K5856/(1-Q5856),-2),K5856*(1+P5856)/(1-Q5856))</f>
        <v>0</v>
      </c>
      <c r="M5856" s="8">
        <v>1</v>
      </c>
      <c r="N5856" s="8" t="s">
        <v>27</v>
      </c>
      <c r="O5856" s="13"/>
      <c r="P5856" s="14">
        <v>0</v>
      </c>
      <c r="Q5856" s="15">
        <v>0.3</v>
      </c>
      <c r="R5856" s="16" t="str">
        <f t="shared" si="487"/>
        <v>RUSSOUND</v>
      </c>
    </row>
    <row r="5857" spans="1:18" ht="27" customHeight="1" x14ac:dyDescent="0.25">
      <c r="A5857" s="8" t="s">
        <v>2512</v>
      </c>
      <c r="H5857" s="32" t="s">
        <v>12068</v>
      </c>
      <c r="I5857" t="s">
        <v>12069</v>
      </c>
      <c r="J5857" t="s">
        <v>26</v>
      </c>
      <c r="K5857" s="42">
        <v>800</v>
      </c>
      <c r="L5857" s="12">
        <f>IF(J5857="P",ROUNDUP(K5857/(1-Q5857),-2),K5857*(1+P5857)/(1-Q5857))</f>
        <v>1142.8571428571429</v>
      </c>
      <c r="M5857" s="8">
        <v>1</v>
      </c>
      <c r="N5857" s="8" t="s">
        <v>27</v>
      </c>
      <c r="O5857" s="13"/>
      <c r="P5857" s="14">
        <v>0</v>
      </c>
      <c r="Q5857" s="15">
        <v>0.3</v>
      </c>
      <c r="R5857" s="16" t="str">
        <f t="shared" si="487"/>
        <v>GENERAL</v>
      </c>
    </row>
    <row r="5858" spans="1:18" ht="27" customHeight="1" x14ac:dyDescent="0.25">
      <c r="A5858" s="32" t="s">
        <v>6886</v>
      </c>
      <c r="H5858" t="s">
        <v>160</v>
      </c>
      <c r="I5858" s="33" t="s">
        <v>12070</v>
      </c>
      <c r="J5858" s="34" t="s">
        <v>697</v>
      </c>
      <c r="K5858" s="42">
        <v>82353</v>
      </c>
      <c r="L5858" s="12">
        <f t="shared" ref="L5858:L5875" si="494">ROUNDUP(K5858*(1+P5858)/(1-Q5858),0)</f>
        <v>117648</v>
      </c>
      <c r="M5858" s="8">
        <v>1</v>
      </c>
      <c r="N5858" s="8" t="s">
        <v>27</v>
      </c>
      <c r="O5858" s="13"/>
      <c r="P5858" s="14">
        <v>0</v>
      </c>
      <c r="Q5858" s="15">
        <v>0.3</v>
      </c>
      <c r="R5858" s="16" t="str">
        <f t="shared" si="487"/>
        <v>MEANWELL</v>
      </c>
    </row>
    <row r="5859" spans="1:18" ht="27" customHeight="1" x14ac:dyDescent="0.25">
      <c r="A5859" s="32" t="s">
        <v>6886</v>
      </c>
      <c r="H5859" t="s">
        <v>163</v>
      </c>
      <c r="I5859" s="33" t="s">
        <v>12071</v>
      </c>
      <c r="J5859" s="34" t="s">
        <v>697</v>
      </c>
      <c r="K5859" s="42">
        <v>156200</v>
      </c>
      <c r="L5859" s="12">
        <f t="shared" si="494"/>
        <v>223143</v>
      </c>
      <c r="M5859" s="8">
        <v>1</v>
      </c>
      <c r="N5859" s="8" t="s">
        <v>27</v>
      </c>
      <c r="O5859" s="13"/>
      <c r="P5859" s="14">
        <v>0</v>
      </c>
      <c r="Q5859" s="15">
        <v>0.3</v>
      </c>
      <c r="R5859" s="16" t="str">
        <f t="shared" si="487"/>
        <v>MEANWELL</v>
      </c>
    </row>
    <row r="5860" spans="1:18" ht="27" customHeight="1" x14ac:dyDescent="0.25">
      <c r="A5860" s="32" t="s">
        <v>10001</v>
      </c>
      <c r="H5860" s="32" t="s">
        <v>12072</v>
      </c>
      <c r="I5860" s="33" t="s">
        <v>12073</v>
      </c>
      <c r="J5860" t="s">
        <v>26</v>
      </c>
      <c r="K5860" s="42">
        <v>2600</v>
      </c>
      <c r="L5860" s="12">
        <f t="shared" si="494"/>
        <v>4458</v>
      </c>
      <c r="M5860" s="8">
        <v>1</v>
      </c>
      <c r="N5860" s="8" t="s">
        <v>27</v>
      </c>
      <c r="O5860" s="13"/>
      <c r="P5860" s="14">
        <v>0.2</v>
      </c>
      <c r="Q5860" s="15">
        <v>0.3</v>
      </c>
      <c r="R5860" s="16" t="str">
        <f t="shared" si="487"/>
        <v>DRAPER</v>
      </c>
    </row>
    <row r="5861" spans="1:18" ht="27" customHeight="1" x14ac:dyDescent="0.25">
      <c r="A5861" s="32" t="s">
        <v>12074</v>
      </c>
      <c r="H5861" s="32" t="s">
        <v>12075</v>
      </c>
      <c r="I5861" s="33" t="s">
        <v>12076</v>
      </c>
      <c r="J5861" t="s">
        <v>26</v>
      </c>
      <c r="K5861" s="42">
        <v>2500</v>
      </c>
      <c r="L5861" s="12">
        <f t="shared" si="494"/>
        <v>4286</v>
      </c>
      <c r="M5861" s="8">
        <v>1</v>
      </c>
      <c r="N5861" s="8" t="s">
        <v>27</v>
      </c>
      <c r="O5861" s="13"/>
      <c r="P5861" s="14">
        <v>0.2</v>
      </c>
      <c r="Q5861" s="15">
        <v>0.3</v>
      </c>
      <c r="R5861" s="16" t="str">
        <f t="shared" si="487"/>
        <v>FUTURE AUTOMATION</v>
      </c>
    </row>
    <row r="5862" spans="1:18" ht="27" customHeight="1" x14ac:dyDescent="0.25">
      <c r="A5862" s="8" t="s">
        <v>9912</v>
      </c>
      <c r="H5862" s="32" t="s">
        <v>12077</v>
      </c>
      <c r="I5862" t="s">
        <v>12078</v>
      </c>
      <c r="J5862" t="s">
        <v>33</v>
      </c>
      <c r="K5862" s="42">
        <v>2563000</v>
      </c>
      <c r="L5862" s="12">
        <f t="shared" si="494"/>
        <v>4271667</v>
      </c>
      <c r="M5862" s="8">
        <v>1</v>
      </c>
      <c r="N5862" s="8" t="s">
        <v>27</v>
      </c>
      <c r="O5862" s="13"/>
      <c r="P5862" s="14">
        <v>0</v>
      </c>
      <c r="Q5862" s="15">
        <v>0.4</v>
      </c>
      <c r="R5862" s="16" t="str">
        <f t="shared" si="487"/>
        <v>SIETEPRO</v>
      </c>
    </row>
    <row r="5863" spans="1:18" ht="27" customHeight="1" x14ac:dyDescent="0.25">
      <c r="A5863" s="32" t="s">
        <v>12079</v>
      </c>
      <c r="H5863" s="32" t="s">
        <v>12080</v>
      </c>
      <c r="I5863" t="s">
        <v>12081</v>
      </c>
      <c r="J5863" t="s">
        <v>26</v>
      </c>
      <c r="K5863" s="42">
        <v>1333</v>
      </c>
      <c r="L5863" s="12">
        <f t="shared" si="494"/>
        <v>2368</v>
      </c>
      <c r="M5863" s="8">
        <v>1</v>
      </c>
      <c r="N5863" s="8" t="s">
        <v>27</v>
      </c>
      <c r="O5863" s="13"/>
      <c r="P5863" s="14">
        <v>0.3</v>
      </c>
      <c r="Q5863" s="15">
        <v>0.26816493219097848</v>
      </c>
      <c r="R5863" s="16" t="str">
        <f t="shared" si="487"/>
        <v>NEXUS 21</v>
      </c>
    </row>
    <row r="5864" spans="1:18" ht="27" customHeight="1" x14ac:dyDescent="0.25">
      <c r="A5864" s="53" t="s">
        <v>5027</v>
      </c>
      <c r="H5864" s="32" t="s">
        <v>12082</v>
      </c>
      <c r="I5864" s="33" t="s">
        <v>12083</v>
      </c>
      <c r="J5864" t="s">
        <v>33</v>
      </c>
      <c r="K5864" s="42">
        <v>557000</v>
      </c>
      <c r="L5864" s="12">
        <f t="shared" si="494"/>
        <v>989431</v>
      </c>
      <c r="M5864" s="8">
        <v>1</v>
      </c>
      <c r="N5864" s="8" t="s">
        <v>27</v>
      </c>
      <c r="O5864" s="13"/>
      <c r="P5864" s="14">
        <v>0.3</v>
      </c>
      <c r="Q5864" s="15">
        <v>0.26816493219097848</v>
      </c>
      <c r="R5864" s="16" t="str">
        <f t="shared" si="487"/>
        <v>LEDS_C4</v>
      </c>
    </row>
    <row r="5865" spans="1:18" ht="27" customHeight="1" x14ac:dyDescent="0.25">
      <c r="A5865" s="53" t="s">
        <v>5027</v>
      </c>
      <c r="H5865" s="32" t="s">
        <v>12084</v>
      </c>
      <c r="I5865" s="38" t="s">
        <v>12085</v>
      </c>
      <c r="J5865" t="s">
        <v>26</v>
      </c>
      <c r="K5865" s="42">
        <v>69.209999999999994</v>
      </c>
      <c r="L5865" s="12">
        <f t="shared" si="494"/>
        <v>116</v>
      </c>
      <c r="M5865" s="8">
        <v>1</v>
      </c>
      <c r="N5865" s="8" t="s">
        <v>27</v>
      </c>
      <c r="O5865" s="13"/>
      <c r="P5865" s="14">
        <v>0</v>
      </c>
      <c r="Q5865" s="15">
        <v>0.4</v>
      </c>
      <c r="R5865" s="16" t="str">
        <f t="shared" si="487"/>
        <v>LEDS_C4</v>
      </c>
    </row>
    <row r="5866" spans="1:18" ht="27" customHeight="1" x14ac:dyDescent="0.25">
      <c r="A5866" s="53" t="s">
        <v>5027</v>
      </c>
      <c r="H5866" s="32" t="s">
        <v>12084</v>
      </c>
      <c r="I5866" s="38" t="s">
        <v>12085</v>
      </c>
      <c r="J5866" t="s">
        <v>26</v>
      </c>
      <c r="K5866" s="42">
        <v>63.28</v>
      </c>
      <c r="L5866" s="12">
        <f t="shared" si="494"/>
        <v>106</v>
      </c>
      <c r="M5866" s="8">
        <v>1</v>
      </c>
      <c r="N5866" s="8" t="s">
        <v>27</v>
      </c>
      <c r="O5866" s="13"/>
      <c r="P5866" s="14">
        <v>0</v>
      </c>
      <c r="Q5866" s="15">
        <v>0.4</v>
      </c>
      <c r="R5866" s="16" t="str">
        <f t="shared" si="487"/>
        <v>LEDS_C4</v>
      </c>
    </row>
    <row r="5867" spans="1:18" ht="27" customHeight="1" x14ac:dyDescent="0.25">
      <c r="A5867" s="53" t="s">
        <v>5027</v>
      </c>
      <c r="H5867" s="32" t="s">
        <v>12086</v>
      </c>
      <c r="I5867" t="s">
        <v>12087</v>
      </c>
      <c r="J5867" t="s">
        <v>26</v>
      </c>
      <c r="K5867" s="42">
        <v>122.61</v>
      </c>
      <c r="L5867" s="12">
        <f t="shared" si="494"/>
        <v>205</v>
      </c>
      <c r="M5867" s="8">
        <v>1</v>
      </c>
      <c r="N5867" s="8" t="s">
        <v>27</v>
      </c>
      <c r="O5867" s="13"/>
      <c r="P5867" s="14">
        <v>0</v>
      </c>
      <c r="Q5867" s="15">
        <v>0.4</v>
      </c>
      <c r="R5867" s="16" t="str">
        <f t="shared" si="487"/>
        <v>LEDS_C4</v>
      </c>
    </row>
    <row r="5868" spans="1:18" ht="27" customHeight="1" x14ac:dyDescent="0.25">
      <c r="A5868" s="53" t="s">
        <v>5027</v>
      </c>
      <c r="H5868" s="32" t="s">
        <v>12088</v>
      </c>
      <c r="I5868" t="s">
        <v>12089</v>
      </c>
      <c r="J5868" t="s">
        <v>26</v>
      </c>
      <c r="K5868" s="42">
        <v>261.52</v>
      </c>
      <c r="L5868" s="12">
        <f t="shared" si="494"/>
        <v>436</v>
      </c>
      <c r="M5868" s="8">
        <v>1</v>
      </c>
      <c r="N5868" s="8" t="s">
        <v>27</v>
      </c>
      <c r="O5868" s="13"/>
      <c r="P5868" s="14">
        <v>0</v>
      </c>
      <c r="Q5868" s="15">
        <v>0.4</v>
      </c>
      <c r="R5868" s="16" t="str">
        <f t="shared" si="487"/>
        <v>LEDS_C4</v>
      </c>
    </row>
    <row r="5869" spans="1:18" ht="27" customHeight="1" x14ac:dyDescent="0.25">
      <c r="A5869" s="53" t="s">
        <v>5027</v>
      </c>
      <c r="H5869" s="32" t="s">
        <v>12090</v>
      </c>
      <c r="I5869" t="s">
        <v>12091</v>
      </c>
      <c r="J5869" t="s">
        <v>26</v>
      </c>
      <c r="K5869" s="42">
        <v>261.52</v>
      </c>
      <c r="L5869" s="12">
        <f t="shared" si="494"/>
        <v>436</v>
      </c>
      <c r="M5869" s="8">
        <v>1</v>
      </c>
      <c r="N5869" s="8" t="s">
        <v>27</v>
      </c>
      <c r="O5869" s="13"/>
      <c r="P5869" s="14">
        <v>0</v>
      </c>
      <c r="Q5869" s="15">
        <v>0.4</v>
      </c>
      <c r="R5869" s="16" t="str">
        <f t="shared" si="487"/>
        <v>LEDS_C4</v>
      </c>
    </row>
    <row r="5870" spans="1:18" ht="27" customHeight="1" x14ac:dyDescent="0.25">
      <c r="A5870" s="53" t="s">
        <v>5027</v>
      </c>
      <c r="H5870" s="32" t="s">
        <v>12092</v>
      </c>
      <c r="I5870" t="s">
        <v>12093</v>
      </c>
      <c r="J5870" t="s">
        <v>26</v>
      </c>
      <c r="K5870" s="42">
        <v>25.59</v>
      </c>
      <c r="L5870" s="12">
        <f t="shared" si="494"/>
        <v>43</v>
      </c>
      <c r="M5870" s="8">
        <v>1</v>
      </c>
      <c r="N5870" s="8" t="s">
        <v>27</v>
      </c>
      <c r="O5870" s="13"/>
      <c r="P5870" s="14">
        <v>0</v>
      </c>
      <c r="Q5870" s="15">
        <v>0.4</v>
      </c>
      <c r="R5870" s="16" t="str">
        <f t="shared" si="487"/>
        <v>LEDS_C4</v>
      </c>
    </row>
    <row r="5871" spans="1:18" ht="27" customHeight="1" x14ac:dyDescent="0.25">
      <c r="A5871" s="53" t="s">
        <v>5027</v>
      </c>
      <c r="H5871" s="32" t="s">
        <v>12094</v>
      </c>
      <c r="I5871" t="s">
        <v>12095</v>
      </c>
      <c r="J5871" t="s">
        <v>26</v>
      </c>
      <c r="K5871" s="42">
        <v>104.01</v>
      </c>
      <c r="L5871" s="12">
        <f t="shared" si="494"/>
        <v>174</v>
      </c>
      <c r="M5871" s="8">
        <v>1</v>
      </c>
      <c r="N5871" s="8" t="s">
        <v>27</v>
      </c>
      <c r="O5871" s="13"/>
      <c r="P5871" s="14">
        <v>0</v>
      </c>
      <c r="Q5871" s="15">
        <v>0.4</v>
      </c>
      <c r="R5871" s="16" t="str">
        <f t="shared" ref="R5871:R5934" si="495">A5871</f>
        <v>LEDS_C4</v>
      </c>
    </row>
    <row r="5872" spans="1:18" ht="27" customHeight="1" x14ac:dyDescent="0.25">
      <c r="A5872" s="53" t="s">
        <v>5027</v>
      </c>
      <c r="H5872" s="32" t="s">
        <v>12096</v>
      </c>
      <c r="I5872" t="s">
        <v>12097</v>
      </c>
      <c r="J5872" t="s">
        <v>26</v>
      </c>
      <c r="K5872" s="42">
        <v>52.55</v>
      </c>
      <c r="L5872" s="12">
        <f t="shared" si="494"/>
        <v>88</v>
      </c>
      <c r="M5872" s="8">
        <v>1</v>
      </c>
      <c r="N5872" s="8" t="s">
        <v>27</v>
      </c>
      <c r="O5872" s="13"/>
      <c r="P5872" s="14">
        <v>0</v>
      </c>
      <c r="Q5872" s="15">
        <v>0.4</v>
      </c>
      <c r="R5872" s="16" t="str">
        <f t="shared" si="495"/>
        <v>LEDS_C4</v>
      </c>
    </row>
    <row r="5873" spans="1:20" ht="27" customHeight="1" x14ac:dyDescent="0.25">
      <c r="A5873" s="53" t="s">
        <v>5027</v>
      </c>
      <c r="H5873" s="32" t="s">
        <v>12098</v>
      </c>
      <c r="I5873" t="s">
        <v>12099</v>
      </c>
      <c r="J5873" t="s">
        <v>26</v>
      </c>
      <c r="K5873" s="42">
        <v>6.43</v>
      </c>
      <c r="L5873" s="12">
        <f t="shared" si="494"/>
        <v>11</v>
      </c>
      <c r="M5873" s="8">
        <v>1</v>
      </c>
      <c r="N5873" s="8" t="s">
        <v>27</v>
      </c>
      <c r="O5873" s="13"/>
      <c r="P5873" s="14">
        <v>0</v>
      </c>
      <c r="Q5873" s="15">
        <v>0.4</v>
      </c>
      <c r="R5873" s="16" t="str">
        <f t="shared" si="495"/>
        <v>LEDS_C4</v>
      </c>
    </row>
    <row r="5874" spans="1:20" ht="27" customHeight="1" x14ac:dyDescent="0.25">
      <c r="A5874" s="53" t="s">
        <v>5027</v>
      </c>
      <c r="H5874" s="32" t="s">
        <v>12100</v>
      </c>
      <c r="I5874" t="s">
        <v>12101</v>
      </c>
      <c r="J5874" t="s">
        <v>26</v>
      </c>
      <c r="K5874" s="42">
        <v>14.6</v>
      </c>
      <c r="L5874" s="12">
        <f t="shared" si="494"/>
        <v>25</v>
      </c>
      <c r="M5874" s="8">
        <v>1</v>
      </c>
      <c r="N5874" s="8" t="s">
        <v>27</v>
      </c>
      <c r="O5874" s="13"/>
      <c r="P5874" s="14">
        <v>0</v>
      </c>
      <c r="Q5874" s="15">
        <v>0.4</v>
      </c>
      <c r="R5874" s="16" t="str">
        <f t="shared" si="495"/>
        <v>LEDS_C4</v>
      </c>
    </row>
    <row r="5875" spans="1:20" ht="27" customHeight="1" x14ac:dyDescent="0.25">
      <c r="A5875" s="53" t="s">
        <v>5027</v>
      </c>
      <c r="H5875" s="32" t="s">
        <v>12102</v>
      </c>
      <c r="I5875" t="s">
        <v>12103</v>
      </c>
      <c r="J5875" t="s">
        <v>26</v>
      </c>
      <c r="K5875" s="42">
        <v>57.67</v>
      </c>
      <c r="L5875" s="12">
        <f t="shared" si="494"/>
        <v>97</v>
      </c>
      <c r="M5875" s="8">
        <v>1</v>
      </c>
      <c r="N5875" s="8" t="s">
        <v>27</v>
      </c>
      <c r="O5875" s="13"/>
      <c r="P5875" s="14">
        <v>0</v>
      </c>
      <c r="Q5875" s="15">
        <v>0.4</v>
      </c>
      <c r="R5875" s="16" t="str">
        <f t="shared" si="495"/>
        <v>LEDS_C4</v>
      </c>
    </row>
    <row r="5876" spans="1:20" ht="27" customHeight="1" x14ac:dyDescent="0.25">
      <c r="A5876" s="32" t="s">
        <v>7474</v>
      </c>
      <c r="H5876" s="44" t="s">
        <v>12104</v>
      </c>
      <c r="I5876" s="45" t="s">
        <v>12105</v>
      </c>
      <c r="J5876" s="41" t="s">
        <v>26</v>
      </c>
      <c r="K5876" s="42">
        <v>424</v>
      </c>
      <c r="L5876" s="12">
        <f t="shared" ref="L5876:L5898" si="496">IF(J5876="P",ROUNDUP(K5876/(1-Q5876),-2),K5876*(1+P5876)/(1-Q5876))</f>
        <v>726.85714285714289</v>
      </c>
      <c r="M5876" s="8">
        <v>1</v>
      </c>
      <c r="N5876" s="8" t="s">
        <v>27</v>
      </c>
      <c r="O5876" s="13">
        <f t="shared" ref="O5876:O5889" si="497">F5876</f>
        <v>0</v>
      </c>
      <c r="P5876" s="14">
        <v>0.2</v>
      </c>
      <c r="Q5876" s="15">
        <v>0.3</v>
      </c>
      <c r="R5876" s="16" t="str">
        <f t="shared" si="495"/>
        <v>ONKYO</v>
      </c>
      <c r="S5876" s="17"/>
      <c r="T5876" s="10">
        <f>G5876</f>
        <v>0</v>
      </c>
    </row>
    <row r="5877" spans="1:20" ht="27" customHeight="1" x14ac:dyDescent="0.25">
      <c r="A5877" s="32" t="s">
        <v>9831</v>
      </c>
      <c r="H5877" s="32" t="s">
        <v>12106</v>
      </c>
      <c r="I5877" s="45" t="s">
        <v>12107</v>
      </c>
      <c r="J5877" t="s">
        <v>26</v>
      </c>
      <c r="K5877" s="42">
        <v>564</v>
      </c>
      <c r="L5877" s="12">
        <f t="shared" si="496"/>
        <v>966.85714285714289</v>
      </c>
      <c r="M5877" s="8">
        <v>1</v>
      </c>
      <c r="N5877" s="8" t="s">
        <v>27</v>
      </c>
      <c r="O5877" s="13">
        <f t="shared" si="497"/>
        <v>0</v>
      </c>
      <c r="P5877" s="14">
        <v>0.2</v>
      </c>
      <c r="Q5877" s="15">
        <v>0.3</v>
      </c>
      <c r="R5877" s="16" t="str">
        <f t="shared" si="495"/>
        <v>INTEGRA</v>
      </c>
    </row>
    <row r="5878" spans="1:20" ht="27" customHeight="1" x14ac:dyDescent="0.25">
      <c r="A5878" s="32" t="s">
        <v>6983</v>
      </c>
      <c r="H5878" s="32" t="s">
        <v>12108</v>
      </c>
      <c r="I5878" t="s">
        <v>12109</v>
      </c>
      <c r="J5878" t="s">
        <v>26</v>
      </c>
      <c r="K5878" s="42">
        <v>2000</v>
      </c>
      <c r="L5878" s="12">
        <f t="shared" si="496"/>
        <v>3428.5714285714289</v>
      </c>
      <c r="M5878" s="8">
        <v>1</v>
      </c>
      <c r="N5878" s="8" t="s">
        <v>27</v>
      </c>
      <c r="O5878" s="13">
        <f t="shared" si="497"/>
        <v>0</v>
      </c>
      <c r="P5878" s="14">
        <v>0.2</v>
      </c>
      <c r="Q5878" s="15">
        <v>0.3</v>
      </c>
      <c r="R5878" s="16" t="str">
        <f t="shared" si="495"/>
        <v>NAD</v>
      </c>
    </row>
    <row r="5879" spans="1:20" ht="27" customHeight="1" x14ac:dyDescent="0.25">
      <c r="A5879" s="32" t="s">
        <v>5454</v>
      </c>
      <c r="H5879" s="32" t="s">
        <v>12110</v>
      </c>
      <c r="I5879" t="s">
        <v>12111</v>
      </c>
      <c r="J5879" t="s">
        <v>33</v>
      </c>
      <c r="K5879" s="42">
        <v>127900</v>
      </c>
      <c r="L5879" s="12">
        <f t="shared" si="496"/>
        <v>196800</v>
      </c>
      <c r="M5879" s="8">
        <v>1</v>
      </c>
      <c r="N5879" s="8" t="s">
        <v>27</v>
      </c>
      <c r="O5879" s="13">
        <f t="shared" si="497"/>
        <v>0</v>
      </c>
      <c r="P5879" s="14">
        <v>0</v>
      </c>
      <c r="Q5879" s="15">
        <v>0.35</v>
      </c>
      <c r="R5879" s="16" t="str">
        <f t="shared" si="495"/>
        <v>LUMEK</v>
      </c>
    </row>
    <row r="5880" spans="1:20" ht="27" customHeight="1" x14ac:dyDescent="0.25">
      <c r="A5880" s="32" t="s">
        <v>7105</v>
      </c>
      <c r="H5880" s="32" t="s">
        <v>12112</v>
      </c>
      <c r="I5880" t="s">
        <v>12113</v>
      </c>
      <c r="J5880" t="s">
        <v>33</v>
      </c>
      <c r="K5880" s="42">
        <v>118000</v>
      </c>
      <c r="L5880" s="12">
        <f t="shared" si="496"/>
        <v>181600</v>
      </c>
      <c r="M5880" s="8">
        <v>1</v>
      </c>
      <c r="N5880" s="8" t="s">
        <v>27</v>
      </c>
      <c r="O5880" s="13">
        <f t="shared" si="497"/>
        <v>0</v>
      </c>
      <c r="P5880" s="14">
        <v>0</v>
      </c>
      <c r="Q5880" s="15">
        <v>0.35</v>
      </c>
      <c r="R5880" s="16" t="str">
        <f t="shared" si="495"/>
        <v>NORTH BAYOU</v>
      </c>
    </row>
    <row r="5881" spans="1:20" ht="27" customHeight="1" x14ac:dyDescent="0.25">
      <c r="A5881" s="32" t="s">
        <v>2512</v>
      </c>
      <c r="H5881" s="32" t="s">
        <v>12114</v>
      </c>
      <c r="I5881" t="s">
        <v>12115</v>
      </c>
      <c r="J5881" t="s">
        <v>33</v>
      </c>
      <c r="K5881" s="42">
        <v>125000</v>
      </c>
      <c r="L5881" s="12">
        <f t="shared" si="496"/>
        <v>192400</v>
      </c>
      <c r="M5881" s="8">
        <v>1</v>
      </c>
      <c r="N5881" s="8" t="s">
        <v>27</v>
      </c>
      <c r="O5881" s="13">
        <f t="shared" si="497"/>
        <v>0</v>
      </c>
      <c r="P5881" s="14">
        <v>0</v>
      </c>
      <c r="Q5881" s="15">
        <v>0.35</v>
      </c>
      <c r="R5881" s="16" t="str">
        <f t="shared" si="495"/>
        <v>GENERAL</v>
      </c>
    </row>
    <row r="5882" spans="1:20" ht="27" customHeight="1" x14ac:dyDescent="0.25">
      <c r="A5882" s="32" t="s">
        <v>34</v>
      </c>
      <c r="H5882" s="32" t="s">
        <v>12116</v>
      </c>
      <c r="I5882" t="s">
        <v>12117</v>
      </c>
      <c r="J5882" t="s">
        <v>33</v>
      </c>
      <c r="K5882" s="42">
        <v>45700</v>
      </c>
      <c r="L5882" s="12">
        <f t="shared" si="496"/>
        <v>70400</v>
      </c>
      <c r="M5882" s="8">
        <v>1</v>
      </c>
      <c r="N5882" s="8" t="s">
        <v>27</v>
      </c>
      <c r="O5882" s="13">
        <f t="shared" si="497"/>
        <v>0</v>
      </c>
      <c r="P5882" s="14">
        <v>0</v>
      </c>
      <c r="Q5882" s="15">
        <v>0.35</v>
      </c>
      <c r="R5882" s="16" t="str">
        <f t="shared" si="495"/>
        <v>3M</v>
      </c>
    </row>
    <row r="5883" spans="1:20" ht="27" customHeight="1" x14ac:dyDescent="0.25">
      <c r="A5883" s="32" t="s">
        <v>3977</v>
      </c>
      <c r="H5883" s="32" t="s">
        <v>12118</v>
      </c>
      <c r="I5883" t="s">
        <v>12119</v>
      </c>
      <c r="J5883" t="s">
        <v>33</v>
      </c>
      <c r="K5883" s="42">
        <v>350000</v>
      </c>
      <c r="L5883" s="12">
        <f t="shared" si="496"/>
        <v>538500</v>
      </c>
      <c r="M5883" s="8">
        <v>1</v>
      </c>
      <c r="N5883" s="8" t="s">
        <v>27</v>
      </c>
      <c r="O5883" s="13">
        <f t="shared" si="497"/>
        <v>0</v>
      </c>
      <c r="P5883" s="14">
        <v>0</v>
      </c>
      <c r="Q5883" s="15">
        <v>0.35</v>
      </c>
      <c r="R5883" s="16" t="str">
        <f t="shared" si="495"/>
        <v>KOMODO</v>
      </c>
    </row>
    <row r="5884" spans="1:20" ht="27" customHeight="1" x14ac:dyDescent="0.25">
      <c r="A5884" s="32" t="s">
        <v>5672</v>
      </c>
      <c r="H5884" s="32" t="s">
        <v>12120</v>
      </c>
      <c r="I5884" t="s">
        <v>12121</v>
      </c>
      <c r="J5884" t="s">
        <v>26</v>
      </c>
      <c r="K5884" s="42">
        <v>165</v>
      </c>
      <c r="L5884" s="12">
        <f t="shared" si="496"/>
        <v>330</v>
      </c>
      <c r="M5884" s="8">
        <v>1</v>
      </c>
      <c r="N5884" s="8" t="s">
        <v>27</v>
      </c>
      <c r="O5884" s="13">
        <f t="shared" si="497"/>
        <v>0</v>
      </c>
      <c r="P5884" s="14">
        <v>0.2</v>
      </c>
      <c r="Q5884" s="15">
        <v>0.4</v>
      </c>
      <c r="R5884" s="16" t="str">
        <f t="shared" si="495"/>
        <v>LUTRON</v>
      </c>
    </row>
    <row r="5885" spans="1:20" ht="27" customHeight="1" x14ac:dyDescent="0.25">
      <c r="A5885" s="32" t="s">
        <v>5672</v>
      </c>
      <c r="H5885" s="32" t="s">
        <v>12122</v>
      </c>
      <c r="I5885" t="s">
        <v>12123</v>
      </c>
      <c r="J5885" t="s">
        <v>26</v>
      </c>
      <c r="K5885" s="42">
        <v>550</v>
      </c>
      <c r="L5885" s="12">
        <f t="shared" si="496"/>
        <v>1100</v>
      </c>
      <c r="M5885" s="8">
        <v>1</v>
      </c>
      <c r="N5885" s="8" t="s">
        <v>27</v>
      </c>
      <c r="O5885" s="13">
        <f t="shared" si="497"/>
        <v>0</v>
      </c>
      <c r="P5885" s="14">
        <v>0.2</v>
      </c>
      <c r="Q5885" s="15">
        <v>0.4</v>
      </c>
      <c r="R5885" s="16" t="str">
        <f t="shared" si="495"/>
        <v>LUTRON</v>
      </c>
    </row>
    <row r="5886" spans="1:20" ht="27" customHeight="1" x14ac:dyDescent="0.25">
      <c r="A5886" s="32" t="s">
        <v>5672</v>
      </c>
      <c r="H5886" s="32" t="s">
        <v>6004</v>
      </c>
      <c r="I5886" t="s">
        <v>12124</v>
      </c>
      <c r="J5886" t="s">
        <v>26</v>
      </c>
      <c r="K5886" s="42">
        <v>165</v>
      </c>
      <c r="L5886" s="12">
        <f t="shared" si="496"/>
        <v>330</v>
      </c>
      <c r="M5886" s="8">
        <v>1</v>
      </c>
      <c r="N5886" s="8" t="s">
        <v>27</v>
      </c>
      <c r="O5886" s="13">
        <f t="shared" si="497"/>
        <v>0</v>
      </c>
      <c r="P5886" s="14">
        <v>0.2</v>
      </c>
      <c r="Q5886" s="15">
        <v>0.4</v>
      </c>
      <c r="R5886" s="16" t="str">
        <f t="shared" si="495"/>
        <v>LUTRON</v>
      </c>
    </row>
    <row r="5887" spans="1:20" ht="27" customHeight="1" x14ac:dyDescent="0.25">
      <c r="A5887" s="32" t="s">
        <v>3977</v>
      </c>
      <c r="H5887" s="32" t="s">
        <v>12125</v>
      </c>
      <c r="I5887" t="s">
        <v>12126</v>
      </c>
      <c r="J5887" t="s">
        <v>33</v>
      </c>
      <c r="K5887" s="42">
        <v>50000</v>
      </c>
      <c r="L5887" s="12">
        <f t="shared" si="496"/>
        <v>83400</v>
      </c>
      <c r="M5887" s="8">
        <v>1</v>
      </c>
      <c r="N5887" s="8" t="s">
        <v>27</v>
      </c>
      <c r="O5887" s="13">
        <f t="shared" si="497"/>
        <v>0</v>
      </c>
      <c r="P5887" s="14">
        <v>0.2</v>
      </c>
      <c r="Q5887" s="15">
        <v>0.4</v>
      </c>
      <c r="R5887" s="16" t="str">
        <f t="shared" si="495"/>
        <v>KOMODO</v>
      </c>
    </row>
    <row r="5888" spans="1:20" ht="27" customHeight="1" x14ac:dyDescent="0.25">
      <c r="A5888" s="32" t="s">
        <v>2512</v>
      </c>
      <c r="H5888" s="32" t="s">
        <v>12127</v>
      </c>
      <c r="I5888" t="s">
        <v>12128</v>
      </c>
      <c r="J5888" t="s">
        <v>33</v>
      </c>
      <c r="K5888" s="42">
        <v>9000</v>
      </c>
      <c r="L5888" s="12">
        <f t="shared" si="496"/>
        <v>15000</v>
      </c>
      <c r="M5888" s="8">
        <v>1</v>
      </c>
      <c r="N5888" s="8" t="s">
        <v>27</v>
      </c>
      <c r="O5888" s="13">
        <f t="shared" si="497"/>
        <v>0</v>
      </c>
      <c r="P5888" s="14">
        <v>0.2</v>
      </c>
      <c r="Q5888" s="15">
        <v>0.4</v>
      </c>
      <c r="R5888" s="16" t="str">
        <f t="shared" si="495"/>
        <v>GENERAL</v>
      </c>
    </row>
    <row r="5889" spans="1:20" ht="27" customHeight="1" x14ac:dyDescent="0.25">
      <c r="A5889" s="32" t="s">
        <v>7931</v>
      </c>
      <c r="H5889" s="32" t="s">
        <v>12129</v>
      </c>
      <c r="I5889" t="s">
        <v>12130</v>
      </c>
      <c r="J5889" t="s">
        <v>33</v>
      </c>
      <c r="K5889" s="42">
        <v>17952</v>
      </c>
      <c r="L5889" s="12">
        <f t="shared" si="496"/>
        <v>30000</v>
      </c>
      <c r="M5889" s="8">
        <v>1</v>
      </c>
      <c r="N5889" s="8" t="s">
        <v>27</v>
      </c>
      <c r="O5889" s="13">
        <f t="shared" si="497"/>
        <v>0</v>
      </c>
      <c r="P5889" s="14">
        <v>0</v>
      </c>
      <c r="Q5889" s="15">
        <v>0.4</v>
      </c>
      <c r="R5889" s="16" t="str">
        <f t="shared" si="495"/>
        <v>SYLVANIA</v>
      </c>
    </row>
    <row r="5890" spans="1:20" ht="27" customHeight="1" x14ac:dyDescent="0.25">
      <c r="A5890" s="8" t="s">
        <v>7773</v>
      </c>
      <c r="B5890" s="9" t="s">
        <v>1070</v>
      </c>
      <c r="C5890" s="9"/>
      <c r="D5890" s="8" t="s">
        <v>28</v>
      </c>
      <c r="E5890" s="8">
        <v>8</v>
      </c>
      <c r="F5890" s="8" t="s">
        <v>22</v>
      </c>
      <c r="G5890" s="10" t="s">
        <v>7780</v>
      </c>
      <c r="H5890" s="8" t="s">
        <v>12131</v>
      </c>
      <c r="I5890" s="10" t="s">
        <v>12132</v>
      </c>
      <c r="J5890" s="11" t="s">
        <v>33</v>
      </c>
      <c r="K5890" s="18">
        <v>1189</v>
      </c>
      <c r="L5890" s="12">
        <f t="shared" si="496"/>
        <v>2000</v>
      </c>
      <c r="M5890" s="8">
        <v>1</v>
      </c>
      <c r="N5890" s="8" t="s">
        <v>27</v>
      </c>
      <c r="O5890" s="13"/>
      <c r="P5890" s="14">
        <v>0.2</v>
      </c>
      <c r="Q5890" s="15">
        <v>0.4</v>
      </c>
      <c r="R5890" s="16" t="str">
        <f t="shared" si="495"/>
        <v>PROCABLE</v>
      </c>
      <c r="S5890" s="17"/>
      <c r="T5890" s="10" t="str">
        <f>G5890</f>
        <v>ROLLO DE 100 METROS DE ALAMBRE AWG18</v>
      </c>
    </row>
    <row r="5891" spans="1:20" ht="27" customHeight="1" x14ac:dyDescent="0.25">
      <c r="A5891" s="32" t="s">
        <v>657</v>
      </c>
      <c r="H5891" s="32" t="s">
        <v>12133</v>
      </c>
      <c r="I5891" t="s">
        <v>12134</v>
      </c>
      <c r="J5891" t="s">
        <v>33</v>
      </c>
      <c r="K5891" s="42">
        <v>2456959</v>
      </c>
      <c r="L5891" s="12">
        <f t="shared" si="496"/>
        <v>4095000</v>
      </c>
      <c r="M5891" s="8">
        <v>1</v>
      </c>
      <c r="N5891" s="8" t="s">
        <v>27</v>
      </c>
      <c r="O5891" s="13"/>
      <c r="P5891" s="14">
        <v>0.2</v>
      </c>
      <c r="Q5891" s="15">
        <v>0.4</v>
      </c>
      <c r="R5891" s="16" t="str">
        <f t="shared" si="495"/>
        <v>ATLONA</v>
      </c>
    </row>
    <row r="5892" spans="1:20" ht="27" customHeight="1" x14ac:dyDescent="0.25">
      <c r="A5892" s="32" t="s">
        <v>8471</v>
      </c>
      <c r="H5892" s="32" t="s">
        <v>12135</v>
      </c>
      <c r="I5892" t="s">
        <v>12136</v>
      </c>
      <c r="J5892" t="s">
        <v>33</v>
      </c>
      <c r="K5892" s="42">
        <v>15000</v>
      </c>
      <c r="L5892" s="12">
        <f t="shared" si="496"/>
        <v>30000</v>
      </c>
      <c r="M5892" s="8">
        <v>1</v>
      </c>
      <c r="N5892" s="8" t="s">
        <v>27</v>
      </c>
      <c r="O5892" s="13"/>
      <c r="P5892" s="14">
        <v>0</v>
      </c>
      <c r="Q5892" s="15">
        <v>0.5</v>
      </c>
      <c r="R5892" s="16" t="str">
        <f t="shared" si="495"/>
        <v>STAR</v>
      </c>
    </row>
    <row r="5893" spans="1:20" ht="27" customHeight="1" x14ac:dyDescent="0.25">
      <c r="A5893" s="32" t="s">
        <v>3749</v>
      </c>
      <c r="H5893" s="32" t="s">
        <v>12137</v>
      </c>
      <c r="I5893" t="s">
        <v>12138</v>
      </c>
      <c r="J5893" t="s">
        <v>26</v>
      </c>
      <c r="K5893" s="42">
        <v>108.37</v>
      </c>
      <c r="L5893" s="12">
        <f t="shared" si="496"/>
        <v>180.61666666666667</v>
      </c>
      <c r="M5893" s="8">
        <v>1</v>
      </c>
      <c r="N5893" s="8" t="s">
        <v>27</v>
      </c>
      <c r="O5893" s="13"/>
      <c r="P5893" s="14">
        <v>0</v>
      </c>
      <c r="Q5893" s="15">
        <v>0.4</v>
      </c>
      <c r="R5893" s="16" t="str">
        <f t="shared" si="495"/>
        <v>JBL</v>
      </c>
      <c r="T5893" s="21"/>
    </row>
    <row r="5894" spans="1:20" ht="27" customHeight="1" x14ac:dyDescent="0.25">
      <c r="A5894" s="32" t="s">
        <v>3533</v>
      </c>
      <c r="H5894" s="32" t="s">
        <v>12139</v>
      </c>
      <c r="I5894" t="s">
        <v>12140</v>
      </c>
      <c r="J5894" t="s">
        <v>26</v>
      </c>
      <c r="K5894" s="42">
        <v>992</v>
      </c>
      <c r="L5894" s="12">
        <f t="shared" si="496"/>
        <v>1653.3333333333335</v>
      </c>
      <c r="M5894" s="8">
        <v>1</v>
      </c>
      <c r="N5894" s="8" t="s">
        <v>27</v>
      </c>
      <c r="O5894" s="13"/>
      <c r="P5894" s="14">
        <v>0</v>
      </c>
      <c r="Q5894" s="15">
        <v>0.4</v>
      </c>
      <c r="R5894" s="16" t="str">
        <f t="shared" si="495"/>
        <v>HP</v>
      </c>
    </row>
    <row r="5895" spans="1:20" ht="27" customHeight="1" x14ac:dyDescent="0.25">
      <c r="A5895" s="32" t="s">
        <v>3533</v>
      </c>
      <c r="H5895" s="32" t="s">
        <v>12141</v>
      </c>
      <c r="I5895" t="s">
        <v>12142</v>
      </c>
      <c r="J5895" t="s">
        <v>26</v>
      </c>
      <c r="K5895" s="42">
        <v>21</v>
      </c>
      <c r="L5895" s="12">
        <f t="shared" si="496"/>
        <v>35</v>
      </c>
      <c r="M5895" s="8">
        <v>1</v>
      </c>
      <c r="N5895" s="8" t="s">
        <v>27</v>
      </c>
      <c r="O5895" s="13"/>
      <c r="P5895" s="14">
        <v>0</v>
      </c>
      <c r="Q5895" s="15">
        <v>0.4</v>
      </c>
      <c r="R5895" s="16" t="str">
        <f t="shared" si="495"/>
        <v>HP</v>
      </c>
    </row>
    <row r="5896" spans="1:20" ht="27" customHeight="1" x14ac:dyDescent="0.25">
      <c r="A5896" s="32" t="s">
        <v>5327</v>
      </c>
      <c r="H5896" s="32" t="s">
        <v>12143</v>
      </c>
      <c r="I5896" t="s">
        <v>12144</v>
      </c>
      <c r="J5896" t="s">
        <v>33</v>
      </c>
      <c r="K5896" s="42">
        <v>729900</v>
      </c>
      <c r="L5896" s="12">
        <f t="shared" si="496"/>
        <v>1042800</v>
      </c>
      <c r="M5896" s="8">
        <v>1</v>
      </c>
      <c r="N5896" s="8" t="s">
        <v>27</v>
      </c>
      <c r="O5896" s="13"/>
      <c r="P5896" s="14">
        <v>0</v>
      </c>
      <c r="Q5896" s="15">
        <v>0.3</v>
      </c>
      <c r="R5896" s="16" t="str">
        <f t="shared" si="495"/>
        <v>LG</v>
      </c>
    </row>
    <row r="5897" spans="1:20" ht="27" customHeight="1" x14ac:dyDescent="0.25">
      <c r="A5897" s="32" t="s">
        <v>12145</v>
      </c>
      <c r="H5897" s="32" t="s">
        <v>12146</v>
      </c>
      <c r="I5897" t="s">
        <v>12147</v>
      </c>
      <c r="J5897" t="s">
        <v>33</v>
      </c>
      <c r="K5897" s="42">
        <f>350000+250000</f>
        <v>600000</v>
      </c>
      <c r="L5897" s="12">
        <f t="shared" si="496"/>
        <v>857200</v>
      </c>
      <c r="M5897" s="8">
        <v>1</v>
      </c>
      <c r="N5897" s="8" t="s">
        <v>27</v>
      </c>
      <c r="O5897" s="13"/>
      <c r="P5897" s="14">
        <v>0</v>
      </c>
      <c r="Q5897" s="15">
        <v>0.3</v>
      </c>
      <c r="R5897" s="16" t="str">
        <f t="shared" si="495"/>
        <v>KINGSTONE</v>
      </c>
    </row>
    <row r="5898" spans="1:20" ht="27" customHeight="1" x14ac:dyDescent="0.25">
      <c r="A5898" s="32" t="s">
        <v>2095</v>
      </c>
      <c r="H5898" s="32" t="s">
        <v>12148</v>
      </c>
      <c r="I5898" t="s">
        <v>12149</v>
      </c>
      <c r="J5898" t="s">
        <v>33</v>
      </c>
      <c r="K5898" s="42">
        <v>22500</v>
      </c>
      <c r="L5898" s="12">
        <f t="shared" si="496"/>
        <v>32200</v>
      </c>
      <c r="M5898" s="8">
        <v>1</v>
      </c>
      <c r="N5898" s="8" t="s">
        <v>27</v>
      </c>
      <c r="O5898" s="13"/>
      <c r="P5898" s="14">
        <v>0</v>
      </c>
      <c r="Q5898" s="15">
        <v>0.3</v>
      </c>
      <c r="R5898" s="16" t="str">
        <f t="shared" si="495"/>
        <v>ECOLITE</v>
      </c>
    </row>
    <row r="5899" spans="1:20" ht="27" customHeight="1" x14ac:dyDescent="0.25">
      <c r="A5899" s="44" t="s">
        <v>2512</v>
      </c>
      <c r="H5899" s="32" t="s">
        <v>12150</v>
      </c>
      <c r="I5899" t="s">
        <v>12151</v>
      </c>
      <c r="J5899" t="s">
        <v>33</v>
      </c>
      <c r="R5899" s="40" t="str">
        <f t="shared" si="495"/>
        <v>GENERAL</v>
      </c>
    </row>
    <row r="5900" spans="1:20" ht="27" customHeight="1" x14ac:dyDescent="0.25">
      <c r="A5900" s="32" t="s">
        <v>2512</v>
      </c>
      <c r="H5900" s="32" t="s">
        <v>12152</v>
      </c>
      <c r="I5900" t="s">
        <v>12153</v>
      </c>
      <c r="J5900" t="s">
        <v>33</v>
      </c>
      <c r="K5900" s="42">
        <v>12000</v>
      </c>
      <c r="L5900" s="12">
        <f t="shared" ref="L5900:L5911" si="498">IF(J5900="P",ROUNDUP(K5900/(1-Q5900),-2),K5900*(1+P5900)/(1-Q5900))</f>
        <v>17200</v>
      </c>
      <c r="M5900" s="8">
        <v>1</v>
      </c>
      <c r="N5900" s="8" t="s">
        <v>27</v>
      </c>
      <c r="O5900" s="13"/>
      <c r="P5900" s="14">
        <v>0</v>
      </c>
      <c r="Q5900" s="15">
        <v>0.3</v>
      </c>
      <c r="R5900" s="16" t="str">
        <f t="shared" si="495"/>
        <v>GENERAL</v>
      </c>
    </row>
    <row r="5901" spans="1:20" ht="27" customHeight="1" x14ac:dyDescent="0.25">
      <c r="A5901" s="32" t="s">
        <v>2095</v>
      </c>
      <c r="H5901" s="32" t="s">
        <v>12154</v>
      </c>
      <c r="I5901" s="33" t="s">
        <v>12155</v>
      </c>
      <c r="J5901" t="s">
        <v>33</v>
      </c>
      <c r="K5901" s="42">
        <v>17500</v>
      </c>
      <c r="L5901" s="12">
        <f t="shared" si="498"/>
        <v>29200</v>
      </c>
      <c r="M5901" s="8">
        <v>1</v>
      </c>
      <c r="N5901" s="8" t="s">
        <v>27</v>
      </c>
      <c r="O5901" s="13"/>
      <c r="P5901" s="14">
        <v>0</v>
      </c>
      <c r="Q5901" s="15">
        <v>0.4</v>
      </c>
      <c r="R5901" s="16" t="str">
        <f t="shared" si="495"/>
        <v>ECOLITE</v>
      </c>
    </row>
    <row r="5902" spans="1:20" ht="27" customHeight="1" x14ac:dyDescent="0.25">
      <c r="A5902" s="32" t="s">
        <v>5672</v>
      </c>
      <c r="H5902" s="32" t="s">
        <v>6559</v>
      </c>
      <c r="I5902" s="33" t="s">
        <v>12156</v>
      </c>
      <c r="J5902" t="s">
        <v>26</v>
      </c>
      <c r="K5902" s="42">
        <v>11.2</v>
      </c>
      <c r="L5902" s="12">
        <f t="shared" si="498"/>
        <v>22.4</v>
      </c>
      <c r="M5902" s="8">
        <v>1</v>
      </c>
      <c r="N5902" s="8" t="s">
        <v>27</v>
      </c>
      <c r="O5902" s="13"/>
      <c r="P5902" s="14">
        <v>0.2</v>
      </c>
      <c r="Q5902" s="15">
        <v>0.4</v>
      </c>
      <c r="R5902" s="16" t="str">
        <f t="shared" si="495"/>
        <v>LUTRON</v>
      </c>
    </row>
    <row r="5903" spans="1:20" ht="27" customHeight="1" x14ac:dyDescent="0.25">
      <c r="A5903" s="32" t="s">
        <v>764</v>
      </c>
      <c r="H5903" s="32" t="s">
        <v>12157</v>
      </c>
      <c r="I5903" s="33" t="s">
        <v>12158</v>
      </c>
      <c r="J5903" t="s">
        <v>33</v>
      </c>
      <c r="K5903" s="42">
        <v>130252</v>
      </c>
      <c r="L5903" s="12">
        <f t="shared" si="498"/>
        <v>217100</v>
      </c>
      <c r="M5903" s="8">
        <v>1</v>
      </c>
      <c r="N5903" s="8" t="s">
        <v>27</v>
      </c>
      <c r="O5903" s="13"/>
      <c r="P5903" s="14">
        <v>0</v>
      </c>
      <c r="Q5903" s="15">
        <v>0.4</v>
      </c>
      <c r="R5903" s="16" t="str">
        <f t="shared" si="495"/>
        <v>BEHRINGER</v>
      </c>
    </row>
    <row r="5904" spans="1:20" ht="27" customHeight="1" x14ac:dyDescent="0.25">
      <c r="A5904" s="32" t="s">
        <v>6917</v>
      </c>
      <c r="H5904" s="32" t="s">
        <v>12159</v>
      </c>
      <c r="I5904" s="33" t="s">
        <v>12160</v>
      </c>
      <c r="J5904" t="s">
        <v>33</v>
      </c>
      <c r="K5904" s="42">
        <v>145900</v>
      </c>
      <c r="L5904" s="12">
        <f t="shared" si="498"/>
        <v>243200</v>
      </c>
      <c r="M5904" s="8">
        <v>1</v>
      </c>
      <c r="N5904" s="8" t="s">
        <v>27</v>
      </c>
      <c r="O5904" s="13"/>
      <c r="P5904" s="14">
        <v>0</v>
      </c>
      <c r="Q5904" s="15">
        <v>0.4</v>
      </c>
      <c r="R5904" s="16" t="str">
        <f t="shared" si="495"/>
        <v>MICRONET</v>
      </c>
    </row>
    <row r="5905" spans="1:29" ht="27" customHeight="1" x14ac:dyDescent="0.25">
      <c r="A5905" s="32" t="s">
        <v>8836</v>
      </c>
      <c r="H5905" t="s">
        <v>12161</v>
      </c>
      <c r="I5905" s="33" t="s">
        <v>12162</v>
      </c>
      <c r="J5905" s="34" t="s">
        <v>33</v>
      </c>
      <c r="K5905" s="20">
        <v>62077</v>
      </c>
      <c r="L5905" s="12">
        <f t="shared" si="498"/>
        <v>88700</v>
      </c>
      <c r="M5905" s="8">
        <v>1</v>
      </c>
      <c r="N5905" s="8" t="s">
        <v>27</v>
      </c>
      <c r="O5905" s="13"/>
      <c r="P5905" s="14">
        <v>0</v>
      </c>
      <c r="Q5905" s="15">
        <v>0.3</v>
      </c>
      <c r="R5905" s="40" t="str">
        <f t="shared" si="495"/>
        <v>TECNOLITE</v>
      </c>
    </row>
    <row r="5906" spans="1:29" ht="27" customHeight="1" x14ac:dyDescent="0.25">
      <c r="A5906" s="32" t="s">
        <v>8836</v>
      </c>
      <c r="H5906" s="32" t="s">
        <v>12163</v>
      </c>
      <c r="I5906" s="33" t="s">
        <v>12164</v>
      </c>
      <c r="J5906" t="s">
        <v>33</v>
      </c>
      <c r="K5906" s="42">
        <v>35892</v>
      </c>
      <c r="L5906" s="12">
        <f t="shared" si="498"/>
        <v>51300</v>
      </c>
      <c r="M5906" s="8">
        <v>1</v>
      </c>
      <c r="N5906" s="8" t="s">
        <v>27</v>
      </c>
      <c r="O5906" s="13"/>
      <c r="P5906" s="14">
        <v>0</v>
      </c>
      <c r="Q5906" s="15">
        <v>0.3</v>
      </c>
      <c r="R5906" s="40" t="str">
        <f t="shared" si="495"/>
        <v>TECNOLITE</v>
      </c>
    </row>
    <row r="5907" spans="1:29" ht="27" customHeight="1" x14ac:dyDescent="0.25">
      <c r="A5907" s="8" t="s">
        <v>8308</v>
      </c>
      <c r="B5907" s="9"/>
      <c r="C5907" s="9"/>
      <c r="D5907" s="8"/>
      <c r="E5907" s="8"/>
      <c r="F5907" s="8"/>
      <c r="G5907" s="10"/>
      <c r="H5907" s="8" t="s">
        <v>12165</v>
      </c>
      <c r="I5907" s="10" t="s">
        <v>12166</v>
      </c>
      <c r="J5907" s="11" t="s">
        <v>33</v>
      </c>
      <c r="K5907" s="18">
        <v>66000</v>
      </c>
      <c r="L5907" s="12">
        <f t="shared" si="498"/>
        <v>110000</v>
      </c>
      <c r="M5907" s="8">
        <v>1</v>
      </c>
      <c r="N5907" s="8" t="s">
        <v>27</v>
      </c>
      <c r="O5907" s="13"/>
      <c r="P5907" s="14">
        <v>0</v>
      </c>
      <c r="Q5907" s="15">
        <v>0.4</v>
      </c>
      <c r="R5907" s="16" t="str">
        <f t="shared" si="495"/>
        <v>SOLIDVIEW</v>
      </c>
      <c r="S5907" s="17"/>
      <c r="T5907" s="10"/>
    </row>
    <row r="5908" spans="1:29" ht="27" customHeight="1" x14ac:dyDescent="0.25">
      <c r="A5908" s="8" t="s">
        <v>2512</v>
      </c>
      <c r="B5908" s="9"/>
      <c r="C5908" s="9"/>
      <c r="D5908" s="8"/>
      <c r="E5908" s="8"/>
      <c r="F5908" s="8" t="s">
        <v>22</v>
      </c>
      <c r="G5908" s="10" t="s">
        <v>2615</v>
      </c>
      <c r="H5908" s="8" t="s">
        <v>12167</v>
      </c>
      <c r="I5908" s="10" t="s">
        <v>12168</v>
      </c>
      <c r="J5908" s="11" t="s">
        <v>33</v>
      </c>
      <c r="K5908" s="18">
        <v>252100</v>
      </c>
      <c r="L5908" s="12">
        <f t="shared" si="498"/>
        <v>360200</v>
      </c>
      <c r="M5908" s="8">
        <v>1</v>
      </c>
      <c r="N5908" s="8" t="s">
        <v>27</v>
      </c>
      <c r="O5908" s="13"/>
      <c r="P5908" s="14">
        <v>0.2</v>
      </c>
      <c r="Q5908" s="15">
        <v>0.3</v>
      </c>
      <c r="R5908" s="16" t="str">
        <f t="shared" si="495"/>
        <v>GENERAL</v>
      </c>
      <c r="S5908" s="17"/>
      <c r="T5908" s="10" t="str">
        <f>G5908</f>
        <v>ROLLO DE 305 METROS DE CABLE AWG 14 LIBRE DE OXIGENO PARA PARLANTE.</v>
      </c>
    </row>
    <row r="5909" spans="1:29" ht="27" customHeight="1" x14ac:dyDescent="0.25">
      <c r="A5909" s="32" t="s">
        <v>2512</v>
      </c>
      <c r="H5909" s="32" t="s">
        <v>12169</v>
      </c>
      <c r="I5909" s="34" t="s">
        <v>12170</v>
      </c>
      <c r="J5909" s="34" t="s">
        <v>33</v>
      </c>
      <c r="K5909" s="42">
        <v>1500</v>
      </c>
      <c r="L5909" s="12">
        <f t="shared" si="498"/>
        <v>2200</v>
      </c>
      <c r="M5909" s="8">
        <v>1</v>
      </c>
      <c r="N5909" s="8" t="s">
        <v>27</v>
      </c>
      <c r="O5909" s="13"/>
      <c r="P5909" s="14">
        <v>0.2</v>
      </c>
      <c r="Q5909" s="15">
        <v>0.3</v>
      </c>
      <c r="R5909" s="16" t="str">
        <f t="shared" si="495"/>
        <v>GENERAL</v>
      </c>
    </row>
    <row r="5910" spans="1:29" ht="27" customHeight="1" x14ac:dyDescent="0.25">
      <c r="A5910" s="8" t="s">
        <v>8836</v>
      </c>
      <c r="B5910" s="9"/>
      <c r="C5910" s="9"/>
      <c r="D5910" s="8"/>
      <c r="E5910" s="8"/>
      <c r="F5910" s="8" t="s">
        <v>22</v>
      </c>
      <c r="G5910" s="10" t="s">
        <v>8997</v>
      </c>
      <c r="H5910" s="8" t="s">
        <v>12171</v>
      </c>
      <c r="I5910" s="10" t="s">
        <v>12172</v>
      </c>
      <c r="J5910" s="11" t="s">
        <v>33</v>
      </c>
      <c r="K5910" s="18">
        <f>133000*0.9</f>
        <v>119700</v>
      </c>
      <c r="L5910" s="12">
        <f t="shared" si="498"/>
        <v>149700</v>
      </c>
      <c r="M5910" s="8">
        <v>1</v>
      </c>
      <c r="N5910" s="8" t="s">
        <v>27</v>
      </c>
      <c r="O5910" s="13"/>
      <c r="P5910" s="14">
        <v>0.25</v>
      </c>
      <c r="Q5910" s="15">
        <v>0.2</v>
      </c>
      <c r="R5910" s="16" t="str">
        <f t="shared" si="495"/>
        <v>TECNOLITE</v>
      </c>
      <c r="S5910" s="17"/>
      <c r="T5910" s="10" t="str">
        <f>G5910</f>
        <v>REFLECTOR CHIP ON BOARD 14.5W, 1200 LUMENS. TEMPERATURA 3000K.</v>
      </c>
      <c r="AB5910" s="112">
        <v>4</v>
      </c>
    </row>
    <row r="5911" spans="1:29" ht="27" customHeight="1" x14ac:dyDescent="0.25">
      <c r="A5911" s="8" t="s">
        <v>8836</v>
      </c>
      <c r="B5911" s="9"/>
      <c r="C5911" s="9"/>
      <c r="D5911" s="8"/>
      <c r="E5911" s="8"/>
      <c r="F5911" s="8"/>
      <c r="G5911" s="10"/>
      <c r="H5911" s="8" t="s">
        <v>12173</v>
      </c>
      <c r="I5911" s="10" t="s">
        <v>12174</v>
      </c>
      <c r="J5911" s="11" t="s">
        <v>33</v>
      </c>
      <c r="K5911" s="18">
        <v>198482</v>
      </c>
      <c r="L5911" s="12">
        <f t="shared" si="498"/>
        <v>283600</v>
      </c>
      <c r="M5911" s="8">
        <v>1</v>
      </c>
      <c r="N5911" s="8" t="s">
        <v>27</v>
      </c>
      <c r="O5911" s="13"/>
      <c r="P5911" s="14">
        <v>0</v>
      </c>
      <c r="Q5911" s="15">
        <v>0.3</v>
      </c>
      <c r="R5911" s="16" t="str">
        <f t="shared" si="495"/>
        <v>TECNOLITE</v>
      </c>
      <c r="S5911" s="17"/>
      <c r="T5911" s="10"/>
    </row>
    <row r="5912" spans="1:29" ht="27" customHeight="1" x14ac:dyDescent="0.25">
      <c r="A5912" s="32" t="s">
        <v>1141</v>
      </c>
      <c r="H5912" t="s">
        <v>12175</v>
      </c>
      <c r="I5912" s="33" t="s">
        <v>12176</v>
      </c>
      <c r="J5912" s="34" t="s">
        <v>33</v>
      </c>
      <c r="K5912" s="42">
        <v>13500</v>
      </c>
      <c r="L5912" s="12">
        <f t="shared" ref="L5912:L5921" si="499">ROUNDUP(K5912*(1+P5912)/(1-Q5912),0)</f>
        <v>19286</v>
      </c>
      <c r="M5912" s="8">
        <v>1</v>
      </c>
      <c r="N5912" s="8" t="s">
        <v>27</v>
      </c>
      <c r="O5912" s="13"/>
      <c r="P5912" s="14">
        <v>0</v>
      </c>
      <c r="Q5912" s="15">
        <v>0.3</v>
      </c>
      <c r="R5912" s="16" t="str">
        <f t="shared" si="495"/>
        <v>CENTELSA</v>
      </c>
    </row>
    <row r="5913" spans="1:29" ht="27" customHeight="1" x14ac:dyDescent="0.25">
      <c r="A5913" s="32" t="s">
        <v>8116</v>
      </c>
      <c r="H5913" s="32" t="s">
        <v>12177</v>
      </c>
      <c r="I5913" s="33" t="s">
        <v>12178</v>
      </c>
      <c r="J5913" s="34" t="s">
        <v>33</v>
      </c>
      <c r="K5913" s="42">
        <v>32100</v>
      </c>
      <c r="L5913" s="12">
        <f t="shared" si="499"/>
        <v>53500</v>
      </c>
      <c r="M5913" s="8">
        <v>1</v>
      </c>
      <c r="N5913" s="8" t="s">
        <v>27</v>
      </c>
      <c r="O5913" s="13"/>
      <c r="P5913" s="14">
        <v>0</v>
      </c>
      <c r="Q5913" s="15">
        <v>0.4</v>
      </c>
      <c r="R5913" s="16" t="str">
        <f t="shared" si="495"/>
        <v>SCHNEIDER</v>
      </c>
    </row>
    <row r="5914" spans="1:29" ht="27" customHeight="1" x14ac:dyDescent="0.25">
      <c r="A5914" s="32" t="s">
        <v>1954</v>
      </c>
      <c r="H5914" s="32" t="s">
        <v>12179</v>
      </c>
      <c r="I5914" s="33" t="s">
        <v>12180</v>
      </c>
      <c r="J5914" s="34" t="s">
        <v>33</v>
      </c>
      <c r="K5914" s="42">
        <v>6800</v>
      </c>
      <c r="L5914" s="12">
        <f t="shared" si="499"/>
        <v>11334</v>
      </c>
      <c r="M5914" s="8">
        <v>1</v>
      </c>
      <c r="N5914" s="8" t="s">
        <v>27</v>
      </c>
      <c r="O5914" s="13"/>
      <c r="P5914" s="14">
        <v>0</v>
      </c>
      <c r="Q5914" s="15">
        <v>0.4</v>
      </c>
      <c r="R5914" s="16" t="str">
        <f t="shared" si="495"/>
        <v>DEXON</v>
      </c>
    </row>
    <row r="5915" spans="1:29" ht="27" customHeight="1" x14ac:dyDescent="0.25">
      <c r="A5915" s="32" t="s">
        <v>6911</v>
      </c>
      <c r="H5915" s="32" t="s">
        <v>12181</v>
      </c>
      <c r="I5915" s="33" t="s">
        <v>9305</v>
      </c>
      <c r="J5915" s="34" t="s">
        <v>33</v>
      </c>
      <c r="K5915" s="42">
        <v>55000</v>
      </c>
      <c r="L5915" s="12">
        <f t="shared" si="499"/>
        <v>91667</v>
      </c>
      <c r="M5915" s="8">
        <v>1</v>
      </c>
      <c r="N5915" s="8" t="s">
        <v>27</v>
      </c>
      <c r="O5915" s="13"/>
      <c r="P5915" s="14">
        <v>0</v>
      </c>
      <c r="Q5915" s="15">
        <v>0.4</v>
      </c>
      <c r="R5915" s="16" t="str">
        <f t="shared" si="495"/>
        <v>MERCUSYS</v>
      </c>
      <c r="AC5915" s="114"/>
    </row>
    <row r="5916" spans="1:29" ht="27" customHeight="1" x14ac:dyDescent="0.25">
      <c r="A5916" s="32" t="s">
        <v>2512</v>
      </c>
      <c r="H5916" s="32" t="s">
        <v>12182</v>
      </c>
      <c r="I5916" s="33" t="s">
        <v>12183</v>
      </c>
      <c r="J5916" s="34" t="s">
        <v>33</v>
      </c>
      <c r="K5916" s="42">
        <v>10100</v>
      </c>
      <c r="L5916" s="12">
        <f t="shared" si="499"/>
        <v>16834</v>
      </c>
      <c r="M5916" s="8">
        <v>1</v>
      </c>
      <c r="N5916" s="8" t="s">
        <v>27</v>
      </c>
      <c r="O5916" s="13"/>
      <c r="P5916" s="14">
        <v>0</v>
      </c>
      <c r="Q5916" s="15">
        <v>0.4</v>
      </c>
      <c r="R5916" s="16" t="str">
        <f t="shared" si="495"/>
        <v>GENERAL</v>
      </c>
    </row>
    <row r="5917" spans="1:29" ht="27" customHeight="1" x14ac:dyDescent="0.25">
      <c r="A5917" s="32" t="s">
        <v>12184</v>
      </c>
      <c r="H5917" s="32" t="s">
        <v>12185</v>
      </c>
      <c r="I5917" s="33" t="s">
        <v>12186</v>
      </c>
      <c r="J5917" s="34" t="s">
        <v>33</v>
      </c>
      <c r="K5917" s="42">
        <v>24400</v>
      </c>
      <c r="L5917" s="12">
        <f t="shared" si="499"/>
        <v>40667</v>
      </c>
      <c r="M5917" s="8">
        <v>1</v>
      </c>
      <c r="N5917" s="8" t="s">
        <v>27</v>
      </c>
      <c r="O5917" s="13"/>
      <c r="P5917" s="14">
        <v>0</v>
      </c>
      <c r="Q5917" s="15">
        <v>0.4</v>
      </c>
      <c r="R5917" s="16" t="str">
        <f t="shared" si="495"/>
        <v>LUMEC</v>
      </c>
    </row>
    <row r="5918" spans="1:29" ht="27" customHeight="1" x14ac:dyDescent="0.25">
      <c r="A5918" s="32" t="s">
        <v>5170</v>
      </c>
      <c r="H5918" s="32" t="s">
        <v>12187</v>
      </c>
      <c r="I5918" s="33" t="s">
        <v>12188</v>
      </c>
      <c r="J5918" s="34" t="s">
        <v>33</v>
      </c>
      <c r="K5918" s="42">
        <v>11950</v>
      </c>
      <c r="L5918" s="12">
        <f t="shared" si="499"/>
        <v>17072</v>
      </c>
      <c r="M5918" s="8">
        <v>1</v>
      </c>
      <c r="N5918" s="8" t="s">
        <v>27</v>
      </c>
      <c r="O5918" s="13"/>
      <c r="P5918" s="14">
        <v>0</v>
      </c>
      <c r="Q5918" s="15">
        <v>0.3</v>
      </c>
      <c r="R5918" s="16" t="str">
        <f t="shared" si="495"/>
        <v>LEVITON</v>
      </c>
    </row>
    <row r="5919" spans="1:29" ht="27" customHeight="1" x14ac:dyDescent="0.25">
      <c r="A5919" s="32" t="s">
        <v>5170</v>
      </c>
      <c r="H5919" s="32" t="s">
        <v>12189</v>
      </c>
      <c r="I5919" s="33" t="s">
        <v>12190</v>
      </c>
      <c r="J5919" s="34" t="s">
        <v>33</v>
      </c>
      <c r="K5919" s="42">
        <v>19300</v>
      </c>
      <c r="L5919" s="12">
        <f t="shared" si="499"/>
        <v>27572</v>
      </c>
      <c r="M5919" s="8">
        <v>1</v>
      </c>
      <c r="N5919" s="8" t="s">
        <v>27</v>
      </c>
      <c r="O5919" s="13"/>
      <c r="P5919" s="14">
        <v>0</v>
      </c>
      <c r="Q5919" s="15">
        <v>0.3</v>
      </c>
      <c r="R5919" s="16" t="str">
        <f t="shared" si="495"/>
        <v>LEVITON</v>
      </c>
    </row>
    <row r="5920" spans="1:29" ht="27" customHeight="1" x14ac:dyDescent="0.25">
      <c r="A5920" s="32" t="s">
        <v>8308</v>
      </c>
      <c r="H5920" s="32" t="s">
        <v>8327</v>
      </c>
      <c r="I5920" s="33" t="s">
        <v>12191</v>
      </c>
      <c r="J5920" s="34" t="s">
        <v>33</v>
      </c>
      <c r="K5920" s="42">
        <v>128600</v>
      </c>
      <c r="L5920" s="12">
        <f t="shared" si="499"/>
        <v>214334</v>
      </c>
      <c r="M5920" s="8">
        <v>1</v>
      </c>
      <c r="N5920" s="8" t="s">
        <v>27</v>
      </c>
      <c r="O5920" s="13"/>
      <c r="P5920" s="14">
        <v>0</v>
      </c>
      <c r="Q5920" s="15">
        <v>0.4</v>
      </c>
      <c r="R5920" s="16" t="str">
        <f t="shared" si="495"/>
        <v>SOLIDVIEW</v>
      </c>
    </row>
    <row r="5921" spans="1:19" ht="27" customHeight="1" x14ac:dyDescent="0.25">
      <c r="A5921" s="32" t="s">
        <v>3787</v>
      </c>
      <c r="H5921" s="32" t="s">
        <v>12192</v>
      </c>
      <c r="I5921" s="33" t="s">
        <v>12193</v>
      </c>
      <c r="J5921" s="34" t="s">
        <v>33</v>
      </c>
      <c r="K5921" s="42">
        <v>72900</v>
      </c>
      <c r="L5921" s="12">
        <f t="shared" si="499"/>
        <v>121500</v>
      </c>
      <c r="M5921" s="8">
        <v>1</v>
      </c>
      <c r="N5921" s="8" t="s">
        <v>27</v>
      </c>
      <c r="O5921" s="13"/>
      <c r="P5921" s="14">
        <v>0</v>
      </c>
      <c r="Q5921" s="15">
        <v>0.4</v>
      </c>
      <c r="R5921" s="16" t="str">
        <f t="shared" si="495"/>
        <v>JD</v>
      </c>
    </row>
    <row r="5922" spans="1:19" ht="27" customHeight="1" x14ac:dyDescent="0.25">
      <c r="A5922" s="32" t="s">
        <v>8308</v>
      </c>
      <c r="H5922" s="32" t="s">
        <v>8389</v>
      </c>
      <c r="I5922" s="33" t="s">
        <v>12194</v>
      </c>
      <c r="J5922" s="34" t="s">
        <v>33</v>
      </c>
      <c r="K5922" s="42">
        <v>4243000</v>
      </c>
      <c r="L5922" s="12">
        <f t="shared" ref="L5922:L5938" si="500">K5922*(1+P5922)/(1-Q5922)</f>
        <v>6061428.5714285718</v>
      </c>
      <c r="M5922" s="8">
        <v>1</v>
      </c>
      <c r="N5922" s="8" t="s">
        <v>27</v>
      </c>
      <c r="O5922" s="13"/>
      <c r="P5922" s="14">
        <v>0</v>
      </c>
      <c r="Q5922" s="15">
        <v>0.3</v>
      </c>
      <c r="R5922" s="16" t="str">
        <f t="shared" si="495"/>
        <v>SOLIDVIEW</v>
      </c>
      <c r="S5922" s="52" t="str">
        <f>A5922</f>
        <v>SOLIDVIEW</v>
      </c>
    </row>
    <row r="5923" spans="1:19" ht="27" customHeight="1" x14ac:dyDescent="0.25">
      <c r="A5923" s="32" t="s">
        <v>11808</v>
      </c>
      <c r="H5923" s="32" t="s">
        <v>12195</v>
      </c>
      <c r="I5923" s="33" t="s">
        <v>12196</v>
      </c>
      <c r="J5923" s="34" t="s">
        <v>26</v>
      </c>
      <c r="K5923" s="42">
        <v>541</v>
      </c>
      <c r="L5923" s="12">
        <f t="shared" si="500"/>
        <v>927.42857142857144</v>
      </c>
      <c r="M5923" s="8">
        <v>1</v>
      </c>
      <c r="N5923" s="8" t="s">
        <v>27</v>
      </c>
      <c r="O5923" s="13"/>
      <c r="P5923" s="14">
        <v>0.2</v>
      </c>
      <c r="Q5923" s="15">
        <v>0.3</v>
      </c>
      <c r="R5923" s="16" t="str">
        <f t="shared" si="495"/>
        <v>POLK</v>
      </c>
    </row>
    <row r="5924" spans="1:19" ht="27" customHeight="1" x14ac:dyDescent="0.25">
      <c r="A5924" s="32" t="s">
        <v>6990</v>
      </c>
      <c r="H5924" s="32" t="s">
        <v>11081</v>
      </c>
      <c r="I5924" s="33" t="s">
        <v>12197</v>
      </c>
      <c r="J5924" s="34" t="s">
        <v>26</v>
      </c>
      <c r="K5924" s="42">
        <v>1479</v>
      </c>
      <c r="L5924" s="12">
        <f t="shared" si="500"/>
        <v>2535.4285714285716</v>
      </c>
      <c r="M5924" s="8">
        <v>1</v>
      </c>
      <c r="N5924" s="8" t="s">
        <v>27</v>
      </c>
      <c r="O5924" s="13"/>
      <c r="P5924" s="14">
        <v>0.2</v>
      </c>
      <c r="Q5924" s="15">
        <v>0.3</v>
      </c>
      <c r="R5924" s="16" t="str">
        <f t="shared" si="495"/>
        <v>NEC</v>
      </c>
    </row>
    <row r="5925" spans="1:19" ht="27" customHeight="1" x14ac:dyDescent="0.25">
      <c r="A5925" s="32" t="s">
        <v>5672</v>
      </c>
      <c r="H5925" s="32" t="s">
        <v>12198</v>
      </c>
      <c r="I5925" s="33" t="s">
        <v>12199</v>
      </c>
      <c r="J5925" s="34" t="s">
        <v>26</v>
      </c>
      <c r="K5925" s="42">
        <v>19.7</v>
      </c>
      <c r="L5925" s="12">
        <f t="shared" si="500"/>
        <v>39.4</v>
      </c>
      <c r="M5925" s="8">
        <v>1</v>
      </c>
      <c r="N5925" s="8" t="s">
        <v>27</v>
      </c>
      <c r="O5925" s="13"/>
      <c r="P5925" s="14">
        <v>0.2</v>
      </c>
      <c r="Q5925" s="15">
        <v>0.4</v>
      </c>
      <c r="R5925" s="16" t="str">
        <f t="shared" si="495"/>
        <v>LUTRON</v>
      </c>
    </row>
    <row r="5926" spans="1:19" ht="27" customHeight="1" x14ac:dyDescent="0.25">
      <c r="A5926" s="32" t="s">
        <v>8836</v>
      </c>
      <c r="H5926" s="32" t="s">
        <v>12200</v>
      </c>
      <c r="I5926" s="33" t="s">
        <v>12201</v>
      </c>
      <c r="J5926" s="34" t="s">
        <v>33</v>
      </c>
      <c r="K5926" s="42">
        <f>30293*0.9</f>
        <v>27263.7</v>
      </c>
      <c r="L5926" s="12">
        <f t="shared" si="500"/>
        <v>38948.142857142862</v>
      </c>
      <c r="M5926" s="8">
        <v>1</v>
      </c>
      <c r="N5926" s="8" t="s">
        <v>27</v>
      </c>
      <c r="O5926" s="13"/>
      <c r="P5926" s="14">
        <v>0</v>
      </c>
      <c r="Q5926" s="15">
        <v>0.3</v>
      </c>
      <c r="R5926" s="16" t="str">
        <f t="shared" si="495"/>
        <v>TECNOLITE</v>
      </c>
    </row>
    <row r="5927" spans="1:19" ht="27" customHeight="1" x14ac:dyDescent="0.25">
      <c r="A5927" s="32" t="s">
        <v>3977</v>
      </c>
      <c r="H5927" s="32" t="s">
        <v>12202</v>
      </c>
      <c r="I5927" s="33" t="s">
        <v>12203</v>
      </c>
      <c r="J5927" s="34" t="s">
        <v>33</v>
      </c>
      <c r="K5927" s="42">
        <v>100000</v>
      </c>
      <c r="L5927" s="12">
        <f t="shared" si="500"/>
        <v>142857.14285714287</v>
      </c>
      <c r="M5927" s="8">
        <v>1</v>
      </c>
      <c r="N5927" s="8" t="s">
        <v>27</v>
      </c>
      <c r="O5927" s="13"/>
      <c r="P5927" s="14">
        <v>0</v>
      </c>
      <c r="Q5927" s="15">
        <v>0.3</v>
      </c>
      <c r="R5927" s="16" t="str">
        <f t="shared" si="495"/>
        <v>KOMODO</v>
      </c>
    </row>
    <row r="5928" spans="1:19" ht="27" customHeight="1" x14ac:dyDescent="0.25">
      <c r="A5928" s="32" t="s">
        <v>3977</v>
      </c>
      <c r="H5928" s="32" t="s">
        <v>12204</v>
      </c>
      <c r="I5928" s="33" t="s">
        <v>12205</v>
      </c>
      <c r="J5928" s="34" t="s">
        <v>33</v>
      </c>
      <c r="K5928" s="42">
        <v>1350000</v>
      </c>
      <c r="L5928" s="12">
        <f t="shared" si="500"/>
        <v>1928571.4285714286</v>
      </c>
      <c r="M5928" s="8">
        <v>1</v>
      </c>
      <c r="N5928" s="8" t="s">
        <v>27</v>
      </c>
      <c r="O5928" s="13"/>
      <c r="P5928" s="14">
        <v>0</v>
      </c>
      <c r="Q5928" s="15">
        <v>0.3</v>
      </c>
      <c r="R5928" s="16" t="str">
        <f t="shared" si="495"/>
        <v>KOMODO</v>
      </c>
    </row>
    <row r="5929" spans="1:19" ht="27" customHeight="1" x14ac:dyDescent="0.25">
      <c r="A5929" s="32" t="s">
        <v>12206</v>
      </c>
      <c r="H5929" s="32" t="s">
        <v>12207</v>
      </c>
      <c r="I5929" s="33" t="s">
        <v>12208</v>
      </c>
      <c r="J5929" s="34" t="s">
        <v>26</v>
      </c>
      <c r="K5929" s="42">
        <v>19</v>
      </c>
      <c r="L5929" s="12">
        <f t="shared" si="500"/>
        <v>27.142857142857146</v>
      </c>
      <c r="M5929" s="8">
        <v>1</v>
      </c>
      <c r="N5929" s="8" t="s">
        <v>27</v>
      </c>
      <c r="O5929" s="13"/>
      <c r="P5929" s="14">
        <v>0</v>
      </c>
      <c r="Q5929" s="15">
        <v>0.3</v>
      </c>
      <c r="R5929" s="16" t="str">
        <f t="shared" si="495"/>
        <v>URWOOW</v>
      </c>
    </row>
    <row r="5930" spans="1:19" ht="27" customHeight="1" x14ac:dyDescent="0.25">
      <c r="A5930" s="32" t="s">
        <v>7662</v>
      </c>
      <c r="H5930" s="32" t="s">
        <v>12209</v>
      </c>
      <c r="I5930" s="33" t="s">
        <v>12210</v>
      </c>
      <c r="J5930" s="34" t="s">
        <v>33</v>
      </c>
      <c r="K5930" s="42">
        <v>180000</v>
      </c>
      <c r="L5930" s="12">
        <f t="shared" si="500"/>
        <v>257142.85714285716</v>
      </c>
      <c r="M5930" s="8">
        <v>1</v>
      </c>
      <c r="N5930" s="8" t="s">
        <v>27</v>
      </c>
      <c r="O5930" s="13"/>
      <c r="P5930" s="14">
        <v>0</v>
      </c>
      <c r="Q5930" s="15">
        <v>0.3</v>
      </c>
      <c r="R5930" s="16" t="str">
        <f t="shared" si="495"/>
        <v>PHILIPS</v>
      </c>
    </row>
    <row r="5931" spans="1:19" ht="27" customHeight="1" x14ac:dyDescent="0.25">
      <c r="A5931" s="32" t="s">
        <v>2512</v>
      </c>
      <c r="H5931" s="32" t="s">
        <v>12211</v>
      </c>
      <c r="I5931" s="33" t="s">
        <v>12212</v>
      </c>
      <c r="J5931" s="34" t="s">
        <v>26</v>
      </c>
      <c r="K5931" s="42">
        <v>30</v>
      </c>
      <c r="L5931" s="12">
        <f t="shared" si="500"/>
        <v>60</v>
      </c>
      <c r="M5931" s="8">
        <v>1</v>
      </c>
      <c r="N5931" s="8" t="s">
        <v>27</v>
      </c>
      <c r="O5931" s="13"/>
      <c r="P5931" s="14">
        <v>0.2</v>
      </c>
      <c r="Q5931" s="15">
        <v>0.4</v>
      </c>
      <c r="R5931" s="40" t="str">
        <f t="shared" si="495"/>
        <v>GENERAL</v>
      </c>
      <c r="S5931" s="39" t="s">
        <v>12213</v>
      </c>
    </row>
    <row r="5932" spans="1:19" ht="27" customHeight="1" x14ac:dyDescent="0.25">
      <c r="A5932" s="32" t="s">
        <v>2512</v>
      </c>
      <c r="H5932" s="32" t="s">
        <v>12214</v>
      </c>
      <c r="I5932" s="33" t="s">
        <v>12215</v>
      </c>
      <c r="J5932" s="34" t="s">
        <v>26</v>
      </c>
      <c r="K5932" s="42">
        <v>20</v>
      </c>
      <c r="L5932" s="12">
        <f t="shared" si="500"/>
        <v>40</v>
      </c>
      <c r="M5932" s="8">
        <v>1</v>
      </c>
      <c r="N5932" s="8" t="s">
        <v>27</v>
      </c>
      <c r="O5932" s="13"/>
      <c r="P5932" s="14">
        <v>0.2</v>
      </c>
      <c r="Q5932" s="15">
        <v>0.4</v>
      </c>
      <c r="R5932" s="40" t="str">
        <f t="shared" si="495"/>
        <v>GENERAL</v>
      </c>
      <c r="S5932" s="39" t="s">
        <v>12216</v>
      </c>
    </row>
    <row r="5933" spans="1:19" ht="27" customHeight="1" x14ac:dyDescent="0.25">
      <c r="A5933" s="32" t="s">
        <v>3742</v>
      </c>
      <c r="H5933" s="32" t="s">
        <v>12217</v>
      </c>
      <c r="I5933" s="33" t="s">
        <v>12218</v>
      </c>
      <c r="J5933" s="34" t="s">
        <v>26</v>
      </c>
      <c r="K5933" s="42">
        <v>49</v>
      </c>
      <c r="L5933" s="12">
        <f t="shared" si="500"/>
        <v>98</v>
      </c>
      <c r="M5933" s="8">
        <v>1</v>
      </c>
      <c r="N5933" s="8" t="s">
        <v>27</v>
      </c>
      <c r="O5933" s="13"/>
      <c r="P5933" s="14">
        <v>0.2</v>
      </c>
      <c r="Q5933" s="15">
        <v>0.4</v>
      </c>
      <c r="R5933" s="40" t="str">
        <f t="shared" si="495"/>
        <v>J_TECH</v>
      </c>
    </row>
    <row r="5934" spans="1:19" ht="27" customHeight="1" x14ac:dyDescent="0.25">
      <c r="A5934" s="32" t="s">
        <v>12219</v>
      </c>
      <c r="H5934" s="32" t="s">
        <v>11817</v>
      </c>
      <c r="I5934" s="33" t="s">
        <v>12220</v>
      </c>
      <c r="J5934" s="34" t="s">
        <v>33</v>
      </c>
      <c r="K5934" s="42">
        <v>1210000</v>
      </c>
      <c r="L5934" s="12">
        <f t="shared" si="500"/>
        <v>1728571.4285714286</v>
      </c>
      <c r="M5934" s="8">
        <v>1</v>
      </c>
      <c r="N5934" s="8" t="s">
        <v>27</v>
      </c>
      <c r="O5934" s="13"/>
      <c r="P5934" s="14">
        <v>0</v>
      </c>
      <c r="Q5934" s="15">
        <v>0.3</v>
      </c>
      <c r="R5934" s="40" t="str">
        <f t="shared" si="495"/>
        <v>RGBLINK</v>
      </c>
    </row>
    <row r="5935" spans="1:19" ht="27" customHeight="1" x14ac:dyDescent="0.25">
      <c r="A5935" s="43" t="s">
        <v>5672</v>
      </c>
      <c r="B5935" s="19"/>
      <c r="C5935" s="19"/>
      <c r="D5935" s="19"/>
      <c r="E5935" s="19"/>
      <c r="F5935" s="19"/>
      <c r="G5935" s="19"/>
      <c r="H5935" s="19" t="s">
        <v>12221</v>
      </c>
      <c r="I5935" s="19" t="s">
        <v>12222</v>
      </c>
      <c r="J5935" s="19" t="s">
        <v>33</v>
      </c>
      <c r="K5935" s="36">
        <v>350000</v>
      </c>
      <c r="L5935" s="12">
        <f t="shared" si="500"/>
        <v>583333.44481849717</v>
      </c>
      <c r="M5935" s="8">
        <v>1</v>
      </c>
      <c r="N5935" s="8" t="s">
        <v>27</v>
      </c>
      <c r="O5935" s="13"/>
      <c r="P5935" s="14">
        <v>0.2</v>
      </c>
      <c r="Q5935" s="15">
        <v>0.28000013760451881</v>
      </c>
      <c r="R5935" s="16" t="str">
        <f t="shared" ref="R5935:R5998" si="501">A5935</f>
        <v>LUTRON</v>
      </c>
    </row>
    <row r="5936" spans="1:19" ht="27" customHeight="1" x14ac:dyDescent="0.25">
      <c r="A5936" s="32" t="s">
        <v>3611</v>
      </c>
      <c r="H5936">
        <v>735041</v>
      </c>
      <c r="I5936" s="38" t="s">
        <v>12223</v>
      </c>
      <c r="J5936" s="34" t="s">
        <v>33</v>
      </c>
      <c r="K5936" s="42">
        <v>142340</v>
      </c>
      <c r="L5936" s="12">
        <f t="shared" si="500"/>
        <v>237233.37867275684</v>
      </c>
      <c r="M5936" s="8">
        <v>1</v>
      </c>
      <c r="N5936" s="8" t="s">
        <v>27</v>
      </c>
      <c r="O5936" s="13"/>
      <c r="P5936" s="14">
        <v>0.2</v>
      </c>
      <c r="Q5936" s="15">
        <v>0.28000013760451881</v>
      </c>
      <c r="R5936" s="16" t="str">
        <f t="shared" si="501"/>
        <v>IDEA</v>
      </c>
    </row>
    <row r="5937" spans="1:18" ht="27" customHeight="1" x14ac:dyDescent="0.25">
      <c r="A5937" s="32" t="s">
        <v>9325</v>
      </c>
      <c r="H5937" s="32" t="s">
        <v>12224</v>
      </c>
      <c r="I5937" s="33" t="s">
        <v>12225</v>
      </c>
      <c r="J5937" s="34" t="s">
        <v>26</v>
      </c>
      <c r="K5937" s="42">
        <v>2500</v>
      </c>
      <c r="L5937" s="12">
        <f t="shared" si="500"/>
        <v>3571.4285714285716</v>
      </c>
      <c r="M5937" s="8">
        <v>1</v>
      </c>
      <c r="N5937" s="8" t="s">
        <v>27</v>
      </c>
      <c r="O5937" s="13"/>
      <c r="P5937" s="14">
        <v>0</v>
      </c>
      <c r="Q5937" s="15">
        <v>0.3</v>
      </c>
      <c r="R5937" s="16" t="str">
        <f t="shared" si="501"/>
        <v>TRAULUX</v>
      </c>
    </row>
    <row r="5938" spans="1:18" ht="27" customHeight="1" x14ac:dyDescent="0.25">
      <c r="A5938" s="32" t="s">
        <v>9325</v>
      </c>
      <c r="H5938" s="32" t="s">
        <v>12226</v>
      </c>
      <c r="I5938" s="33" t="s">
        <v>12227</v>
      </c>
      <c r="J5938" s="34" t="s">
        <v>26</v>
      </c>
      <c r="K5938" s="42">
        <v>1750</v>
      </c>
      <c r="L5938" s="12">
        <f t="shared" si="500"/>
        <v>2500</v>
      </c>
      <c r="M5938" s="8">
        <v>1</v>
      </c>
      <c r="N5938" s="8" t="s">
        <v>27</v>
      </c>
      <c r="O5938" s="13"/>
      <c r="P5938" s="14">
        <v>0</v>
      </c>
      <c r="Q5938" s="15">
        <v>0.3</v>
      </c>
      <c r="R5938" s="16" t="str">
        <f t="shared" si="501"/>
        <v>TRAULUX</v>
      </c>
    </row>
    <row r="5939" spans="1:18" ht="27" customHeight="1" x14ac:dyDescent="0.25">
      <c r="A5939" s="32" t="s">
        <v>5672</v>
      </c>
      <c r="H5939" s="32" t="s">
        <v>12228</v>
      </c>
      <c r="I5939" s="33" t="s">
        <v>12229</v>
      </c>
      <c r="J5939" s="34" t="s">
        <v>26</v>
      </c>
      <c r="K5939" s="42">
        <v>125.4</v>
      </c>
      <c r="L5939" s="12">
        <f t="shared" ref="L5939:L5959" si="502">IF(J5939="P",ROUNDUP(K5939/(1-Q5939),-2),K5939*(1+P5939)/(1-Q5939))</f>
        <v>209.00008099195745</v>
      </c>
      <c r="M5939" s="8">
        <v>1</v>
      </c>
      <c r="N5939" s="8" t="s">
        <v>27</v>
      </c>
      <c r="O5939" s="13"/>
      <c r="P5939" s="14">
        <v>0.2</v>
      </c>
      <c r="Q5939" s="15">
        <v>0.28000027901524771</v>
      </c>
      <c r="R5939" s="40" t="str">
        <f t="shared" si="501"/>
        <v>LUTRON</v>
      </c>
    </row>
    <row r="5940" spans="1:18" ht="27" customHeight="1" x14ac:dyDescent="0.25">
      <c r="A5940" s="32" t="s">
        <v>5672</v>
      </c>
      <c r="H5940" s="32" t="s">
        <v>12230</v>
      </c>
      <c r="I5940" s="33" t="s">
        <v>12231</v>
      </c>
      <c r="J5940" s="34" t="s">
        <v>26</v>
      </c>
      <c r="K5940" s="42">
        <v>125.4</v>
      </c>
      <c r="L5940" s="12">
        <f t="shared" si="502"/>
        <v>209.00008099195745</v>
      </c>
      <c r="M5940" s="8">
        <v>1</v>
      </c>
      <c r="N5940" s="8" t="s">
        <v>27</v>
      </c>
      <c r="O5940" s="13"/>
      <c r="P5940" s="14">
        <v>0.2</v>
      </c>
      <c r="Q5940" s="15">
        <v>0.28000027901524771</v>
      </c>
      <c r="R5940" s="40" t="str">
        <f t="shared" si="501"/>
        <v>LUTRON</v>
      </c>
    </row>
    <row r="5941" spans="1:18" ht="27" customHeight="1" x14ac:dyDescent="0.25">
      <c r="A5941" s="32" t="s">
        <v>9258</v>
      </c>
      <c r="H5941" s="32" t="s">
        <v>12232</v>
      </c>
      <c r="I5941" s="33" t="s">
        <v>12233</v>
      </c>
      <c r="J5941" s="34" t="s">
        <v>33</v>
      </c>
      <c r="K5941" s="42">
        <v>68000</v>
      </c>
      <c r="L5941" s="12">
        <f t="shared" si="502"/>
        <v>94500</v>
      </c>
      <c r="M5941" s="8">
        <v>1</v>
      </c>
      <c r="N5941" s="8" t="s">
        <v>27</v>
      </c>
      <c r="O5941" s="13"/>
      <c r="P5941" s="14">
        <v>0.2</v>
      </c>
      <c r="Q5941" s="15">
        <v>0.28000027901524771</v>
      </c>
      <c r="R5941" s="40" t="str">
        <f t="shared" si="501"/>
        <v>TP_LINK</v>
      </c>
    </row>
    <row r="5942" spans="1:18" ht="27" customHeight="1" x14ac:dyDescent="0.25">
      <c r="A5942" s="32" t="s">
        <v>8308</v>
      </c>
      <c r="H5942" s="32" t="s">
        <v>12234</v>
      </c>
      <c r="I5942" s="33" t="s">
        <v>12235</v>
      </c>
      <c r="J5942" s="34" t="s">
        <v>33</v>
      </c>
      <c r="K5942" s="42">
        <v>47400</v>
      </c>
      <c r="L5942" s="12">
        <f t="shared" si="502"/>
        <v>65900</v>
      </c>
      <c r="M5942" s="8">
        <v>1</v>
      </c>
      <c r="N5942" s="8" t="s">
        <v>27</v>
      </c>
      <c r="O5942" s="13"/>
      <c r="P5942" s="14">
        <v>0.2</v>
      </c>
      <c r="Q5942" s="15">
        <v>0.28000027901524771</v>
      </c>
      <c r="R5942" s="40" t="str">
        <f t="shared" si="501"/>
        <v>SOLIDVIEW</v>
      </c>
    </row>
    <row r="5943" spans="1:18" ht="27" customHeight="1" x14ac:dyDescent="0.25">
      <c r="A5943" s="32" t="s">
        <v>9644</v>
      </c>
      <c r="H5943" s="32" t="s">
        <v>12236</v>
      </c>
      <c r="I5943" s="33" t="s">
        <v>12237</v>
      </c>
      <c r="J5943" s="34" t="s">
        <v>33</v>
      </c>
      <c r="K5943" s="42">
        <v>200000</v>
      </c>
      <c r="L5943" s="12">
        <f t="shared" si="502"/>
        <v>277800</v>
      </c>
      <c r="M5943" s="8">
        <v>1</v>
      </c>
      <c r="N5943" s="8" t="s">
        <v>27</v>
      </c>
      <c r="O5943" s="13"/>
      <c r="P5943" s="14">
        <v>0.2</v>
      </c>
      <c r="Q5943" s="15">
        <v>0.28000027901524771</v>
      </c>
      <c r="R5943" s="40" t="str">
        <f t="shared" si="501"/>
        <v>ZKTECO</v>
      </c>
    </row>
    <row r="5944" spans="1:18" ht="27" customHeight="1" x14ac:dyDescent="0.25">
      <c r="A5944" s="32" t="s">
        <v>12238</v>
      </c>
      <c r="H5944" s="32" t="s">
        <v>12239</v>
      </c>
      <c r="I5944" s="33" t="s">
        <v>12240</v>
      </c>
      <c r="J5944" s="34" t="s">
        <v>33</v>
      </c>
      <c r="K5944" s="42">
        <v>117800</v>
      </c>
      <c r="L5944" s="12">
        <f t="shared" si="502"/>
        <v>196400</v>
      </c>
      <c r="M5944" s="8">
        <v>1</v>
      </c>
      <c r="N5944" s="8" t="s">
        <v>27</v>
      </c>
      <c r="O5944" s="13"/>
      <c r="P5944" s="14">
        <v>0.2</v>
      </c>
      <c r="Q5944" s="15">
        <v>0.4</v>
      </c>
      <c r="R5944" s="40" t="str">
        <f t="shared" si="501"/>
        <v>NB</v>
      </c>
    </row>
    <row r="5945" spans="1:18" ht="27" customHeight="1" x14ac:dyDescent="0.25">
      <c r="A5945" s="32" t="s">
        <v>941</v>
      </c>
      <c r="H5945" s="32" t="s">
        <v>12241</v>
      </c>
      <c r="I5945" s="33" t="s">
        <v>12242</v>
      </c>
      <c r="J5945" s="34" t="s">
        <v>33</v>
      </c>
      <c r="K5945" s="42">
        <v>13500</v>
      </c>
      <c r="L5945" s="12">
        <f t="shared" si="502"/>
        <v>22500</v>
      </c>
      <c r="M5945" s="8">
        <v>1</v>
      </c>
      <c r="N5945" s="8" t="s">
        <v>27</v>
      </c>
      <c r="O5945" s="13"/>
      <c r="P5945" s="14">
        <v>0</v>
      </c>
      <c r="Q5945" s="15">
        <v>0.4</v>
      </c>
      <c r="R5945" s="40" t="str">
        <f t="shared" si="501"/>
        <v>BTICINO</v>
      </c>
    </row>
    <row r="5946" spans="1:18" ht="27" customHeight="1" x14ac:dyDescent="0.25">
      <c r="A5946" s="32" t="s">
        <v>12243</v>
      </c>
      <c r="H5946" s="32" t="s">
        <v>12244</v>
      </c>
      <c r="I5946" s="33" t="s">
        <v>12245</v>
      </c>
      <c r="J5946" s="34" t="s">
        <v>33</v>
      </c>
      <c r="K5946" s="42">
        <v>80000</v>
      </c>
      <c r="L5946" s="12">
        <f t="shared" si="502"/>
        <v>133400</v>
      </c>
      <c r="M5946" s="8">
        <v>1</v>
      </c>
      <c r="N5946" s="8" t="s">
        <v>27</v>
      </c>
      <c r="O5946" s="13"/>
      <c r="P5946" s="14">
        <v>0</v>
      </c>
      <c r="Q5946" s="15">
        <v>0.4</v>
      </c>
      <c r="R5946" s="40" t="str">
        <f t="shared" si="501"/>
        <v>SILVANYA</v>
      </c>
    </row>
    <row r="5947" spans="1:18" ht="27" customHeight="1" x14ac:dyDescent="0.25">
      <c r="A5947" s="32" t="s">
        <v>2512</v>
      </c>
      <c r="H5947" s="32" t="s">
        <v>12246</v>
      </c>
      <c r="I5947" s="33" t="s">
        <v>12247</v>
      </c>
      <c r="J5947" s="34" t="s">
        <v>33</v>
      </c>
      <c r="K5947" s="42">
        <v>990000</v>
      </c>
      <c r="L5947" s="12">
        <f t="shared" si="502"/>
        <v>1650000</v>
      </c>
      <c r="M5947" s="8">
        <v>1</v>
      </c>
      <c r="N5947" s="8" t="s">
        <v>27</v>
      </c>
      <c r="O5947" s="13"/>
      <c r="P5947" s="14">
        <v>0</v>
      </c>
      <c r="Q5947" s="15">
        <v>0.4</v>
      </c>
      <c r="R5947" s="40" t="str">
        <f t="shared" si="501"/>
        <v>GENERAL</v>
      </c>
    </row>
    <row r="5948" spans="1:18" ht="27" customHeight="1" x14ac:dyDescent="0.25">
      <c r="A5948" s="32" t="s">
        <v>9325</v>
      </c>
      <c r="H5948" s="32" t="s">
        <v>12248</v>
      </c>
      <c r="I5948" s="33" t="s">
        <v>12249</v>
      </c>
      <c r="J5948" s="34" t="s">
        <v>26</v>
      </c>
      <c r="K5948" s="42">
        <f>2200</f>
        <v>2200</v>
      </c>
      <c r="L5948" s="12">
        <f t="shared" si="502"/>
        <v>3666.666666666667</v>
      </c>
      <c r="M5948" s="8">
        <v>1</v>
      </c>
      <c r="N5948" s="8" t="s">
        <v>27</v>
      </c>
      <c r="O5948" s="13"/>
      <c r="P5948" s="14">
        <v>0</v>
      </c>
      <c r="Q5948" s="15">
        <v>0.4</v>
      </c>
      <c r="R5948" s="40" t="str">
        <f t="shared" si="501"/>
        <v>TRAULUX</v>
      </c>
    </row>
    <row r="5949" spans="1:18" ht="27" customHeight="1" x14ac:dyDescent="0.25">
      <c r="A5949" t="s">
        <v>3977</v>
      </c>
      <c r="H5949" t="s">
        <v>12250</v>
      </c>
      <c r="I5949" s="33" t="s">
        <v>12251</v>
      </c>
      <c r="J5949" s="34" t="s">
        <v>33</v>
      </c>
      <c r="K5949" s="42">
        <v>90000</v>
      </c>
      <c r="L5949" s="12">
        <f t="shared" si="502"/>
        <v>150000</v>
      </c>
      <c r="M5949" s="8">
        <v>1</v>
      </c>
      <c r="N5949" s="8" t="s">
        <v>27</v>
      </c>
      <c r="O5949" s="13"/>
      <c r="P5949" s="14">
        <v>0</v>
      </c>
      <c r="Q5949" s="15">
        <v>0.4</v>
      </c>
      <c r="R5949" s="40" t="str">
        <f t="shared" si="501"/>
        <v>KOMODO</v>
      </c>
    </row>
    <row r="5950" spans="1:18" ht="27" customHeight="1" x14ac:dyDescent="0.25">
      <c r="A5950" t="s">
        <v>3977</v>
      </c>
      <c r="H5950" t="s">
        <v>12252</v>
      </c>
      <c r="I5950" s="33" t="s">
        <v>12253</v>
      </c>
      <c r="J5950" s="34" t="s">
        <v>33</v>
      </c>
      <c r="K5950" s="42">
        <v>45000</v>
      </c>
      <c r="L5950" s="12">
        <f t="shared" si="502"/>
        <v>75000</v>
      </c>
      <c r="M5950" s="8">
        <v>1</v>
      </c>
      <c r="N5950" s="8" t="s">
        <v>27</v>
      </c>
      <c r="O5950" s="13"/>
      <c r="P5950" s="14">
        <v>0</v>
      </c>
      <c r="Q5950" s="15">
        <v>0.4</v>
      </c>
      <c r="R5950" s="40" t="str">
        <f t="shared" si="501"/>
        <v>KOMODO</v>
      </c>
    </row>
    <row r="5951" spans="1:18" ht="27" customHeight="1" x14ac:dyDescent="0.25">
      <c r="A5951" t="s">
        <v>3977</v>
      </c>
      <c r="H5951" t="s">
        <v>12254</v>
      </c>
      <c r="I5951" s="33" t="s">
        <v>12255</v>
      </c>
      <c r="J5951" s="34" t="s">
        <v>33</v>
      </c>
      <c r="K5951" s="42">
        <v>45000</v>
      </c>
      <c r="L5951" s="12">
        <f t="shared" si="502"/>
        <v>75000</v>
      </c>
      <c r="M5951" s="8">
        <v>1</v>
      </c>
      <c r="N5951" s="8" t="s">
        <v>27</v>
      </c>
      <c r="O5951" s="13"/>
      <c r="P5951" s="14">
        <v>0</v>
      </c>
      <c r="Q5951" s="15">
        <v>0.4</v>
      </c>
      <c r="R5951" s="40" t="str">
        <f t="shared" si="501"/>
        <v>KOMODO</v>
      </c>
    </row>
    <row r="5952" spans="1:18" ht="27" customHeight="1" x14ac:dyDescent="0.25">
      <c r="A5952" s="8" t="s">
        <v>2512</v>
      </c>
      <c r="H5952" t="s">
        <v>12256</v>
      </c>
      <c r="I5952" s="38" t="s">
        <v>12257</v>
      </c>
      <c r="J5952" s="34" t="s">
        <v>33</v>
      </c>
      <c r="K5952" s="42">
        <v>1685000</v>
      </c>
      <c r="L5952" s="12">
        <f t="shared" si="502"/>
        <v>2106300</v>
      </c>
      <c r="M5952" s="8">
        <v>1</v>
      </c>
      <c r="N5952" s="8" t="s">
        <v>27</v>
      </c>
      <c r="O5952" s="13"/>
      <c r="P5952" s="14">
        <v>0</v>
      </c>
      <c r="Q5952" s="15">
        <v>0.2</v>
      </c>
      <c r="R5952" s="40" t="str">
        <f t="shared" si="501"/>
        <v>GENERAL</v>
      </c>
    </row>
    <row r="5953" spans="1:20" ht="27" customHeight="1" x14ac:dyDescent="0.25">
      <c r="A5953" s="8" t="s">
        <v>2512</v>
      </c>
      <c r="H5953" t="s">
        <v>12258</v>
      </c>
      <c r="I5953" s="33" t="s">
        <v>12259</v>
      </c>
      <c r="J5953" s="34" t="s">
        <v>33</v>
      </c>
      <c r="K5953" s="42">
        <v>930000</v>
      </c>
      <c r="L5953" s="12">
        <f t="shared" si="502"/>
        <v>1162500</v>
      </c>
      <c r="M5953" s="8">
        <v>1</v>
      </c>
      <c r="N5953" s="8" t="s">
        <v>27</v>
      </c>
      <c r="O5953" s="13"/>
      <c r="P5953" s="14">
        <v>0</v>
      </c>
      <c r="Q5953" s="15">
        <v>0.2</v>
      </c>
      <c r="R5953" s="40" t="str">
        <f t="shared" si="501"/>
        <v>GENERAL</v>
      </c>
    </row>
    <row r="5954" spans="1:20" ht="27" customHeight="1" x14ac:dyDescent="0.25">
      <c r="A5954" s="8" t="s">
        <v>2512</v>
      </c>
      <c r="H5954" t="s">
        <v>12260</v>
      </c>
      <c r="I5954" s="33" t="s">
        <v>12261</v>
      </c>
      <c r="J5954" s="34" t="s">
        <v>33</v>
      </c>
      <c r="K5954" s="42">
        <v>7835000</v>
      </c>
      <c r="L5954" s="12">
        <f t="shared" si="502"/>
        <v>9793800</v>
      </c>
      <c r="M5954" s="8">
        <v>1</v>
      </c>
      <c r="N5954" s="8" t="s">
        <v>27</v>
      </c>
      <c r="O5954" s="13"/>
      <c r="P5954" s="14">
        <v>0</v>
      </c>
      <c r="Q5954" s="15">
        <v>0.2</v>
      </c>
      <c r="R5954" s="40" t="str">
        <f t="shared" si="501"/>
        <v>GENERAL</v>
      </c>
    </row>
    <row r="5955" spans="1:20" ht="27" customHeight="1" x14ac:dyDescent="0.25">
      <c r="A5955" s="8" t="s">
        <v>2512</v>
      </c>
      <c r="H5955" t="s">
        <v>12262</v>
      </c>
      <c r="I5955" s="33" t="s">
        <v>12263</v>
      </c>
      <c r="J5955" s="34" t="s">
        <v>33</v>
      </c>
      <c r="K5955" s="42">
        <v>280000</v>
      </c>
      <c r="L5955" s="12">
        <f t="shared" si="502"/>
        <v>350000</v>
      </c>
      <c r="M5955" s="8">
        <v>1</v>
      </c>
      <c r="N5955" s="8" t="s">
        <v>27</v>
      </c>
      <c r="O5955" s="13"/>
      <c r="P5955" s="14">
        <v>0</v>
      </c>
      <c r="Q5955" s="15">
        <v>0.2</v>
      </c>
      <c r="R5955" s="40" t="str">
        <f t="shared" si="501"/>
        <v>GENERAL</v>
      </c>
    </row>
    <row r="5956" spans="1:20" ht="27" customHeight="1" x14ac:dyDescent="0.25">
      <c r="A5956" s="8" t="s">
        <v>2512</v>
      </c>
      <c r="H5956" t="s">
        <v>12264</v>
      </c>
      <c r="I5956" s="33" t="s">
        <v>12265</v>
      </c>
      <c r="J5956" s="34" t="s">
        <v>33</v>
      </c>
      <c r="K5956" s="42">
        <v>43000</v>
      </c>
      <c r="L5956" s="12">
        <f t="shared" si="502"/>
        <v>53800</v>
      </c>
      <c r="M5956" s="8">
        <v>1</v>
      </c>
      <c r="N5956" s="8" t="s">
        <v>27</v>
      </c>
      <c r="O5956" s="13"/>
      <c r="P5956" s="14">
        <v>0</v>
      </c>
      <c r="Q5956" s="15">
        <v>0.2</v>
      </c>
      <c r="R5956" s="40" t="str">
        <f t="shared" si="501"/>
        <v>GENERAL</v>
      </c>
    </row>
    <row r="5957" spans="1:20" ht="27" customHeight="1" x14ac:dyDescent="0.25">
      <c r="A5957" s="8" t="s">
        <v>2512</v>
      </c>
      <c r="H5957" t="s">
        <v>12266</v>
      </c>
      <c r="I5957" s="33" t="s">
        <v>12267</v>
      </c>
      <c r="J5957" s="34" t="s">
        <v>33</v>
      </c>
      <c r="K5957" s="42">
        <v>690000</v>
      </c>
      <c r="L5957" s="12">
        <f t="shared" si="502"/>
        <v>862500</v>
      </c>
      <c r="M5957" s="8">
        <v>1</v>
      </c>
      <c r="N5957" s="8" t="s">
        <v>27</v>
      </c>
      <c r="O5957" s="13"/>
      <c r="P5957" s="14">
        <v>0</v>
      </c>
      <c r="Q5957" s="15">
        <v>0.2</v>
      </c>
      <c r="R5957" s="40" t="str">
        <f t="shared" si="501"/>
        <v>GENERAL</v>
      </c>
    </row>
    <row r="5958" spans="1:20" ht="27" customHeight="1" x14ac:dyDescent="0.25">
      <c r="A5958" s="8" t="s">
        <v>2512</v>
      </c>
      <c r="H5958" t="s">
        <v>12268</v>
      </c>
      <c r="I5958" s="33" t="s">
        <v>12269</v>
      </c>
      <c r="J5958" s="34" t="s">
        <v>33</v>
      </c>
      <c r="K5958" s="42">
        <v>75000</v>
      </c>
      <c r="L5958" s="12">
        <f t="shared" si="502"/>
        <v>93800</v>
      </c>
      <c r="M5958" s="8">
        <v>1</v>
      </c>
      <c r="N5958" s="8" t="s">
        <v>27</v>
      </c>
      <c r="O5958" s="13"/>
      <c r="P5958" s="14">
        <v>0</v>
      </c>
      <c r="Q5958" s="15">
        <v>0.2</v>
      </c>
      <c r="R5958" s="40" t="str">
        <f t="shared" si="501"/>
        <v>GENERAL</v>
      </c>
    </row>
    <row r="5959" spans="1:20" ht="27" customHeight="1" x14ac:dyDescent="0.25">
      <c r="A5959" s="8" t="s">
        <v>2512</v>
      </c>
      <c r="H5959" t="s">
        <v>12270</v>
      </c>
      <c r="I5959" s="33" t="s">
        <v>12271</v>
      </c>
      <c r="J5959" s="34" t="s">
        <v>33</v>
      </c>
      <c r="K5959" s="42">
        <v>290000</v>
      </c>
      <c r="L5959" s="12">
        <f t="shared" si="502"/>
        <v>362500</v>
      </c>
      <c r="M5959" s="8">
        <v>1</v>
      </c>
      <c r="N5959" s="8" t="s">
        <v>27</v>
      </c>
      <c r="O5959" s="13"/>
      <c r="P5959" s="14">
        <v>0</v>
      </c>
      <c r="Q5959" s="15">
        <v>0.2</v>
      </c>
      <c r="R5959" s="40" t="str">
        <f t="shared" si="501"/>
        <v>GENERAL</v>
      </c>
    </row>
    <row r="5960" spans="1:20" ht="27" customHeight="1" x14ac:dyDescent="0.25">
      <c r="A5960" s="8" t="s">
        <v>5672</v>
      </c>
      <c r="B5960" s="9" t="s">
        <v>5666</v>
      </c>
      <c r="C5960" s="9"/>
      <c r="D5960" s="8" t="s">
        <v>2057</v>
      </c>
      <c r="E5960" s="8">
        <v>31</v>
      </c>
      <c r="F5960" s="8" t="s">
        <v>22</v>
      </c>
      <c r="G5960" s="10" t="s">
        <v>6451</v>
      </c>
      <c r="H5960" s="8" t="s">
        <v>12272</v>
      </c>
      <c r="I5960" s="10" t="s">
        <v>12273</v>
      </c>
      <c r="J5960" s="11" t="s">
        <v>26</v>
      </c>
      <c r="K5960" s="57">
        <v>53.3</v>
      </c>
      <c r="L5960" s="12">
        <f t="shared" ref="L5960:L5980" si="503">K5960*(1+P5960)/(1-Q5960)</f>
        <v>106.6</v>
      </c>
      <c r="M5960" s="8">
        <v>1</v>
      </c>
      <c r="N5960" s="8" t="s">
        <v>27</v>
      </c>
      <c r="O5960" s="13"/>
      <c r="P5960" s="14">
        <v>0.2</v>
      </c>
      <c r="Q5960" s="15">
        <v>0.4</v>
      </c>
      <c r="R5960" s="16" t="str">
        <f t="shared" si="501"/>
        <v>LUTRON</v>
      </c>
      <c r="S5960" s="17" t="str">
        <f>A5960</f>
        <v>LUTRON</v>
      </c>
      <c r="T5960" s="10" t="str">
        <f>G5960</f>
        <v>INTERRUPTOR DOBLE CON SENSOR DE OCUPACIÓN SIN REQUERIMIENTO DE NEUTRA.</v>
      </c>
    </row>
    <row r="5961" spans="1:20" ht="27" customHeight="1" x14ac:dyDescent="0.25">
      <c r="A5961" t="s">
        <v>12274</v>
      </c>
      <c r="H5961" t="s">
        <v>12275</v>
      </c>
      <c r="I5961" s="33" t="s">
        <v>12276</v>
      </c>
      <c r="J5961" s="34" t="s">
        <v>33</v>
      </c>
      <c r="K5961" s="42">
        <v>178600</v>
      </c>
      <c r="L5961" s="12">
        <f t="shared" si="503"/>
        <v>357200</v>
      </c>
      <c r="M5961" s="8">
        <v>1</v>
      </c>
      <c r="N5961" s="8" t="s">
        <v>27</v>
      </c>
      <c r="O5961" s="13">
        <f>F5961</f>
        <v>0</v>
      </c>
      <c r="P5961" s="14">
        <v>0.2</v>
      </c>
      <c r="Q5961" s="15">
        <v>0.4</v>
      </c>
      <c r="R5961" s="16" t="str">
        <f t="shared" si="501"/>
        <v>VETO</v>
      </c>
      <c r="S5961" s="17" t="s">
        <v>48</v>
      </c>
      <c r="T5961" s="10">
        <f>G5961</f>
        <v>0</v>
      </c>
    </row>
    <row r="5962" spans="1:20" ht="27" customHeight="1" x14ac:dyDescent="0.25">
      <c r="A5962" t="s">
        <v>12274</v>
      </c>
      <c r="H5962" t="s">
        <v>12277</v>
      </c>
      <c r="I5962" s="33" t="s">
        <v>12278</v>
      </c>
      <c r="J5962" s="34" t="s">
        <v>33</v>
      </c>
      <c r="K5962" s="42">
        <v>200924</v>
      </c>
      <c r="L5962" s="12">
        <f t="shared" si="503"/>
        <v>334873.33333333337</v>
      </c>
      <c r="M5962" s="8">
        <v>1</v>
      </c>
      <c r="N5962" s="8" t="s">
        <v>27</v>
      </c>
      <c r="O5962" s="13">
        <f>F5962</f>
        <v>0</v>
      </c>
      <c r="P5962" s="14">
        <v>0</v>
      </c>
      <c r="Q5962" s="15">
        <v>0.4</v>
      </c>
      <c r="R5962" s="16" t="str">
        <f t="shared" si="501"/>
        <v>VETO</v>
      </c>
      <c r="S5962" s="17"/>
      <c r="T5962" s="10"/>
    </row>
    <row r="5963" spans="1:20" ht="27" customHeight="1" x14ac:dyDescent="0.25">
      <c r="A5963" t="s">
        <v>12274</v>
      </c>
      <c r="H5963" t="s">
        <v>12279</v>
      </c>
      <c r="I5963" s="33" t="s">
        <v>12280</v>
      </c>
      <c r="J5963" s="34" t="s">
        <v>33</v>
      </c>
      <c r="K5963" s="42">
        <v>215071</v>
      </c>
      <c r="L5963" s="12">
        <f t="shared" si="503"/>
        <v>368693.14285714284</v>
      </c>
      <c r="M5963" s="8">
        <v>1</v>
      </c>
      <c r="N5963" s="8" t="s">
        <v>27</v>
      </c>
      <c r="O5963" s="13"/>
      <c r="P5963" s="14">
        <v>0.2</v>
      </c>
      <c r="Q5963" s="15">
        <v>0.3</v>
      </c>
      <c r="R5963" s="16" t="str">
        <f t="shared" si="501"/>
        <v>VETO</v>
      </c>
      <c r="S5963" s="17"/>
      <c r="T5963" s="10">
        <f t="shared" ref="T5963:T5980" si="504">G5963</f>
        <v>0</v>
      </c>
    </row>
    <row r="5964" spans="1:20" ht="27" customHeight="1" x14ac:dyDescent="0.25">
      <c r="A5964" t="s">
        <v>12274</v>
      </c>
      <c r="H5964" t="s">
        <v>12281</v>
      </c>
      <c r="I5964" s="33" t="s">
        <v>12282</v>
      </c>
      <c r="J5964" s="34" t="s">
        <v>33</v>
      </c>
      <c r="K5964" s="42">
        <v>182600</v>
      </c>
      <c r="L5964" s="12">
        <f t="shared" si="503"/>
        <v>313028.57142857142</v>
      </c>
      <c r="M5964" s="8">
        <v>1</v>
      </c>
      <c r="N5964" s="8" t="s">
        <v>27</v>
      </c>
      <c r="O5964" s="13"/>
      <c r="P5964" s="14">
        <v>0.2</v>
      </c>
      <c r="Q5964" s="15">
        <v>0.3</v>
      </c>
      <c r="R5964" s="16" t="str">
        <f t="shared" si="501"/>
        <v>VETO</v>
      </c>
      <c r="S5964" s="17"/>
      <c r="T5964" s="10">
        <f t="shared" si="504"/>
        <v>0</v>
      </c>
    </row>
    <row r="5965" spans="1:20" ht="27" customHeight="1" x14ac:dyDescent="0.25">
      <c r="A5965" t="s">
        <v>12274</v>
      </c>
      <c r="H5965" t="s">
        <v>12283</v>
      </c>
      <c r="I5965" s="33" t="s">
        <v>12284</v>
      </c>
      <c r="J5965" s="34" t="s">
        <v>33</v>
      </c>
      <c r="K5965" s="42">
        <v>205167</v>
      </c>
      <c r="L5965" s="12">
        <f t="shared" si="503"/>
        <v>351714.85714285716</v>
      </c>
      <c r="M5965" s="8">
        <v>1</v>
      </c>
      <c r="N5965" s="8" t="s">
        <v>27</v>
      </c>
      <c r="O5965" s="13"/>
      <c r="P5965" s="14">
        <v>0.2</v>
      </c>
      <c r="Q5965" s="15">
        <v>0.3</v>
      </c>
      <c r="R5965" s="16" t="str">
        <f t="shared" si="501"/>
        <v>VETO</v>
      </c>
      <c r="S5965" s="17"/>
      <c r="T5965" s="10">
        <f t="shared" si="504"/>
        <v>0</v>
      </c>
    </row>
    <row r="5966" spans="1:20" ht="27" customHeight="1" x14ac:dyDescent="0.25">
      <c r="A5966" t="s">
        <v>12274</v>
      </c>
      <c r="H5966" t="s">
        <v>12285</v>
      </c>
      <c r="I5966" s="33" t="s">
        <v>12286</v>
      </c>
      <c r="J5966" s="34" t="s">
        <v>33</v>
      </c>
      <c r="K5966" s="42">
        <v>233464</v>
      </c>
      <c r="L5966" s="12">
        <f t="shared" si="503"/>
        <v>400224</v>
      </c>
      <c r="M5966" s="8">
        <v>1</v>
      </c>
      <c r="N5966" s="8" t="s">
        <v>27</v>
      </c>
      <c r="O5966" s="13"/>
      <c r="P5966" s="14">
        <v>0.2</v>
      </c>
      <c r="Q5966" s="15">
        <v>0.3</v>
      </c>
      <c r="R5966" s="16" t="str">
        <f t="shared" si="501"/>
        <v>VETO</v>
      </c>
      <c r="S5966" s="17"/>
      <c r="T5966" s="10">
        <f t="shared" si="504"/>
        <v>0</v>
      </c>
    </row>
    <row r="5967" spans="1:20" ht="27" customHeight="1" x14ac:dyDescent="0.25">
      <c r="A5967" s="32" t="s">
        <v>11685</v>
      </c>
      <c r="G5967">
        <f>120*30</f>
        <v>3600</v>
      </c>
      <c r="H5967" s="32" t="s">
        <v>12287</v>
      </c>
      <c r="I5967" s="33" t="s">
        <v>12288</v>
      </c>
      <c r="J5967" s="34" t="s">
        <v>33</v>
      </c>
      <c r="K5967" s="42">
        <v>330600</v>
      </c>
      <c r="L5967" s="12">
        <f t="shared" si="503"/>
        <v>472285.71428571432</v>
      </c>
      <c r="M5967" s="8">
        <v>1</v>
      </c>
      <c r="N5967" s="8" t="s">
        <v>27</v>
      </c>
      <c r="O5967" s="13"/>
      <c r="P5967" s="14">
        <v>0</v>
      </c>
      <c r="Q5967" s="15">
        <v>0.3</v>
      </c>
      <c r="R5967" s="16" t="str">
        <f t="shared" si="501"/>
        <v>RUIJIE</v>
      </c>
      <c r="S5967" s="17"/>
      <c r="T5967" s="10">
        <f t="shared" si="504"/>
        <v>3600</v>
      </c>
    </row>
    <row r="5968" spans="1:20" ht="27" customHeight="1" x14ac:dyDescent="0.25">
      <c r="A5968" t="s">
        <v>2410</v>
      </c>
      <c r="H5968" t="s">
        <v>12289</v>
      </c>
      <c r="I5968" s="33" t="s">
        <v>12290</v>
      </c>
      <c r="J5968" s="34" t="s">
        <v>26</v>
      </c>
      <c r="K5968" s="42">
        <v>57</v>
      </c>
      <c r="L5968" s="12">
        <f t="shared" si="503"/>
        <v>98.999898761994828</v>
      </c>
      <c r="M5968" s="8">
        <v>1</v>
      </c>
      <c r="N5968" s="8" t="s">
        <v>27</v>
      </c>
      <c r="O5968" s="13"/>
      <c r="P5968" s="14">
        <v>0.2</v>
      </c>
      <c r="Q5968" s="15">
        <v>0.30909020256232689</v>
      </c>
      <c r="R5968" s="16" t="str">
        <f t="shared" si="501"/>
        <v>FLEXON</v>
      </c>
      <c r="S5968" s="17"/>
      <c r="T5968" s="10">
        <f t="shared" si="504"/>
        <v>0</v>
      </c>
    </row>
    <row r="5969" spans="1:20" ht="27" customHeight="1" x14ac:dyDescent="0.25">
      <c r="A5969" t="s">
        <v>2410</v>
      </c>
      <c r="H5969" t="s">
        <v>12291</v>
      </c>
      <c r="I5969" s="33" t="s">
        <v>12292</v>
      </c>
      <c r="J5969" s="34" t="s">
        <v>26</v>
      </c>
      <c r="K5969" s="42">
        <v>27</v>
      </c>
      <c r="L5969" s="12">
        <f t="shared" si="503"/>
        <v>46.894688887260713</v>
      </c>
      <c r="M5969" s="8">
        <v>1</v>
      </c>
      <c r="N5969" s="8" t="s">
        <v>27</v>
      </c>
      <c r="O5969" s="13"/>
      <c r="P5969" s="14">
        <v>0.2</v>
      </c>
      <c r="Q5969" s="15">
        <v>0.30909020256232689</v>
      </c>
      <c r="R5969" s="16" t="str">
        <f t="shared" si="501"/>
        <v>FLEXON</v>
      </c>
      <c r="S5969" s="17"/>
      <c r="T5969" s="10">
        <f t="shared" si="504"/>
        <v>0</v>
      </c>
    </row>
    <row r="5970" spans="1:20" ht="27" customHeight="1" x14ac:dyDescent="0.25">
      <c r="A5970" t="s">
        <v>1561</v>
      </c>
      <c r="H5970" t="s">
        <v>12293</v>
      </c>
      <c r="I5970" s="33" t="s">
        <v>12294</v>
      </c>
      <c r="J5970" s="34" t="s">
        <v>33</v>
      </c>
      <c r="K5970" s="42">
        <v>277800</v>
      </c>
      <c r="L5970" s="12">
        <f t="shared" si="503"/>
        <v>427384.61538461538</v>
      </c>
      <c r="M5970" s="8">
        <v>1</v>
      </c>
      <c r="N5970" s="8" t="s">
        <v>27</v>
      </c>
      <c r="O5970" s="13"/>
      <c r="P5970" s="14">
        <v>0</v>
      </c>
      <c r="Q5970" s="15">
        <v>0.35</v>
      </c>
      <c r="R5970" s="16" t="str">
        <f t="shared" si="501"/>
        <v>DAHUA</v>
      </c>
      <c r="S5970" s="17"/>
      <c r="T5970" s="10">
        <f t="shared" si="504"/>
        <v>0</v>
      </c>
    </row>
    <row r="5971" spans="1:20" ht="27" customHeight="1" x14ac:dyDescent="0.25">
      <c r="A5971" t="s">
        <v>1561</v>
      </c>
      <c r="H5971" t="s">
        <v>12295</v>
      </c>
      <c r="I5971" s="33" t="s">
        <v>12296</v>
      </c>
      <c r="J5971" s="34" t="s">
        <v>33</v>
      </c>
      <c r="K5971" s="42">
        <v>56500</v>
      </c>
      <c r="L5971" s="12">
        <f t="shared" si="503"/>
        <v>86923.076923076922</v>
      </c>
      <c r="M5971" s="8">
        <v>1</v>
      </c>
      <c r="N5971" s="8" t="s">
        <v>27</v>
      </c>
      <c r="O5971" s="13"/>
      <c r="P5971" s="14">
        <v>0</v>
      </c>
      <c r="Q5971" s="15">
        <v>0.35</v>
      </c>
      <c r="R5971" s="16" t="str">
        <f t="shared" si="501"/>
        <v>DAHUA</v>
      </c>
      <c r="S5971" s="17"/>
      <c r="T5971" s="10">
        <f t="shared" si="504"/>
        <v>0</v>
      </c>
    </row>
    <row r="5972" spans="1:20" ht="27" customHeight="1" x14ac:dyDescent="0.25">
      <c r="A5972" t="s">
        <v>9546</v>
      </c>
      <c r="H5972" t="s">
        <v>12297</v>
      </c>
      <c r="I5972" s="33" t="s">
        <v>12298</v>
      </c>
      <c r="J5972" s="34" t="s">
        <v>33</v>
      </c>
      <c r="K5972" s="42">
        <v>334000</v>
      </c>
      <c r="L5972" s="12">
        <f t="shared" si="503"/>
        <v>513846.15384615381</v>
      </c>
      <c r="M5972" s="8">
        <v>1</v>
      </c>
      <c r="N5972" s="8" t="s">
        <v>27</v>
      </c>
      <c r="O5972" s="13"/>
      <c r="P5972" s="14">
        <v>0</v>
      </c>
      <c r="Q5972" s="15">
        <v>0.35</v>
      </c>
      <c r="R5972" s="16" t="str">
        <f t="shared" si="501"/>
        <v>WD</v>
      </c>
      <c r="S5972" s="17"/>
      <c r="T5972" s="10">
        <f t="shared" si="504"/>
        <v>0</v>
      </c>
    </row>
    <row r="5973" spans="1:20" ht="27" customHeight="1" x14ac:dyDescent="0.25">
      <c r="A5973" t="s">
        <v>1954</v>
      </c>
      <c r="H5973" t="s">
        <v>12299</v>
      </c>
      <c r="I5973" s="33" t="s">
        <v>12300</v>
      </c>
      <c r="J5973" s="34" t="s">
        <v>33</v>
      </c>
      <c r="K5973" s="42">
        <v>2040</v>
      </c>
      <c r="L5973" s="12">
        <f t="shared" si="503"/>
        <v>3138.4615384615386</v>
      </c>
      <c r="M5973" s="8">
        <v>1</v>
      </c>
      <c r="N5973" s="8" t="s">
        <v>27</v>
      </c>
      <c r="O5973" s="13"/>
      <c r="P5973" s="14">
        <v>0</v>
      </c>
      <c r="Q5973" s="15">
        <v>0.35</v>
      </c>
      <c r="R5973" s="16" t="str">
        <f t="shared" si="501"/>
        <v>DEXON</v>
      </c>
      <c r="S5973" s="17"/>
      <c r="T5973" s="10">
        <f t="shared" si="504"/>
        <v>0</v>
      </c>
    </row>
    <row r="5974" spans="1:20" ht="27" customHeight="1" x14ac:dyDescent="0.25">
      <c r="A5974" t="s">
        <v>1561</v>
      </c>
      <c r="H5974" t="s">
        <v>12301</v>
      </c>
      <c r="I5974" s="33" t="s">
        <v>12302</v>
      </c>
      <c r="J5974" s="34" t="s">
        <v>33</v>
      </c>
      <c r="K5974" s="42">
        <v>4900</v>
      </c>
      <c r="L5974" s="12">
        <f t="shared" si="503"/>
        <v>7538.4615384615381</v>
      </c>
      <c r="M5974" s="8">
        <v>1</v>
      </c>
      <c r="N5974" s="8" t="s">
        <v>27</v>
      </c>
      <c r="O5974" s="13"/>
      <c r="P5974" s="14">
        <v>0</v>
      </c>
      <c r="Q5974" s="15">
        <v>0.35</v>
      </c>
      <c r="R5974" s="16" t="str">
        <f t="shared" si="501"/>
        <v>DAHUA</v>
      </c>
      <c r="S5974" s="17"/>
      <c r="T5974" s="10">
        <f t="shared" si="504"/>
        <v>0</v>
      </c>
    </row>
    <row r="5975" spans="1:20" ht="27" customHeight="1" x14ac:dyDescent="0.25">
      <c r="A5975" s="8" t="s">
        <v>2512</v>
      </c>
      <c r="H5975" t="s">
        <v>12303</v>
      </c>
      <c r="I5975" s="33" t="s">
        <v>12304</v>
      </c>
      <c r="J5975" s="34" t="s">
        <v>33</v>
      </c>
      <c r="K5975" s="42">
        <v>7857</v>
      </c>
      <c r="L5975" s="12">
        <f t="shared" si="503"/>
        <v>12087.692307692307</v>
      </c>
      <c r="M5975" s="8">
        <v>1</v>
      </c>
      <c r="N5975" s="8" t="s">
        <v>27</v>
      </c>
      <c r="O5975" s="13"/>
      <c r="P5975" s="14">
        <v>0</v>
      </c>
      <c r="Q5975" s="15">
        <v>0.35</v>
      </c>
      <c r="R5975" s="16" t="str">
        <f t="shared" si="501"/>
        <v>GENERAL</v>
      </c>
      <c r="S5975" s="17"/>
      <c r="T5975" s="10">
        <f t="shared" si="504"/>
        <v>0</v>
      </c>
    </row>
    <row r="5976" spans="1:20" ht="27" customHeight="1" x14ac:dyDescent="0.25">
      <c r="A5976" s="53" t="s">
        <v>5027</v>
      </c>
      <c r="H5976" s="70" t="s">
        <v>12305</v>
      </c>
      <c r="I5976" s="33" t="s">
        <v>12306</v>
      </c>
      <c r="J5976" s="34" t="s">
        <v>26</v>
      </c>
      <c r="K5976" s="42">
        <v>15.38</v>
      </c>
      <c r="L5976" s="12">
        <f t="shared" si="503"/>
        <v>23.661538461538463</v>
      </c>
      <c r="M5976" s="8">
        <v>1</v>
      </c>
      <c r="N5976" s="8" t="s">
        <v>27</v>
      </c>
      <c r="O5976" s="13"/>
      <c r="P5976" s="14">
        <v>0</v>
      </c>
      <c r="Q5976" s="15">
        <v>0.35</v>
      </c>
      <c r="R5976" s="16" t="str">
        <f t="shared" si="501"/>
        <v>LEDS_C4</v>
      </c>
      <c r="S5976" s="17"/>
      <c r="T5976" s="10">
        <f t="shared" si="504"/>
        <v>0</v>
      </c>
    </row>
    <row r="5977" spans="1:20" ht="27" customHeight="1" x14ac:dyDescent="0.25">
      <c r="A5977" s="53" t="s">
        <v>5027</v>
      </c>
      <c r="H5977" t="s">
        <v>12307</v>
      </c>
      <c r="I5977" s="33" t="s">
        <v>12308</v>
      </c>
      <c r="J5977" s="34" t="s">
        <v>26</v>
      </c>
      <c r="K5977" s="42">
        <v>58.44</v>
      </c>
      <c r="L5977" s="12">
        <f t="shared" si="503"/>
        <v>89.907692307692301</v>
      </c>
      <c r="M5977" s="8">
        <v>1</v>
      </c>
      <c r="N5977" s="8" t="s">
        <v>27</v>
      </c>
      <c r="O5977" s="13"/>
      <c r="P5977" s="14">
        <v>0</v>
      </c>
      <c r="Q5977" s="15">
        <v>0.35</v>
      </c>
      <c r="R5977" s="16" t="str">
        <f t="shared" si="501"/>
        <v>LEDS_C4</v>
      </c>
      <c r="S5977" s="17"/>
      <c r="T5977" s="10">
        <f t="shared" si="504"/>
        <v>0</v>
      </c>
    </row>
    <row r="5978" spans="1:20" ht="27" customHeight="1" x14ac:dyDescent="0.25">
      <c r="A5978" t="s">
        <v>6886</v>
      </c>
      <c r="H5978" t="s">
        <v>169</v>
      </c>
      <c r="I5978" s="33" t="s">
        <v>12309</v>
      </c>
      <c r="J5978" s="34" t="s">
        <v>26</v>
      </c>
      <c r="K5978" s="42">
        <v>35</v>
      </c>
      <c r="L5978" s="12">
        <f t="shared" si="503"/>
        <v>53.846153846153847</v>
      </c>
      <c r="M5978" s="8">
        <v>1</v>
      </c>
      <c r="N5978" s="8" t="s">
        <v>27</v>
      </c>
      <c r="O5978" s="13"/>
      <c r="P5978" s="14">
        <v>0</v>
      </c>
      <c r="Q5978" s="15">
        <v>0.35</v>
      </c>
      <c r="R5978" s="16" t="str">
        <f t="shared" si="501"/>
        <v>MEANWELL</v>
      </c>
      <c r="S5978" s="17"/>
      <c r="T5978" s="10">
        <f t="shared" si="504"/>
        <v>0</v>
      </c>
    </row>
    <row r="5979" spans="1:20" ht="27" customHeight="1" x14ac:dyDescent="0.25">
      <c r="A5979" s="53" t="s">
        <v>5027</v>
      </c>
      <c r="H5979" t="s">
        <v>12310</v>
      </c>
      <c r="I5979" s="33" t="s">
        <v>12311</v>
      </c>
      <c r="J5979" s="34" t="s">
        <v>26</v>
      </c>
      <c r="K5979" s="42">
        <v>70.13</v>
      </c>
      <c r="L5979" s="12">
        <f t="shared" si="503"/>
        <v>107.89230769230768</v>
      </c>
      <c r="M5979" s="8">
        <v>1</v>
      </c>
      <c r="N5979" s="8" t="s">
        <v>27</v>
      </c>
      <c r="O5979" s="13"/>
      <c r="P5979" s="14">
        <v>0</v>
      </c>
      <c r="Q5979" s="15">
        <v>0.35</v>
      </c>
      <c r="R5979" s="16" t="str">
        <f t="shared" si="501"/>
        <v>LEDS_C4</v>
      </c>
      <c r="S5979" s="17"/>
      <c r="T5979" s="10">
        <f t="shared" si="504"/>
        <v>0</v>
      </c>
    </row>
    <row r="5980" spans="1:20" ht="27" customHeight="1" x14ac:dyDescent="0.25">
      <c r="A5980" t="s">
        <v>6886</v>
      </c>
      <c r="H5980" t="s">
        <v>172</v>
      </c>
      <c r="I5980" s="33" t="s">
        <v>12312</v>
      </c>
      <c r="J5980" s="34" t="s">
        <v>26</v>
      </c>
      <c r="K5980" s="42">
        <v>35</v>
      </c>
      <c r="L5980" s="12">
        <f t="shared" si="503"/>
        <v>53.846153846153847</v>
      </c>
      <c r="M5980" s="8">
        <v>1</v>
      </c>
      <c r="N5980" s="8" t="s">
        <v>27</v>
      </c>
      <c r="O5980" s="13"/>
      <c r="P5980" s="14">
        <v>0</v>
      </c>
      <c r="Q5980" s="15">
        <v>0.35</v>
      </c>
      <c r="R5980" s="16" t="str">
        <f t="shared" si="501"/>
        <v>MEANWELL</v>
      </c>
      <c r="S5980" s="17"/>
      <c r="T5980" s="10">
        <f t="shared" si="504"/>
        <v>0</v>
      </c>
    </row>
    <row r="5981" spans="1:20" ht="27" customHeight="1" x14ac:dyDescent="0.25">
      <c r="A5981" s="32" t="s">
        <v>3672</v>
      </c>
      <c r="H5981" s="44" t="s">
        <v>12313</v>
      </c>
      <c r="I5981" s="33" t="s">
        <v>12314</v>
      </c>
      <c r="J5981" s="34" t="s">
        <v>33</v>
      </c>
      <c r="K5981" s="18">
        <v>5050</v>
      </c>
      <c r="L5981" s="12">
        <f t="shared" ref="L5981:L5989" si="505">IF(J5981="P",ROUNDUP(K5981/(1-Q5981),-2),K5981*(1+P5981)/(1-Q5981))</f>
        <v>8500</v>
      </c>
      <c r="M5981" s="8">
        <v>1</v>
      </c>
      <c r="N5981" s="8" t="s">
        <v>27</v>
      </c>
      <c r="O5981" s="13">
        <f>F5981</f>
        <v>0</v>
      </c>
      <c r="P5981" s="14">
        <v>0</v>
      </c>
      <c r="Q5981" s="15">
        <v>0.4</v>
      </c>
      <c r="R5981" s="16" t="str">
        <f t="shared" si="501"/>
        <v>ILUMAX</v>
      </c>
    </row>
    <row r="5982" spans="1:20" ht="27" customHeight="1" x14ac:dyDescent="0.25">
      <c r="A5982" s="8" t="s">
        <v>3977</v>
      </c>
      <c r="B5982" s="9"/>
      <c r="C5982" s="9"/>
      <c r="D5982" s="8" t="s">
        <v>45</v>
      </c>
      <c r="E5982" s="8"/>
      <c r="F5982" s="8" t="s">
        <v>22</v>
      </c>
      <c r="G5982" s="10" t="s">
        <v>4761</v>
      </c>
      <c r="H5982" s="8" t="s">
        <v>12315</v>
      </c>
      <c r="I5982" s="10" t="s">
        <v>12316</v>
      </c>
      <c r="J5982" s="11" t="s">
        <v>33</v>
      </c>
      <c r="K5982" s="18">
        <v>60000</v>
      </c>
      <c r="L5982" s="12">
        <f t="shared" si="505"/>
        <v>100000</v>
      </c>
      <c r="M5982" s="8">
        <v>1</v>
      </c>
      <c r="N5982" s="8" t="s">
        <v>27</v>
      </c>
      <c r="O5982" s="13"/>
      <c r="P5982" s="14">
        <v>0</v>
      </c>
      <c r="Q5982" s="15">
        <v>0.4</v>
      </c>
      <c r="R5982" s="16" t="str">
        <f t="shared" si="501"/>
        <v>KOMODO</v>
      </c>
      <c r="S5982" s="17"/>
      <c r="T5982" s="10" t="str">
        <f t="shared" ref="T5982:T5987" si="506">G5982</f>
        <v>INSTALACIÓN DE LUMINARIA DECORATIVA GRANDE DESCOLGADA</v>
      </c>
    </row>
    <row r="5983" spans="1:20" ht="27" customHeight="1" x14ac:dyDescent="0.25">
      <c r="A5983" t="s">
        <v>3977</v>
      </c>
      <c r="H5983" t="s">
        <v>11129</v>
      </c>
      <c r="I5983" s="34" t="s">
        <v>12317</v>
      </c>
      <c r="J5983" s="34" t="s">
        <v>33</v>
      </c>
      <c r="K5983" s="42">
        <v>45000</v>
      </c>
      <c r="L5983" s="12">
        <f t="shared" si="505"/>
        <v>75000</v>
      </c>
      <c r="M5983" s="8">
        <v>1</v>
      </c>
      <c r="N5983" s="8" t="s">
        <v>27</v>
      </c>
      <c r="O5983" s="13"/>
      <c r="P5983" s="14">
        <v>0</v>
      </c>
      <c r="Q5983" s="15">
        <v>0.4</v>
      </c>
      <c r="R5983" s="16" t="str">
        <f t="shared" si="501"/>
        <v>KOMODO</v>
      </c>
      <c r="S5983" s="17"/>
      <c r="T5983" s="10">
        <f t="shared" si="506"/>
        <v>0</v>
      </c>
    </row>
    <row r="5984" spans="1:20" ht="27" customHeight="1" x14ac:dyDescent="0.25">
      <c r="A5984" s="8" t="s">
        <v>3977</v>
      </c>
      <c r="B5984" s="9"/>
      <c r="C5984" s="9"/>
      <c r="D5984" s="8" t="s">
        <v>45</v>
      </c>
      <c r="E5984" s="8"/>
      <c r="F5984" s="8" t="s">
        <v>22</v>
      </c>
      <c r="G5984" s="10" t="s">
        <v>4761</v>
      </c>
      <c r="H5984" s="8" t="s">
        <v>12318</v>
      </c>
      <c r="I5984" s="10" t="s">
        <v>12316</v>
      </c>
      <c r="J5984" s="11" t="s">
        <v>33</v>
      </c>
      <c r="K5984" s="18">
        <v>56000</v>
      </c>
      <c r="L5984" s="12">
        <f t="shared" si="505"/>
        <v>93400</v>
      </c>
      <c r="M5984" s="8">
        <v>1</v>
      </c>
      <c r="N5984" s="8" t="s">
        <v>27</v>
      </c>
      <c r="O5984" s="13"/>
      <c r="P5984" s="14">
        <v>0</v>
      </c>
      <c r="Q5984" s="15">
        <v>0.4</v>
      </c>
      <c r="R5984" s="16" t="str">
        <f t="shared" si="501"/>
        <v>KOMODO</v>
      </c>
      <c r="S5984" s="17"/>
      <c r="T5984" s="10" t="str">
        <f t="shared" si="506"/>
        <v>INSTALACIÓN DE LUMINARIA DECORATIVA GRANDE DESCOLGADA</v>
      </c>
    </row>
    <row r="5985" spans="1:20" ht="27" customHeight="1" x14ac:dyDescent="0.25">
      <c r="A5985" s="32" t="s">
        <v>2512</v>
      </c>
      <c r="H5985" s="32" t="s">
        <v>12319</v>
      </c>
      <c r="I5985" s="33" t="s">
        <v>12320</v>
      </c>
      <c r="J5985" s="34" t="s">
        <v>33</v>
      </c>
      <c r="K5985" s="42">
        <v>800</v>
      </c>
      <c r="L5985" s="12">
        <f t="shared" si="505"/>
        <v>1400</v>
      </c>
      <c r="M5985" s="8">
        <v>1</v>
      </c>
      <c r="N5985" s="8" t="s">
        <v>27</v>
      </c>
      <c r="O5985" s="13"/>
      <c r="P5985" s="14">
        <v>0</v>
      </c>
      <c r="Q5985" s="15">
        <v>0.4</v>
      </c>
      <c r="R5985" s="16" t="str">
        <f t="shared" si="501"/>
        <v>GENERAL</v>
      </c>
      <c r="S5985" s="17"/>
      <c r="T5985" s="10">
        <f t="shared" si="506"/>
        <v>0</v>
      </c>
    </row>
    <row r="5986" spans="1:20" ht="27" customHeight="1" x14ac:dyDescent="0.25">
      <c r="A5986" s="32" t="s">
        <v>2512</v>
      </c>
      <c r="H5986" s="32" t="s">
        <v>12321</v>
      </c>
      <c r="I5986" s="33" t="s">
        <v>12322</v>
      </c>
      <c r="J5986" s="34" t="s">
        <v>33</v>
      </c>
      <c r="K5986" s="42">
        <v>250</v>
      </c>
      <c r="L5986" s="12">
        <f t="shared" si="505"/>
        <v>500</v>
      </c>
      <c r="M5986" s="8">
        <v>1</v>
      </c>
      <c r="N5986" s="8" t="s">
        <v>27</v>
      </c>
      <c r="O5986" s="13"/>
      <c r="P5986" s="14">
        <v>0</v>
      </c>
      <c r="Q5986" s="15">
        <v>0.4</v>
      </c>
      <c r="R5986" s="16" t="str">
        <f t="shared" si="501"/>
        <v>GENERAL</v>
      </c>
      <c r="S5986" s="17"/>
      <c r="T5986" s="10">
        <f t="shared" si="506"/>
        <v>0</v>
      </c>
    </row>
    <row r="5987" spans="1:20" ht="27" customHeight="1" x14ac:dyDescent="0.25">
      <c r="A5987" s="32" t="s">
        <v>2384</v>
      </c>
      <c r="H5987" s="32" t="s">
        <v>12323</v>
      </c>
      <c r="I5987" s="33" t="s">
        <v>12324</v>
      </c>
      <c r="J5987" s="34" t="s">
        <v>33</v>
      </c>
      <c r="K5987" s="42">
        <v>308954</v>
      </c>
      <c r="L5987" s="12">
        <f t="shared" si="505"/>
        <v>515000</v>
      </c>
      <c r="M5987" s="8">
        <v>1</v>
      </c>
      <c r="N5987" s="8" t="s">
        <v>27</v>
      </c>
      <c r="O5987" s="13"/>
      <c r="P5987" s="14">
        <v>0</v>
      </c>
      <c r="Q5987" s="15">
        <v>0.4</v>
      </c>
      <c r="R5987" s="16" t="str">
        <f t="shared" si="501"/>
        <v>EYCOS</v>
      </c>
      <c r="S5987" s="17"/>
      <c r="T5987" s="10">
        <f t="shared" si="506"/>
        <v>0</v>
      </c>
    </row>
    <row r="5988" spans="1:20" ht="27" customHeight="1" x14ac:dyDescent="0.25">
      <c r="A5988" s="32" t="s">
        <v>9258</v>
      </c>
      <c r="H5988" s="32" t="s">
        <v>12325</v>
      </c>
      <c r="I5988" s="33" t="s">
        <v>9284</v>
      </c>
      <c r="J5988" s="34" t="s">
        <v>33</v>
      </c>
      <c r="K5988" s="42">
        <f>48000*1.25</f>
        <v>60000</v>
      </c>
      <c r="L5988" s="12">
        <f t="shared" si="505"/>
        <v>100000</v>
      </c>
      <c r="M5988" s="8">
        <v>1</v>
      </c>
      <c r="N5988" s="8" t="s">
        <v>27</v>
      </c>
      <c r="O5988" s="13"/>
      <c r="P5988" s="14">
        <v>0</v>
      </c>
      <c r="Q5988" s="15">
        <v>0.4</v>
      </c>
      <c r="R5988" s="40" t="str">
        <f t="shared" si="501"/>
        <v>TP_LINK</v>
      </c>
    </row>
    <row r="5989" spans="1:20" ht="27" customHeight="1" x14ac:dyDescent="0.25">
      <c r="A5989" s="32" t="s">
        <v>2095</v>
      </c>
      <c r="H5989" s="32" t="s">
        <v>12326</v>
      </c>
      <c r="I5989" s="33" t="s">
        <v>12327</v>
      </c>
      <c r="J5989" s="34" t="s">
        <v>33</v>
      </c>
      <c r="K5989" s="42">
        <v>1575000</v>
      </c>
      <c r="L5989" s="12">
        <f t="shared" si="505"/>
        <v>2625000</v>
      </c>
      <c r="M5989" s="8">
        <v>1</v>
      </c>
      <c r="N5989" s="8" t="s">
        <v>27</v>
      </c>
      <c r="O5989" s="13"/>
      <c r="P5989" s="14">
        <v>0</v>
      </c>
      <c r="Q5989" s="15">
        <v>0.4</v>
      </c>
      <c r="R5989" s="40" t="str">
        <f t="shared" si="501"/>
        <v>ECOLITE</v>
      </c>
    </row>
    <row r="5990" spans="1:20" ht="27" customHeight="1" x14ac:dyDescent="0.25">
      <c r="A5990" s="32" t="s">
        <v>5170</v>
      </c>
      <c r="H5990" s="32" t="s">
        <v>12328</v>
      </c>
      <c r="I5990" s="33" t="s">
        <v>12329</v>
      </c>
      <c r="J5990" s="34" t="s">
        <v>33</v>
      </c>
      <c r="K5990" s="42">
        <v>22000</v>
      </c>
      <c r="L5990" s="12">
        <f t="shared" ref="L5990:L5996" si="507">K5990*(1+P5990)/(1-Q5990)</f>
        <v>31428.571428571431</v>
      </c>
      <c r="M5990" s="8">
        <v>1</v>
      </c>
      <c r="N5990" s="8" t="s">
        <v>27</v>
      </c>
      <c r="O5990" s="13"/>
      <c r="P5990" s="14">
        <v>0</v>
      </c>
      <c r="Q5990" s="15">
        <v>0.3</v>
      </c>
      <c r="R5990" s="16" t="str">
        <f t="shared" si="501"/>
        <v>LEVITON</v>
      </c>
      <c r="S5990" s="17" t="str">
        <f>A5990</f>
        <v>LEVITON</v>
      </c>
    </row>
    <row r="5991" spans="1:20" ht="27" customHeight="1" x14ac:dyDescent="0.25">
      <c r="A5991" s="32" t="s">
        <v>12330</v>
      </c>
      <c r="H5991" s="32" t="s">
        <v>12331</v>
      </c>
      <c r="I5991" s="33" t="s">
        <v>12332</v>
      </c>
      <c r="J5991" s="34" t="s">
        <v>33</v>
      </c>
      <c r="K5991" s="42">
        <v>8403</v>
      </c>
      <c r="L5991" s="12">
        <f t="shared" si="507"/>
        <v>12927.692307692307</v>
      </c>
      <c r="M5991" s="8">
        <v>1</v>
      </c>
      <c r="N5991" s="8" t="s">
        <v>27</v>
      </c>
      <c r="O5991" s="13"/>
      <c r="P5991" s="14">
        <v>0</v>
      </c>
      <c r="Q5991" s="15">
        <v>0.35</v>
      </c>
      <c r="R5991" s="16" t="str">
        <f t="shared" si="501"/>
        <v>HILUX</v>
      </c>
      <c r="S5991" s="17"/>
    </row>
    <row r="5992" spans="1:20" ht="27" customHeight="1" x14ac:dyDescent="0.25">
      <c r="A5992" s="32" t="s">
        <v>8836</v>
      </c>
      <c r="H5992" s="32" t="s">
        <v>12333</v>
      </c>
      <c r="I5992" s="33" t="s">
        <v>12334</v>
      </c>
      <c r="J5992" s="34" t="s">
        <v>697</v>
      </c>
      <c r="K5992" s="42">
        <v>150290</v>
      </c>
      <c r="L5992" s="12">
        <f t="shared" si="507"/>
        <v>214700</v>
      </c>
      <c r="M5992" s="8">
        <v>1</v>
      </c>
      <c r="N5992" s="8" t="s">
        <v>27</v>
      </c>
      <c r="O5992" s="13"/>
      <c r="P5992" s="14">
        <v>0</v>
      </c>
      <c r="Q5992" s="15">
        <v>0.3</v>
      </c>
      <c r="R5992" s="16" t="str">
        <f t="shared" si="501"/>
        <v>TECNOLITE</v>
      </c>
      <c r="S5992" s="17"/>
    </row>
    <row r="5993" spans="1:20" ht="27" customHeight="1" x14ac:dyDescent="0.25">
      <c r="A5993" s="32" t="s">
        <v>9379</v>
      </c>
      <c r="H5993" t="s">
        <v>12335</v>
      </c>
      <c r="I5993" s="33" t="s">
        <v>12336</v>
      </c>
      <c r="J5993" s="34" t="s">
        <v>33</v>
      </c>
      <c r="K5993" s="42">
        <v>731193</v>
      </c>
      <c r="L5993" s="12">
        <f t="shared" si="507"/>
        <v>1124912.3076923077</v>
      </c>
      <c r="M5993" s="8">
        <v>1</v>
      </c>
      <c r="N5993" s="8" t="s">
        <v>27</v>
      </c>
      <c r="O5993" s="13"/>
      <c r="P5993" s="14">
        <v>0</v>
      </c>
      <c r="Q5993" s="15">
        <v>0.35</v>
      </c>
      <c r="R5993" s="16" t="str">
        <f t="shared" si="501"/>
        <v>UBIQUITI</v>
      </c>
    </row>
    <row r="5994" spans="1:20" ht="27" customHeight="1" x14ac:dyDescent="0.25">
      <c r="A5994" s="32" t="s">
        <v>12337</v>
      </c>
      <c r="H5994" s="32" t="s">
        <v>12338</v>
      </c>
      <c r="I5994" s="33" t="s">
        <v>12339</v>
      </c>
      <c r="J5994" s="34" t="s">
        <v>33</v>
      </c>
      <c r="K5994" s="42">
        <v>22000</v>
      </c>
      <c r="L5994" s="12">
        <f t="shared" si="507"/>
        <v>36666.666666666672</v>
      </c>
      <c r="M5994" s="8">
        <v>1</v>
      </c>
      <c r="N5994" s="8" t="s">
        <v>27</v>
      </c>
      <c r="O5994" s="13"/>
      <c r="P5994" s="14">
        <v>0</v>
      </c>
      <c r="Q5994" s="15">
        <v>0.4</v>
      </c>
      <c r="R5994" s="16" t="str">
        <f t="shared" si="501"/>
        <v>STECK</v>
      </c>
    </row>
    <row r="5995" spans="1:20" ht="27" customHeight="1" x14ac:dyDescent="0.25">
      <c r="A5995" s="32" t="s">
        <v>657</v>
      </c>
      <c r="H5995" s="32" t="s">
        <v>12340</v>
      </c>
      <c r="I5995" s="33" t="s">
        <v>12341</v>
      </c>
      <c r="J5995" s="34" t="s">
        <v>33</v>
      </c>
      <c r="K5995" s="42">
        <v>2064986.74</v>
      </c>
      <c r="L5995" s="12">
        <f t="shared" si="507"/>
        <v>3176902.6769230766</v>
      </c>
      <c r="M5995" s="8">
        <v>1</v>
      </c>
      <c r="N5995" s="8" t="s">
        <v>27</v>
      </c>
      <c r="O5995" s="13"/>
      <c r="P5995" s="14">
        <v>0</v>
      </c>
      <c r="Q5995" s="15">
        <v>0.35</v>
      </c>
      <c r="R5995" s="16" t="str">
        <f t="shared" si="501"/>
        <v>ATLONA</v>
      </c>
    </row>
    <row r="5996" spans="1:20" ht="27" customHeight="1" x14ac:dyDescent="0.25">
      <c r="A5996" s="32" t="s">
        <v>1821</v>
      </c>
      <c r="H5996" s="32" t="s">
        <v>12342</v>
      </c>
      <c r="I5996" s="33" t="s">
        <v>12343</v>
      </c>
      <c r="J5996" s="34" t="s">
        <v>26</v>
      </c>
      <c r="K5996" s="42">
        <v>55</v>
      </c>
      <c r="L5996" s="12">
        <f t="shared" si="507"/>
        <v>110</v>
      </c>
      <c r="M5996" s="8">
        <v>1</v>
      </c>
      <c r="N5996" s="8" t="s">
        <v>27</v>
      </c>
      <c r="O5996" s="13"/>
      <c r="P5996" s="14">
        <v>0.2</v>
      </c>
      <c r="Q5996" s="15">
        <v>0.4</v>
      </c>
      <c r="R5996" s="16" t="str">
        <f t="shared" si="501"/>
        <v>DAYTON</v>
      </c>
    </row>
    <row r="5997" spans="1:20" ht="27" customHeight="1" x14ac:dyDescent="0.25">
      <c r="A5997" s="8" t="s">
        <v>5672</v>
      </c>
      <c r="B5997" s="9"/>
      <c r="C5997" s="9"/>
      <c r="D5997" s="8"/>
      <c r="E5997" s="8"/>
      <c r="F5997" s="8"/>
      <c r="G5997" s="10"/>
      <c r="H5997" s="8" t="s">
        <v>12344</v>
      </c>
      <c r="I5997" s="10" t="s">
        <v>12345</v>
      </c>
      <c r="J5997" s="11" t="s">
        <v>26</v>
      </c>
      <c r="K5997" s="57">
        <v>48.6</v>
      </c>
      <c r="L5997" s="12">
        <f>IF(J5997="P",ROUNDUP(K5997/(1-Q5997),-2),K5997*(1+P5997)/(1-Q5997))</f>
        <v>81</v>
      </c>
      <c r="M5997" s="8">
        <v>1</v>
      </c>
      <c r="N5997" s="8" t="s">
        <v>27</v>
      </c>
      <c r="O5997" s="13"/>
      <c r="P5997" s="14">
        <v>0.2</v>
      </c>
      <c r="Q5997" s="15">
        <v>0.28000000000000003</v>
      </c>
      <c r="R5997" s="16" t="str">
        <f t="shared" si="501"/>
        <v>LUTRON</v>
      </c>
      <c r="S5997" s="17"/>
      <c r="T5997" s="10"/>
    </row>
    <row r="5998" spans="1:20" ht="27" customHeight="1" x14ac:dyDescent="0.25">
      <c r="A5998" s="8" t="s">
        <v>5672</v>
      </c>
      <c r="B5998" s="9" t="s">
        <v>5666</v>
      </c>
      <c r="C5998" s="9"/>
      <c r="D5998" s="8" t="s">
        <v>5909</v>
      </c>
      <c r="E5998" s="8">
        <v>1</v>
      </c>
      <c r="F5998" s="8" t="s">
        <v>22</v>
      </c>
      <c r="G5998" s="10" t="s">
        <v>6260</v>
      </c>
      <c r="H5998" s="8" t="s">
        <v>12346</v>
      </c>
      <c r="I5998" s="10" t="s">
        <v>12347</v>
      </c>
      <c r="J5998" s="11" t="s">
        <v>26</v>
      </c>
      <c r="K5998" s="57">
        <v>4.5999999999999996</v>
      </c>
      <c r="L5998" s="12">
        <f t="shared" ref="L5998:L6006" si="508">K5998*(1+P5998)/(1-Q5998)</f>
        <v>9.1999999999999993</v>
      </c>
      <c r="M5998" s="8">
        <v>1</v>
      </c>
      <c r="N5998" s="8" t="s">
        <v>27</v>
      </c>
      <c r="O5998" s="13"/>
      <c r="P5998" s="14">
        <v>0.2</v>
      </c>
      <c r="Q5998" s="15">
        <v>0.4</v>
      </c>
      <c r="R5998" s="16" t="str">
        <f t="shared" si="501"/>
        <v>LUTRON</v>
      </c>
      <c r="S5998" s="17"/>
      <c r="T5998" s="10" t="str">
        <f>G5998</f>
        <v>INTERRUPTOR SENCILLO DE LA LÍNEA DIVA.</v>
      </c>
    </row>
    <row r="5999" spans="1:20" ht="27" customHeight="1" x14ac:dyDescent="0.25">
      <c r="A5999" s="32" t="s">
        <v>2512</v>
      </c>
      <c r="H5999" s="32" t="s">
        <v>12348</v>
      </c>
      <c r="I5999" s="33" t="s">
        <v>12349</v>
      </c>
      <c r="J5999" s="34" t="s">
        <v>33</v>
      </c>
      <c r="K5999" s="42">
        <v>4500</v>
      </c>
      <c r="L5999" s="12">
        <f t="shared" si="508"/>
        <v>9000</v>
      </c>
      <c r="M5999" s="8">
        <v>1</v>
      </c>
      <c r="N5999" s="8" t="s">
        <v>27</v>
      </c>
      <c r="O5999" s="13"/>
      <c r="P5999" s="14">
        <v>0.2</v>
      </c>
      <c r="Q5999" s="15">
        <v>0.4</v>
      </c>
      <c r="R5999" s="16" t="str">
        <f t="shared" ref="R5999:R6062" si="509">A5999</f>
        <v>GENERAL</v>
      </c>
    </row>
    <row r="6000" spans="1:20" ht="27" customHeight="1" x14ac:dyDescent="0.25">
      <c r="A6000" s="32" t="s">
        <v>34</v>
      </c>
      <c r="H6000" s="70">
        <v>4407</v>
      </c>
      <c r="I6000" s="33" t="s">
        <v>12350</v>
      </c>
      <c r="J6000" s="34" t="s">
        <v>33</v>
      </c>
      <c r="K6000" s="42">
        <v>85000</v>
      </c>
      <c r="L6000" s="12">
        <f t="shared" si="508"/>
        <v>170000</v>
      </c>
      <c r="M6000" s="8">
        <v>1</v>
      </c>
      <c r="N6000" s="8" t="s">
        <v>27</v>
      </c>
      <c r="O6000" s="13"/>
      <c r="P6000" s="14">
        <v>0.2</v>
      </c>
      <c r="Q6000" s="15">
        <v>0.4</v>
      </c>
      <c r="R6000" s="16" t="str">
        <f t="shared" si="509"/>
        <v>3M</v>
      </c>
    </row>
    <row r="6001" spans="1:20" ht="27" customHeight="1" x14ac:dyDescent="0.25">
      <c r="A6001" s="32" t="s">
        <v>591</v>
      </c>
      <c r="H6001" s="32" t="s">
        <v>12351</v>
      </c>
      <c r="I6001" s="33" t="s">
        <v>12352</v>
      </c>
      <c r="J6001" s="34" t="s">
        <v>33</v>
      </c>
      <c r="K6001" s="42">
        <v>85000</v>
      </c>
      <c r="L6001" s="12">
        <f t="shared" si="508"/>
        <v>141666.66666666669</v>
      </c>
      <c r="M6001" s="8">
        <v>1</v>
      </c>
      <c r="N6001" s="8" t="s">
        <v>27</v>
      </c>
      <c r="O6001" s="13"/>
      <c r="P6001" s="14">
        <v>0</v>
      </c>
      <c r="Q6001" s="15">
        <v>0.4</v>
      </c>
      <c r="R6001" s="16" t="str">
        <f t="shared" si="509"/>
        <v>APART</v>
      </c>
    </row>
    <row r="6002" spans="1:20" ht="27" customHeight="1" x14ac:dyDescent="0.25">
      <c r="A6002" s="32" t="s">
        <v>5170</v>
      </c>
      <c r="H6002" s="32" t="s">
        <v>12353</v>
      </c>
      <c r="I6002" s="33" t="s">
        <v>12354</v>
      </c>
      <c r="J6002" s="34" t="s">
        <v>33</v>
      </c>
      <c r="K6002" s="42">
        <v>32900</v>
      </c>
      <c r="L6002" s="12">
        <f t="shared" si="508"/>
        <v>54833.333333333336</v>
      </c>
      <c r="M6002" s="8">
        <v>1</v>
      </c>
      <c r="N6002" s="8" t="s">
        <v>27</v>
      </c>
      <c r="O6002" s="13"/>
      <c r="P6002" s="14">
        <v>0</v>
      </c>
      <c r="Q6002" s="15">
        <v>0.4</v>
      </c>
      <c r="R6002" s="16" t="str">
        <f t="shared" si="509"/>
        <v>LEVITON</v>
      </c>
    </row>
    <row r="6003" spans="1:20" ht="27" customHeight="1" x14ac:dyDescent="0.25">
      <c r="A6003" s="32" t="s">
        <v>5170</v>
      </c>
      <c r="H6003" s="32" t="s">
        <v>12355</v>
      </c>
      <c r="I6003" s="33" t="s">
        <v>12356</v>
      </c>
      <c r="J6003" s="34" t="s">
        <v>33</v>
      </c>
      <c r="K6003" s="42">
        <v>11000</v>
      </c>
      <c r="L6003" s="12">
        <f t="shared" si="508"/>
        <v>18333.333333333336</v>
      </c>
      <c r="M6003" s="8">
        <v>1</v>
      </c>
      <c r="N6003" s="8" t="s">
        <v>27</v>
      </c>
      <c r="O6003" s="13"/>
      <c r="P6003" s="14">
        <v>0</v>
      </c>
      <c r="Q6003" s="15">
        <v>0.4</v>
      </c>
      <c r="R6003" s="16" t="str">
        <f t="shared" si="509"/>
        <v>LEVITON</v>
      </c>
    </row>
    <row r="6004" spans="1:20" ht="27" customHeight="1" x14ac:dyDescent="0.25">
      <c r="A6004" s="32" t="s">
        <v>5170</v>
      </c>
      <c r="H6004" t="s">
        <v>12357</v>
      </c>
      <c r="I6004" s="33" t="s">
        <v>12358</v>
      </c>
      <c r="J6004" s="34" t="s">
        <v>33</v>
      </c>
      <c r="K6004" s="42">
        <v>28900</v>
      </c>
      <c r="L6004" s="12">
        <f t="shared" si="508"/>
        <v>48166.666666666672</v>
      </c>
      <c r="M6004" s="8">
        <v>1</v>
      </c>
      <c r="N6004" s="8" t="s">
        <v>27</v>
      </c>
      <c r="O6004" s="13"/>
      <c r="P6004" s="14">
        <v>0</v>
      </c>
      <c r="Q6004" s="15">
        <v>0.4</v>
      </c>
      <c r="R6004" s="16" t="str">
        <f t="shared" si="509"/>
        <v>LEVITON</v>
      </c>
    </row>
    <row r="6005" spans="1:20" ht="27" customHeight="1" x14ac:dyDescent="0.25">
      <c r="A6005" s="32" t="s">
        <v>3977</v>
      </c>
      <c r="H6005" s="32" t="s">
        <v>12359</v>
      </c>
      <c r="I6005" s="33" t="s">
        <v>12360</v>
      </c>
      <c r="J6005" s="34" t="s">
        <v>33</v>
      </c>
      <c r="K6005" s="42">
        <v>1000000</v>
      </c>
      <c r="L6005" s="12">
        <f t="shared" si="508"/>
        <v>1666666.6666666667</v>
      </c>
      <c r="M6005" s="8">
        <v>1</v>
      </c>
      <c r="N6005" s="8" t="s">
        <v>27</v>
      </c>
      <c r="O6005" s="13"/>
      <c r="P6005" s="14">
        <v>0</v>
      </c>
      <c r="Q6005" s="15">
        <v>0.4</v>
      </c>
      <c r="R6005" s="16" t="str">
        <f t="shared" si="509"/>
        <v>KOMODO</v>
      </c>
    </row>
    <row r="6006" spans="1:20" ht="27" customHeight="1" x14ac:dyDescent="0.25">
      <c r="A6006" s="32" t="s">
        <v>3977</v>
      </c>
      <c r="H6006" s="32" t="s">
        <v>12361</v>
      </c>
      <c r="I6006" t="s">
        <v>12362</v>
      </c>
      <c r="J6006" s="34" t="s">
        <v>33</v>
      </c>
      <c r="K6006" s="42">
        <v>12000</v>
      </c>
      <c r="L6006" s="12">
        <f t="shared" si="508"/>
        <v>20000</v>
      </c>
      <c r="M6006" s="8">
        <v>1</v>
      </c>
      <c r="N6006" s="8" t="s">
        <v>27</v>
      </c>
      <c r="O6006" s="13"/>
      <c r="P6006" s="14">
        <v>0</v>
      </c>
      <c r="Q6006" s="15">
        <v>0.4</v>
      </c>
      <c r="R6006" s="16" t="str">
        <f t="shared" si="509"/>
        <v>KOMODO</v>
      </c>
    </row>
    <row r="6007" spans="1:20" ht="27" customHeight="1" x14ac:dyDescent="0.25">
      <c r="A6007" s="8" t="s">
        <v>5672</v>
      </c>
      <c r="B6007" s="9"/>
      <c r="C6007" s="9"/>
      <c r="D6007" s="8"/>
      <c r="E6007" s="8"/>
      <c r="F6007" s="8" t="s">
        <v>22</v>
      </c>
      <c r="G6007" s="10" t="s">
        <v>6531</v>
      </c>
      <c r="H6007" s="8" t="s">
        <v>12363</v>
      </c>
      <c r="I6007" s="10" t="s">
        <v>6533</v>
      </c>
      <c r="J6007" s="11" t="s">
        <v>26</v>
      </c>
      <c r="K6007" s="57">
        <v>830</v>
      </c>
      <c r="L6007" s="12">
        <f t="shared" ref="L6007:L6012" si="510">ROUNDUP(K6007*(1+P6007)/(1-Q6007),0)</f>
        <v>1660</v>
      </c>
      <c r="M6007" s="8">
        <v>1</v>
      </c>
      <c r="N6007" s="8" t="s">
        <v>27</v>
      </c>
      <c r="O6007" s="13"/>
      <c r="P6007" s="14">
        <v>0.2</v>
      </c>
      <c r="Q6007" s="15">
        <v>0.4</v>
      </c>
      <c r="R6007" s="16" t="str">
        <f t="shared" si="509"/>
        <v>LUTRON</v>
      </c>
      <c r="S6007" s="17"/>
      <c r="T6007" s="10" t="str">
        <f>G6007</f>
        <v>MODULO CON DOS BUSES DE DATOS DALÍ HASTA 64 DISPOSITIVOS.</v>
      </c>
    </row>
    <row r="6008" spans="1:20" ht="27" customHeight="1" x14ac:dyDescent="0.25">
      <c r="A6008" s="32" t="s">
        <v>10356</v>
      </c>
      <c r="H6008" s="32" t="s">
        <v>12364</v>
      </c>
      <c r="I6008" s="33" t="s">
        <v>12365</v>
      </c>
      <c r="J6008" s="34" t="s">
        <v>33</v>
      </c>
      <c r="K6008" s="42">
        <v>280000</v>
      </c>
      <c r="L6008" s="12">
        <f t="shared" si="510"/>
        <v>400000</v>
      </c>
      <c r="M6008" s="8">
        <v>1</v>
      </c>
      <c r="N6008" s="8" t="s">
        <v>27</v>
      </c>
      <c r="O6008" s="13"/>
      <c r="P6008" s="14">
        <v>0</v>
      </c>
      <c r="Q6008" s="15">
        <v>0.3</v>
      </c>
      <c r="R6008" s="16" t="str">
        <f t="shared" si="509"/>
        <v>LUXYCON</v>
      </c>
    </row>
    <row r="6009" spans="1:20" ht="27" customHeight="1" x14ac:dyDescent="0.25">
      <c r="A6009" s="32" t="s">
        <v>3977</v>
      </c>
      <c r="H6009" s="32" t="s">
        <v>12366</v>
      </c>
      <c r="I6009" s="33" t="s">
        <v>12367</v>
      </c>
      <c r="J6009" s="34" t="s">
        <v>33</v>
      </c>
      <c r="K6009" s="42">
        <v>500000</v>
      </c>
      <c r="L6009" s="12">
        <f t="shared" si="510"/>
        <v>714286</v>
      </c>
      <c r="M6009" s="8">
        <v>1</v>
      </c>
      <c r="N6009" s="8" t="s">
        <v>27</v>
      </c>
      <c r="O6009" s="13"/>
      <c r="P6009" s="14">
        <v>0</v>
      </c>
      <c r="Q6009" s="15">
        <v>0.3</v>
      </c>
      <c r="R6009" s="16" t="str">
        <f t="shared" si="509"/>
        <v>KOMODO</v>
      </c>
    </row>
    <row r="6010" spans="1:20" ht="27" customHeight="1" x14ac:dyDescent="0.25">
      <c r="A6010" s="32" t="s">
        <v>3977</v>
      </c>
      <c r="H6010" s="32" t="s">
        <v>12368</v>
      </c>
      <c r="I6010" s="33" t="s">
        <v>12369</v>
      </c>
      <c r="J6010" s="34" t="s">
        <v>33</v>
      </c>
      <c r="K6010" s="42">
        <v>500000</v>
      </c>
      <c r="L6010" s="12">
        <f t="shared" si="510"/>
        <v>714286</v>
      </c>
      <c r="M6010" s="8">
        <v>1</v>
      </c>
      <c r="N6010" s="8" t="s">
        <v>27</v>
      </c>
      <c r="O6010" s="13"/>
      <c r="P6010" s="14">
        <v>0</v>
      </c>
      <c r="Q6010" s="15">
        <v>0.3</v>
      </c>
      <c r="R6010" s="16" t="str">
        <f t="shared" si="509"/>
        <v>KOMODO</v>
      </c>
    </row>
    <row r="6011" spans="1:20" ht="27" customHeight="1" x14ac:dyDescent="0.25">
      <c r="A6011" s="32" t="s">
        <v>3977</v>
      </c>
      <c r="H6011" s="32" t="s">
        <v>12370</v>
      </c>
      <c r="I6011" s="33" t="s">
        <v>12371</v>
      </c>
      <c r="J6011" s="34" t="s">
        <v>33</v>
      </c>
      <c r="K6011" s="42">
        <v>500000</v>
      </c>
      <c r="L6011" s="12">
        <f t="shared" si="510"/>
        <v>714286</v>
      </c>
      <c r="M6011" s="8">
        <v>1</v>
      </c>
      <c r="N6011" s="8" t="s">
        <v>27</v>
      </c>
      <c r="O6011" s="13"/>
      <c r="P6011" s="14">
        <v>0</v>
      </c>
      <c r="Q6011" s="15">
        <v>0.3</v>
      </c>
      <c r="R6011" s="16" t="str">
        <f t="shared" si="509"/>
        <v>KOMODO</v>
      </c>
    </row>
    <row r="6012" spans="1:20" ht="27" customHeight="1" x14ac:dyDescent="0.25">
      <c r="A6012" s="32" t="s">
        <v>12372</v>
      </c>
      <c r="H6012" s="32" t="s">
        <v>12373</v>
      </c>
      <c r="I6012" s="33" t="s">
        <v>12374</v>
      </c>
      <c r="J6012" s="34" t="s">
        <v>26</v>
      </c>
      <c r="K6012" s="42">
        <v>140</v>
      </c>
      <c r="L6012" s="12">
        <f t="shared" si="510"/>
        <v>336</v>
      </c>
      <c r="M6012" s="8">
        <v>1</v>
      </c>
      <c r="N6012" s="8" t="s">
        <v>27</v>
      </c>
      <c r="O6012" s="13"/>
      <c r="P6012" s="14">
        <v>0.2</v>
      </c>
      <c r="Q6012" s="15">
        <v>0.5</v>
      </c>
      <c r="R6012" s="16" t="str">
        <f t="shared" si="509"/>
        <v>SOUND_TOWN</v>
      </c>
      <c r="S6012" s="39" t="s">
        <v>12375</v>
      </c>
    </row>
    <row r="6013" spans="1:20" ht="27" customHeight="1" x14ac:dyDescent="0.25">
      <c r="A6013" s="32" t="s">
        <v>2095</v>
      </c>
      <c r="H6013" s="32" t="s">
        <v>12376</v>
      </c>
      <c r="I6013" s="33" t="s">
        <v>12377</v>
      </c>
      <c r="J6013" s="34" t="s">
        <v>33</v>
      </c>
      <c r="K6013" s="42">
        <v>20359</v>
      </c>
      <c r="L6013" s="12">
        <f t="shared" ref="L6013:L6022" si="511">IF(J6013="P",ROUNDUP(K6013/(1-Q6013),-2),K6013*(1+P6013)/(1-Q6013))</f>
        <v>34000</v>
      </c>
      <c r="M6013" s="8">
        <v>1</v>
      </c>
      <c r="N6013" s="8" t="s">
        <v>27</v>
      </c>
      <c r="O6013" s="13"/>
      <c r="P6013" s="14">
        <v>0</v>
      </c>
      <c r="Q6013" s="15">
        <v>0.4</v>
      </c>
      <c r="R6013" s="40" t="str">
        <f t="shared" si="509"/>
        <v>ECOLITE</v>
      </c>
    </row>
    <row r="6014" spans="1:20" ht="27" customHeight="1" x14ac:dyDescent="0.25">
      <c r="A6014" s="53" t="s">
        <v>12378</v>
      </c>
      <c r="H6014" s="32" t="s">
        <v>12379</v>
      </c>
      <c r="I6014" s="33" t="s">
        <v>12380</v>
      </c>
      <c r="J6014" s="34" t="s">
        <v>33</v>
      </c>
      <c r="K6014" s="42">
        <v>220000</v>
      </c>
      <c r="L6014" s="12">
        <f t="shared" si="511"/>
        <v>258900</v>
      </c>
      <c r="M6014" s="8">
        <v>1</v>
      </c>
      <c r="N6014" s="8" t="s">
        <v>27</v>
      </c>
      <c r="O6014" s="13"/>
      <c r="P6014" s="14">
        <v>0</v>
      </c>
      <c r="Q6014" s="15">
        <v>0.15</v>
      </c>
      <c r="R6014" s="40" t="str">
        <f t="shared" si="509"/>
        <v>ALEXA</v>
      </c>
    </row>
    <row r="6015" spans="1:20" ht="27" customHeight="1" x14ac:dyDescent="0.25">
      <c r="A6015" t="s">
        <v>8404</v>
      </c>
      <c r="H6015" t="s">
        <v>12381</v>
      </c>
      <c r="I6015" t="s">
        <v>12382</v>
      </c>
      <c r="J6015" t="s">
        <v>26</v>
      </c>
      <c r="K6015" s="42">
        <v>455</v>
      </c>
      <c r="L6015" s="12">
        <f t="shared" si="511"/>
        <v>642.35294117647061</v>
      </c>
      <c r="M6015" s="8">
        <v>1</v>
      </c>
      <c r="N6015" s="8" t="s">
        <v>27</v>
      </c>
      <c r="O6015" s="13"/>
      <c r="P6015" s="14">
        <v>0.2</v>
      </c>
      <c r="Q6015" s="15">
        <v>0.15</v>
      </c>
      <c r="R6015" s="40" t="str">
        <f t="shared" si="509"/>
        <v>SONOS</v>
      </c>
    </row>
    <row r="6016" spans="1:20" ht="27" customHeight="1" x14ac:dyDescent="0.25">
      <c r="A6016" t="s">
        <v>8404</v>
      </c>
      <c r="H6016" t="s">
        <v>12383</v>
      </c>
      <c r="I6016" t="s">
        <v>12384</v>
      </c>
      <c r="J6016" t="s">
        <v>26</v>
      </c>
      <c r="K6016" s="42">
        <v>250</v>
      </c>
      <c r="L6016" s="12">
        <f t="shared" si="511"/>
        <v>352.94117647058823</v>
      </c>
      <c r="M6016" s="8">
        <v>1</v>
      </c>
      <c r="N6016" s="8" t="s">
        <v>27</v>
      </c>
      <c r="O6016" s="13"/>
      <c r="P6016" s="14">
        <v>0.2</v>
      </c>
      <c r="Q6016" s="15">
        <v>0.15</v>
      </c>
      <c r="R6016" s="40" t="str">
        <f t="shared" si="509"/>
        <v>SONOS</v>
      </c>
    </row>
    <row r="6017" spans="1:18" ht="27" customHeight="1" x14ac:dyDescent="0.25">
      <c r="A6017" t="s">
        <v>8404</v>
      </c>
      <c r="H6017" t="s">
        <v>12385</v>
      </c>
      <c r="I6017" t="s">
        <v>12386</v>
      </c>
      <c r="J6017" t="s">
        <v>26</v>
      </c>
      <c r="K6017" s="42">
        <v>51.75</v>
      </c>
      <c r="L6017" s="12">
        <f t="shared" si="511"/>
        <v>73.058823529411754</v>
      </c>
      <c r="M6017" s="8">
        <v>1</v>
      </c>
      <c r="N6017" s="8" t="s">
        <v>27</v>
      </c>
      <c r="O6017" s="13"/>
      <c r="P6017" s="14">
        <v>0.2</v>
      </c>
      <c r="Q6017" s="15">
        <v>0.15</v>
      </c>
      <c r="R6017" s="40" t="str">
        <f t="shared" si="509"/>
        <v>SONOS</v>
      </c>
    </row>
    <row r="6018" spans="1:18" ht="27" customHeight="1" x14ac:dyDescent="0.25">
      <c r="A6018" t="s">
        <v>8404</v>
      </c>
      <c r="H6018" t="s">
        <v>12387</v>
      </c>
      <c r="I6018" t="s">
        <v>12388</v>
      </c>
      <c r="J6018" t="s">
        <v>26</v>
      </c>
      <c r="K6018" s="42">
        <v>201.75</v>
      </c>
      <c r="L6018" s="12">
        <f t="shared" si="511"/>
        <v>322.8</v>
      </c>
      <c r="M6018" s="8">
        <v>1</v>
      </c>
      <c r="N6018" s="8" t="s">
        <v>27</v>
      </c>
      <c r="O6018" s="13"/>
      <c r="P6018" s="14">
        <v>0.2</v>
      </c>
      <c r="Q6018" s="15">
        <v>0.25</v>
      </c>
      <c r="R6018" s="40" t="str">
        <f t="shared" si="509"/>
        <v>SONOS</v>
      </c>
    </row>
    <row r="6019" spans="1:18" ht="27" customHeight="1" x14ac:dyDescent="0.25">
      <c r="A6019" t="s">
        <v>8404</v>
      </c>
      <c r="H6019" t="s">
        <v>12389</v>
      </c>
      <c r="I6019" t="s">
        <v>12390</v>
      </c>
      <c r="J6019" t="s">
        <v>26</v>
      </c>
      <c r="K6019" s="42">
        <v>96.75</v>
      </c>
      <c r="L6019" s="12">
        <f t="shared" si="511"/>
        <v>154.79999999999998</v>
      </c>
      <c r="M6019" s="8">
        <v>1</v>
      </c>
      <c r="N6019" s="8" t="s">
        <v>27</v>
      </c>
      <c r="O6019" s="13"/>
      <c r="P6019" s="14">
        <v>0.2</v>
      </c>
      <c r="Q6019" s="15">
        <v>0.25</v>
      </c>
      <c r="R6019" s="40" t="str">
        <f t="shared" si="509"/>
        <v>SONOS</v>
      </c>
    </row>
    <row r="6020" spans="1:18" ht="27" customHeight="1" x14ac:dyDescent="0.25">
      <c r="A6020" t="s">
        <v>12391</v>
      </c>
      <c r="H6020" t="s">
        <v>12392</v>
      </c>
      <c r="I6020" t="s">
        <v>12393</v>
      </c>
      <c r="J6020" t="s">
        <v>33</v>
      </c>
      <c r="K6020" s="42">
        <v>1990000</v>
      </c>
      <c r="L6020" s="12">
        <f t="shared" si="511"/>
        <v>2653400</v>
      </c>
      <c r="M6020" s="8">
        <v>1</v>
      </c>
      <c r="N6020" s="8" t="s">
        <v>27</v>
      </c>
      <c r="O6020" s="13"/>
      <c r="P6020" s="14">
        <v>0.2</v>
      </c>
      <c r="Q6020" s="15">
        <v>0.25</v>
      </c>
      <c r="R6020" s="40" t="str">
        <f t="shared" si="509"/>
        <v>GAMMA</v>
      </c>
    </row>
    <row r="6021" spans="1:18" ht="27" customHeight="1" x14ac:dyDescent="0.25">
      <c r="A6021" t="s">
        <v>12391</v>
      </c>
      <c r="H6021" t="s">
        <v>12394</v>
      </c>
      <c r="I6021" t="s">
        <v>12395</v>
      </c>
      <c r="J6021" t="s">
        <v>26</v>
      </c>
      <c r="K6021" s="42">
        <v>159</v>
      </c>
      <c r="L6021" s="12">
        <f t="shared" si="511"/>
        <v>318</v>
      </c>
      <c r="M6021" s="8">
        <v>1</v>
      </c>
      <c r="N6021" s="8" t="s">
        <v>27</v>
      </c>
      <c r="O6021" s="13"/>
      <c r="P6021" s="14">
        <v>0</v>
      </c>
      <c r="Q6021" s="15">
        <v>0.5</v>
      </c>
      <c r="R6021" s="40" t="str">
        <f t="shared" si="509"/>
        <v>GAMMA</v>
      </c>
    </row>
    <row r="6022" spans="1:18" ht="27" customHeight="1" x14ac:dyDescent="0.25">
      <c r="A6022" t="s">
        <v>7474</v>
      </c>
      <c r="H6022" t="s">
        <v>12396</v>
      </c>
      <c r="I6022" t="s">
        <v>12036</v>
      </c>
      <c r="J6022" t="s">
        <v>26</v>
      </c>
      <c r="K6022" s="42">
        <v>424</v>
      </c>
      <c r="L6022" s="12">
        <f t="shared" si="511"/>
        <v>678.4</v>
      </c>
      <c r="M6022" s="8">
        <v>1</v>
      </c>
      <c r="N6022" s="8" t="s">
        <v>27</v>
      </c>
      <c r="O6022" s="13"/>
      <c r="P6022" s="14">
        <v>0.2</v>
      </c>
      <c r="Q6022" s="15">
        <v>0.25</v>
      </c>
      <c r="R6022" s="40" t="str">
        <f t="shared" si="509"/>
        <v>ONKYO</v>
      </c>
    </row>
    <row r="6023" spans="1:18" ht="27" customHeight="1" x14ac:dyDescent="0.25">
      <c r="A6023" s="32" t="s">
        <v>3977</v>
      </c>
      <c r="H6023" s="32" t="s">
        <v>12397</v>
      </c>
      <c r="I6023" s="33" t="s">
        <v>12398</v>
      </c>
      <c r="J6023" s="34" t="s">
        <v>33</v>
      </c>
      <c r="K6023" s="42">
        <v>160000</v>
      </c>
      <c r="L6023" s="12">
        <f t="shared" ref="L6023:L6038" si="512">ROUNDUP(K6023*(1+P6023)/(1-Q6023),0)</f>
        <v>266667</v>
      </c>
      <c r="M6023" s="8">
        <v>1</v>
      </c>
      <c r="N6023" s="8" t="s">
        <v>27</v>
      </c>
      <c r="O6023" s="13"/>
      <c r="P6023" s="14">
        <v>0</v>
      </c>
      <c r="Q6023" s="15">
        <v>0.4</v>
      </c>
      <c r="R6023" s="16" t="str">
        <f t="shared" si="509"/>
        <v>KOMODO</v>
      </c>
    </row>
    <row r="6024" spans="1:18" ht="27" customHeight="1" x14ac:dyDescent="0.25">
      <c r="A6024" t="s">
        <v>6853</v>
      </c>
      <c r="H6024" t="s">
        <v>12399</v>
      </c>
      <c r="I6024" t="s">
        <v>12400</v>
      </c>
      <c r="J6024" t="s">
        <v>33</v>
      </c>
      <c r="K6024" s="42">
        <v>5429000</v>
      </c>
      <c r="L6024" s="12">
        <f t="shared" si="512"/>
        <v>7755715</v>
      </c>
      <c r="M6024" s="8">
        <v>1</v>
      </c>
      <c r="N6024" s="8" t="s">
        <v>27</v>
      </c>
      <c r="O6024" s="13"/>
      <c r="P6024" s="14">
        <v>0</v>
      </c>
      <c r="Q6024" s="15">
        <v>0.3</v>
      </c>
      <c r="R6024" s="16" t="str">
        <f t="shared" si="509"/>
        <v>MAXHUB</v>
      </c>
    </row>
    <row r="6025" spans="1:18" ht="27" customHeight="1" x14ac:dyDescent="0.25">
      <c r="A6025" t="s">
        <v>6853</v>
      </c>
      <c r="H6025" t="s">
        <v>12401</v>
      </c>
      <c r="I6025" t="s">
        <v>12402</v>
      </c>
      <c r="J6025" t="s">
        <v>33</v>
      </c>
      <c r="K6025" s="42">
        <v>1599000</v>
      </c>
      <c r="L6025" s="12">
        <f t="shared" si="512"/>
        <v>2284286</v>
      </c>
      <c r="M6025" s="8">
        <v>1</v>
      </c>
      <c r="N6025" s="8" t="s">
        <v>27</v>
      </c>
      <c r="O6025" s="13"/>
      <c r="P6025" s="14">
        <v>0</v>
      </c>
      <c r="Q6025" s="15">
        <v>0.3</v>
      </c>
      <c r="R6025" s="16" t="str">
        <f t="shared" si="509"/>
        <v>MAXHUB</v>
      </c>
    </row>
    <row r="6026" spans="1:18" ht="27" customHeight="1" x14ac:dyDescent="0.25">
      <c r="A6026" t="s">
        <v>12337</v>
      </c>
      <c r="H6026" t="s">
        <v>12403</v>
      </c>
      <c r="I6026" t="s">
        <v>12404</v>
      </c>
      <c r="J6026" t="s">
        <v>33</v>
      </c>
      <c r="K6026" s="42">
        <v>16000</v>
      </c>
      <c r="L6026" s="12">
        <f t="shared" si="512"/>
        <v>22858</v>
      </c>
      <c r="M6026" s="8">
        <v>1</v>
      </c>
      <c r="N6026" s="8" t="s">
        <v>27</v>
      </c>
      <c r="O6026" s="13"/>
      <c r="P6026" s="14">
        <v>0</v>
      </c>
      <c r="Q6026" s="15">
        <v>0.3</v>
      </c>
      <c r="R6026" s="16" t="str">
        <f t="shared" si="509"/>
        <v>STECK</v>
      </c>
    </row>
    <row r="6027" spans="1:18" ht="27" customHeight="1" x14ac:dyDescent="0.25">
      <c r="A6027" t="s">
        <v>12337</v>
      </c>
      <c r="H6027" t="s">
        <v>12405</v>
      </c>
      <c r="I6027" t="s">
        <v>12406</v>
      </c>
      <c r="J6027" t="s">
        <v>33</v>
      </c>
      <c r="K6027" s="42">
        <v>31200</v>
      </c>
      <c r="L6027" s="12">
        <f t="shared" si="512"/>
        <v>44572</v>
      </c>
      <c r="M6027" s="8">
        <v>1</v>
      </c>
      <c r="N6027" s="8" t="s">
        <v>27</v>
      </c>
      <c r="O6027" s="13"/>
      <c r="P6027" s="14">
        <v>0</v>
      </c>
      <c r="Q6027" s="15">
        <v>0.3</v>
      </c>
      <c r="R6027" s="16" t="str">
        <f t="shared" si="509"/>
        <v>STECK</v>
      </c>
    </row>
    <row r="6028" spans="1:18" ht="27" customHeight="1" x14ac:dyDescent="0.25">
      <c r="A6028" t="s">
        <v>9979</v>
      </c>
      <c r="H6028" t="s">
        <v>12407</v>
      </c>
      <c r="I6028" t="s">
        <v>12408</v>
      </c>
      <c r="J6028" t="s">
        <v>33</v>
      </c>
      <c r="K6028" s="42">
        <v>323000</v>
      </c>
      <c r="L6028" s="12">
        <f t="shared" si="512"/>
        <v>461429</v>
      </c>
      <c r="M6028" s="8">
        <v>1</v>
      </c>
      <c r="N6028" s="8" t="s">
        <v>27</v>
      </c>
      <c r="O6028" s="13"/>
      <c r="P6028" s="14">
        <v>0</v>
      </c>
      <c r="Q6028" s="15">
        <v>0.3</v>
      </c>
      <c r="R6028" s="16" t="str">
        <f t="shared" si="509"/>
        <v>ILTEC</v>
      </c>
    </row>
    <row r="6029" spans="1:18" ht="27" customHeight="1" x14ac:dyDescent="0.25">
      <c r="A6029" t="s">
        <v>9208</v>
      </c>
      <c r="H6029" t="s">
        <v>12409</v>
      </c>
      <c r="I6029" t="s">
        <v>12410</v>
      </c>
      <c r="J6029" t="s">
        <v>33</v>
      </c>
      <c r="K6029" s="42">
        <v>281971</v>
      </c>
      <c r="L6029" s="12">
        <f t="shared" si="512"/>
        <v>469952</v>
      </c>
      <c r="M6029" s="8">
        <v>1</v>
      </c>
      <c r="N6029" s="8" t="s">
        <v>27</v>
      </c>
      <c r="O6029" s="13"/>
      <c r="P6029" s="14">
        <v>0</v>
      </c>
      <c r="Q6029" s="15">
        <v>0.4</v>
      </c>
      <c r="R6029" s="16" t="str">
        <f t="shared" si="509"/>
        <v>TENDA</v>
      </c>
    </row>
    <row r="6030" spans="1:18" ht="27" customHeight="1" x14ac:dyDescent="0.25">
      <c r="A6030" t="s">
        <v>12411</v>
      </c>
      <c r="H6030" t="s">
        <v>12412</v>
      </c>
      <c r="I6030" t="s">
        <v>12413</v>
      </c>
      <c r="J6030" t="s">
        <v>33</v>
      </c>
      <c r="K6030" s="42">
        <v>6000</v>
      </c>
      <c r="L6030" s="12">
        <f t="shared" si="512"/>
        <v>10000</v>
      </c>
      <c r="M6030" s="8">
        <v>1</v>
      </c>
      <c r="N6030" s="8" t="s">
        <v>27</v>
      </c>
      <c r="O6030" s="13"/>
      <c r="P6030" s="14">
        <v>0</v>
      </c>
      <c r="Q6030" s="15">
        <v>0.4</v>
      </c>
      <c r="R6030" s="16" t="str">
        <f t="shared" si="509"/>
        <v>BESTON</v>
      </c>
    </row>
    <row r="6031" spans="1:18" ht="27" customHeight="1" x14ac:dyDescent="0.25">
      <c r="A6031" t="s">
        <v>12411</v>
      </c>
      <c r="H6031" t="s">
        <v>12414</v>
      </c>
      <c r="I6031" t="s">
        <v>12415</v>
      </c>
      <c r="J6031" t="s">
        <v>33</v>
      </c>
      <c r="K6031" s="42">
        <v>16700</v>
      </c>
      <c r="L6031" s="12">
        <f t="shared" si="512"/>
        <v>27834</v>
      </c>
      <c r="M6031" s="8">
        <v>1</v>
      </c>
      <c r="N6031" s="8" t="s">
        <v>27</v>
      </c>
      <c r="O6031" s="13"/>
      <c r="P6031" s="14">
        <v>0</v>
      </c>
      <c r="Q6031" s="15">
        <v>0.4</v>
      </c>
      <c r="R6031" s="16" t="str">
        <f t="shared" si="509"/>
        <v>BESTON</v>
      </c>
    </row>
    <row r="6032" spans="1:18" ht="27" customHeight="1" x14ac:dyDescent="0.25">
      <c r="A6032" s="8" t="s">
        <v>2512</v>
      </c>
      <c r="H6032" t="s">
        <v>12416</v>
      </c>
      <c r="I6032" t="s">
        <v>12417</v>
      </c>
      <c r="J6032" t="s">
        <v>33</v>
      </c>
      <c r="K6032" s="42">
        <v>35300</v>
      </c>
      <c r="L6032" s="12">
        <f t="shared" si="512"/>
        <v>58834</v>
      </c>
      <c r="M6032" s="8">
        <v>1</v>
      </c>
      <c r="N6032" s="8" t="s">
        <v>27</v>
      </c>
      <c r="O6032" s="13"/>
      <c r="P6032" s="14">
        <v>0</v>
      </c>
      <c r="Q6032" s="15">
        <v>0.4</v>
      </c>
      <c r="R6032" s="16" t="str">
        <f t="shared" si="509"/>
        <v>GENERAL</v>
      </c>
    </row>
    <row r="6033" spans="1:28" ht="27" customHeight="1" x14ac:dyDescent="0.25">
      <c r="A6033" s="8" t="s">
        <v>2512</v>
      </c>
      <c r="H6033" t="s">
        <v>12418</v>
      </c>
      <c r="I6033" t="s">
        <v>12419</v>
      </c>
      <c r="J6033" t="s">
        <v>33</v>
      </c>
      <c r="K6033" s="42">
        <v>39400</v>
      </c>
      <c r="L6033" s="12">
        <f t="shared" si="512"/>
        <v>65667</v>
      </c>
      <c r="M6033" s="8">
        <v>1</v>
      </c>
      <c r="N6033" s="8" t="s">
        <v>27</v>
      </c>
      <c r="O6033" s="13"/>
      <c r="P6033" s="14">
        <v>0</v>
      </c>
      <c r="Q6033" s="15">
        <v>0.4</v>
      </c>
      <c r="R6033" s="16" t="str">
        <f t="shared" si="509"/>
        <v>GENERAL</v>
      </c>
    </row>
    <row r="6034" spans="1:28" ht="27" customHeight="1" x14ac:dyDescent="0.25">
      <c r="A6034" t="s">
        <v>9258</v>
      </c>
      <c r="H6034" t="s">
        <v>12420</v>
      </c>
      <c r="I6034" t="s">
        <v>12421</v>
      </c>
      <c r="J6034" t="s">
        <v>33</v>
      </c>
      <c r="K6034" s="42">
        <v>60000</v>
      </c>
      <c r="L6034" s="12">
        <f t="shared" si="512"/>
        <v>100000</v>
      </c>
      <c r="M6034" s="8">
        <v>1</v>
      </c>
      <c r="N6034" s="8" t="s">
        <v>27</v>
      </c>
      <c r="O6034" s="13"/>
      <c r="P6034" s="14">
        <v>0</v>
      </c>
      <c r="Q6034" s="15">
        <v>0.4</v>
      </c>
      <c r="R6034" s="16" t="str">
        <f t="shared" si="509"/>
        <v>TP_LINK</v>
      </c>
    </row>
    <row r="6035" spans="1:28" ht="27" customHeight="1" x14ac:dyDescent="0.25">
      <c r="A6035" t="s">
        <v>5027</v>
      </c>
      <c r="H6035" t="s">
        <v>12422</v>
      </c>
      <c r="I6035" t="s">
        <v>12423</v>
      </c>
      <c r="J6035" t="s">
        <v>33</v>
      </c>
      <c r="K6035" s="42">
        <v>29549</v>
      </c>
      <c r="L6035" s="12">
        <f t="shared" si="512"/>
        <v>49249</v>
      </c>
      <c r="M6035" s="8">
        <v>1</v>
      </c>
      <c r="N6035" s="8" t="s">
        <v>27</v>
      </c>
      <c r="O6035" s="13"/>
      <c r="P6035" s="14">
        <v>0</v>
      </c>
      <c r="Q6035" s="15">
        <v>0.4</v>
      </c>
      <c r="R6035" s="16" t="str">
        <f t="shared" si="509"/>
        <v>LEDS_C4</v>
      </c>
    </row>
    <row r="6036" spans="1:28" ht="27" customHeight="1" x14ac:dyDescent="0.25">
      <c r="A6036" t="s">
        <v>1558</v>
      </c>
      <c r="H6036" t="s">
        <v>12424</v>
      </c>
      <c r="I6036" t="s">
        <v>12425</v>
      </c>
      <c r="J6036" t="s">
        <v>33</v>
      </c>
      <c r="K6036" s="42">
        <v>319900</v>
      </c>
      <c r="L6036" s="12">
        <f t="shared" si="512"/>
        <v>533167</v>
      </c>
      <c r="M6036" s="8">
        <v>1</v>
      </c>
      <c r="N6036" s="8" t="s">
        <v>27</v>
      </c>
      <c r="O6036" s="13"/>
      <c r="P6036" s="14">
        <v>0</v>
      </c>
      <c r="Q6036" s="15">
        <v>0.4</v>
      </c>
      <c r="R6036" s="16" t="str">
        <f t="shared" si="509"/>
        <v>DAGA</v>
      </c>
    </row>
    <row r="6037" spans="1:28" ht="27" customHeight="1" x14ac:dyDescent="0.25">
      <c r="A6037" t="s">
        <v>1558</v>
      </c>
      <c r="H6037" t="s">
        <v>12426</v>
      </c>
      <c r="I6037" t="s">
        <v>12427</v>
      </c>
      <c r="J6037" t="s">
        <v>33</v>
      </c>
      <c r="K6037" s="42">
        <v>160000</v>
      </c>
      <c r="L6037" s="12">
        <f t="shared" si="512"/>
        <v>266667</v>
      </c>
      <c r="M6037" s="8">
        <v>1</v>
      </c>
      <c r="N6037" s="8" t="s">
        <v>27</v>
      </c>
      <c r="O6037" s="13"/>
      <c r="P6037" s="14">
        <v>0</v>
      </c>
      <c r="Q6037" s="15">
        <v>0.4</v>
      </c>
      <c r="R6037" s="16" t="str">
        <f t="shared" si="509"/>
        <v>DAGA</v>
      </c>
    </row>
    <row r="6038" spans="1:28" ht="27" customHeight="1" x14ac:dyDescent="0.25">
      <c r="A6038" s="8" t="s">
        <v>2512</v>
      </c>
      <c r="H6038" t="s">
        <v>12428</v>
      </c>
      <c r="I6038" t="s">
        <v>12429</v>
      </c>
      <c r="J6038" t="s">
        <v>33</v>
      </c>
      <c r="K6038" s="42">
        <v>55000</v>
      </c>
      <c r="L6038" s="12">
        <f t="shared" si="512"/>
        <v>91667</v>
      </c>
      <c r="M6038" s="8">
        <v>1</v>
      </c>
      <c r="N6038" s="8" t="s">
        <v>27</v>
      </c>
      <c r="O6038" s="13"/>
      <c r="P6038" s="14">
        <v>0</v>
      </c>
      <c r="Q6038" s="15">
        <v>0.4</v>
      </c>
      <c r="R6038" s="16" t="str">
        <f t="shared" si="509"/>
        <v>GENERAL</v>
      </c>
    </row>
    <row r="6039" spans="1:28" ht="27" customHeight="1" x14ac:dyDescent="0.25">
      <c r="A6039" s="8" t="s">
        <v>5672</v>
      </c>
      <c r="B6039" s="9"/>
      <c r="C6039" s="9"/>
      <c r="D6039" s="8"/>
      <c r="E6039" s="8"/>
      <c r="F6039" s="8"/>
      <c r="G6039" s="10"/>
      <c r="H6039" s="8" t="s">
        <v>12430</v>
      </c>
      <c r="I6039" s="10" t="s">
        <v>6600</v>
      </c>
      <c r="J6039" s="11" t="s">
        <v>26</v>
      </c>
      <c r="K6039" s="57">
        <v>75</v>
      </c>
      <c r="L6039" s="12">
        <f t="shared" ref="L6039:L6049" si="513">K6039*(1+P6039)/(1-Q6039)</f>
        <v>150</v>
      </c>
      <c r="M6039" s="8">
        <v>1</v>
      </c>
      <c r="N6039" s="8" t="s">
        <v>27</v>
      </c>
      <c r="O6039" s="13"/>
      <c r="P6039" s="14">
        <v>0.2</v>
      </c>
      <c r="Q6039" s="15">
        <v>0.4</v>
      </c>
      <c r="R6039" s="16" t="str">
        <f t="shared" si="509"/>
        <v>LUTRON</v>
      </c>
      <c r="S6039" s="17"/>
      <c r="T6039" s="10"/>
      <c r="U6039" s="24"/>
      <c r="V6039" s="24"/>
      <c r="W6039" s="24"/>
    </row>
    <row r="6040" spans="1:28" ht="27" customHeight="1" x14ac:dyDescent="0.25">
      <c r="A6040" t="s">
        <v>8836</v>
      </c>
      <c r="H6040" t="s">
        <v>12431</v>
      </c>
      <c r="I6040" t="s">
        <v>12432</v>
      </c>
      <c r="J6040" t="s">
        <v>33</v>
      </c>
      <c r="K6040" s="42">
        <f>466000*0.9</f>
        <v>419400</v>
      </c>
      <c r="L6040" s="12">
        <f t="shared" si="513"/>
        <v>599142.85714285716</v>
      </c>
      <c r="M6040" s="8">
        <v>1</v>
      </c>
      <c r="N6040" s="8" t="s">
        <v>27</v>
      </c>
      <c r="O6040" s="13"/>
      <c r="P6040" s="14">
        <v>0</v>
      </c>
      <c r="Q6040" s="15">
        <v>0.3</v>
      </c>
      <c r="R6040" s="16" t="str">
        <f t="shared" si="509"/>
        <v>TECNOLITE</v>
      </c>
      <c r="AB6040" s="112">
        <v>12</v>
      </c>
    </row>
    <row r="6041" spans="1:28" ht="27" customHeight="1" x14ac:dyDescent="0.25">
      <c r="A6041" t="s">
        <v>12433</v>
      </c>
      <c r="H6041" t="s">
        <v>12434</v>
      </c>
      <c r="I6041" t="s">
        <v>12435</v>
      </c>
      <c r="J6041" t="s">
        <v>26</v>
      </c>
      <c r="K6041" s="42">
        <f>103.7*0.7</f>
        <v>72.59</v>
      </c>
      <c r="L6041" s="12">
        <f t="shared" si="513"/>
        <v>103.70000000000002</v>
      </c>
      <c r="M6041" s="8">
        <v>1</v>
      </c>
      <c r="N6041" s="8" t="s">
        <v>27</v>
      </c>
      <c r="O6041" s="13"/>
      <c r="P6041" s="14">
        <v>0</v>
      </c>
      <c r="Q6041" s="15">
        <v>0.3</v>
      </c>
      <c r="R6041" s="16" t="str">
        <f t="shared" si="509"/>
        <v>LEDSC4</v>
      </c>
    </row>
    <row r="6042" spans="1:28" ht="27" customHeight="1" x14ac:dyDescent="0.25">
      <c r="A6042" s="8" t="s">
        <v>2512</v>
      </c>
      <c r="H6042" t="s">
        <v>12436</v>
      </c>
      <c r="I6042" t="s">
        <v>12437</v>
      </c>
      <c r="J6042" t="s">
        <v>33</v>
      </c>
      <c r="K6042" s="42">
        <v>2100000</v>
      </c>
      <c r="L6042" s="12">
        <f t="shared" si="513"/>
        <v>2625000</v>
      </c>
      <c r="M6042" s="8">
        <v>1</v>
      </c>
      <c r="N6042" s="8" t="s">
        <v>27</v>
      </c>
      <c r="O6042" s="13"/>
      <c r="P6042" s="14">
        <v>0</v>
      </c>
      <c r="Q6042" s="15">
        <v>0.2</v>
      </c>
      <c r="R6042" s="16" t="str">
        <f t="shared" si="509"/>
        <v>GENERAL</v>
      </c>
    </row>
    <row r="6043" spans="1:28" ht="27" customHeight="1" x14ac:dyDescent="0.25">
      <c r="A6043" s="32" t="s">
        <v>5672</v>
      </c>
      <c r="H6043" t="s">
        <v>12438</v>
      </c>
      <c r="I6043" t="s">
        <v>12439</v>
      </c>
      <c r="J6043" t="s">
        <v>26</v>
      </c>
      <c r="K6043" s="42">
        <v>1000</v>
      </c>
      <c r="L6043" s="12">
        <f t="shared" si="513"/>
        <v>1250</v>
      </c>
      <c r="M6043" s="8">
        <v>1</v>
      </c>
      <c r="N6043" s="8" t="s">
        <v>27</v>
      </c>
      <c r="O6043" s="13"/>
      <c r="P6043" s="14">
        <v>0</v>
      </c>
      <c r="Q6043" s="15">
        <v>0.2</v>
      </c>
      <c r="R6043" s="16" t="str">
        <f t="shared" si="509"/>
        <v>LUTRON</v>
      </c>
    </row>
    <row r="6044" spans="1:28" ht="27" customHeight="1" x14ac:dyDescent="0.25">
      <c r="A6044" s="32" t="s">
        <v>3977</v>
      </c>
      <c r="H6044" t="s">
        <v>12440</v>
      </c>
      <c r="I6044" t="s">
        <v>12441</v>
      </c>
      <c r="J6044" t="s">
        <v>33</v>
      </c>
      <c r="K6044" s="42">
        <v>250000</v>
      </c>
      <c r="L6044" s="12">
        <f t="shared" si="513"/>
        <v>312500</v>
      </c>
      <c r="M6044" s="8">
        <v>1</v>
      </c>
      <c r="N6044" s="8" t="s">
        <v>27</v>
      </c>
      <c r="O6044" s="13"/>
      <c r="P6044" s="14">
        <v>0</v>
      </c>
      <c r="Q6044" s="15">
        <v>0.2</v>
      </c>
      <c r="R6044" s="16" t="str">
        <f t="shared" si="509"/>
        <v>KOMODO</v>
      </c>
    </row>
    <row r="6045" spans="1:28" ht="27" customHeight="1" x14ac:dyDescent="0.25">
      <c r="A6045" s="32" t="s">
        <v>3802</v>
      </c>
      <c r="H6045" s="32" t="s">
        <v>12442</v>
      </c>
      <c r="I6045" t="s">
        <v>12443</v>
      </c>
      <c r="J6045" s="34" t="s">
        <v>26</v>
      </c>
      <c r="K6045" s="42">
        <v>2677</v>
      </c>
      <c r="L6045" s="12">
        <f t="shared" si="513"/>
        <v>4015.5</v>
      </c>
      <c r="M6045" s="8">
        <v>1</v>
      </c>
      <c r="N6045" s="8" t="s">
        <v>27</v>
      </c>
      <c r="O6045" s="13"/>
      <c r="P6045" s="14">
        <v>0.2</v>
      </c>
      <c r="Q6045" s="15">
        <v>0.2</v>
      </c>
      <c r="R6045" s="16" t="str">
        <f t="shared" si="509"/>
        <v>JVC</v>
      </c>
    </row>
    <row r="6046" spans="1:28" ht="27" customHeight="1" x14ac:dyDescent="0.25">
      <c r="A6046" s="32" t="s">
        <v>6990</v>
      </c>
      <c r="H6046" t="s">
        <v>12444</v>
      </c>
      <c r="I6046" t="s">
        <v>12445</v>
      </c>
      <c r="J6046" s="34" t="s">
        <v>26</v>
      </c>
      <c r="K6046" s="42">
        <v>3062</v>
      </c>
      <c r="L6046" s="12">
        <f t="shared" si="513"/>
        <v>4593</v>
      </c>
      <c r="M6046" s="8">
        <v>1</v>
      </c>
      <c r="N6046" s="8" t="s">
        <v>27</v>
      </c>
      <c r="O6046" s="13"/>
      <c r="P6046" s="14">
        <v>0.2</v>
      </c>
      <c r="Q6046" s="15">
        <v>0.2</v>
      </c>
      <c r="R6046" s="16" t="str">
        <f t="shared" si="509"/>
        <v>NEC</v>
      </c>
    </row>
    <row r="6047" spans="1:28" ht="27" customHeight="1" x14ac:dyDescent="0.25">
      <c r="A6047" s="32" t="s">
        <v>8259</v>
      </c>
      <c r="H6047" t="s">
        <v>12446</v>
      </c>
      <c r="I6047" t="s">
        <v>12447</v>
      </c>
      <c r="J6047" s="34" t="s">
        <v>26</v>
      </c>
      <c r="K6047" s="42">
        <v>8000</v>
      </c>
      <c r="L6047" s="12">
        <f t="shared" si="513"/>
        <v>12151.898734177215</v>
      </c>
      <c r="M6047" s="8">
        <v>1</v>
      </c>
      <c r="N6047" s="8" t="s">
        <v>27</v>
      </c>
      <c r="O6047" s="13"/>
      <c r="P6047" s="14">
        <v>0.2</v>
      </c>
      <c r="Q6047" s="15">
        <v>0.21</v>
      </c>
      <c r="R6047" s="16" t="str">
        <f t="shared" si="509"/>
        <v>SIM2</v>
      </c>
    </row>
    <row r="6048" spans="1:28" ht="27" customHeight="1" x14ac:dyDescent="0.25">
      <c r="A6048" s="32" t="s">
        <v>8836</v>
      </c>
      <c r="H6048" t="s">
        <v>12448</v>
      </c>
      <c r="I6048" t="s">
        <v>12449</v>
      </c>
      <c r="J6048" s="34" t="s">
        <v>33</v>
      </c>
      <c r="K6048" s="42">
        <v>16500</v>
      </c>
      <c r="L6048" s="12">
        <f t="shared" si="513"/>
        <v>27500</v>
      </c>
      <c r="M6048" s="8">
        <v>1</v>
      </c>
      <c r="N6048" s="8" t="s">
        <v>27</v>
      </c>
      <c r="O6048" s="13"/>
      <c r="P6048" s="14">
        <v>0</v>
      </c>
      <c r="Q6048" s="15">
        <v>0.4</v>
      </c>
      <c r="R6048" s="16" t="str">
        <f t="shared" si="509"/>
        <v>TECNOLITE</v>
      </c>
    </row>
    <row r="6049" spans="1:22" ht="27" customHeight="1" x14ac:dyDescent="0.25">
      <c r="A6049" s="32" t="s">
        <v>8836</v>
      </c>
      <c r="H6049" t="s">
        <v>12450</v>
      </c>
      <c r="I6049" t="s">
        <v>12451</v>
      </c>
      <c r="J6049" s="34" t="s">
        <v>33</v>
      </c>
      <c r="K6049" s="42">
        <v>27000</v>
      </c>
      <c r="L6049" s="12">
        <f t="shared" si="513"/>
        <v>45000</v>
      </c>
      <c r="M6049" s="8">
        <v>1</v>
      </c>
      <c r="N6049" s="8" t="s">
        <v>27</v>
      </c>
      <c r="O6049" s="13"/>
      <c r="P6049" s="14">
        <v>0</v>
      </c>
      <c r="Q6049" s="15">
        <v>0.4</v>
      </c>
      <c r="R6049" s="16" t="str">
        <f t="shared" si="509"/>
        <v>TECNOLITE</v>
      </c>
    </row>
    <row r="6050" spans="1:22" ht="27" customHeight="1" x14ac:dyDescent="0.25">
      <c r="A6050" s="23" t="s">
        <v>3694</v>
      </c>
      <c r="B6050" s="24"/>
      <c r="C6050" s="24"/>
      <c r="D6050" s="24"/>
      <c r="E6050" s="24"/>
      <c r="F6050" s="24"/>
      <c r="G6050" s="24"/>
      <c r="H6050" s="72" t="s">
        <v>12452</v>
      </c>
      <c r="I6050" s="24" t="s">
        <v>12453</v>
      </c>
      <c r="J6050" s="24" t="s">
        <v>33</v>
      </c>
      <c r="K6050" s="73">
        <v>247000</v>
      </c>
      <c r="L6050" s="12">
        <f t="shared" ref="L6050:L6055" si="514">IF(J6050="P",ROUNDUP(K6050/(1-Q6050),-2),K6050*(1+P6050)/(1-Q6050))</f>
        <v>411700</v>
      </c>
      <c r="M6050" s="8">
        <v>1</v>
      </c>
      <c r="N6050" s="8" t="s">
        <v>27</v>
      </c>
      <c r="O6050" s="13">
        <f t="shared" ref="O6050:O6055" si="515">F6050</f>
        <v>0</v>
      </c>
      <c r="P6050" s="14">
        <v>0</v>
      </c>
      <c r="Q6050" s="15">
        <v>0.4</v>
      </c>
      <c r="R6050" s="16" t="str">
        <f t="shared" si="509"/>
        <v>IMOU</v>
      </c>
      <c r="S6050" s="24"/>
      <c r="T6050" s="10">
        <f>G6050</f>
        <v>0</v>
      </c>
      <c r="U6050" s="24"/>
      <c r="V6050" s="24"/>
    </row>
    <row r="6051" spans="1:22" ht="27" customHeight="1" x14ac:dyDescent="0.25">
      <c r="A6051" s="32" t="s">
        <v>12454</v>
      </c>
      <c r="H6051" t="s">
        <v>12455</v>
      </c>
      <c r="I6051" t="s">
        <v>12456</v>
      </c>
      <c r="J6051" s="34" t="s">
        <v>33</v>
      </c>
      <c r="K6051" s="42">
        <v>259000</v>
      </c>
      <c r="L6051" s="12">
        <f t="shared" si="514"/>
        <v>370000</v>
      </c>
      <c r="M6051" s="8">
        <v>1</v>
      </c>
      <c r="N6051" s="8" t="s">
        <v>27</v>
      </c>
      <c r="O6051" s="13">
        <f t="shared" si="515"/>
        <v>0</v>
      </c>
      <c r="P6051" s="14">
        <v>0</v>
      </c>
      <c r="Q6051" s="15">
        <v>0.3</v>
      </c>
      <c r="R6051" s="16" t="str">
        <f t="shared" si="509"/>
        <v>INTERLOGIX</v>
      </c>
    </row>
    <row r="6052" spans="1:22" ht="27" customHeight="1" x14ac:dyDescent="0.25">
      <c r="A6052" s="32" t="s">
        <v>12454</v>
      </c>
      <c r="H6052" t="s">
        <v>12457</v>
      </c>
      <c r="I6052" t="s">
        <v>12458</v>
      </c>
      <c r="J6052" s="34" t="s">
        <v>33</v>
      </c>
      <c r="K6052" s="42">
        <v>259000</v>
      </c>
      <c r="L6052" s="12">
        <f t="shared" si="514"/>
        <v>370000</v>
      </c>
      <c r="M6052" s="8">
        <v>1</v>
      </c>
      <c r="N6052" s="8" t="s">
        <v>27</v>
      </c>
      <c r="O6052" s="13">
        <f t="shared" si="515"/>
        <v>0</v>
      </c>
      <c r="P6052" s="14">
        <v>0</v>
      </c>
      <c r="Q6052" s="15">
        <v>0.3</v>
      </c>
      <c r="R6052" s="16" t="str">
        <f t="shared" si="509"/>
        <v>INTERLOGIX</v>
      </c>
    </row>
    <row r="6053" spans="1:22" ht="27" customHeight="1" x14ac:dyDescent="0.25">
      <c r="A6053" s="32" t="s">
        <v>9831</v>
      </c>
      <c r="H6053" t="s">
        <v>10554</v>
      </c>
      <c r="I6053" t="s">
        <v>12459</v>
      </c>
      <c r="J6053" s="34" t="s">
        <v>26</v>
      </c>
      <c r="K6053" s="42">
        <v>948</v>
      </c>
      <c r="L6053" s="12">
        <f t="shared" si="514"/>
        <v>1354.2857142857144</v>
      </c>
      <c r="M6053" s="8">
        <v>1</v>
      </c>
      <c r="N6053" s="8" t="s">
        <v>27</v>
      </c>
      <c r="O6053" s="13">
        <f t="shared" si="515"/>
        <v>0</v>
      </c>
      <c r="P6053" s="14">
        <v>0</v>
      </c>
      <c r="Q6053" s="15">
        <v>0.3</v>
      </c>
      <c r="R6053" s="16" t="str">
        <f t="shared" si="509"/>
        <v>INTEGRA</v>
      </c>
    </row>
    <row r="6054" spans="1:22" ht="27" customHeight="1" x14ac:dyDescent="0.25">
      <c r="A6054" s="32" t="s">
        <v>1833</v>
      </c>
      <c r="H6054" t="s">
        <v>12460</v>
      </c>
      <c r="I6054" t="s">
        <v>12461</v>
      </c>
      <c r="J6054" s="34" t="s">
        <v>33</v>
      </c>
      <c r="K6054" s="42">
        <f>4839000/1.19</f>
        <v>4066386.5546218487</v>
      </c>
      <c r="L6054" s="12">
        <f t="shared" si="514"/>
        <v>5083000</v>
      </c>
      <c r="M6054" s="8">
        <v>1</v>
      </c>
      <c r="N6054" s="8" t="s">
        <v>27</v>
      </c>
      <c r="O6054" s="13">
        <f t="shared" si="515"/>
        <v>0</v>
      </c>
      <c r="P6054" s="14">
        <v>0</v>
      </c>
      <c r="Q6054" s="15">
        <v>0.2</v>
      </c>
      <c r="R6054" s="16" t="str">
        <f t="shared" si="509"/>
        <v>DELL</v>
      </c>
    </row>
    <row r="6055" spans="1:22" ht="27" customHeight="1" x14ac:dyDescent="0.25">
      <c r="A6055" s="32" t="s">
        <v>9569</v>
      </c>
      <c r="H6055" t="s">
        <v>12462</v>
      </c>
      <c r="I6055" t="s">
        <v>12463</v>
      </c>
      <c r="J6055" s="34" t="s">
        <v>33</v>
      </c>
      <c r="K6055" s="42">
        <v>850000</v>
      </c>
      <c r="L6055" s="12">
        <f t="shared" si="514"/>
        <v>1062500</v>
      </c>
      <c r="M6055" s="8">
        <v>1</v>
      </c>
      <c r="N6055" s="8" t="s">
        <v>27</v>
      </c>
      <c r="O6055" s="13">
        <f t="shared" si="515"/>
        <v>0</v>
      </c>
      <c r="P6055" s="14">
        <v>0</v>
      </c>
      <c r="Q6055" s="15">
        <v>0.2</v>
      </c>
      <c r="R6055" s="16" t="str">
        <f t="shared" si="509"/>
        <v>WINDOWS</v>
      </c>
    </row>
    <row r="6056" spans="1:22" ht="27" customHeight="1" x14ac:dyDescent="0.25">
      <c r="A6056" s="32" t="s">
        <v>8836</v>
      </c>
      <c r="H6056" t="s">
        <v>12464</v>
      </c>
      <c r="I6056" s="33" t="s">
        <v>12465</v>
      </c>
      <c r="J6056" s="34" t="s">
        <v>33</v>
      </c>
      <c r="K6056" s="20">
        <v>101301</v>
      </c>
      <c r="L6056" s="12">
        <f t="shared" ref="L6056:L6069" si="516">K6056*(1+P6056)/(1-Q6056)</f>
        <v>126625.82163770043</v>
      </c>
      <c r="M6056" s="8">
        <v>1</v>
      </c>
      <c r="N6056" s="8" t="s">
        <v>27</v>
      </c>
      <c r="O6056" s="13"/>
      <c r="P6056" s="14">
        <v>0</v>
      </c>
      <c r="Q6056" s="15">
        <v>0.19999729368121591</v>
      </c>
      <c r="R6056" s="16" t="str">
        <f t="shared" si="509"/>
        <v>TECNOLITE</v>
      </c>
    </row>
    <row r="6057" spans="1:22" ht="27" customHeight="1" x14ac:dyDescent="0.25">
      <c r="A6057" s="32" t="s">
        <v>7649</v>
      </c>
      <c r="H6057" s="44" t="s">
        <v>12466</v>
      </c>
      <c r="I6057" s="33" t="s">
        <v>12467</v>
      </c>
      <c r="J6057" s="34" t="s">
        <v>33</v>
      </c>
      <c r="K6057" s="42">
        <v>1364000</v>
      </c>
      <c r="L6057" s="12">
        <f t="shared" si="516"/>
        <v>1515555.5555555555</v>
      </c>
      <c r="M6057" s="8">
        <v>1</v>
      </c>
      <c r="N6057" s="8" t="s">
        <v>27</v>
      </c>
      <c r="O6057" s="13"/>
      <c r="P6057" s="14">
        <v>0</v>
      </c>
      <c r="Q6057" s="15">
        <v>0.1</v>
      </c>
      <c r="R6057" s="16" t="str">
        <f t="shared" si="509"/>
        <v>PANORAMA</v>
      </c>
    </row>
    <row r="6058" spans="1:22" ht="27" customHeight="1" x14ac:dyDescent="0.25">
      <c r="A6058" s="32" t="s">
        <v>7649</v>
      </c>
      <c r="H6058" s="44" t="s">
        <v>12468</v>
      </c>
      <c r="I6058" s="33" t="s">
        <v>12467</v>
      </c>
      <c r="J6058" s="34" t="s">
        <v>33</v>
      </c>
      <c r="K6058" s="42">
        <v>1364000</v>
      </c>
      <c r="L6058" s="12">
        <f t="shared" si="516"/>
        <v>1515555.5555555555</v>
      </c>
      <c r="M6058" s="8">
        <v>1</v>
      </c>
      <c r="N6058" s="8" t="s">
        <v>27</v>
      </c>
      <c r="O6058" s="13"/>
      <c r="P6058" s="14">
        <v>0</v>
      </c>
      <c r="Q6058" s="15">
        <v>0.1</v>
      </c>
      <c r="R6058" s="16" t="str">
        <f t="shared" si="509"/>
        <v>PANORAMA</v>
      </c>
    </row>
    <row r="6059" spans="1:22" ht="27" customHeight="1" x14ac:dyDescent="0.25">
      <c r="A6059" s="32" t="s">
        <v>8308</v>
      </c>
      <c r="H6059" s="44" t="s">
        <v>12469</v>
      </c>
      <c r="I6059" s="33" t="s">
        <v>12470</v>
      </c>
      <c r="J6059" s="34" t="s">
        <v>33</v>
      </c>
      <c r="K6059" s="42">
        <v>311200</v>
      </c>
      <c r="L6059" s="12">
        <f t="shared" si="516"/>
        <v>518666.66666666669</v>
      </c>
      <c r="M6059" s="8">
        <v>1</v>
      </c>
      <c r="N6059" s="8" t="s">
        <v>27</v>
      </c>
      <c r="O6059" s="13"/>
      <c r="P6059" s="14">
        <v>0</v>
      </c>
      <c r="Q6059" s="15">
        <v>0.4</v>
      </c>
      <c r="R6059" s="16" t="str">
        <f t="shared" si="509"/>
        <v>SOLIDVIEW</v>
      </c>
    </row>
    <row r="6060" spans="1:22" ht="27" customHeight="1" x14ac:dyDescent="0.25">
      <c r="A6060" s="32" t="s">
        <v>12471</v>
      </c>
      <c r="H6060" s="44" t="s">
        <v>12472</v>
      </c>
      <c r="I6060" s="33" t="s">
        <v>12473</v>
      </c>
      <c r="J6060" s="34" t="s">
        <v>33</v>
      </c>
      <c r="K6060" s="42">
        <v>19859</v>
      </c>
      <c r="L6060" s="12">
        <f t="shared" si="516"/>
        <v>28370</v>
      </c>
      <c r="M6060" s="8">
        <v>1</v>
      </c>
      <c r="N6060" s="8" t="s">
        <v>27</v>
      </c>
      <c r="O6060" s="13"/>
      <c r="P6060" s="14">
        <v>0</v>
      </c>
      <c r="Q6060" s="15">
        <v>0.3</v>
      </c>
      <c r="R6060" s="16" t="str">
        <f t="shared" si="509"/>
        <v>SIEMON</v>
      </c>
    </row>
    <row r="6061" spans="1:22" ht="27" customHeight="1" x14ac:dyDescent="0.25">
      <c r="A6061" s="32" t="s">
        <v>12471</v>
      </c>
      <c r="H6061" s="44" t="s">
        <v>12474</v>
      </c>
      <c r="I6061" s="33" t="s">
        <v>12475</v>
      </c>
      <c r="J6061" s="34" t="s">
        <v>33</v>
      </c>
      <c r="K6061" s="42">
        <v>19859</v>
      </c>
      <c r="L6061" s="12">
        <f t="shared" si="516"/>
        <v>28370</v>
      </c>
      <c r="M6061" s="8">
        <v>1</v>
      </c>
      <c r="N6061" s="8" t="s">
        <v>27</v>
      </c>
      <c r="O6061" s="13"/>
      <c r="P6061" s="14">
        <v>0</v>
      </c>
      <c r="Q6061" s="15">
        <v>0.3</v>
      </c>
      <c r="R6061" s="16" t="str">
        <f t="shared" si="509"/>
        <v>SIEMON</v>
      </c>
    </row>
    <row r="6062" spans="1:22" ht="27" customHeight="1" x14ac:dyDescent="0.25">
      <c r="A6062" s="32" t="s">
        <v>12471</v>
      </c>
      <c r="H6062" s="44" t="s">
        <v>12476</v>
      </c>
      <c r="I6062" s="33" t="s">
        <v>12477</v>
      </c>
      <c r="J6062" s="34" t="s">
        <v>33</v>
      </c>
      <c r="K6062" s="42">
        <v>605924</v>
      </c>
      <c r="L6062" s="12">
        <f t="shared" si="516"/>
        <v>865605.71428571432</v>
      </c>
      <c r="M6062" s="8">
        <v>1</v>
      </c>
      <c r="N6062" s="8" t="s">
        <v>27</v>
      </c>
      <c r="O6062" s="13"/>
      <c r="P6062" s="14">
        <v>0</v>
      </c>
      <c r="Q6062" s="15">
        <v>0.3</v>
      </c>
      <c r="R6062" s="16" t="str">
        <f t="shared" si="509"/>
        <v>SIEMON</v>
      </c>
    </row>
    <row r="6063" spans="1:22" ht="27" customHeight="1" x14ac:dyDescent="0.25">
      <c r="A6063" s="32" t="s">
        <v>12471</v>
      </c>
      <c r="H6063" s="44" t="s">
        <v>12478</v>
      </c>
      <c r="I6063" s="33" t="s">
        <v>12479</v>
      </c>
      <c r="J6063" s="34" t="s">
        <v>33</v>
      </c>
      <c r="K6063" s="42">
        <v>14875</v>
      </c>
      <c r="L6063" s="12">
        <f t="shared" si="516"/>
        <v>21250</v>
      </c>
      <c r="M6063" s="8">
        <v>1</v>
      </c>
      <c r="N6063" s="8" t="s">
        <v>27</v>
      </c>
      <c r="O6063" s="13"/>
      <c r="P6063" s="14">
        <v>0</v>
      </c>
      <c r="Q6063" s="15">
        <v>0.3</v>
      </c>
      <c r="R6063" s="16" t="str">
        <f t="shared" ref="R6063:R6126" si="517">A6063</f>
        <v>SIEMON</v>
      </c>
    </row>
    <row r="6064" spans="1:22" ht="27" customHeight="1" x14ac:dyDescent="0.25">
      <c r="A6064" s="32" t="s">
        <v>12471</v>
      </c>
      <c r="H6064" s="44" t="s">
        <v>12480</v>
      </c>
      <c r="I6064" s="33" t="s">
        <v>12481</v>
      </c>
      <c r="J6064" s="34" t="s">
        <v>33</v>
      </c>
      <c r="K6064" s="42">
        <v>17721</v>
      </c>
      <c r="L6064" s="12">
        <f t="shared" si="516"/>
        <v>25315.714285714286</v>
      </c>
      <c r="M6064" s="8">
        <v>1</v>
      </c>
      <c r="N6064" s="8" t="s">
        <v>27</v>
      </c>
      <c r="O6064" s="13"/>
      <c r="P6064" s="14">
        <v>0</v>
      </c>
      <c r="Q6064" s="15">
        <v>0.3</v>
      </c>
      <c r="R6064" s="16" t="str">
        <f t="shared" si="517"/>
        <v>SIEMON</v>
      </c>
    </row>
    <row r="6065" spans="1:19" ht="27" customHeight="1" x14ac:dyDescent="0.25">
      <c r="A6065" s="32" t="s">
        <v>12471</v>
      </c>
      <c r="H6065" s="44" t="s">
        <v>12482</v>
      </c>
      <c r="I6065" s="33" t="s">
        <v>12483</v>
      </c>
      <c r="J6065" s="34" t="s">
        <v>33</v>
      </c>
      <c r="K6065" s="42">
        <v>8584</v>
      </c>
      <c r="L6065" s="12">
        <f t="shared" si="516"/>
        <v>12262.857142857143</v>
      </c>
      <c r="M6065" s="8">
        <v>1</v>
      </c>
      <c r="N6065" s="8" t="s">
        <v>27</v>
      </c>
      <c r="O6065" s="13"/>
      <c r="P6065" s="14">
        <v>0</v>
      </c>
      <c r="Q6065" s="15">
        <v>0.3</v>
      </c>
      <c r="R6065" s="16" t="str">
        <f t="shared" si="517"/>
        <v>SIEMON</v>
      </c>
    </row>
    <row r="6066" spans="1:19" ht="27" customHeight="1" x14ac:dyDescent="0.25">
      <c r="A6066" s="32" t="s">
        <v>12471</v>
      </c>
      <c r="H6066" s="44" t="s">
        <v>12484</v>
      </c>
      <c r="I6066" s="33" t="s">
        <v>12485</v>
      </c>
      <c r="J6066" s="34" t="s">
        <v>33</v>
      </c>
      <c r="K6066" s="42">
        <v>8584</v>
      </c>
      <c r="L6066" s="12">
        <f t="shared" si="516"/>
        <v>12262.857142857143</v>
      </c>
      <c r="M6066" s="8">
        <v>1</v>
      </c>
      <c r="N6066" s="8" t="s">
        <v>27</v>
      </c>
      <c r="O6066" s="13"/>
      <c r="P6066" s="14">
        <v>0</v>
      </c>
      <c r="Q6066" s="15">
        <v>0.3</v>
      </c>
      <c r="R6066" s="16" t="str">
        <f t="shared" si="517"/>
        <v>SIEMON</v>
      </c>
    </row>
    <row r="6067" spans="1:19" ht="27" customHeight="1" x14ac:dyDescent="0.25">
      <c r="A6067" s="32" t="s">
        <v>12471</v>
      </c>
      <c r="H6067" s="44" t="s">
        <v>12486</v>
      </c>
      <c r="I6067" s="33" t="s">
        <v>12487</v>
      </c>
      <c r="J6067" s="34" t="s">
        <v>33</v>
      </c>
      <c r="K6067" s="42">
        <v>222727</v>
      </c>
      <c r="L6067" s="12">
        <f t="shared" si="516"/>
        <v>318181.42857142858</v>
      </c>
      <c r="M6067" s="8">
        <v>1</v>
      </c>
      <c r="N6067" s="8" t="s">
        <v>27</v>
      </c>
      <c r="O6067" s="13"/>
      <c r="P6067" s="14">
        <v>0</v>
      </c>
      <c r="Q6067" s="15">
        <v>0.3</v>
      </c>
      <c r="R6067" s="16" t="str">
        <f t="shared" si="517"/>
        <v>SIEMON</v>
      </c>
      <c r="S6067">
        <f>843000*1.19</f>
        <v>1003170</v>
      </c>
    </row>
    <row r="6068" spans="1:19" ht="27" customHeight="1" x14ac:dyDescent="0.25">
      <c r="A6068" s="32" t="s">
        <v>12471</v>
      </c>
      <c r="H6068" s="44" t="s">
        <v>12488</v>
      </c>
      <c r="I6068" s="33" t="s">
        <v>12489</v>
      </c>
      <c r="J6068" s="34" t="s">
        <v>33</v>
      </c>
      <c r="K6068" s="42">
        <v>1435382</v>
      </c>
      <c r="L6068" s="12">
        <f t="shared" si="516"/>
        <v>2050545.7142857143</v>
      </c>
      <c r="M6068" s="8">
        <v>1</v>
      </c>
      <c r="N6068" s="8" t="s">
        <v>27</v>
      </c>
      <c r="O6068" s="13"/>
      <c r="P6068" s="14">
        <v>0</v>
      </c>
      <c r="Q6068" s="15">
        <v>0.3</v>
      </c>
      <c r="R6068" s="16" t="str">
        <f t="shared" si="517"/>
        <v>SIEMON</v>
      </c>
    </row>
    <row r="6069" spans="1:19" ht="27" customHeight="1" x14ac:dyDescent="0.25">
      <c r="A6069" s="32" t="s">
        <v>12471</v>
      </c>
      <c r="H6069" s="44" t="s">
        <v>12490</v>
      </c>
      <c r="I6069" s="33" t="s">
        <v>12491</v>
      </c>
      <c r="J6069" s="34" t="s">
        <v>33</v>
      </c>
      <c r="K6069" s="42">
        <v>696190</v>
      </c>
      <c r="L6069" s="12">
        <f t="shared" si="516"/>
        <v>994557.14285714296</v>
      </c>
      <c r="M6069" s="8">
        <v>1</v>
      </c>
      <c r="N6069" s="8" t="s">
        <v>27</v>
      </c>
      <c r="O6069" s="13"/>
      <c r="P6069" s="14">
        <v>0</v>
      </c>
      <c r="Q6069" s="15">
        <v>0.3</v>
      </c>
      <c r="R6069" s="16" t="str">
        <f t="shared" si="517"/>
        <v>SIEMON</v>
      </c>
    </row>
    <row r="6070" spans="1:19" ht="27" customHeight="1" x14ac:dyDescent="0.25">
      <c r="A6070" s="32" t="s">
        <v>6853</v>
      </c>
      <c r="H6070" s="32" t="s">
        <v>12492</v>
      </c>
      <c r="I6070" s="33" t="s">
        <v>12493</v>
      </c>
      <c r="J6070" s="34" t="s">
        <v>33</v>
      </c>
      <c r="K6070" s="42">
        <v>159000</v>
      </c>
      <c r="L6070" s="12">
        <f t="shared" ref="L6070:L6077" si="518">IF(J6070="P",ROUNDUP(K6070/(1-Q6070),-2),K6070*(1+P6070)/(1-Q6070))</f>
        <v>265000</v>
      </c>
      <c r="M6070" s="8">
        <v>1</v>
      </c>
      <c r="N6070" s="8" t="s">
        <v>27</v>
      </c>
      <c r="O6070" s="13"/>
      <c r="P6070" s="14">
        <v>0</v>
      </c>
      <c r="Q6070" s="15">
        <v>0.4</v>
      </c>
      <c r="R6070" s="16" t="str">
        <f t="shared" si="517"/>
        <v>MAXHUB</v>
      </c>
    </row>
    <row r="6071" spans="1:19" ht="27" customHeight="1" x14ac:dyDescent="0.25">
      <c r="A6071" s="32" t="s">
        <v>12471</v>
      </c>
      <c r="H6071" s="32" t="s">
        <v>12494</v>
      </c>
      <c r="I6071" s="33" t="s">
        <v>12495</v>
      </c>
      <c r="J6071" s="34" t="s">
        <v>33</v>
      </c>
      <c r="K6071" s="42">
        <v>1176000</v>
      </c>
      <c r="L6071" s="12">
        <f t="shared" si="518"/>
        <v>1680000</v>
      </c>
      <c r="M6071" s="8">
        <v>1</v>
      </c>
      <c r="N6071" s="8" t="s">
        <v>27</v>
      </c>
      <c r="O6071" s="13"/>
      <c r="P6071" s="14">
        <v>0</v>
      </c>
      <c r="Q6071" s="15">
        <v>0.3</v>
      </c>
      <c r="R6071" s="16" t="str">
        <f t="shared" si="517"/>
        <v>SIEMON</v>
      </c>
    </row>
    <row r="6072" spans="1:19" ht="27" customHeight="1" x14ac:dyDescent="0.25">
      <c r="A6072" s="8" t="s">
        <v>9912</v>
      </c>
      <c r="H6072" s="32" t="s">
        <v>12496</v>
      </c>
      <c r="I6072" s="33" t="s">
        <v>12497</v>
      </c>
      <c r="J6072" s="34" t="s">
        <v>33</v>
      </c>
      <c r="K6072" s="42">
        <v>2395000</v>
      </c>
      <c r="L6072" s="12">
        <f t="shared" si="518"/>
        <v>3421500</v>
      </c>
      <c r="M6072" s="8">
        <v>1</v>
      </c>
      <c r="N6072" s="8" t="s">
        <v>27</v>
      </c>
      <c r="O6072" s="13"/>
      <c r="P6072" s="14">
        <v>0</v>
      </c>
      <c r="Q6072" s="15">
        <v>0.3</v>
      </c>
      <c r="R6072" s="16" t="str">
        <f t="shared" si="517"/>
        <v>SIETEPRO</v>
      </c>
    </row>
    <row r="6073" spans="1:19" ht="27" customHeight="1" x14ac:dyDescent="0.25">
      <c r="A6073" s="32" t="s">
        <v>12498</v>
      </c>
      <c r="H6073" s="32" t="s">
        <v>12499</v>
      </c>
      <c r="I6073" s="33" t="s">
        <v>12500</v>
      </c>
      <c r="J6073" s="34" t="s">
        <v>33</v>
      </c>
      <c r="K6073" s="42">
        <v>896525</v>
      </c>
      <c r="L6073" s="12">
        <f t="shared" si="518"/>
        <v>1280800</v>
      </c>
      <c r="M6073" s="8">
        <v>1</v>
      </c>
      <c r="N6073" s="8" t="s">
        <v>27</v>
      </c>
      <c r="O6073" s="13"/>
      <c r="P6073" s="14">
        <v>0</v>
      </c>
      <c r="Q6073" s="15">
        <v>0.3</v>
      </c>
      <c r="R6073" s="16" t="str">
        <f t="shared" si="517"/>
        <v>AJAX</v>
      </c>
    </row>
    <row r="6074" spans="1:19" ht="27" customHeight="1" x14ac:dyDescent="0.25">
      <c r="A6074" s="32" t="s">
        <v>12498</v>
      </c>
      <c r="H6074" s="32" t="s">
        <v>12501</v>
      </c>
      <c r="I6074" s="33" t="s">
        <v>12502</v>
      </c>
      <c r="J6074" s="34" t="s">
        <v>33</v>
      </c>
      <c r="K6074" s="42">
        <v>157989</v>
      </c>
      <c r="L6074" s="12">
        <f t="shared" si="518"/>
        <v>225700</v>
      </c>
      <c r="M6074" s="8">
        <v>1</v>
      </c>
      <c r="N6074" s="8" t="s">
        <v>27</v>
      </c>
      <c r="O6074" s="13"/>
      <c r="P6074" s="14">
        <v>0</v>
      </c>
      <c r="Q6074" s="15">
        <v>0.3</v>
      </c>
      <c r="R6074" s="16" t="str">
        <f t="shared" si="517"/>
        <v>AJAX</v>
      </c>
    </row>
    <row r="6075" spans="1:19" ht="27" customHeight="1" x14ac:dyDescent="0.25">
      <c r="A6075" s="32" t="s">
        <v>12498</v>
      </c>
      <c r="H6075" s="32" t="s">
        <v>12503</v>
      </c>
      <c r="I6075" s="33" t="s">
        <v>12504</v>
      </c>
      <c r="J6075" s="34" t="s">
        <v>33</v>
      </c>
      <c r="K6075" s="42">
        <v>306268</v>
      </c>
      <c r="L6075" s="12">
        <f t="shared" si="518"/>
        <v>437600</v>
      </c>
      <c r="M6075" s="8">
        <v>1</v>
      </c>
      <c r="N6075" s="8" t="s">
        <v>27</v>
      </c>
      <c r="O6075" s="13"/>
      <c r="P6075" s="14">
        <v>0</v>
      </c>
      <c r="Q6075" s="15">
        <v>0.3</v>
      </c>
      <c r="R6075" s="16" t="str">
        <f t="shared" si="517"/>
        <v>AJAX</v>
      </c>
    </row>
    <row r="6076" spans="1:19" ht="27" customHeight="1" x14ac:dyDescent="0.25">
      <c r="A6076" s="32" t="s">
        <v>12498</v>
      </c>
      <c r="H6076" s="32" t="s">
        <v>12505</v>
      </c>
      <c r="I6076" s="33" t="s">
        <v>12506</v>
      </c>
      <c r="J6076" s="34" t="s">
        <v>33</v>
      </c>
      <c r="K6076" s="42">
        <v>312777</v>
      </c>
      <c r="L6076" s="12">
        <f t="shared" si="518"/>
        <v>446900</v>
      </c>
      <c r="M6076" s="8">
        <v>1</v>
      </c>
      <c r="N6076" s="8" t="s">
        <v>27</v>
      </c>
      <c r="O6076" s="13"/>
      <c r="P6076" s="14">
        <v>0</v>
      </c>
      <c r="Q6076" s="15">
        <v>0.3</v>
      </c>
      <c r="R6076" s="16" t="str">
        <f t="shared" si="517"/>
        <v>AJAX</v>
      </c>
    </row>
    <row r="6077" spans="1:19" ht="27" customHeight="1" x14ac:dyDescent="0.25">
      <c r="A6077" s="32" t="s">
        <v>3459</v>
      </c>
      <c r="H6077" s="32" t="s">
        <v>12507</v>
      </c>
      <c r="I6077" s="33" t="s">
        <v>12508</v>
      </c>
      <c r="J6077" s="34" t="s">
        <v>33</v>
      </c>
      <c r="K6077" s="42">
        <v>312777</v>
      </c>
      <c r="L6077" s="12">
        <f t="shared" si="518"/>
        <v>446900</v>
      </c>
      <c r="M6077" s="8">
        <v>1</v>
      </c>
      <c r="N6077" s="8" t="s">
        <v>27</v>
      </c>
      <c r="O6077" s="13"/>
      <c r="P6077" s="14">
        <v>0</v>
      </c>
      <c r="Q6077" s="15">
        <v>0.3</v>
      </c>
      <c r="R6077" s="16" t="str">
        <f t="shared" si="517"/>
        <v>HIKVISION</v>
      </c>
    </row>
    <row r="6078" spans="1:19" ht="27" customHeight="1" x14ac:dyDescent="0.25">
      <c r="A6078" s="32" t="s">
        <v>1821</v>
      </c>
      <c r="H6078" s="32" t="s">
        <v>12509</v>
      </c>
      <c r="I6078" s="33" t="s">
        <v>12510</v>
      </c>
      <c r="J6078" s="34" t="s">
        <v>26</v>
      </c>
      <c r="K6078" s="42">
        <v>135</v>
      </c>
      <c r="L6078" s="12">
        <f>K6078*(1+P6078)/(1-Q6078)</f>
        <v>270</v>
      </c>
      <c r="M6078" s="8">
        <v>1</v>
      </c>
      <c r="N6078" s="8" t="s">
        <v>27</v>
      </c>
      <c r="O6078" s="13"/>
      <c r="P6078" s="14">
        <v>0.2</v>
      </c>
      <c r="Q6078" s="15">
        <v>0.4</v>
      </c>
      <c r="R6078" s="16" t="str">
        <f t="shared" si="517"/>
        <v>DAYTON</v>
      </c>
    </row>
    <row r="6079" spans="1:19" ht="27" customHeight="1" x14ac:dyDescent="0.25">
      <c r="A6079" s="32" t="s">
        <v>1255</v>
      </c>
      <c r="H6079" s="32" t="s">
        <v>12511</v>
      </c>
      <c r="I6079" s="33" t="s">
        <v>12512</v>
      </c>
      <c r="J6079" s="34" t="s">
        <v>33</v>
      </c>
      <c r="K6079" s="42">
        <v>44600</v>
      </c>
      <c r="L6079" s="12">
        <f>K6079*(1+P6079)/(1-Q6079)</f>
        <v>89200</v>
      </c>
      <c r="M6079" s="8">
        <v>1</v>
      </c>
      <c r="N6079" s="8" t="s">
        <v>27</v>
      </c>
      <c r="O6079" s="13"/>
      <c r="P6079" s="14">
        <v>0.2</v>
      </c>
      <c r="Q6079" s="15">
        <v>0.4</v>
      </c>
      <c r="R6079" s="16" t="str">
        <f t="shared" si="517"/>
        <v>CHINT</v>
      </c>
    </row>
    <row r="6080" spans="1:19" ht="27" customHeight="1" x14ac:dyDescent="0.25">
      <c r="A6080" s="32" t="s">
        <v>2512</v>
      </c>
      <c r="H6080" s="32" t="s">
        <v>12513</v>
      </c>
      <c r="I6080" s="33" t="s">
        <v>12514</v>
      </c>
      <c r="J6080" s="34" t="s">
        <v>33</v>
      </c>
      <c r="K6080" s="42">
        <v>10800</v>
      </c>
      <c r="L6080" s="12">
        <f>K6080*(1+P6080)/(1-Q6080)</f>
        <v>21600</v>
      </c>
      <c r="M6080" s="8">
        <v>1</v>
      </c>
      <c r="N6080" s="8" t="s">
        <v>27</v>
      </c>
      <c r="O6080" s="13"/>
      <c r="P6080" s="14">
        <v>0.2</v>
      </c>
      <c r="Q6080" s="15">
        <v>0.4</v>
      </c>
      <c r="R6080" s="16" t="str">
        <f t="shared" si="517"/>
        <v>GENERAL</v>
      </c>
    </row>
    <row r="6081" spans="1:20" ht="27" customHeight="1" x14ac:dyDescent="0.25">
      <c r="A6081" s="32" t="s">
        <v>12515</v>
      </c>
      <c r="H6081" s="32" t="s">
        <v>12516</v>
      </c>
      <c r="I6081" s="33" t="s">
        <v>12517</v>
      </c>
      <c r="J6081" s="34" t="s">
        <v>33</v>
      </c>
      <c r="K6081" s="42">
        <v>665000</v>
      </c>
      <c r="L6081" s="12">
        <f>K6081*(1+P6081)/(1-Q6081)</f>
        <v>1108333.3333333335</v>
      </c>
      <c r="M6081" s="8">
        <v>1</v>
      </c>
      <c r="N6081" s="8" t="s">
        <v>27</v>
      </c>
      <c r="O6081" s="13"/>
      <c r="P6081" s="14">
        <v>0</v>
      </c>
      <c r="Q6081" s="15">
        <v>0.4</v>
      </c>
      <c r="R6081" s="16" t="str">
        <f t="shared" si="517"/>
        <v>TECHNO</v>
      </c>
    </row>
    <row r="6082" spans="1:20" ht="27" customHeight="1" x14ac:dyDescent="0.25">
      <c r="A6082" s="32" t="s">
        <v>3977</v>
      </c>
      <c r="H6082" s="32" t="s">
        <v>12518</v>
      </c>
      <c r="I6082" s="33" t="s">
        <v>12519</v>
      </c>
      <c r="J6082" s="34" t="s">
        <v>33</v>
      </c>
      <c r="K6082" s="42">
        <v>80000</v>
      </c>
      <c r="L6082" s="12">
        <f>K6082*(1+P6082)/(1-Q6082)</f>
        <v>133333.33333333334</v>
      </c>
      <c r="M6082" s="8">
        <v>1</v>
      </c>
      <c r="N6082" s="8" t="s">
        <v>27</v>
      </c>
      <c r="O6082" s="13"/>
      <c r="P6082" s="14">
        <v>0</v>
      </c>
      <c r="Q6082" s="15">
        <v>0.4</v>
      </c>
      <c r="R6082" s="16" t="str">
        <f t="shared" si="517"/>
        <v>KOMODO</v>
      </c>
    </row>
    <row r="6083" spans="1:20" ht="27" customHeight="1" x14ac:dyDescent="0.25">
      <c r="A6083" s="8" t="s">
        <v>10188</v>
      </c>
      <c r="B6083" s="9"/>
      <c r="C6083" s="9"/>
      <c r="D6083" s="8"/>
      <c r="E6083" s="8"/>
      <c r="F6083" s="8"/>
      <c r="G6083" s="10"/>
      <c r="H6083" s="8" t="s">
        <v>12520</v>
      </c>
      <c r="I6083" s="10" t="s">
        <v>10190</v>
      </c>
      <c r="J6083" s="11" t="s">
        <v>33</v>
      </c>
      <c r="K6083" s="18">
        <v>560000</v>
      </c>
      <c r="L6083" s="12">
        <f t="shared" ref="L6083:L6088" si="519">(K6083*(1+P6083)/(1-Q6083))</f>
        <v>1120000</v>
      </c>
      <c r="M6083" s="8">
        <v>1</v>
      </c>
      <c r="N6083" s="8" t="s">
        <v>27</v>
      </c>
      <c r="O6083" s="13"/>
      <c r="P6083" s="14">
        <v>0.2</v>
      </c>
      <c r="Q6083" s="15">
        <v>0.4</v>
      </c>
      <c r="R6083" s="16" t="str">
        <f t="shared" si="517"/>
        <v>PRODJ</v>
      </c>
      <c r="S6083" s="17"/>
      <c r="T6083" s="10"/>
    </row>
    <row r="6084" spans="1:20" ht="27" customHeight="1" x14ac:dyDescent="0.25">
      <c r="A6084" s="32" t="s">
        <v>7806</v>
      </c>
      <c r="H6084" s="32" t="s">
        <v>12521</v>
      </c>
      <c r="I6084" s="33" t="s">
        <v>12522</v>
      </c>
      <c r="J6084" s="34" t="s">
        <v>33</v>
      </c>
      <c r="K6084" s="42">
        <v>290000</v>
      </c>
      <c r="L6084" s="12">
        <f t="shared" si="519"/>
        <v>580000</v>
      </c>
      <c r="M6084" s="8">
        <v>1</v>
      </c>
      <c r="N6084" s="8" t="s">
        <v>27</v>
      </c>
      <c r="O6084" s="13"/>
      <c r="P6084" s="14">
        <v>0.2</v>
      </c>
      <c r="Q6084" s="15">
        <v>0.4</v>
      </c>
      <c r="R6084" s="16" t="str">
        <f t="shared" si="517"/>
        <v>PROELECTRICOS</v>
      </c>
    </row>
    <row r="6085" spans="1:20" ht="27" customHeight="1" x14ac:dyDescent="0.25">
      <c r="A6085" s="32" t="s">
        <v>9569</v>
      </c>
      <c r="H6085" s="32" t="s">
        <v>12523</v>
      </c>
      <c r="I6085" s="33" t="s">
        <v>12524</v>
      </c>
      <c r="J6085" s="34" t="s">
        <v>26</v>
      </c>
      <c r="K6085" s="42">
        <v>1040</v>
      </c>
      <c r="L6085" s="12">
        <f t="shared" si="519"/>
        <v>1782.8571428571429</v>
      </c>
      <c r="M6085" s="8">
        <v>1</v>
      </c>
      <c r="N6085" s="8" t="s">
        <v>27</v>
      </c>
      <c r="O6085" s="13"/>
      <c r="P6085" s="14">
        <v>0.2</v>
      </c>
      <c r="Q6085" s="15">
        <v>0.3</v>
      </c>
      <c r="R6085" s="16" t="str">
        <f t="shared" si="517"/>
        <v>WINDOWS</v>
      </c>
    </row>
    <row r="6086" spans="1:20" ht="27" customHeight="1" x14ac:dyDescent="0.25">
      <c r="A6086" s="32" t="s">
        <v>3821</v>
      </c>
      <c r="H6086" s="32" t="s">
        <v>12525</v>
      </c>
      <c r="I6086" s="33" t="s">
        <v>12526</v>
      </c>
      <c r="J6086" s="34" t="s">
        <v>33</v>
      </c>
      <c r="K6086" s="42">
        <f>2478992/2</f>
        <v>1239496</v>
      </c>
      <c r="L6086" s="12">
        <f t="shared" si="519"/>
        <v>1770708.5714285716</v>
      </c>
      <c r="M6086" s="8">
        <v>1</v>
      </c>
      <c r="N6086" s="8" t="s">
        <v>27</v>
      </c>
      <c r="O6086" s="13"/>
      <c r="P6086" s="14">
        <v>0</v>
      </c>
      <c r="Q6086" s="15">
        <v>0.3</v>
      </c>
      <c r="R6086" s="16" t="str">
        <f t="shared" si="517"/>
        <v>KEF</v>
      </c>
    </row>
    <row r="6087" spans="1:20" ht="27" customHeight="1" x14ac:dyDescent="0.25">
      <c r="A6087" s="32" t="s">
        <v>3821</v>
      </c>
      <c r="H6087" s="32" t="s">
        <v>12527</v>
      </c>
      <c r="I6087" s="33" t="s">
        <v>12528</v>
      </c>
      <c r="J6087" s="34" t="s">
        <v>33</v>
      </c>
      <c r="K6087" s="42">
        <v>1302521</v>
      </c>
      <c r="L6087" s="12">
        <f t="shared" si="519"/>
        <v>1860744.2857142859</v>
      </c>
      <c r="M6087" s="8">
        <v>1</v>
      </c>
      <c r="N6087" s="8" t="s">
        <v>27</v>
      </c>
      <c r="O6087" s="13"/>
      <c r="P6087" s="14">
        <v>0</v>
      </c>
      <c r="Q6087" s="15">
        <v>0.3</v>
      </c>
      <c r="R6087" s="16" t="str">
        <f t="shared" si="517"/>
        <v>KEF</v>
      </c>
    </row>
    <row r="6088" spans="1:20" ht="27" customHeight="1" x14ac:dyDescent="0.25">
      <c r="A6088" s="32" t="s">
        <v>9831</v>
      </c>
      <c r="H6088" s="32" t="s">
        <v>12529</v>
      </c>
      <c r="I6088" s="33" t="s">
        <v>12530</v>
      </c>
      <c r="J6088" s="34" t="s">
        <v>26</v>
      </c>
      <c r="K6088" s="42">
        <v>911</v>
      </c>
      <c r="L6088" s="12">
        <f t="shared" si="519"/>
        <v>1561.7142857142858</v>
      </c>
      <c r="M6088" s="8">
        <v>1</v>
      </c>
      <c r="N6088" s="8" t="s">
        <v>27</v>
      </c>
      <c r="O6088" s="13"/>
      <c r="P6088" s="14">
        <v>0.2</v>
      </c>
      <c r="Q6088" s="15">
        <v>0.3</v>
      </c>
      <c r="R6088" s="16" t="str">
        <f t="shared" si="517"/>
        <v>INTEGRA</v>
      </c>
    </row>
    <row r="6089" spans="1:20" ht="27" customHeight="1" x14ac:dyDescent="0.25">
      <c r="A6089" s="32" t="s">
        <v>2512</v>
      </c>
      <c r="H6089" s="32" t="s">
        <v>12531</v>
      </c>
      <c r="I6089" s="33" t="s">
        <v>12532</v>
      </c>
      <c r="R6089" s="40" t="str">
        <f t="shared" si="517"/>
        <v>GENERAL</v>
      </c>
    </row>
    <row r="6090" spans="1:20" ht="27" customHeight="1" x14ac:dyDescent="0.25">
      <c r="A6090" s="32" t="s">
        <v>2512</v>
      </c>
      <c r="H6090" s="32" t="s">
        <v>12533</v>
      </c>
      <c r="I6090" s="33" t="s">
        <v>12534</v>
      </c>
      <c r="J6090" s="34" t="s">
        <v>33</v>
      </c>
      <c r="K6090" s="42">
        <v>166000</v>
      </c>
      <c r="L6090" s="12">
        <f t="shared" ref="L6090:L6102" si="520">(K6090*(1+P6090)/(1-Q6090))</f>
        <v>332000</v>
      </c>
      <c r="M6090" s="8">
        <v>1</v>
      </c>
      <c r="N6090" s="8" t="s">
        <v>27</v>
      </c>
      <c r="O6090" s="13"/>
      <c r="P6090" s="14">
        <v>0.2</v>
      </c>
      <c r="Q6090" s="15">
        <v>0.4</v>
      </c>
      <c r="R6090" s="16" t="str">
        <f t="shared" si="517"/>
        <v>GENERAL</v>
      </c>
      <c r="S6090" t="s">
        <v>12535</v>
      </c>
    </row>
    <row r="6091" spans="1:20" ht="27" customHeight="1" x14ac:dyDescent="0.25">
      <c r="A6091" s="32" t="s">
        <v>2512</v>
      </c>
      <c r="H6091" s="32" t="s">
        <v>12536</v>
      </c>
      <c r="I6091" s="33" t="s">
        <v>12537</v>
      </c>
      <c r="J6091" s="34" t="s">
        <v>33</v>
      </c>
      <c r="K6091" s="42">
        <f>1300000/8</f>
        <v>162500</v>
      </c>
      <c r="L6091" s="12">
        <f t="shared" si="520"/>
        <v>325000</v>
      </c>
      <c r="M6091" s="8">
        <v>1</v>
      </c>
      <c r="N6091" s="8" t="s">
        <v>27</v>
      </c>
      <c r="O6091" s="13"/>
      <c r="P6091" s="14">
        <v>0.2</v>
      </c>
      <c r="Q6091" s="15">
        <v>0.4</v>
      </c>
      <c r="R6091" s="64" t="str">
        <f t="shared" si="517"/>
        <v>GENERAL</v>
      </c>
      <c r="S6091" t="s">
        <v>12538</v>
      </c>
    </row>
    <row r="6092" spans="1:20" ht="27" customHeight="1" x14ac:dyDescent="0.25">
      <c r="A6092" s="32" t="s">
        <v>2512</v>
      </c>
      <c r="H6092" s="32" t="s">
        <v>12539</v>
      </c>
      <c r="I6092" s="33" t="s">
        <v>12540</v>
      </c>
      <c r="J6092" s="34" t="s">
        <v>33</v>
      </c>
      <c r="K6092" s="42">
        <v>93000</v>
      </c>
      <c r="L6092" s="12">
        <f t="shared" si="520"/>
        <v>186000</v>
      </c>
      <c r="M6092" s="8">
        <v>1</v>
      </c>
      <c r="N6092" s="8" t="s">
        <v>27</v>
      </c>
      <c r="O6092" s="13"/>
      <c r="P6092" s="14">
        <v>0.2</v>
      </c>
      <c r="Q6092" s="15">
        <v>0.4</v>
      </c>
      <c r="R6092" s="64" t="str">
        <f t="shared" si="517"/>
        <v>GENERAL</v>
      </c>
      <c r="S6092" s="39" t="s">
        <v>12535</v>
      </c>
    </row>
    <row r="6093" spans="1:20" ht="27" customHeight="1" x14ac:dyDescent="0.25">
      <c r="A6093" s="32" t="s">
        <v>2124</v>
      </c>
      <c r="H6093" s="32" t="s">
        <v>12541</v>
      </c>
      <c r="I6093" s="33" t="s">
        <v>12542</v>
      </c>
      <c r="J6093" s="34" t="s">
        <v>33</v>
      </c>
      <c r="K6093" s="42">
        <v>93000</v>
      </c>
      <c r="L6093" s="12">
        <f t="shared" si="520"/>
        <v>186000</v>
      </c>
      <c r="M6093" s="8">
        <v>1</v>
      </c>
      <c r="N6093" s="8" t="s">
        <v>27</v>
      </c>
      <c r="O6093" s="13"/>
      <c r="P6093" s="14">
        <v>0.2</v>
      </c>
      <c r="Q6093" s="15">
        <v>0.4</v>
      </c>
      <c r="R6093" s="64" t="str">
        <f t="shared" si="517"/>
        <v>ECOLUZ</v>
      </c>
    </row>
    <row r="6094" spans="1:20" ht="27" customHeight="1" x14ac:dyDescent="0.25">
      <c r="A6094" s="32" t="s">
        <v>2512</v>
      </c>
      <c r="H6094" s="32" t="s">
        <v>12543</v>
      </c>
      <c r="I6094" s="33" t="s">
        <v>12544</v>
      </c>
      <c r="J6094" s="34" t="s">
        <v>33</v>
      </c>
      <c r="K6094" s="42">
        <v>29000</v>
      </c>
      <c r="L6094" s="12">
        <f t="shared" si="520"/>
        <v>58000</v>
      </c>
      <c r="M6094" s="8">
        <v>1</v>
      </c>
      <c r="N6094" s="8" t="s">
        <v>27</v>
      </c>
      <c r="O6094" s="13"/>
      <c r="P6094" s="14">
        <v>0.2</v>
      </c>
      <c r="Q6094" s="15">
        <v>0.4</v>
      </c>
      <c r="R6094" s="64" t="str">
        <f t="shared" si="517"/>
        <v>GENERAL</v>
      </c>
      <c r="S6094" s="39" t="s">
        <v>12545</v>
      </c>
    </row>
    <row r="6095" spans="1:20" ht="27" customHeight="1" x14ac:dyDescent="0.25">
      <c r="A6095" s="32" t="s">
        <v>6886</v>
      </c>
      <c r="H6095" s="32" t="s">
        <v>175</v>
      </c>
      <c r="I6095" s="33" t="s">
        <v>12546</v>
      </c>
      <c r="J6095" s="34" t="s">
        <v>33</v>
      </c>
      <c r="K6095" s="42">
        <v>119000</v>
      </c>
      <c r="L6095" s="12">
        <f t="shared" si="520"/>
        <v>238000</v>
      </c>
      <c r="M6095" s="8">
        <v>1</v>
      </c>
      <c r="N6095" s="8" t="s">
        <v>27</v>
      </c>
      <c r="O6095" s="13"/>
      <c r="P6095" s="14">
        <v>0.2</v>
      </c>
      <c r="Q6095" s="15">
        <v>0.4</v>
      </c>
      <c r="R6095" s="64" t="str">
        <f t="shared" si="517"/>
        <v>MEANWELL</v>
      </c>
    </row>
    <row r="6096" spans="1:20" ht="27" customHeight="1" x14ac:dyDescent="0.25">
      <c r="A6096" s="32" t="s">
        <v>2512</v>
      </c>
      <c r="H6096" s="32" t="s">
        <v>12547</v>
      </c>
      <c r="I6096" s="33" t="s">
        <v>12548</v>
      </c>
      <c r="J6096" s="34" t="s">
        <v>26</v>
      </c>
      <c r="K6096" s="42">
        <v>149</v>
      </c>
      <c r="L6096" s="12">
        <f t="shared" si="520"/>
        <v>298</v>
      </c>
      <c r="M6096" s="8">
        <v>1</v>
      </c>
      <c r="N6096" s="8" t="s">
        <v>27</v>
      </c>
      <c r="O6096" s="13"/>
      <c r="P6096" s="14">
        <v>0.2</v>
      </c>
      <c r="Q6096" s="15">
        <v>0.4</v>
      </c>
      <c r="R6096" s="64" t="str">
        <f t="shared" si="517"/>
        <v>GENERAL</v>
      </c>
      <c r="S6096" s="39" t="s">
        <v>12549</v>
      </c>
    </row>
    <row r="6097" spans="1:19" ht="27" customHeight="1" x14ac:dyDescent="0.25">
      <c r="A6097" s="32" t="s">
        <v>12550</v>
      </c>
      <c r="H6097" s="32" t="s">
        <v>12551</v>
      </c>
      <c r="I6097" s="33" t="s">
        <v>12552</v>
      </c>
      <c r="J6097" s="34" t="s">
        <v>26</v>
      </c>
      <c r="K6097" s="42">
        <v>12</v>
      </c>
      <c r="L6097" s="12">
        <f t="shared" si="520"/>
        <v>24</v>
      </c>
      <c r="M6097" s="8">
        <v>1</v>
      </c>
      <c r="N6097" s="8" t="s">
        <v>27</v>
      </c>
      <c r="O6097" s="13"/>
      <c r="P6097" s="14">
        <v>0.2</v>
      </c>
      <c r="Q6097" s="15">
        <v>0.4</v>
      </c>
      <c r="R6097" s="64" t="str">
        <f t="shared" si="517"/>
        <v>NIGNYA</v>
      </c>
      <c r="S6097" s="39" t="s">
        <v>12553</v>
      </c>
    </row>
    <row r="6098" spans="1:19" ht="27" customHeight="1" x14ac:dyDescent="0.25">
      <c r="A6098" s="32" t="s">
        <v>528</v>
      </c>
      <c r="H6098" s="32" t="s">
        <v>12554</v>
      </c>
      <c r="I6098" s="33" t="s">
        <v>12555</v>
      </c>
      <c r="J6098" s="34" t="s">
        <v>26</v>
      </c>
      <c r="K6098" s="42">
        <v>25</v>
      </c>
      <c r="L6098" s="12">
        <f t="shared" si="520"/>
        <v>50</v>
      </c>
      <c r="M6098" s="8">
        <v>1</v>
      </c>
      <c r="N6098" s="8" t="s">
        <v>27</v>
      </c>
      <c r="O6098" s="13"/>
      <c r="P6098" s="14">
        <v>0.2</v>
      </c>
      <c r="Q6098" s="15">
        <v>0.4</v>
      </c>
      <c r="R6098" s="64" t="str">
        <f t="shared" si="517"/>
        <v>ANKER</v>
      </c>
      <c r="S6098" s="39" t="s">
        <v>12556</v>
      </c>
    </row>
    <row r="6099" spans="1:19" ht="27" customHeight="1" x14ac:dyDescent="0.25">
      <c r="A6099" s="32" t="s">
        <v>12557</v>
      </c>
      <c r="H6099" s="32" t="s">
        <v>6859</v>
      </c>
      <c r="I6099" s="33" t="s">
        <v>12558</v>
      </c>
      <c r="J6099" s="34" t="s">
        <v>26</v>
      </c>
      <c r="K6099" s="42">
        <v>139</v>
      </c>
      <c r="L6099" s="12">
        <f t="shared" si="520"/>
        <v>278</v>
      </c>
      <c r="M6099" s="8">
        <v>1</v>
      </c>
      <c r="N6099" s="8" t="s">
        <v>27</v>
      </c>
      <c r="O6099" s="13"/>
      <c r="P6099" s="14">
        <v>0.2</v>
      </c>
      <c r="Q6099" s="15">
        <v>0.4</v>
      </c>
      <c r="R6099" s="64" t="str">
        <f t="shared" si="517"/>
        <v>KRISDONIA</v>
      </c>
      <c r="S6099" s="39" t="s">
        <v>12559</v>
      </c>
    </row>
    <row r="6100" spans="1:19" ht="27" customHeight="1" x14ac:dyDescent="0.25">
      <c r="A6100" s="32" t="s">
        <v>11095</v>
      </c>
      <c r="H6100" s="32" t="s">
        <v>12560</v>
      </c>
      <c r="I6100" s="33" t="s">
        <v>12561</v>
      </c>
      <c r="J6100" s="34" t="s">
        <v>26</v>
      </c>
      <c r="K6100" s="42">
        <v>298</v>
      </c>
      <c r="L6100" s="12">
        <f t="shared" si="520"/>
        <v>446.99999999999994</v>
      </c>
      <c r="M6100" s="8">
        <v>1</v>
      </c>
      <c r="N6100" s="8" t="s">
        <v>27</v>
      </c>
      <c r="O6100" s="13"/>
      <c r="P6100" s="14">
        <v>0.2</v>
      </c>
      <c r="Q6100" s="15">
        <v>0.2</v>
      </c>
      <c r="R6100" s="64" t="str">
        <f t="shared" si="517"/>
        <v>SCP</v>
      </c>
    </row>
    <row r="6101" spans="1:19" ht="27" customHeight="1" x14ac:dyDescent="0.25">
      <c r="A6101" s="32" t="s">
        <v>2512</v>
      </c>
      <c r="H6101" s="32" t="s">
        <v>12562</v>
      </c>
      <c r="I6101" s="33" t="s">
        <v>12563</v>
      </c>
      <c r="J6101" s="34" t="s">
        <v>26</v>
      </c>
      <c r="K6101" s="42">
        <v>220</v>
      </c>
      <c r="L6101" s="12">
        <f t="shared" si="520"/>
        <v>357.5</v>
      </c>
      <c r="M6101" s="8">
        <v>1</v>
      </c>
      <c r="N6101" s="8" t="s">
        <v>27</v>
      </c>
      <c r="O6101" s="13"/>
      <c r="P6101" s="14">
        <v>0.3</v>
      </c>
      <c r="Q6101" s="15">
        <v>0.2</v>
      </c>
      <c r="R6101" s="64" t="str">
        <f t="shared" si="517"/>
        <v>GENERAL</v>
      </c>
    </row>
    <row r="6102" spans="1:19" ht="27" customHeight="1" x14ac:dyDescent="0.25">
      <c r="A6102" s="32" t="s">
        <v>5672</v>
      </c>
      <c r="H6102" s="32" t="s">
        <v>12564</v>
      </c>
      <c r="I6102" s="33" t="s">
        <v>12565</v>
      </c>
      <c r="J6102" s="34" t="s">
        <v>26</v>
      </c>
      <c r="K6102" s="42">
        <v>37.020000000000003</v>
      </c>
      <c r="L6102" s="12">
        <f t="shared" si="520"/>
        <v>61.999987693862607</v>
      </c>
      <c r="M6102" s="8">
        <v>1</v>
      </c>
      <c r="N6102" s="8" t="s">
        <v>27</v>
      </c>
      <c r="O6102" s="13"/>
      <c r="P6102" s="14">
        <v>0.2</v>
      </c>
      <c r="Q6102" s="15">
        <v>0.283483728749231</v>
      </c>
      <c r="R6102" s="64" t="str">
        <f t="shared" si="517"/>
        <v>LUTRON</v>
      </c>
    </row>
    <row r="6103" spans="1:19" ht="27" customHeight="1" x14ac:dyDescent="0.25">
      <c r="A6103" s="8" t="s">
        <v>5672</v>
      </c>
      <c r="B6103" s="9"/>
      <c r="C6103" s="9"/>
      <c r="D6103" s="8"/>
      <c r="E6103" s="8"/>
      <c r="F6103" s="8"/>
      <c r="G6103" s="10"/>
      <c r="H6103" s="8" t="s">
        <v>12566</v>
      </c>
      <c r="I6103" s="10" t="s">
        <v>6604</v>
      </c>
      <c r="J6103" s="11" t="s">
        <v>26</v>
      </c>
      <c r="K6103" s="57">
        <v>75</v>
      </c>
      <c r="L6103" s="12">
        <f t="shared" ref="L6103:L6112" si="521">K6103*(1+P6103)/(1-Q6103)</f>
        <v>150</v>
      </c>
      <c r="M6103" s="8">
        <v>1</v>
      </c>
      <c r="N6103" s="8" t="s">
        <v>27</v>
      </c>
      <c r="O6103" s="13"/>
      <c r="P6103" s="14">
        <v>0.2</v>
      </c>
      <c r="Q6103" s="15">
        <v>0.4</v>
      </c>
      <c r="R6103" s="16" t="str">
        <f t="shared" si="517"/>
        <v>LUTRON</v>
      </c>
    </row>
    <row r="6104" spans="1:19" ht="27" customHeight="1" x14ac:dyDescent="0.25">
      <c r="A6104" s="32" t="s">
        <v>5672</v>
      </c>
      <c r="H6104" s="8" t="s">
        <v>12567</v>
      </c>
      <c r="I6104" s="33" t="s">
        <v>11906</v>
      </c>
      <c r="J6104" s="34" t="s">
        <v>26</v>
      </c>
      <c r="K6104" s="42">
        <v>48</v>
      </c>
      <c r="L6104" s="12">
        <f t="shared" si="521"/>
        <v>80.000004384014375</v>
      </c>
      <c r="M6104" s="8">
        <v>1</v>
      </c>
      <c r="N6104" s="8" t="s">
        <v>27</v>
      </c>
      <c r="O6104" s="13"/>
      <c r="P6104" s="14">
        <v>0.2</v>
      </c>
      <c r="Q6104" s="15">
        <v>0.28000003945612728</v>
      </c>
      <c r="R6104" s="40" t="str">
        <f t="shared" si="517"/>
        <v>LUTRON</v>
      </c>
    </row>
    <row r="6105" spans="1:19" ht="27" customHeight="1" x14ac:dyDescent="0.25">
      <c r="A6105" s="32" t="s">
        <v>5672</v>
      </c>
      <c r="H6105" s="8" t="s">
        <v>12568</v>
      </c>
      <c r="I6105" s="33" t="s">
        <v>11908</v>
      </c>
      <c r="J6105" s="34" t="s">
        <v>26</v>
      </c>
      <c r="K6105" s="42">
        <v>48</v>
      </c>
      <c r="L6105" s="12">
        <f t="shared" si="521"/>
        <v>80.000004384014375</v>
      </c>
      <c r="M6105" s="8">
        <v>1</v>
      </c>
      <c r="N6105" s="8" t="s">
        <v>27</v>
      </c>
      <c r="O6105" s="13"/>
      <c r="P6105" s="14">
        <v>0.2</v>
      </c>
      <c r="Q6105" s="15">
        <v>0.28000003945612728</v>
      </c>
      <c r="R6105" s="40" t="str">
        <f t="shared" si="517"/>
        <v>LUTRON</v>
      </c>
    </row>
    <row r="6106" spans="1:19" ht="27" customHeight="1" x14ac:dyDescent="0.25">
      <c r="A6106" s="32" t="s">
        <v>5672</v>
      </c>
      <c r="H6106" s="8" t="s">
        <v>12569</v>
      </c>
      <c r="I6106" s="33" t="s">
        <v>11909</v>
      </c>
      <c r="J6106" s="34" t="s">
        <v>26</v>
      </c>
      <c r="K6106" s="42">
        <f>75*1.1</f>
        <v>82.5</v>
      </c>
      <c r="L6106" s="12">
        <f t="shared" si="521"/>
        <v>165</v>
      </c>
      <c r="M6106" s="8">
        <v>1</v>
      </c>
      <c r="N6106" s="8" t="s">
        <v>27</v>
      </c>
      <c r="O6106" s="13"/>
      <c r="P6106" s="14">
        <v>0.2</v>
      </c>
      <c r="Q6106" s="15">
        <v>0.4</v>
      </c>
      <c r="R6106" s="40" t="str">
        <f t="shared" si="517"/>
        <v>LUTRON</v>
      </c>
    </row>
    <row r="6107" spans="1:19" ht="27" customHeight="1" x14ac:dyDescent="0.25">
      <c r="A6107" s="32" t="s">
        <v>1821</v>
      </c>
      <c r="H6107" t="s">
        <v>12570</v>
      </c>
      <c r="I6107" s="33" t="s">
        <v>12571</v>
      </c>
      <c r="J6107" s="34" t="s">
        <v>26</v>
      </c>
      <c r="K6107" s="42">
        <v>75</v>
      </c>
      <c r="L6107" s="12">
        <f t="shared" si="521"/>
        <v>150</v>
      </c>
      <c r="M6107" s="8">
        <v>1</v>
      </c>
      <c r="N6107" s="8" t="s">
        <v>27</v>
      </c>
      <c r="O6107" s="13"/>
      <c r="P6107" s="14">
        <v>0.2</v>
      </c>
      <c r="Q6107" s="15">
        <v>0.4</v>
      </c>
      <c r="R6107" s="40" t="str">
        <f t="shared" si="517"/>
        <v>DAYTON</v>
      </c>
    </row>
    <row r="6108" spans="1:19" ht="27" customHeight="1" x14ac:dyDescent="0.25">
      <c r="A6108" s="32" t="s">
        <v>1821</v>
      </c>
      <c r="H6108" t="s">
        <v>12342</v>
      </c>
      <c r="I6108" s="33" t="s">
        <v>12572</v>
      </c>
      <c r="J6108" s="34" t="s">
        <v>26</v>
      </c>
      <c r="K6108" s="42">
        <v>75</v>
      </c>
      <c r="L6108" s="12">
        <f t="shared" si="521"/>
        <v>150</v>
      </c>
      <c r="M6108" s="8">
        <v>1</v>
      </c>
      <c r="N6108" s="8" t="s">
        <v>27</v>
      </c>
      <c r="O6108" s="13"/>
      <c r="P6108" s="14">
        <v>0.2</v>
      </c>
      <c r="Q6108" s="15">
        <v>0.4</v>
      </c>
      <c r="R6108" s="40" t="str">
        <f t="shared" si="517"/>
        <v>DAYTON</v>
      </c>
    </row>
    <row r="6109" spans="1:19" ht="27" customHeight="1" x14ac:dyDescent="0.25">
      <c r="A6109" s="32" t="s">
        <v>11808</v>
      </c>
      <c r="H6109" s="32" t="s">
        <v>12573</v>
      </c>
      <c r="I6109" s="33" t="s">
        <v>12574</v>
      </c>
      <c r="J6109" s="34" t="s">
        <v>26</v>
      </c>
      <c r="K6109" s="42">
        <v>97.5</v>
      </c>
      <c r="L6109" s="12">
        <f t="shared" si="521"/>
        <v>146.25</v>
      </c>
      <c r="M6109" s="8">
        <v>1</v>
      </c>
      <c r="N6109" s="8" t="s">
        <v>27</v>
      </c>
      <c r="O6109" s="13"/>
      <c r="P6109" s="14">
        <v>0.2</v>
      </c>
      <c r="Q6109" s="15">
        <v>0.2</v>
      </c>
      <c r="R6109" s="40" t="str">
        <f t="shared" si="517"/>
        <v>POLK</v>
      </c>
    </row>
    <row r="6110" spans="1:19" ht="27" customHeight="1" x14ac:dyDescent="0.25">
      <c r="A6110" s="32" t="s">
        <v>5027</v>
      </c>
      <c r="H6110" s="32" t="s">
        <v>12575</v>
      </c>
      <c r="I6110" s="33" t="s">
        <v>12576</v>
      </c>
      <c r="J6110" s="34" t="s">
        <v>26</v>
      </c>
      <c r="K6110" s="42">
        <v>125</v>
      </c>
      <c r="L6110" s="12">
        <f t="shared" si="521"/>
        <v>178.57142857142858</v>
      </c>
      <c r="M6110" s="8">
        <v>1</v>
      </c>
      <c r="N6110" s="8" t="s">
        <v>27</v>
      </c>
      <c r="O6110" s="13"/>
      <c r="P6110" s="14">
        <v>0</v>
      </c>
      <c r="Q6110" s="15">
        <v>0.3</v>
      </c>
      <c r="R6110" s="40" t="str">
        <f t="shared" si="517"/>
        <v>LEDS_C4</v>
      </c>
    </row>
    <row r="6111" spans="1:19" ht="27" customHeight="1" x14ac:dyDescent="0.25">
      <c r="A6111" s="32" t="s">
        <v>10258</v>
      </c>
      <c r="H6111" s="32" t="s">
        <v>10269</v>
      </c>
      <c r="I6111" s="33" t="s">
        <v>12577</v>
      </c>
      <c r="J6111" s="34" t="s">
        <v>26</v>
      </c>
      <c r="K6111" s="42">
        <v>49.8</v>
      </c>
      <c r="L6111" s="12">
        <f t="shared" si="521"/>
        <v>92.48571428571428</v>
      </c>
      <c r="M6111" s="8">
        <v>1</v>
      </c>
      <c r="N6111" s="8" t="s">
        <v>27</v>
      </c>
      <c r="O6111" s="13"/>
      <c r="P6111" s="14">
        <v>0.3</v>
      </c>
      <c r="Q6111" s="15">
        <v>0.3</v>
      </c>
      <c r="R6111" s="40" t="str">
        <f t="shared" si="517"/>
        <v>SC_POWER</v>
      </c>
    </row>
    <row r="6112" spans="1:19" ht="27" customHeight="1" x14ac:dyDescent="0.25">
      <c r="A6112" s="32" t="s">
        <v>10258</v>
      </c>
      <c r="H6112" s="32" t="s">
        <v>10267</v>
      </c>
      <c r="I6112" s="33" t="s">
        <v>12578</v>
      </c>
      <c r="J6112" s="34" t="s">
        <v>26</v>
      </c>
      <c r="K6112" s="42">
        <v>38.700000000000003</v>
      </c>
      <c r="L6112" s="12">
        <f t="shared" si="521"/>
        <v>71.871428571428581</v>
      </c>
      <c r="M6112" s="8">
        <v>1</v>
      </c>
      <c r="N6112" s="8" t="s">
        <v>27</v>
      </c>
      <c r="O6112" s="13"/>
      <c r="P6112" s="14">
        <v>0.3</v>
      </c>
      <c r="Q6112" s="15">
        <v>0.3</v>
      </c>
      <c r="R6112" s="40" t="str">
        <f t="shared" si="517"/>
        <v>SC_POWER</v>
      </c>
    </row>
    <row r="6113" spans="1:20" ht="27" customHeight="1" x14ac:dyDescent="0.25">
      <c r="A6113" s="8" t="s">
        <v>7662</v>
      </c>
      <c r="B6113" s="9"/>
      <c r="C6113" s="9"/>
      <c r="D6113" s="8"/>
      <c r="E6113" s="8"/>
      <c r="F6113" s="8"/>
      <c r="G6113" s="10"/>
      <c r="H6113" s="8" t="s">
        <v>12579</v>
      </c>
      <c r="I6113" s="10" t="s">
        <v>12580</v>
      </c>
      <c r="J6113" s="11" t="s">
        <v>33</v>
      </c>
      <c r="K6113" s="18">
        <v>60000</v>
      </c>
      <c r="L6113" s="12">
        <f>ROUNDUP(K6113*(1+P6113)/(1-Q6113),0)</f>
        <v>85715</v>
      </c>
      <c r="M6113" s="8">
        <v>1</v>
      </c>
      <c r="N6113" s="8" t="s">
        <v>27</v>
      </c>
      <c r="O6113" s="13"/>
      <c r="P6113" s="14">
        <v>0</v>
      </c>
      <c r="Q6113" s="15">
        <v>0.3</v>
      </c>
      <c r="R6113" s="16" t="str">
        <f t="shared" si="517"/>
        <v>PHILIPS</v>
      </c>
      <c r="S6113" s="17"/>
      <c r="T6113" s="10"/>
    </row>
    <row r="6114" spans="1:20" ht="27" customHeight="1" x14ac:dyDescent="0.25">
      <c r="A6114" s="32" t="s">
        <v>2095</v>
      </c>
      <c r="H6114" s="32" t="s">
        <v>12581</v>
      </c>
      <c r="I6114" s="33" t="s">
        <v>12582</v>
      </c>
      <c r="J6114" s="34" t="s">
        <v>33</v>
      </c>
      <c r="K6114" s="42">
        <v>45000</v>
      </c>
      <c r="L6114" s="12">
        <f t="shared" ref="L6114:L6127" si="522">K6114*(1+P6114)/(1-Q6114)</f>
        <v>90000</v>
      </c>
      <c r="M6114" s="8">
        <v>1</v>
      </c>
      <c r="N6114" s="8" t="s">
        <v>27</v>
      </c>
      <c r="O6114" s="13"/>
      <c r="P6114" s="14">
        <v>0</v>
      </c>
      <c r="Q6114" s="15">
        <v>0.5</v>
      </c>
      <c r="R6114" s="40" t="str">
        <f t="shared" si="517"/>
        <v>ECOLITE</v>
      </c>
    </row>
    <row r="6115" spans="1:20" ht="27" customHeight="1" x14ac:dyDescent="0.25">
      <c r="A6115" s="32" t="s">
        <v>5672</v>
      </c>
      <c r="H6115" s="32" t="s">
        <v>12583</v>
      </c>
      <c r="I6115" s="33" t="s">
        <v>12584</v>
      </c>
      <c r="J6115" s="34" t="s">
        <v>26</v>
      </c>
      <c r="K6115" s="42">
        <v>860</v>
      </c>
      <c r="L6115" s="12">
        <f t="shared" si="522"/>
        <v>1720</v>
      </c>
      <c r="M6115" s="8">
        <v>1</v>
      </c>
      <c r="N6115" s="8" t="s">
        <v>27</v>
      </c>
      <c r="O6115" s="13"/>
      <c r="P6115" s="14">
        <v>0.2</v>
      </c>
      <c r="Q6115" s="15">
        <v>0.4</v>
      </c>
      <c r="R6115" s="40" t="str">
        <f t="shared" si="517"/>
        <v>LUTRON</v>
      </c>
      <c r="T6115" s="128"/>
    </row>
    <row r="6116" spans="1:20" ht="27" customHeight="1" x14ac:dyDescent="0.25">
      <c r="A6116" s="32" t="s">
        <v>2512</v>
      </c>
      <c r="H6116" s="32" t="s">
        <v>12585</v>
      </c>
      <c r="I6116" s="33" t="s">
        <v>12586</v>
      </c>
      <c r="J6116" s="34" t="s">
        <v>26</v>
      </c>
      <c r="K6116" s="42">
        <v>39</v>
      </c>
      <c r="L6116" s="12">
        <f t="shared" si="522"/>
        <v>78</v>
      </c>
      <c r="M6116" s="8">
        <v>1</v>
      </c>
      <c r="N6116" s="8" t="s">
        <v>27</v>
      </c>
      <c r="O6116" s="13"/>
      <c r="P6116" s="14">
        <v>0.2</v>
      </c>
      <c r="Q6116" s="15">
        <v>0.4</v>
      </c>
      <c r="R6116" s="40" t="str">
        <f t="shared" si="517"/>
        <v>GENERAL</v>
      </c>
    </row>
    <row r="6117" spans="1:20" ht="27" customHeight="1" x14ac:dyDescent="0.25">
      <c r="A6117" s="8" t="s">
        <v>904</v>
      </c>
      <c r="H6117" s="32" t="s">
        <v>12587</v>
      </c>
      <c r="I6117" s="33" t="s">
        <v>12588</v>
      </c>
      <c r="J6117" s="34" t="s">
        <v>26</v>
      </c>
      <c r="K6117" s="42">
        <f>321/2</f>
        <v>160.5</v>
      </c>
      <c r="L6117" s="12">
        <f t="shared" si="522"/>
        <v>229.28571428571431</v>
      </c>
      <c r="M6117" s="8">
        <v>1</v>
      </c>
      <c r="N6117" s="8" t="s">
        <v>27</v>
      </c>
      <c r="O6117" s="13"/>
      <c r="P6117" s="14">
        <v>0</v>
      </c>
      <c r="Q6117" s="15">
        <v>0.3</v>
      </c>
      <c r="R6117" s="40" t="str">
        <f t="shared" si="517"/>
        <v>BOWER AND WILKINS</v>
      </c>
    </row>
    <row r="6118" spans="1:20" ht="27" customHeight="1" x14ac:dyDescent="0.25">
      <c r="A6118" s="32" t="s">
        <v>2512</v>
      </c>
      <c r="H6118" s="32" t="s">
        <v>12589</v>
      </c>
      <c r="I6118" s="33" t="s">
        <v>12590</v>
      </c>
      <c r="J6118" s="34" t="s">
        <v>26</v>
      </c>
      <c r="K6118" s="42">
        <v>5</v>
      </c>
      <c r="L6118" s="12">
        <f t="shared" si="522"/>
        <v>7.1428571428571432</v>
      </c>
      <c r="M6118" s="8">
        <v>1</v>
      </c>
      <c r="N6118" s="8" t="s">
        <v>27</v>
      </c>
      <c r="O6118" s="13"/>
      <c r="P6118" s="14">
        <v>0</v>
      </c>
      <c r="Q6118" s="15">
        <v>0.3</v>
      </c>
      <c r="R6118" s="40" t="str">
        <f t="shared" si="517"/>
        <v>GENERAL</v>
      </c>
    </row>
    <row r="6119" spans="1:20" ht="27" customHeight="1" x14ac:dyDescent="0.25">
      <c r="A6119" s="32" t="s">
        <v>2413</v>
      </c>
      <c r="H6119" s="32" t="s">
        <v>12591</v>
      </c>
      <c r="I6119" s="33" t="s">
        <v>12592</v>
      </c>
      <c r="J6119" s="34" t="s">
        <v>33</v>
      </c>
      <c r="K6119" s="42">
        <v>851320</v>
      </c>
      <c r="L6119" s="12">
        <f t="shared" si="522"/>
        <v>1064150</v>
      </c>
      <c r="M6119" s="8">
        <v>1</v>
      </c>
      <c r="N6119" s="8" t="s">
        <v>27</v>
      </c>
      <c r="O6119" s="13"/>
      <c r="P6119" s="14">
        <v>0</v>
      </c>
      <c r="Q6119" s="15">
        <v>0.2</v>
      </c>
      <c r="R6119" s="40" t="str">
        <f t="shared" si="517"/>
        <v>FLOS</v>
      </c>
    </row>
    <row r="6120" spans="1:20" ht="27" customHeight="1" x14ac:dyDescent="0.25">
      <c r="A6120" s="32" t="s">
        <v>3977</v>
      </c>
      <c r="H6120" s="32" t="s">
        <v>12593</v>
      </c>
      <c r="I6120" s="33" t="s">
        <v>12594</v>
      </c>
      <c r="J6120" s="34" t="s">
        <v>697</v>
      </c>
      <c r="K6120" s="42">
        <f>124000*8</f>
        <v>992000</v>
      </c>
      <c r="L6120" s="12">
        <f t="shared" si="522"/>
        <v>1984000</v>
      </c>
      <c r="M6120" s="8">
        <v>1</v>
      </c>
      <c r="N6120" s="8" t="s">
        <v>27</v>
      </c>
      <c r="O6120" s="13"/>
      <c r="P6120" s="14">
        <v>0.2</v>
      </c>
      <c r="Q6120" s="15">
        <v>0.4</v>
      </c>
      <c r="R6120" s="40" t="str">
        <f t="shared" si="517"/>
        <v>KOMODO</v>
      </c>
    </row>
    <row r="6121" spans="1:20" ht="27" customHeight="1" x14ac:dyDescent="0.25">
      <c r="A6121" s="32" t="s">
        <v>3977</v>
      </c>
      <c r="H6121" s="32" t="s">
        <v>12595</v>
      </c>
      <c r="I6121" s="33" t="s">
        <v>12596</v>
      </c>
      <c r="J6121" s="34" t="s">
        <v>33</v>
      </c>
      <c r="K6121" s="42">
        <v>1000000</v>
      </c>
      <c r="L6121" s="12">
        <f t="shared" si="522"/>
        <v>2000000</v>
      </c>
      <c r="M6121" s="8">
        <v>1</v>
      </c>
      <c r="N6121" s="8" t="s">
        <v>27</v>
      </c>
      <c r="O6121" s="13"/>
      <c r="P6121" s="14">
        <v>0.2</v>
      </c>
      <c r="Q6121" s="15">
        <v>0.4</v>
      </c>
      <c r="R6121" s="40" t="str">
        <f t="shared" si="517"/>
        <v>KOMODO</v>
      </c>
    </row>
    <row r="6122" spans="1:20" ht="27" customHeight="1" x14ac:dyDescent="0.25">
      <c r="A6122" s="32" t="s">
        <v>10677</v>
      </c>
      <c r="H6122" s="32" t="s">
        <v>12597</v>
      </c>
      <c r="I6122" s="33" t="s">
        <v>12598</v>
      </c>
      <c r="J6122" s="34" t="s">
        <v>26</v>
      </c>
      <c r="K6122" s="42">
        <f>648/2</f>
        <v>324</v>
      </c>
      <c r="L6122" s="12">
        <f t="shared" si="522"/>
        <v>648</v>
      </c>
      <c r="M6122" s="8">
        <v>1</v>
      </c>
      <c r="N6122" s="8" t="s">
        <v>27</v>
      </c>
      <c r="O6122" s="13"/>
      <c r="P6122" s="14">
        <v>0.2</v>
      </c>
      <c r="Q6122" s="15">
        <v>0.4</v>
      </c>
      <c r="R6122" s="40" t="str">
        <f t="shared" si="517"/>
        <v>SONANCE</v>
      </c>
    </row>
    <row r="6123" spans="1:20" ht="27" customHeight="1" x14ac:dyDescent="0.25">
      <c r="A6123" s="32" t="s">
        <v>10677</v>
      </c>
      <c r="H6123" s="32" t="s">
        <v>12599</v>
      </c>
      <c r="I6123" s="33" t="s">
        <v>12600</v>
      </c>
      <c r="J6123" s="34" t="s">
        <v>26</v>
      </c>
      <c r="K6123" s="42">
        <v>100</v>
      </c>
      <c r="L6123" s="12">
        <f t="shared" si="522"/>
        <v>200</v>
      </c>
      <c r="M6123" s="8">
        <v>1</v>
      </c>
      <c r="N6123" s="8" t="s">
        <v>27</v>
      </c>
      <c r="O6123" s="13"/>
      <c r="P6123" s="14">
        <v>0.2</v>
      </c>
      <c r="Q6123" s="15">
        <v>0.4</v>
      </c>
      <c r="R6123" s="40" t="str">
        <f t="shared" si="517"/>
        <v>SONANCE</v>
      </c>
    </row>
    <row r="6124" spans="1:20" ht="27" customHeight="1" x14ac:dyDescent="0.25">
      <c r="A6124" s="32" t="s">
        <v>3977</v>
      </c>
      <c r="H6124" s="32" t="s">
        <v>12601</v>
      </c>
      <c r="I6124" s="33" t="s">
        <v>12602</v>
      </c>
      <c r="J6124" s="34" t="s">
        <v>33</v>
      </c>
      <c r="K6124" s="42">
        <f>420000/2</f>
        <v>210000</v>
      </c>
      <c r="L6124" s="12">
        <f t="shared" si="522"/>
        <v>262500</v>
      </c>
      <c r="M6124" s="8">
        <v>1</v>
      </c>
      <c r="N6124" s="8" t="s">
        <v>27</v>
      </c>
      <c r="O6124" s="13"/>
      <c r="P6124" s="14">
        <v>0</v>
      </c>
      <c r="Q6124" s="15">
        <v>0.2</v>
      </c>
      <c r="R6124" s="40" t="str">
        <f t="shared" si="517"/>
        <v>KOMODO</v>
      </c>
    </row>
    <row r="6125" spans="1:20" ht="27" customHeight="1" x14ac:dyDescent="0.25">
      <c r="A6125" s="32" t="s">
        <v>3977</v>
      </c>
      <c r="H6125" s="32" t="s">
        <v>12603</v>
      </c>
      <c r="I6125" s="33" t="s">
        <v>12604</v>
      </c>
      <c r="J6125" s="34" t="s">
        <v>33</v>
      </c>
      <c r="K6125" s="42">
        <f>K6124/(60*180)*100*500/2.3</f>
        <v>422705.31400966184</v>
      </c>
      <c r="L6125" s="12">
        <f t="shared" si="522"/>
        <v>528381.64251207723</v>
      </c>
      <c r="M6125" s="8">
        <v>1</v>
      </c>
      <c r="N6125" s="8" t="s">
        <v>27</v>
      </c>
      <c r="O6125" s="13"/>
      <c r="P6125" s="14">
        <v>0</v>
      </c>
      <c r="Q6125" s="15">
        <v>0.2</v>
      </c>
      <c r="R6125" s="40" t="str">
        <f t="shared" si="517"/>
        <v>KOMODO</v>
      </c>
    </row>
    <row r="6126" spans="1:20" ht="27" customHeight="1" x14ac:dyDescent="0.25">
      <c r="A6126" s="32" t="s">
        <v>3977</v>
      </c>
      <c r="H6126" s="32" t="s">
        <v>12605</v>
      </c>
      <c r="I6126" s="33" t="s">
        <v>12606</v>
      </c>
      <c r="J6126" s="34" t="s">
        <v>33</v>
      </c>
      <c r="K6126" s="42">
        <f>K6125/(60*180)*50*60</f>
        <v>117418.14278046164</v>
      </c>
      <c r="L6126" s="12">
        <f t="shared" si="522"/>
        <v>146772.67847557703</v>
      </c>
      <c r="M6126" s="8">
        <v>1</v>
      </c>
      <c r="N6126" s="8" t="s">
        <v>27</v>
      </c>
      <c r="O6126" s="13"/>
      <c r="P6126" s="14">
        <v>0</v>
      </c>
      <c r="Q6126" s="15">
        <v>0.2</v>
      </c>
      <c r="R6126" s="40" t="str">
        <f t="shared" si="517"/>
        <v>KOMODO</v>
      </c>
    </row>
    <row r="6127" spans="1:20" ht="27" customHeight="1" x14ac:dyDescent="0.25">
      <c r="A6127" s="32" t="s">
        <v>5672</v>
      </c>
      <c r="H6127" s="32" t="s">
        <v>12607</v>
      </c>
      <c r="I6127" s="33" t="s">
        <v>12608</v>
      </c>
      <c r="J6127" s="34" t="s">
        <v>33</v>
      </c>
      <c r="K6127" s="42">
        <v>50000</v>
      </c>
      <c r="L6127" s="12">
        <f t="shared" si="522"/>
        <v>85714.285714285725</v>
      </c>
      <c r="M6127" s="8">
        <v>1</v>
      </c>
      <c r="N6127" s="8" t="s">
        <v>27</v>
      </c>
      <c r="O6127" s="13"/>
      <c r="P6127" s="14">
        <v>0.2</v>
      </c>
      <c r="Q6127" s="15">
        <v>0.3</v>
      </c>
      <c r="R6127" s="40" t="str">
        <f t="shared" ref="R6127:R6190" si="523">A6127</f>
        <v>LUTRON</v>
      </c>
    </row>
    <row r="6128" spans="1:20" ht="27" customHeight="1" x14ac:dyDescent="0.25">
      <c r="A6128" s="32" t="s">
        <v>7105</v>
      </c>
      <c r="H6128" t="s">
        <v>12609</v>
      </c>
      <c r="I6128" t="s">
        <v>12610</v>
      </c>
      <c r="J6128" t="s">
        <v>33</v>
      </c>
      <c r="K6128" s="42">
        <v>58000</v>
      </c>
      <c r="L6128" s="12">
        <f t="shared" ref="L6128:L6138" si="524">IF(J6128="P",ROUNDUP(K6128/(1-Q6128),-2),K6128*(1+P6128)/(1-Q6128))</f>
        <v>89300</v>
      </c>
      <c r="M6128" s="8">
        <v>1</v>
      </c>
      <c r="N6128" s="8" t="s">
        <v>27</v>
      </c>
      <c r="O6128" s="13">
        <f>F6128</f>
        <v>0</v>
      </c>
      <c r="P6128" s="14">
        <v>0</v>
      </c>
      <c r="Q6128" s="15">
        <v>0.35</v>
      </c>
      <c r="R6128" s="16" t="str">
        <f t="shared" si="523"/>
        <v>NORTH BAYOU</v>
      </c>
    </row>
    <row r="6129" spans="1:20" ht="27" customHeight="1" x14ac:dyDescent="0.25">
      <c r="A6129" s="32" t="s">
        <v>3977</v>
      </c>
      <c r="H6129" s="32" t="s">
        <v>12611</v>
      </c>
      <c r="I6129" s="33" t="s">
        <v>12612</v>
      </c>
      <c r="J6129" s="34" t="s">
        <v>33</v>
      </c>
      <c r="K6129" s="42">
        <v>480000</v>
      </c>
      <c r="L6129" s="12">
        <f t="shared" si="524"/>
        <v>738500</v>
      </c>
      <c r="M6129" s="8">
        <v>1</v>
      </c>
      <c r="N6129" s="8" t="s">
        <v>27</v>
      </c>
      <c r="O6129" s="13">
        <f>F6129</f>
        <v>0</v>
      </c>
      <c r="P6129" s="14">
        <v>0</v>
      </c>
      <c r="Q6129" s="15">
        <v>0.35</v>
      </c>
      <c r="R6129" s="16" t="str">
        <f t="shared" si="523"/>
        <v>KOMODO</v>
      </c>
    </row>
    <row r="6130" spans="1:20" ht="27" customHeight="1" x14ac:dyDescent="0.25">
      <c r="A6130" s="32" t="s">
        <v>11655</v>
      </c>
      <c r="B6130" s="9"/>
      <c r="C6130" s="9"/>
      <c r="D6130" s="8"/>
      <c r="E6130" s="8"/>
      <c r="F6130" s="8" t="s">
        <v>22</v>
      </c>
      <c r="G6130" s="10" t="s">
        <v>3031</v>
      </c>
      <c r="H6130" s="8" t="s">
        <v>12167</v>
      </c>
      <c r="I6130" s="10" t="s">
        <v>12613</v>
      </c>
      <c r="J6130" s="11" t="s">
        <v>33</v>
      </c>
      <c r="K6130" s="18">
        <v>282000</v>
      </c>
      <c r="L6130" s="12">
        <f t="shared" si="524"/>
        <v>470000</v>
      </c>
      <c r="M6130" s="8">
        <v>1</v>
      </c>
      <c r="N6130" s="8" t="s">
        <v>27</v>
      </c>
      <c r="O6130" s="13"/>
      <c r="P6130" s="14">
        <v>0</v>
      </c>
      <c r="Q6130" s="15">
        <v>0.4</v>
      </c>
      <c r="R6130" s="16" t="str">
        <f t="shared" si="523"/>
        <v>TOPSEC</v>
      </c>
      <c r="S6130" s="17"/>
      <c r="T6130" s="10" t="str">
        <f>G6130</f>
        <v>ROLLO DE 305 METROS DE CABLE DESOXIGENADO TRANSPARENTE AWG2X16 PARA ALTAVOZ.</v>
      </c>
    </row>
    <row r="6131" spans="1:20" ht="27" customHeight="1" x14ac:dyDescent="0.25">
      <c r="A6131" s="32" t="s">
        <v>2512</v>
      </c>
      <c r="H6131" s="32" t="s">
        <v>12614</v>
      </c>
      <c r="I6131" s="33" t="s">
        <v>12615</v>
      </c>
      <c r="J6131" s="34" t="s">
        <v>33</v>
      </c>
      <c r="K6131" s="42">
        <v>22000</v>
      </c>
      <c r="L6131" s="12">
        <f t="shared" si="524"/>
        <v>44000</v>
      </c>
      <c r="M6131" s="8">
        <v>1</v>
      </c>
      <c r="N6131" s="8" t="s">
        <v>27</v>
      </c>
      <c r="O6131" s="13"/>
      <c r="P6131" s="14">
        <v>0</v>
      </c>
      <c r="Q6131" s="15">
        <v>0.5</v>
      </c>
      <c r="R6131" s="16" t="str">
        <f t="shared" si="523"/>
        <v>GENERAL</v>
      </c>
      <c r="S6131" s="17"/>
      <c r="T6131" s="10">
        <f>G6131</f>
        <v>0</v>
      </c>
    </row>
    <row r="6132" spans="1:20" ht="27" customHeight="1" x14ac:dyDescent="0.25">
      <c r="A6132" s="32" t="s">
        <v>2413</v>
      </c>
      <c r="H6132" s="32" t="s">
        <v>12616</v>
      </c>
      <c r="I6132" s="33" t="s">
        <v>12617</v>
      </c>
      <c r="J6132" s="34" t="s">
        <v>33</v>
      </c>
      <c r="K6132" s="42">
        <v>845000</v>
      </c>
      <c r="L6132" s="12">
        <f t="shared" si="524"/>
        <v>1690000</v>
      </c>
      <c r="M6132" s="8">
        <v>1</v>
      </c>
      <c r="N6132" s="8" t="s">
        <v>27</v>
      </c>
      <c r="O6132" s="13"/>
      <c r="P6132" s="14">
        <v>0</v>
      </c>
      <c r="Q6132" s="15">
        <v>0.5</v>
      </c>
      <c r="R6132" s="16" t="str">
        <f t="shared" si="523"/>
        <v>FLOS</v>
      </c>
      <c r="S6132" s="17"/>
    </row>
    <row r="6133" spans="1:20" ht="27" customHeight="1" x14ac:dyDescent="0.25">
      <c r="A6133" s="8" t="s">
        <v>2512</v>
      </c>
      <c r="B6133" s="9" t="s">
        <v>683</v>
      </c>
      <c r="C6133" s="9"/>
      <c r="D6133" s="8" t="s">
        <v>602</v>
      </c>
      <c r="E6133" s="8">
        <v>2</v>
      </c>
      <c r="F6133" s="8" t="s">
        <v>22</v>
      </c>
      <c r="G6133" s="10" t="s">
        <v>3029</v>
      </c>
      <c r="H6133" s="8" t="s">
        <v>12511</v>
      </c>
      <c r="I6133" s="10" t="s">
        <v>12618</v>
      </c>
      <c r="J6133" s="11" t="s">
        <v>33</v>
      </c>
      <c r="K6133" s="18">
        <v>45000</v>
      </c>
      <c r="L6133" s="12">
        <f t="shared" si="524"/>
        <v>90000</v>
      </c>
      <c r="M6133" s="8">
        <v>1</v>
      </c>
      <c r="N6133" s="8" t="s">
        <v>27</v>
      </c>
      <c r="O6133" s="13"/>
      <c r="P6133" s="14">
        <v>0</v>
      </c>
      <c r="Q6133" s="15">
        <v>0.5</v>
      </c>
      <c r="R6133" s="16" t="str">
        <f t="shared" si="523"/>
        <v>GENERAL</v>
      </c>
      <c r="S6133" s="17"/>
      <c r="T6133" s="10" t="str">
        <f>G6133</f>
        <v>CONTACTOR A 16 AMPERIOS Y BOBINA A 110V. MARCA: CHINT.</v>
      </c>
    </row>
    <row r="6134" spans="1:20" ht="27" customHeight="1" x14ac:dyDescent="0.25">
      <c r="A6134" s="32" t="s">
        <v>3977</v>
      </c>
      <c r="H6134" s="24" t="s">
        <v>12619</v>
      </c>
      <c r="I6134" s="33" t="s">
        <v>12620</v>
      </c>
      <c r="J6134" s="34" t="s">
        <v>33</v>
      </c>
      <c r="K6134" s="42">
        <v>1000000</v>
      </c>
      <c r="L6134" s="12">
        <f t="shared" si="524"/>
        <v>2000000</v>
      </c>
      <c r="M6134" s="8">
        <v>1</v>
      </c>
      <c r="N6134" s="8" t="s">
        <v>27</v>
      </c>
      <c r="O6134" s="13"/>
      <c r="P6134" s="14">
        <v>0</v>
      </c>
      <c r="Q6134" s="15">
        <v>0.5</v>
      </c>
      <c r="R6134" s="16" t="str">
        <f t="shared" si="523"/>
        <v>KOMODO</v>
      </c>
    </row>
    <row r="6135" spans="1:20" ht="27" customHeight="1" x14ac:dyDescent="0.25">
      <c r="A6135" s="32" t="s">
        <v>2512</v>
      </c>
      <c r="H6135" s="32" t="s">
        <v>12621</v>
      </c>
      <c r="I6135" s="33" t="s">
        <v>12622</v>
      </c>
      <c r="J6135" s="34" t="s">
        <v>33</v>
      </c>
      <c r="K6135" s="42">
        <v>85000</v>
      </c>
      <c r="L6135" s="12">
        <f t="shared" si="524"/>
        <v>141700</v>
      </c>
      <c r="M6135" s="8">
        <v>1</v>
      </c>
      <c r="N6135" s="8" t="s">
        <v>27</v>
      </c>
      <c r="O6135" s="13"/>
      <c r="P6135" s="14">
        <v>0</v>
      </c>
      <c r="Q6135" s="15">
        <v>0.4</v>
      </c>
      <c r="R6135" s="16" t="str">
        <f t="shared" si="523"/>
        <v>GENERAL</v>
      </c>
    </row>
    <row r="6136" spans="1:20" ht="27" customHeight="1" x14ac:dyDescent="0.25">
      <c r="A6136" s="32" t="s">
        <v>8308</v>
      </c>
      <c r="H6136" s="32" t="s">
        <v>12469</v>
      </c>
      <c r="I6136" s="33" t="s">
        <v>12623</v>
      </c>
      <c r="J6136" s="34" t="s">
        <v>33</v>
      </c>
      <c r="K6136" s="74">
        <v>312000</v>
      </c>
      <c r="L6136" s="12">
        <f t="shared" si="524"/>
        <v>520000</v>
      </c>
      <c r="M6136" s="8">
        <v>1</v>
      </c>
      <c r="N6136" s="8" t="s">
        <v>27</v>
      </c>
      <c r="O6136" s="13"/>
      <c r="P6136" s="14">
        <v>0</v>
      </c>
      <c r="Q6136" s="15">
        <v>0.4</v>
      </c>
      <c r="R6136" s="16" t="str">
        <f t="shared" si="523"/>
        <v>SOLIDVIEW</v>
      </c>
    </row>
    <row r="6137" spans="1:20" ht="27" customHeight="1" x14ac:dyDescent="0.25">
      <c r="A6137" s="32" t="s">
        <v>12041</v>
      </c>
      <c r="H6137" s="32" t="s">
        <v>12624</v>
      </c>
      <c r="I6137" s="38" t="s">
        <v>12625</v>
      </c>
      <c r="J6137" s="34" t="s">
        <v>33</v>
      </c>
      <c r="K6137" s="42">
        <v>5821000</v>
      </c>
      <c r="L6137" s="12">
        <f t="shared" si="524"/>
        <v>9701700</v>
      </c>
      <c r="M6137" s="8">
        <v>1</v>
      </c>
      <c r="N6137" s="8" t="s">
        <v>27</v>
      </c>
      <c r="O6137" s="13"/>
      <c r="P6137" s="14">
        <v>0</v>
      </c>
      <c r="Q6137" s="15">
        <v>0.4</v>
      </c>
      <c r="R6137" s="16" t="str">
        <f t="shared" si="523"/>
        <v>INTEL</v>
      </c>
    </row>
    <row r="6138" spans="1:20" ht="27" customHeight="1" x14ac:dyDescent="0.25">
      <c r="A6138" s="8" t="s">
        <v>6853</v>
      </c>
      <c r="B6138" s="9"/>
      <c r="C6138" s="9"/>
      <c r="D6138" s="8"/>
      <c r="E6138" s="8"/>
      <c r="F6138" s="8"/>
      <c r="G6138" s="10"/>
      <c r="H6138" s="8" t="s">
        <v>12626</v>
      </c>
      <c r="I6138" s="10" t="s">
        <v>12627</v>
      </c>
      <c r="J6138" s="11" t="s">
        <v>33</v>
      </c>
      <c r="K6138" s="18">
        <v>2099000</v>
      </c>
      <c r="L6138" s="12">
        <f t="shared" si="524"/>
        <v>2998600</v>
      </c>
      <c r="M6138" s="8">
        <v>1</v>
      </c>
      <c r="N6138" s="8" t="s">
        <v>110</v>
      </c>
      <c r="O6138" s="13"/>
      <c r="P6138" s="14">
        <v>0</v>
      </c>
      <c r="Q6138" s="15">
        <v>0.3</v>
      </c>
      <c r="R6138" s="16" t="str">
        <f t="shared" si="523"/>
        <v>MAXHUB</v>
      </c>
      <c r="S6138" s="17"/>
      <c r="T6138" s="10"/>
    </row>
    <row r="6139" spans="1:20" ht="27" customHeight="1" x14ac:dyDescent="0.25">
      <c r="A6139" s="32" t="s">
        <v>3915</v>
      </c>
      <c r="H6139" t="s">
        <v>12628</v>
      </c>
      <c r="I6139" s="33" t="s">
        <v>12629</v>
      </c>
      <c r="J6139" s="34" t="s">
        <v>26</v>
      </c>
      <c r="K6139" s="20">
        <v>99</v>
      </c>
      <c r="L6139" s="12">
        <f>K6139*(1+P6139)/(1-Q6139)</f>
        <v>237.6</v>
      </c>
      <c r="M6139" s="8">
        <v>1</v>
      </c>
      <c r="N6139" s="8" t="s">
        <v>27</v>
      </c>
      <c r="O6139" s="13"/>
      <c r="P6139" s="14">
        <v>0.2</v>
      </c>
      <c r="Q6139" s="15">
        <v>0.5</v>
      </c>
      <c r="R6139" s="16" t="str">
        <f t="shared" si="523"/>
        <v>KLIPSCH</v>
      </c>
    </row>
    <row r="6140" spans="1:20" ht="27" customHeight="1" x14ac:dyDescent="0.25">
      <c r="A6140" s="49" t="s">
        <v>3977</v>
      </c>
      <c r="B6140" s="24"/>
      <c r="C6140" s="24"/>
      <c r="D6140" s="24"/>
      <c r="E6140" s="24"/>
      <c r="F6140" s="24"/>
      <c r="G6140" s="24"/>
      <c r="H6140" s="24" t="s">
        <v>12630</v>
      </c>
      <c r="I6140" s="24" t="s">
        <v>12631</v>
      </c>
      <c r="J6140" s="24" t="s">
        <v>26</v>
      </c>
      <c r="K6140" s="26">
        <v>20</v>
      </c>
      <c r="L6140" s="12">
        <f t="shared" ref="L6140:L6146" si="525">ROUNDUP(K6140*(1+P6140)/(1-Q6140),0)</f>
        <v>40</v>
      </c>
      <c r="M6140" s="8">
        <v>1</v>
      </c>
      <c r="N6140" s="8" t="s">
        <v>27</v>
      </c>
      <c r="O6140" s="13"/>
      <c r="P6140" s="14">
        <v>0.2</v>
      </c>
      <c r="Q6140" s="15">
        <v>0.4</v>
      </c>
      <c r="R6140" s="16" t="str">
        <f t="shared" si="523"/>
        <v>KOMODO</v>
      </c>
    </row>
    <row r="6141" spans="1:20" ht="27" customHeight="1" x14ac:dyDescent="0.25">
      <c r="A6141" s="32" t="s">
        <v>11685</v>
      </c>
      <c r="G6141">
        <f>15*28</f>
        <v>420</v>
      </c>
      <c r="H6141" s="32" t="s">
        <v>12632</v>
      </c>
      <c r="I6141" s="33" t="s">
        <v>12633</v>
      </c>
      <c r="J6141" s="34" t="s">
        <v>33</v>
      </c>
      <c r="K6141" s="42">
        <v>223000</v>
      </c>
      <c r="L6141" s="12">
        <f t="shared" si="525"/>
        <v>403000</v>
      </c>
      <c r="M6141" s="8">
        <v>1</v>
      </c>
      <c r="N6141" s="8" t="s">
        <v>27</v>
      </c>
      <c r="O6141" s="13"/>
      <c r="P6141" s="14">
        <v>0</v>
      </c>
      <c r="Q6141" s="15">
        <v>0.44664892172703602</v>
      </c>
      <c r="R6141" s="16" t="str">
        <f t="shared" si="523"/>
        <v>RUIJIE</v>
      </c>
    </row>
    <row r="6142" spans="1:20" ht="27" customHeight="1" x14ac:dyDescent="0.25">
      <c r="A6142" s="32" t="s">
        <v>3977</v>
      </c>
      <c r="H6142" s="32" t="s">
        <v>12634</v>
      </c>
      <c r="I6142" s="33" t="s">
        <v>12635</v>
      </c>
      <c r="J6142" t="s">
        <v>33</v>
      </c>
      <c r="K6142" s="42">
        <v>120000</v>
      </c>
      <c r="L6142" s="12">
        <f t="shared" si="525"/>
        <v>216861</v>
      </c>
      <c r="M6142" s="8">
        <v>1</v>
      </c>
      <c r="N6142" s="8" t="s">
        <v>27</v>
      </c>
      <c r="O6142" s="13"/>
      <c r="P6142" s="14">
        <v>0</v>
      </c>
      <c r="Q6142" s="15">
        <v>0.44664892172703602</v>
      </c>
      <c r="R6142" s="16" t="str">
        <f t="shared" si="523"/>
        <v>KOMODO</v>
      </c>
    </row>
    <row r="6143" spans="1:20" ht="27" customHeight="1" x14ac:dyDescent="0.25">
      <c r="A6143" s="32" t="s">
        <v>7989</v>
      </c>
      <c r="H6143" s="32" t="s">
        <v>12636</v>
      </c>
      <c r="I6143" s="33" t="s">
        <v>12637</v>
      </c>
      <c r="J6143" s="34" t="s">
        <v>26</v>
      </c>
      <c r="K6143" s="42">
        <v>96</v>
      </c>
      <c r="L6143" s="12">
        <f t="shared" si="525"/>
        <v>192</v>
      </c>
      <c r="M6143" s="8">
        <v>1</v>
      </c>
      <c r="N6143" s="8" t="s">
        <v>27</v>
      </c>
      <c r="O6143" s="13"/>
      <c r="P6143" s="14">
        <v>0.2</v>
      </c>
      <c r="Q6143" s="15">
        <v>0.4</v>
      </c>
      <c r="R6143" s="16" t="str">
        <f t="shared" si="523"/>
        <v>RUSSOUND</v>
      </c>
    </row>
    <row r="6144" spans="1:20" ht="27" customHeight="1" x14ac:dyDescent="0.25">
      <c r="A6144" s="32" t="s">
        <v>3694</v>
      </c>
      <c r="H6144" s="32" t="s">
        <v>12638</v>
      </c>
      <c r="I6144" s="33" t="s">
        <v>12639</v>
      </c>
      <c r="J6144" s="34" t="s">
        <v>33</v>
      </c>
      <c r="K6144" s="42">
        <v>98000</v>
      </c>
      <c r="L6144" s="12">
        <f t="shared" si="525"/>
        <v>196000</v>
      </c>
      <c r="M6144" s="8">
        <v>1</v>
      </c>
      <c r="N6144" s="8" t="s">
        <v>27</v>
      </c>
      <c r="O6144" s="13"/>
      <c r="P6144" s="14">
        <v>0.2</v>
      </c>
      <c r="Q6144" s="15">
        <v>0.4</v>
      </c>
      <c r="R6144" s="16" t="str">
        <f t="shared" si="523"/>
        <v>IMOU</v>
      </c>
    </row>
    <row r="6145" spans="1:20" ht="27" customHeight="1" x14ac:dyDescent="0.25">
      <c r="A6145" s="32" t="s">
        <v>5454</v>
      </c>
      <c r="H6145" s="32" t="s">
        <v>12640</v>
      </c>
      <c r="I6145" s="33" t="s">
        <v>12641</v>
      </c>
      <c r="J6145" s="34" t="s">
        <v>33</v>
      </c>
      <c r="K6145" s="42">
        <v>11410</v>
      </c>
      <c r="L6145" s="12">
        <f t="shared" si="525"/>
        <v>22820</v>
      </c>
      <c r="M6145" s="8">
        <v>1</v>
      </c>
      <c r="N6145" s="8" t="s">
        <v>27</v>
      </c>
      <c r="O6145" s="13"/>
      <c r="P6145" s="14">
        <v>0</v>
      </c>
      <c r="Q6145" s="15">
        <v>0.5</v>
      </c>
      <c r="R6145" s="16" t="str">
        <f t="shared" si="523"/>
        <v>LUMEK</v>
      </c>
    </row>
    <row r="6146" spans="1:20" ht="27" customHeight="1" x14ac:dyDescent="0.25">
      <c r="A6146" s="32" t="s">
        <v>11685</v>
      </c>
      <c r="G6146">
        <v>500</v>
      </c>
      <c r="H6146" s="32" t="s">
        <v>12642</v>
      </c>
      <c r="I6146" s="33" t="s">
        <v>12643</v>
      </c>
      <c r="J6146" s="34" t="s">
        <v>33</v>
      </c>
      <c r="K6146" s="42">
        <v>239</v>
      </c>
      <c r="L6146" s="12">
        <f t="shared" si="525"/>
        <v>399</v>
      </c>
      <c r="M6146" s="8">
        <v>1</v>
      </c>
      <c r="N6146" s="8" t="s">
        <v>27</v>
      </c>
      <c r="O6146" s="13"/>
      <c r="P6146" s="14">
        <v>0</v>
      </c>
      <c r="Q6146" s="15">
        <v>0.4</v>
      </c>
      <c r="R6146" s="16" t="str">
        <f t="shared" si="523"/>
        <v>RUIJIE</v>
      </c>
    </row>
    <row r="6147" spans="1:20" ht="27" customHeight="1" x14ac:dyDescent="0.25">
      <c r="A6147" s="32" t="s">
        <v>38</v>
      </c>
      <c r="H6147" s="8" t="s">
        <v>12644</v>
      </c>
      <c r="I6147" s="33" t="s">
        <v>12645</v>
      </c>
      <c r="J6147" t="s">
        <v>26</v>
      </c>
      <c r="K6147" s="42">
        <v>2442</v>
      </c>
      <c r="L6147" s="12">
        <f>IF(J6147="P",ROUNDUP(K6147/(1-Q6147),-2),K6147*(1+P6147)/(1-Q6147))</f>
        <v>3488.5714285714289</v>
      </c>
      <c r="M6147" s="8">
        <v>1</v>
      </c>
      <c r="N6147" s="8" t="s">
        <v>27</v>
      </c>
      <c r="O6147" s="13"/>
      <c r="P6147" s="14">
        <v>0</v>
      </c>
      <c r="Q6147" s="15">
        <v>0.3</v>
      </c>
      <c r="R6147" s="16" t="str">
        <f t="shared" si="523"/>
        <v>CONTROL4</v>
      </c>
    </row>
    <row r="6148" spans="1:20" ht="27" customHeight="1" x14ac:dyDescent="0.25">
      <c r="A6148" s="32" t="s">
        <v>38</v>
      </c>
      <c r="H6148" s="44" t="s">
        <v>12646</v>
      </c>
      <c r="I6148" s="33" t="s">
        <v>12647</v>
      </c>
      <c r="J6148" s="34" t="s">
        <v>26</v>
      </c>
      <c r="K6148" s="42">
        <v>640</v>
      </c>
      <c r="L6148" s="12">
        <f>IF(J6148="P",ROUNDUP(K6148/(1-Q6148),-2),K6148*(1+P6148)/(1-Q6148))</f>
        <v>914.28571428571433</v>
      </c>
      <c r="M6148" s="8">
        <v>1</v>
      </c>
      <c r="N6148" s="8" t="s">
        <v>27</v>
      </c>
      <c r="O6148" s="13"/>
      <c r="P6148" s="14">
        <v>0</v>
      </c>
      <c r="Q6148" s="15">
        <v>0.3</v>
      </c>
      <c r="R6148" s="16" t="str">
        <f t="shared" si="523"/>
        <v>CONTROL4</v>
      </c>
    </row>
    <row r="6149" spans="1:20" ht="27" customHeight="1" x14ac:dyDescent="0.25">
      <c r="A6149" s="8" t="s">
        <v>2512</v>
      </c>
      <c r="B6149" s="9"/>
      <c r="C6149" s="9"/>
      <c r="D6149" s="8"/>
      <c r="E6149" s="8"/>
      <c r="F6149" s="8"/>
      <c r="G6149" s="10"/>
      <c r="H6149" s="8" t="s">
        <v>12648</v>
      </c>
      <c r="I6149" s="10" t="s">
        <v>12649</v>
      </c>
      <c r="J6149" s="11" t="s">
        <v>33</v>
      </c>
      <c r="K6149" s="18">
        <v>20000</v>
      </c>
      <c r="L6149" s="12">
        <f>ROUNDUP(K6149*(1+P6149)/(1-Q6149),0)</f>
        <v>40000</v>
      </c>
      <c r="M6149" s="8">
        <v>1</v>
      </c>
      <c r="N6149" s="8" t="s">
        <v>27</v>
      </c>
      <c r="O6149" s="13"/>
      <c r="P6149" s="14">
        <v>0</v>
      </c>
      <c r="Q6149" s="15">
        <v>0.5</v>
      </c>
      <c r="R6149" s="16" t="str">
        <f t="shared" si="523"/>
        <v>GENERAL</v>
      </c>
      <c r="S6149" s="17"/>
      <c r="T6149" s="10"/>
    </row>
    <row r="6150" spans="1:20" ht="27" customHeight="1" x14ac:dyDescent="0.25">
      <c r="A6150" s="32" t="s">
        <v>9208</v>
      </c>
      <c r="H6150" s="32" t="s">
        <v>12650</v>
      </c>
      <c r="I6150" s="33" t="s">
        <v>12651</v>
      </c>
      <c r="J6150" s="34" t="s">
        <v>33</v>
      </c>
      <c r="K6150" s="42">
        <v>50000</v>
      </c>
      <c r="L6150" s="12">
        <f>ROUNDUP(K6150*(1+P6150)/(1-Q6150),0)</f>
        <v>83334</v>
      </c>
      <c r="M6150" s="8">
        <v>1</v>
      </c>
      <c r="N6150" s="8" t="s">
        <v>27</v>
      </c>
      <c r="O6150" s="13"/>
      <c r="P6150" s="14">
        <v>0</v>
      </c>
      <c r="Q6150" s="15">
        <v>0.4</v>
      </c>
      <c r="R6150" s="16" t="str">
        <f t="shared" si="523"/>
        <v>TENDA</v>
      </c>
      <c r="S6150" s="17"/>
    </row>
    <row r="6151" spans="1:20" ht="27" customHeight="1" x14ac:dyDescent="0.25">
      <c r="A6151" s="32" t="s">
        <v>3672</v>
      </c>
      <c r="H6151" s="44" t="s">
        <v>12652</v>
      </c>
      <c r="I6151" s="33" t="s">
        <v>12653</v>
      </c>
      <c r="J6151" s="34" t="s">
        <v>33</v>
      </c>
      <c r="K6151" s="42">
        <v>8100</v>
      </c>
      <c r="L6151" s="12">
        <f t="shared" ref="L6151:L6164" si="526">IF(J6151="P",ROUNDUP(K6151/(1-Q6151),-2),K6151*(1+P6151)/(1-Q6151))</f>
        <v>13500</v>
      </c>
      <c r="M6151" s="8">
        <v>1</v>
      </c>
      <c r="N6151" s="8" t="s">
        <v>27</v>
      </c>
      <c r="O6151" s="13">
        <f t="shared" ref="O6151:O6164" si="527">F6151</f>
        <v>0</v>
      </c>
      <c r="P6151" s="14">
        <v>0</v>
      </c>
      <c r="Q6151" s="15">
        <v>0.4</v>
      </c>
      <c r="R6151" s="16" t="str">
        <f t="shared" si="523"/>
        <v>ILUMAX</v>
      </c>
    </row>
    <row r="6152" spans="1:20" ht="27" customHeight="1" x14ac:dyDescent="0.25">
      <c r="A6152" s="32" t="s">
        <v>9979</v>
      </c>
      <c r="H6152" s="32" t="s">
        <v>12654</v>
      </c>
      <c r="I6152" s="33" t="s">
        <v>12655</v>
      </c>
      <c r="J6152" s="34" t="s">
        <v>33</v>
      </c>
      <c r="K6152" s="42">
        <v>323000</v>
      </c>
      <c r="L6152" s="12">
        <f t="shared" si="526"/>
        <v>461500</v>
      </c>
      <c r="M6152" s="8">
        <v>1</v>
      </c>
      <c r="N6152" s="8" t="s">
        <v>27</v>
      </c>
      <c r="O6152" s="13">
        <f t="shared" si="527"/>
        <v>0</v>
      </c>
      <c r="P6152" s="14">
        <v>0</v>
      </c>
      <c r="Q6152" s="15">
        <v>0.3</v>
      </c>
      <c r="R6152" s="16" t="str">
        <f t="shared" si="523"/>
        <v>ILTEC</v>
      </c>
    </row>
    <row r="6153" spans="1:20" ht="27" customHeight="1" x14ac:dyDescent="0.25">
      <c r="A6153" s="32" t="s">
        <v>5672</v>
      </c>
      <c r="H6153" s="32" t="s">
        <v>12656</v>
      </c>
      <c r="I6153" s="33" t="s">
        <v>12657</v>
      </c>
      <c r="J6153" s="34" t="s">
        <v>26</v>
      </c>
      <c r="K6153" s="42">
        <f>165/2</f>
        <v>82.5</v>
      </c>
      <c r="L6153" s="12">
        <f t="shared" si="526"/>
        <v>165</v>
      </c>
      <c r="M6153" s="8">
        <v>1</v>
      </c>
      <c r="N6153" s="8" t="s">
        <v>27</v>
      </c>
      <c r="O6153" s="13">
        <f t="shared" si="527"/>
        <v>0</v>
      </c>
      <c r="P6153" s="14">
        <v>0.2</v>
      </c>
      <c r="Q6153" s="15">
        <v>0.4</v>
      </c>
      <c r="R6153" s="16" t="str">
        <f t="shared" si="523"/>
        <v>LUTRON</v>
      </c>
    </row>
    <row r="6154" spans="1:20" ht="27" customHeight="1" x14ac:dyDescent="0.25">
      <c r="A6154" s="32" t="s">
        <v>5672</v>
      </c>
      <c r="H6154" s="32" t="s">
        <v>12658</v>
      </c>
      <c r="I6154" s="33" t="s">
        <v>12659</v>
      </c>
      <c r="J6154" s="34" t="s">
        <v>26</v>
      </c>
      <c r="K6154" s="42">
        <v>198</v>
      </c>
      <c r="L6154" s="12">
        <f t="shared" si="526"/>
        <v>396</v>
      </c>
      <c r="M6154" s="8">
        <v>1</v>
      </c>
      <c r="N6154" s="8" t="s">
        <v>27</v>
      </c>
      <c r="O6154" s="13">
        <f t="shared" si="527"/>
        <v>0</v>
      </c>
      <c r="P6154" s="14">
        <v>0.2</v>
      </c>
      <c r="Q6154" s="15">
        <v>0.4</v>
      </c>
      <c r="R6154" s="16" t="str">
        <f t="shared" si="523"/>
        <v>LUTRON</v>
      </c>
    </row>
    <row r="6155" spans="1:20" ht="27" customHeight="1" x14ac:dyDescent="0.25">
      <c r="A6155" s="32" t="s">
        <v>34</v>
      </c>
      <c r="H6155" s="32" t="s">
        <v>12660</v>
      </c>
      <c r="I6155" s="33" t="s">
        <v>12661</v>
      </c>
      <c r="J6155" s="34" t="s">
        <v>33</v>
      </c>
      <c r="K6155" s="42">
        <v>5400</v>
      </c>
      <c r="L6155" s="12">
        <f t="shared" si="526"/>
        <v>9000</v>
      </c>
      <c r="M6155" s="8">
        <v>1</v>
      </c>
      <c r="N6155" s="8" t="s">
        <v>27</v>
      </c>
      <c r="O6155" s="13">
        <f t="shared" si="527"/>
        <v>0</v>
      </c>
      <c r="P6155" s="14">
        <v>0</v>
      </c>
      <c r="Q6155" s="15">
        <v>0.4</v>
      </c>
      <c r="R6155" s="16" t="str">
        <f t="shared" si="523"/>
        <v>3M</v>
      </c>
    </row>
    <row r="6156" spans="1:20" ht="27" customHeight="1" x14ac:dyDescent="0.25">
      <c r="A6156" s="32" t="s">
        <v>12337</v>
      </c>
      <c r="H6156" s="32" t="s">
        <v>12662</v>
      </c>
      <c r="I6156" s="33" t="s">
        <v>12062</v>
      </c>
      <c r="J6156" s="34" t="s">
        <v>33</v>
      </c>
      <c r="K6156" s="42">
        <v>7563.02</v>
      </c>
      <c r="L6156" s="12">
        <f t="shared" si="526"/>
        <v>12700</v>
      </c>
      <c r="M6156" s="8">
        <v>1</v>
      </c>
      <c r="N6156" s="8" t="s">
        <v>27</v>
      </c>
      <c r="O6156" s="13">
        <f t="shared" si="527"/>
        <v>0</v>
      </c>
      <c r="P6156" s="14">
        <v>0</v>
      </c>
      <c r="Q6156" s="15">
        <v>0.4</v>
      </c>
      <c r="R6156" s="16" t="str">
        <f t="shared" si="523"/>
        <v>STECK</v>
      </c>
    </row>
    <row r="6157" spans="1:20" ht="27" customHeight="1" x14ac:dyDescent="0.25">
      <c r="A6157" s="32" t="s">
        <v>12337</v>
      </c>
      <c r="H6157" s="32" t="s">
        <v>12663</v>
      </c>
      <c r="I6157" s="33" t="s">
        <v>12664</v>
      </c>
      <c r="J6157" s="34" t="s">
        <v>33</v>
      </c>
      <c r="K6157" s="42">
        <v>11344.54</v>
      </c>
      <c r="L6157" s="12">
        <f t="shared" si="526"/>
        <v>19000</v>
      </c>
      <c r="M6157" s="8">
        <v>1</v>
      </c>
      <c r="N6157" s="8" t="s">
        <v>27</v>
      </c>
      <c r="O6157" s="13">
        <f t="shared" si="527"/>
        <v>0</v>
      </c>
      <c r="P6157" s="14">
        <v>0</v>
      </c>
      <c r="Q6157" s="15">
        <v>0.4</v>
      </c>
      <c r="R6157" s="16" t="str">
        <f t="shared" si="523"/>
        <v>STECK</v>
      </c>
    </row>
    <row r="6158" spans="1:20" ht="27" customHeight="1" x14ac:dyDescent="0.25">
      <c r="A6158" s="32" t="s">
        <v>12337</v>
      </c>
      <c r="H6158" s="32" t="s">
        <v>12665</v>
      </c>
      <c r="I6158" s="33" t="s">
        <v>12666</v>
      </c>
      <c r="J6158" s="34" t="s">
        <v>33</v>
      </c>
      <c r="K6158" s="42">
        <v>20672.27</v>
      </c>
      <c r="L6158" s="12">
        <f t="shared" si="526"/>
        <v>34500</v>
      </c>
      <c r="M6158" s="8">
        <v>1</v>
      </c>
      <c r="N6158" s="8" t="s">
        <v>27</v>
      </c>
      <c r="O6158" s="13">
        <f t="shared" si="527"/>
        <v>0</v>
      </c>
      <c r="P6158" s="14">
        <v>0</v>
      </c>
      <c r="Q6158" s="15">
        <v>0.4</v>
      </c>
      <c r="R6158" s="16" t="str">
        <f t="shared" si="523"/>
        <v>STECK</v>
      </c>
    </row>
    <row r="6159" spans="1:20" ht="27" customHeight="1" x14ac:dyDescent="0.25">
      <c r="A6159" s="32" t="s">
        <v>3611</v>
      </c>
      <c r="H6159" s="32" t="s">
        <v>12667</v>
      </c>
      <c r="I6159" s="33" t="s">
        <v>12668</v>
      </c>
      <c r="J6159" s="34" t="s">
        <v>33</v>
      </c>
      <c r="K6159" s="42">
        <f>198000/1.19</f>
        <v>166386.55462184874</v>
      </c>
      <c r="L6159" s="12">
        <f t="shared" si="526"/>
        <v>277400</v>
      </c>
      <c r="M6159" s="8">
        <v>1</v>
      </c>
      <c r="N6159" s="8" t="s">
        <v>27</v>
      </c>
      <c r="O6159" s="13">
        <f t="shared" si="527"/>
        <v>0</v>
      </c>
      <c r="P6159" s="14">
        <v>0</v>
      </c>
      <c r="Q6159" s="15">
        <v>0.4</v>
      </c>
      <c r="R6159" s="16" t="str">
        <f t="shared" si="523"/>
        <v>IDEA</v>
      </c>
    </row>
    <row r="6160" spans="1:20" ht="27" customHeight="1" x14ac:dyDescent="0.25">
      <c r="A6160" s="32" t="s">
        <v>2512</v>
      </c>
      <c r="H6160" s="32" t="s">
        <v>12669</v>
      </c>
      <c r="I6160" s="33" t="s">
        <v>12670</v>
      </c>
      <c r="J6160" s="34" t="s">
        <v>33</v>
      </c>
      <c r="K6160" s="42">
        <v>3200</v>
      </c>
      <c r="L6160" s="12">
        <f t="shared" si="526"/>
        <v>5400</v>
      </c>
      <c r="M6160" s="8">
        <v>1</v>
      </c>
      <c r="N6160" s="8" t="s">
        <v>27</v>
      </c>
      <c r="O6160" s="13">
        <f t="shared" si="527"/>
        <v>0</v>
      </c>
      <c r="P6160" s="14">
        <v>0</v>
      </c>
      <c r="Q6160" s="15">
        <v>0.4</v>
      </c>
      <c r="R6160" s="16" t="str">
        <f t="shared" si="523"/>
        <v>GENERAL</v>
      </c>
    </row>
    <row r="6161" spans="1:20" ht="27" customHeight="1" x14ac:dyDescent="0.25">
      <c r="A6161" s="32" t="s">
        <v>9592</v>
      </c>
      <c r="H6161" s="32" t="s">
        <v>12671</v>
      </c>
      <c r="I6161" s="33" t="s">
        <v>12672</v>
      </c>
      <c r="J6161" s="34" t="s">
        <v>33</v>
      </c>
      <c r="K6161" s="42">
        <v>1149000</v>
      </c>
      <c r="L6161" s="12">
        <f t="shared" si="526"/>
        <v>1915000</v>
      </c>
      <c r="M6161" s="8">
        <v>1</v>
      </c>
      <c r="N6161" s="8" t="s">
        <v>27</v>
      </c>
      <c r="O6161" s="13">
        <f t="shared" si="527"/>
        <v>0</v>
      </c>
      <c r="P6161" s="14">
        <v>0</v>
      </c>
      <c r="Q6161" s="15">
        <v>0.4</v>
      </c>
      <c r="R6161" s="16" t="str">
        <f t="shared" si="523"/>
        <v>YALE</v>
      </c>
    </row>
    <row r="6162" spans="1:20" ht="27" customHeight="1" x14ac:dyDescent="0.25">
      <c r="A6162" s="32" t="s">
        <v>2095</v>
      </c>
      <c r="H6162" s="32" t="s">
        <v>12673</v>
      </c>
      <c r="I6162" s="33" t="s">
        <v>12674</v>
      </c>
      <c r="J6162" s="34" t="s">
        <v>33</v>
      </c>
      <c r="K6162" s="42">
        <v>26600</v>
      </c>
      <c r="L6162" s="12">
        <f t="shared" si="526"/>
        <v>44400</v>
      </c>
      <c r="M6162" s="8">
        <v>1</v>
      </c>
      <c r="N6162" s="8" t="s">
        <v>27</v>
      </c>
      <c r="O6162" s="13">
        <f t="shared" si="527"/>
        <v>0</v>
      </c>
      <c r="P6162" s="14">
        <v>0</v>
      </c>
      <c r="Q6162" s="15">
        <v>0.4</v>
      </c>
      <c r="R6162" s="16" t="str">
        <f t="shared" si="523"/>
        <v>ECOLITE</v>
      </c>
    </row>
    <row r="6163" spans="1:20" ht="27" customHeight="1" x14ac:dyDescent="0.25">
      <c r="A6163" s="32" t="s">
        <v>1255</v>
      </c>
      <c r="H6163" s="32" t="s">
        <v>12675</v>
      </c>
      <c r="I6163" s="33" t="s">
        <v>12676</v>
      </c>
      <c r="J6163" s="34" t="s">
        <v>33</v>
      </c>
      <c r="K6163" s="42">
        <v>250000</v>
      </c>
      <c r="L6163" s="12">
        <f t="shared" si="526"/>
        <v>416700</v>
      </c>
      <c r="M6163" s="8">
        <v>1</v>
      </c>
      <c r="N6163" s="8" t="s">
        <v>27</v>
      </c>
      <c r="O6163" s="13">
        <f t="shared" si="527"/>
        <v>0</v>
      </c>
      <c r="P6163" s="14">
        <v>0</v>
      </c>
      <c r="Q6163" s="15">
        <v>0.4</v>
      </c>
      <c r="R6163" s="16" t="str">
        <f t="shared" si="523"/>
        <v>CHINT</v>
      </c>
    </row>
    <row r="6164" spans="1:20" ht="27" customHeight="1" x14ac:dyDescent="0.25">
      <c r="A6164" s="32" t="s">
        <v>2512</v>
      </c>
      <c r="H6164" s="32" t="s">
        <v>12677</v>
      </c>
      <c r="I6164" s="33" t="s">
        <v>12678</v>
      </c>
      <c r="J6164" s="34" t="s">
        <v>33</v>
      </c>
      <c r="K6164" s="42">
        <v>5500</v>
      </c>
      <c r="L6164" s="12">
        <f t="shared" si="526"/>
        <v>9200</v>
      </c>
      <c r="M6164" s="8">
        <v>1</v>
      </c>
      <c r="N6164" s="8" t="s">
        <v>27</v>
      </c>
      <c r="O6164" s="13">
        <f t="shared" si="527"/>
        <v>0</v>
      </c>
      <c r="P6164" s="14">
        <v>0</v>
      </c>
      <c r="Q6164" s="15">
        <v>0.4</v>
      </c>
      <c r="R6164" s="16" t="str">
        <f t="shared" si="523"/>
        <v>GENERAL</v>
      </c>
    </row>
    <row r="6165" spans="1:20" ht="27" customHeight="1" x14ac:dyDescent="0.25">
      <c r="A6165" s="8" t="s">
        <v>1123</v>
      </c>
      <c r="B6165" s="9" t="s">
        <v>1124</v>
      </c>
      <c r="C6165" s="9"/>
      <c r="D6165" s="8" t="s">
        <v>602</v>
      </c>
      <c r="E6165" s="8">
        <v>4</v>
      </c>
      <c r="F6165" s="8" t="s">
        <v>22</v>
      </c>
      <c r="G6165" s="10" t="s">
        <v>1134</v>
      </c>
      <c r="H6165" s="44" t="s">
        <v>12679</v>
      </c>
      <c r="I6165" s="10" t="s">
        <v>12680</v>
      </c>
      <c r="J6165" s="41" t="s">
        <v>26</v>
      </c>
      <c r="K6165" s="42">
        <v>20</v>
      </c>
      <c r="L6165" s="12">
        <f>K6165*1.2/(1-Q6165)</f>
        <v>34.285714285714285</v>
      </c>
      <c r="M6165" s="8">
        <v>1</v>
      </c>
      <c r="N6165" s="8" t="s">
        <v>27</v>
      </c>
      <c r="O6165" s="13" t="s">
        <v>588</v>
      </c>
      <c r="P6165" s="14">
        <v>0.2</v>
      </c>
      <c r="Q6165" s="15">
        <v>0.3</v>
      </c>
      <c r="R6165" s="16" t="str">
        <f t="shared" si="523"/>
        <v>CARLON</v>
      </c>
      <c r="S6165" s="17"/>
      <c r="T6165" s="10" t="str">
        <f>G6165</f>
        <v>CAJA ELÉCTRICA PLÁSTICA PARA MANEJO DE DISPOSITIVOS CUATRO UNIDADES.</v>
      </c>
    </row>
    <row r="6166" spans="1:20" ht="27" customHeight="1" x14ac:dyDescent="0.25">
      <c r="A6166" s="8" t="s">
        <v>8836</v>
      </c>
      <c r="B6166" s="9"/>
      <c r="C6166" s="9"/>
      <c r="D6166" s="8"/>
      <c r="E6166" s="8"/>
      <c r="F6166" s="8"/>
      <c r="G6166" s="10"/>
      <c r="H6166" s="8" t="s">
        <v>9147</v>
      </c>
      <c r="I6166" s="10" t="s">
        <v>9148</v>
      </c>
      <c r="J6166" s="11" t="s">
        <v>33</v>
      </c>
      <c r="K6166" s="18">
        <f>151000*0.9</f>
        <v>135900</v>
      </c>
      <c r="L6166" s="12">
        <f>IF(J6166="P",ROUNDUP(K6166/(1-Q6166),-2),K6166*(1+P6166)/(1-Q6166))</f>
        <v>194200</v>
      </c>
      <c r="M6166" s="8">
        <v>1</v>
      </c>
      <c r="N6166" s="8" t="s">
        <v>27</v>
      </c>
      <c r="O6166" s="13"/>
      <c r="P6166" s="14">
        <v>0</v>
      </c>
      <c r="Q6166" s="15">
        <v>0.3</v>
      </c>
      <c r="R6166" s="16" t="str">
        <f t="shared" si="523"/>
        <v>TECNOLITE</v>
      </c>
      <c r="S6166" s="17"/>
      <c r="T6166" s="10"/>
    </row>
    <row r="6167" spans="1:20" ht="27" customHeight="1" x14ac:dyDescent="0.25">
      <c r="A6167" s="32" t="s">
        <v>3388</v>
      </c>
      <c r="H6167" s="32" t="s">
        <v>12681</v>
      </c>
      <c r="I6167" s="33" t="s">
        <v>12682</v>
      </c>
      <c r="J6167" s="34" t="s">
        <v>33</v>
      </c>
      <c r="K6167" s="42">
        <f>77000/2.5</f>
        <v>30800</v>
      </c>
      <c r="L6167" s="12">
        <f>IF(J6167="P",ROUNDUP(K6167/(1-Q6167),-2),K6167*(1+P6167)/(1-Q6167))</f>
        <v>51400</v>
      </c>
      <c r="M6167" s="8">
        <v>1</v>
      </c>
      <c r="N6167" s="8" t="s">
        <v>27</v>
      </c>
      <c r="O6167" s="13"/>
      <c r="P6167" s="14">
        <v>0</v>
      </c>
      <c r="Q6167" s="15">
        <v>0.4</v>
      </c>
      <c r="R6167" s="16" t="str">
        <f t="shared" si="523"/>
        <v>SIGNCOMPLEX</v>
      </c>
    </row>
    <row r="6168" spans="1:20" ht="27" customHeight="1" x14ac:dyDescent="0.25">
      <c r="A6168" s="32" t="s">
        <v>11685</v>
      </c>
      <c r="H6168" s="32" t="s">
        <v>12683</v>
      </c>
      <c r="I6168" s="33" t="s">
        <v>12684</v>
      </c>
      <c r="J6168" s="34" t="s">
        <v>33</v>
      </c>
      <c r="K6168" s="42">
        <v>307000</v>
      </c>
      <c r="L6168" s="12">
        <f>ROUNDUP(K6168*(1+P6168)/(1-Q6168),0)</f>
        <v>511667</v>
      </c>
      <c r="M6168" s="8">
        <v>1</v>
      </c>
      <c r="N6168" s="8" t="s">
        <v>27</v>
      </c>
      <c r="O6168" s="13"/>
      <c r="P6168" s="14">
        <v>0</v>
      </c>
      <c r="Q6168" s="15">
        <v>0.4</v>
      </c>
      <c r="R6168" s="16" t="str">
        <f t="shared" si="523"/>
        <v>RUIJIE</v>
      </c>
    </row>
    <row r="6169" spans="1:20" ht="27" customHeight="1" x14ac:dyDescent="0.25">
      <c r="A6169" s="32" t="s">
        <v>11685</v>
      </c>
      <c r="H6169" s="32" t="s">
        <v>12685</v>
      </c>
      <c r="I6169" s="33" t="s">
        <v>12686</v>
      </c>
      <c r="J6169" s="34" t="s">
        <v>33</v>
      </c>
      <c r="K6169" s="42">
        <v>97000</v>
      </c>
      <c r="L6169" s="12">
        <f>ROUNDUP(K6169*(1+P6169)/(1-Q6169),0)</f>
        <v>161667</v>
      </c>
      <c r="M6169" s="8">
        <v>1</v>
      </c>
      <c r="N6169" s="8" t="s">
        <v>27</v>
      </c>
      <c r="O6169" s="13"/>
      <c r="P6169" s="14">
        <v>0</v>
      </c>
      <c r="Q6169" s="15">
        <v>0.4</v>
      </c>
      <c r="R6169" s="16" t="str">
        <f t="shared" si="523"/>
        <v>RUIJIE</v>
      </c>
    </row>
    <row r="6170" spans="1:20" ht="27" customHeight="1" x14ac:dyDescent="0.25">
      <c r="A6170" s="32" t="s">
        <v>3977</v>
      </c>
      <c r="H6170" s="32" t="s">
        <v>12687</v>
      </c>
      <c r="I6170" s="33" t="s">
        <v>12688</v>
      </c>
      <c r="J6170" s="34" t="s">
        <v>33</v>
      </c>
      <c r="K6170" s="42">
        <f>6600000/24*1.53</f>
        <v>420750</v>
      </c>
      <c r="L6170" s="12">
        <f>ROUNDUP(K6170*(1+P6170)/(1-Q6170),0)</f>
        <v>467500</v>
      </c>
      <c r="M6170" s="8">
        <v>1</v>
      </c>
      <c r="N6170" s="8" t="s">
        <v>27</v>
      </c>
      <c r="O6170" s="13"/>
      <c r="P6170" s="14">
        <v>0</v>
      </c>
      <c r="Q6170" s="15">
        <v>0.1</v>
      </c>
      <c r="R6170" s="16" t="str">
        <f t="shared" si="523"/>
        <v>KOMODO</v>
      </c>
    </row>
    <row r="6171" spans="1:20" ht="27" customHeight="1" x14ac:dyDescent="0.25">
      <c r="A6171" s="32" t="s">
        <v>3977</v>
      </c>
      <c r="H6171" s="32" t="s">
        <v>4932</v>
      </c>
      <c r="I6171" s="33" t="s">
        <v>12689</v>
      </c>
      <c r="J6171" s="34" t="s">
        <v>33</v>
      </c>
      <c r="K6171" s="42">
        <v>150000</v>
      </c>
      <c r="L6171" s="12">
        <f>ROUNDUP(K6171*(1+P6171)/(1-Q6171),0)</f>
        <v>223881</v>
      </c>
      <c r="M6171" s="8">
        <v>1</v>
      </c>
      <c r="N6171" s="8" t="s">
        <v>27</v>
      </c>
      <c r="O6171" s="13"/>
      <c r="P6171" s="14">
        <v>0</v>
      </c>
      <c r="Q6171" s="15">
        <v>0.33</v>
      </c>
      <c r="R6171" s="16" t="str">
        <f t="shared" si="523"/>
        <v>KOMODO</v>
      </c>
    </row>
    <row r="6172" spans="1:20" ht="27" customHeight="1" x14ac:dyDescent="0.25">
      <c r="A6172" s="8" t="s">
        <v>8404</v>
      </c>
      <c r="B6172" s="9" t="s">
        <v>8405</v>
      </c>
      <c r="C6172" s="9"/>
      <c r="D6172" s="8" t="s">
        <v>563</v>
      </c>
      <c r="E6172" s="8">
        <v>1</v>
      </c>
      <c r="F6172" s="8" t="s">
        <v>22</v>
      </c>
      <c r="G6172" s="10" t="s">
        <v>8426</v>
      </c>
      <c r="H6172" s="8" t="s">
        <v>12690</v>
      </c>
      <c r="I6172" s="10" t="s">
        <v>12691</v>
      </c>
      <c r="J6172" s="11" t="s">
        <v>26</v>
      </c>
      <c r="K6172" s="18">
        <v>740</v>
      </c>
      <c r="L6172" s="12">
        <f t="shared" ref="L6172:L6183" si="528">IF(J6172="P",ROUNDUP(K6172/(1-Q6172),-2),K6172*(1+P6172)/(1-Q6172))</f>
        <v>1044.7058823529412</v>
      </c>
      <c r="M6172" s="8">
        <v>1</v>
      </c>
      <c r="N6172" s="8" t="s">
        <v>27</v>
      </c>
      <c r="O6172" s="13"/>
      <c r="P6172" s="14">
        <v>0.2</v>
      </c>
      <c r="Q6172" s="15">
        <v>0.15</v>
      </c>
      <c r="R6172" s="16" t="str">
        <f t="shared" si="523"/>
        <v>SONOS</v>
      </c>
      <c r="S6172" s="17"/>
      <c r="T6172" s="10" t="str">
        <f>G6172</f>
        <v>SUBWOOFER INALÁMBRICO PARA REPRODUCCIÓN DE BAJAS FRECUENCIAS.</v>
      </c>
    </row>
    <row r="6173" spans="1:20" ht="27" customHeight="1" x14ac:dyDescent="0.25">
      <c r="A6173" t="s">
        <v>12471</v>
      </c>
      <c r="H6173" t="s">
        <v>12692</v>
      </c>
      <c r="I6173" t="s">
        <v>12693</v>
      </c>
      <c r="J6173" t="s">
        <v>26</v>
      </c>
      <c r="K6173" s="42">
        <v>3.45</v>
      </c>
      <c r="L6173" s="12">
        <f t="shared" si="528"/>
        <v>4.9285714285714288</v>
      </c>
      <c r="M6173" s="8">
        <v>1</v>
      </c>
      <c r="N6173" s="8" t="s">
        <v>27</v>
      </c>
      <c r="O6173" s="13"/>
      <c r="P6173" s="14">
        <v>0</v>
      </c>
      <c r="Q6173" s="15">
        <v>0.3</v>
      </c>
      <c r="R6173" s="16" t="str">
        <f t="shared" si="523"/>
        <v>SIEMON</v>
      </c>
    </row>
    <row r="6174" spans="1:20" ht="27" customHeight="1" x14ac:dyDescent="0.25">
      <c r="A6174" t="s">
        <v>12471</v>
      </c>
      <c r="H6174" t="s">
        <v>12694</v>
      </c>
      <c r="I6174" t="s">
        <v>12695</v>
      </c>
      <c r="J6174" t="s">
        <v>26</v>
      </c>
      <c r="K6174" s="42">
        <v>100.69</v>
      </c>
      <c r="L6174" s="12">
        <f t="shared" si="528"/>
        <v>143.84285714285716</v>
      </c>
      <c r="M6174" s="8">
        <v>1</v>
      </c>
      <c r="N6174" s="8" t="s">
        <v>27</v>
      </c>
      <c r="O6174" s="13"/>
      <c r="P6174" s="14">
        <v>0</v>
      </c>
      <c r="Q6174" s="15">
        <v>0.3</v>
      </c>
      <c r="R6174" s="40" t="str">
        <f t="shared" si="523"/>
        <v>SIEMON</v>
      </c>
    </row>
    <row r="6175" spans="1:20" ht="27" customHeight="1" x14ac:dyDescent="0.25">
      <c r="A6175" t="s">
        <v>5374</v>
      </c>
      <c r="H6175" t="s">
        <v>12696</v>
      </c>
      <c r="I6175" t="s">
        <v>12697</v>
      </c>
      <c r="J6175" t="s">
        <v>26</v>
      </c>
      <c r="K6175" s="42">
        <v>95.61</v>
      </c>
      <c r="L6175" s="12">
        <f t="shared" si="528"/>
        <v>136.58571428571429</v>
      </c>
      <c r="M6175" s="8">
        <v>1</v>
      </c>
      <c r="N6175" s="8" t="s">
        <v>27</v>
      </c>
      <c r="O6175" s="13"/>
      <c r="P6175" s="14">
        <v>0</v>
      </c>
      <c r="Q6175" s="15">
        <v>0.3</v>
      </c>
      <c r="R6175" s="40" t="str">
        <f t="shared" si="523"/>
        <v>LIEBERT</v>
      </c>
    </row>
    <row r="6176" spans="1:20" ht="27" customHeight="1" x14ac:dyDescent="0.25">
      <c r="A6176" t="s">
        <v>5001</v>
      </c>
      <c r="H6176" t="s">
        <v>12698</v>
      </c>
      <c r="I6176" t="s">
        <v>12699</v>
      </c>
      <c r="J6176" t="s">
        <v>33</v>
      </c>
      <c r="K6176" s="42">
        <v>7347</v>
      </c>
      <c r="L6176" s="12">
        <f t="shared" si="528"/>
        <v>10500</v>
      </c>
      <c r="M6176" s="8">
        <v>1</v>
      </c>
      <c r="N6176" s="8" t="s">
        <v>27</v>
      </c>
      <c r="O6176" s="13"/>
      <c r="P6176" s="14">
        <v>0</v>
      </c>
      <c r="Q6176" s="15">
        <v>0.3</v>
      </c>
      <c r="R6176" s="40" t="str">
        <f t="shared" si="523"/>
        <v>LANPRO</v>
      </c>
    </row>
    <row r="6177" spans="1:19" ht="27" customHeight="1" x14ac:dyDescent="0.25">
      <c r="A6177" t="s">
        <v>12471</v>
      </c>
      <c r="H6177" t="s">
        <v>12486</v>
      </c>
      <c r="I6177" t="s">
        <v>12700</v>
      </c>
      <c r="J6177" t="s">
        <v>33</v>
      </c>
      <c r="K6177" s="42">
        <v>302000</v>
      </c>
      <c r="L6177" s="12">
        <f t="shared" si="528"/>
        <v>431500</v>
      </c>
      <c r="M6177" s="8">
        <v>1</v>
      </c>
      <c r="N6177" s="8" t="s">
        <v>27</v>
      </c>
      <c r="O6177" s="13"/>
      <c r="P6177" s="14">
        <v>0</v>
      </c>
      <c r="Q6177" s="15">
        <v>0.3</v>
      </c>
      <c r="R6177" s="40" t="str">
        <f t="shared" si="523"/>
        <v>SIEMON</v>
      </c>
    </row>
    <row r="6178" spans="1:19" ht="27" customHeight="1" x14ac:dyDescent="0.25">
      <c r="A6178" s="43" t="s">
        <v>594</v>
      </c>
      <c r="B6178" s="19"/>
      <c r="C6178" s="19"/>
      <c r="D6178" s="19"/>
      <c r="E6178" s="19"/>
      <c r="F6178" s="19"/>
      <c r="G6178" s="19"/>
      <c r="H6178" s="19" t="s">
        <v>12701</v>
      </c>
      <c r="I6178" s="75" t="str">
        <f>UPPER("APC Easy UPS On-Line, 3kVA, Rackmount 2U, 120V, 6x 5-20R + 1x L5-30R NEMA outlets, Intelligent Card Slot, LCD, W/O rail kit.")</f>
        <v>APC EASY UPS ON-LINE, 3KVA, RACKMOUNT 2U, 120V, 6X 5-20R + 1X L5-30R NEMA OUTLETS, INTELLIGENT CARD SLOT, LCD, W/O RAIL KIT.</v>
      </c>
      <c r="J6178" s="19" t="s">
        <v>33</v>
      </c>
      <c r="K6178" s="36">
        <v>3620000</v>
      </c>
      <c r="L6178" s="12">
        <f t="shared" si="528"/>
        <v>5569300</v>
      </c>
      <c r="M6178" s="8">
        <v>1</v>
      </c>
      <c r="N6178" s="8" t="s">
        <v>27</v>
      </c>
      <c r="O6178" s="13">
        <f t="shared" ref="O6178:O6183" si="529">F6178</f>
        <v>0</v>
      </c>
      <c r="P6178" s="14">
        <v>0</v>
      </c>
      <c r="Q6178" s="15">
        <v>0.35</v>
      </c>
      <c r="R6178" s="16" t="str">
        <f t="shared" si="523"/>
        <v>APC</v>
      </c>
      <c r="S6178" s="17"/>
    </row>
    <row r="6179" spans="1:19" ht="27" customHeight="1" x14ac:dyDescent="0.25">
      <c r="A6179" s="49" t="s">
        <v>594</v>
      </c>
      <c r="B6179" s="24"/>
      <c r="C6179" s="24"/>
      <c r="D6179" s="24"/>
      <c r="E6179" s="24"/>
      <c r="F6179" s="24"/>
      <c r="G6179" s="24"/>
      <c r="H6179" s="24" t="s">
        <v>12702</v>
      </c>
      <c r="I6179" s="24" t="s">
        <v>12703</v>
      </c>
      <c r="J6179" s="24" t="s">
        <v>33</v>
      </c>
      <c r="K6179" s="26">
        <v>449000</v>
      </c>
      <c r="L6179" s="12">
        <f t="shared" si="528"/>
        <v>690800</v>
      </c>
      <c r="M6179" s="8">
        <v>1</v>
      </c>
      <c r="N6179" s="8" t="s">
        <v>27</v>
      </c>
      <c r="O6179" s="13">
        <f t="shared" si="529"/>
        <v>0</v>
      </c>
      <c r="P6179" s="14">
        <v>0</v>
      </c>
      <c r="Q6179" s="15">
        <v>0.35</v>
      </c>
      <c r="R6179" s="16" t="str">
        <f t="shared" si="523"/>
        <v>APC</v>
      </c>
      <c r="S6179" s="24"/>
    </row>
    <row r="6180" spans="1:19" ht="27" customHeight="1" x14ac:dyDescent="0.25">
      <c r="A6180" t="s">
        <v>5672</v>
      </c>
      <c r="H6180" t="s">
        <v>12704</v>
      </c>
      <c r="I6180" t="s">
        <v>12705</v>
      </c>
      <c r="J6180" t="s">
        <v>26</v>
      </c>
      <c r="K6180" s="42">
        <v>480</v>
      </c>
      <c r="L6180" s="12">
        <f t="shared" si="528"/>
        <v>738.46153846153845</v>
      </c>
      <c r="M6180" s="8">
        <v>1</v>
      </c>
      <c r="N6180" s="8" t="s">
        <v>27</v>
      </c>
      <c r="O6180" s="13">
        <f t="shared" si="529"/>
        <v>0</v>
      </c>
      <c r="P6180" s="14">
        <v>0</v>
      </c>
      <c r="Q6180" s="15">
        <v>0.35</v>
      </c>
      <c r="R6180" s="16" t="str">
        <f t="shared" si="523"/>
        <v>LUTRON</v>
      </c>
      <c r="S6180" s="24"/>
    </row>
    <row r="6181" spans="1:19" ht="27" customHeight="1" x14ac:dyDescent="0.25">
      <c r="A6181" t="s">
        <v>5672</v>
      </c>
      <c r="H6181" t="s">
        <v>12706</v>
      </c>
      <c r="I6181" t="s">
        <v>12707</v>
      </c>
      <c r="J6181" t="s">
        <v>26</v>
      </c>
      <c r="K6181" s="42">
        <v>2000</v>
      </c>
      <c r="L6181" s="12">
        <f t="shared" si="528"/>
        <v>3076.9230769230767</v>
      </c>
      <c r="M6181" s="8">
        <v>1</v>
      </c>
      <c r="N6181" s="8" t="s">
        <v>27</v>
      </c>
      <c r="O6181" s="13">
        <f t="shared" si="529"/>
        <v>0</v>
      </c>
      <c r="P6181" s="14">
        <v>0</v>
      </c>
      <c r="Q6181" s="15">
        <v>0.35</v>
      </c>
      <c r="R6181" s="16" t="str">
        <f t="shared" si="523"/>
        <v>LUTRON</v>
      </c>
      <c r="S6181" s="24"/>
    </row>
    <row r="6182" spans="1:19" ht="27" customHeight="1" x14ac:dyDescent="0.25">
      <c r="A6182" t="s">
        <v>3977</v>
      </c>
      <c r="H6182" t="s">
        <v>12708</v>
      </c>
      <c r="I6182" t="s">
        <v>12709</v>
      </c>
      <c r="J6182" t="s">
        <v>33</v>
      </c>
      <c r="K6182" s="42">
        <v>5000000</v>
      </c>
      <c r="L6182" s="12">
        <f t="shared" si="528"/>
        <v>7692400</v>
      </c>
      <c r="M6182" s="8">
        <v>1</v>
      </c>
      <c r="N6182" s="8" t="s">
        <v>27</v>
      </c>
      <c r="O6182" s="13">
        <f t="shared" si="529"/>
        <v>0</v>
      </c>
      <c r="P6182" s="14">
        <v>0</v>
      </c>
      <c r="Q6182" s="15">
        <v>0.35</v>
      </c>
      <c r="R6182" s="16" t="str">
        <f t="shared" si="523"/>
        <v>KOMODO</v>
      </c>
      <c r="S6182" s="24"/>
    </row>
    <row r="6183" spans="1:19" ht="27" customHeight="1" x14ac:dyDescent="0.25">
      <c r="A6183" t="s">
        <v>3977</v>
      </c>
      <c r="H6183" t="s">
        <v>12710</v>
      </c>
      <c r="I6183" t="s">
        <v>12711</v>
      </c>
      <c r="J6183" t="s">
        <v>33</v>
      </c>
      <c r="K6183" s="42">
        <v>15000</v>
      </c>
      <c r="L6183" s="12">
        <f t="shared" si="528"/>
        <v>23100</v>
      </c>
      <c r="M6183" s="8">
        <v>1</v>
      </c>
      <c r="N6183" s="8" t="s">
        <v>27</v>
      </c>
      <c r="O6183" s="13">
        <f t="shared" si="529"/>
        <v>0</v>
      </c>
      <c r="P6183" s="14">
        <v>0</v>
      </c>
      <c r="Q6183" s="15">
        <v>0.35</v>
      </c>
      <c r="R6183" s="16" t="str">
        <f t="shared" si="523"/>
        <v>KOMODO</v>
      </c>
    </row>
    <row r="6184" spans="1:19" ht="27" customHeight="1" x14ac:dyDescent="0.25">
      <c r="A6184" s="49" t="s">
        <v>7761</v>
      </c>
      <c r="B6184" s="24"/>
      <c r="C6184" s="24"/>
      <c r="D6184" s="24"/>
      <c r="E6184" s="24"/>
      <c r="F6184" s="24"/>
      <c r="G6184" s="24"/>
      <c r="H6184" s="24" t="s">
        <v>12712</v>
      </c>
      <c r="I6184" s="60" t="s">
        <v>12713</v>
      </c>
      <c r="J6184" s="24" t="s">
        <v>33</v>
      </c>
      <c r="K6184" s="26">
        <f>7785000/1.19</f>
        <v>6542016.8067226894</v>
      </c>
      <c r="L6184" s="12">
        <f t="shared" ref="L6184:L6193" si="530">K6184*(1+P6184)/(1-Q6184)</f>
        <v>8177521.0084033618</v>
      </c>
      <c r="M6184" s="8">
        <v>1</v>
      </c>
      <c r="N6184" s="8" t="s">
        <v>27</v>
      </c>
      <c r="O6184" s="13"/>
      <c r="P6184" s="14">
        <v>0</v>
      </c>
      <c r="Q6184" s="15">
        <v>0.2</v>
      </c>
      <c r="R6184" s="16" t="str">
        <f t="shared" si="523"/>
        <v>POWEST</v>
      </c>
    </row>
    <row r="6185" spans="1:19" ht="27" customHeight="1" x14ac:dyDescent="0.25">
      <c r="A6185" t="s">
        <v>3977</v>
      </c>
      <c r="H6185" t="s">
        <v>12714</v>
      </c>
      <c r="I6185" t="s">
        <v>12715</v>
      </c>
      <c r="J6185" t="s">
        <v>33</v>
      </c>
      <c r="K6185" s="42">
        <v>111000</v>
      </c>
      <c r="L6185" s="12">
        <f t="shared" si="530"/>
        <v>138750</v>
      </c>
      <c r="M6185" s="8">
        <v>1</v>
      </c>
      <c r="N6185" s="8" t="s">
        <v>27</v>
      </c>
      <c r="O6185" s="13"/>
      <c r="P6185" s="14">
        <v>0</v>
      </c>
      <c r="Q6185" s="15">
        <v>0.2</v>
      </c>
      <c r="R6185" s="16" t="str">
        <f t="shared" si="523"/>
        <v>KOMODO</v>
      </c>
    </row>
    <row r="6186" spans="1:19" ht="27" customHeight="1" x14ac:dyDescent="0.25">
      <c r="A6186" t="s">
        <v>38</v>
      </c>
      <c r="H6186" t="s">
        <v>12716</v>
      </c>
      <c r="I6186" t="s">
        <v>12717</v>
      </c>
      <c r="J6186" t="s">
        <v>26</v>
      </c>
      <c r="K6186" s="42">
        <v>378</v>
      </c>
      <c r="L6186" s="12">
        <f t="shared" si="530"/>
        <v>630</v>
      </c>
      <c r="M6186" s="8">
        <v>1</v>
      </c>
      <c r="N6186" s="8" t="s">
        <v>27</v>
      </c>
      <c r="O6186" s="13"/>
      <c r="P6186" s="14">
        <v>0</v>
      </c>
      <c r="Q6186" s="15">
        <v>0.4</v>
      </c>
      <c r="R6186" s="16" t="str">
        <f t="shared" si="523"/>
        <v>CONTROL4</v>
      </c>
    </row>
    <row r="6187" spans="1:19" ht="27" customHeight="1" x14ac:dyDescent="0.25">
      <c r="A6187" t="s">
        <v>7989</v>
      </c>
      <c r="H6187" t="s">
        <v>12718</v>
      </c>
      <c r="I6187" t="s">
        <v>12719</v>
      </c>
      <c r="J6187" t="s">
        <v>26</v>
      </c>
      <c r="K6187" s="42">
        <v>229</v>
      </c>
      <c r="L6187" s="12">
        <f t="shared" si="530"/>
        <v>381.66666666666669</v>
      </c>
      <c r="M6187" s="8">
        <v>1</v>
      </c>
      <c r="N6187" s="8" t="s">
        <v>27</v>
      </c>
      <c r="O6187" s="13"/>
      <c r="P6187" s="14">
        <v>0</v>
      </c>
      <c r="Q6187" s="15">
        <v>0.4</v>
      </c>
      <c r="R6187" s="16" t="str">
        <f t="shared" si="523"/>
        <v>RUSSOUND</v>
      </c>
    </row>
    <row r="6188" spans="1:19" ht="27" customHeight="1" x14ac:dyDescent="0.25">
      <c r="A6188" t="s">
        <v>8308</v>
      </c>
      <c r="H6188" t="s">
        <v>12720</v>
      </c>
      <c r="I6188" t="s">
        <v>12721</v>
      </c>
      <c r="J6188" t="s">
        <v>33</v>
      </c>
      <c r="K6188" s="42">
        <v>367000</v>
      </c>
      <c r="L6188" s="12">
        <f t="shared" si="530"/>
        <v>611666.66666666674</v>
      </c>
      <c r="M6188" s="8">
        <v>1</v>
      </c>
      <c r="N6188" s="8" t="s">
        <v>27</v>
      </c>
      <c r="O6188" s="13"/>
      <c r="P6188" s="14">
        <v>0</v>
      </c>
      <c r="Q6188" s="15">
        <v>0.4</v>
      </c>
      <c r="R6188" s="16" t="str">
        <f t="shared" si="523"/>
        <v>SOLIDVIEW</v>
      </c>
    </row>
    <row r="6189" spans="1:19" ht="27" customHeight="1" x14ac:dyDescent="0.25">
      <c r="A6189" t="s">
        <v>12722</v>
      </c>
      <c r="H6189" t="s">
        <v>12723</v>
      </c>
      <c r="I6189" t="s">
        <v>12724</v>
      </c>
      <c r="J6189" t="s">
        <v>26</v>
      </c>
      <c r="K6189" s="42">
        <v>139</v>
      </c>
      <c r="L6189" s="12">
        <f t="shared" si="530"/>
        <v>163.52941176470588</v>
      </c>
      <c r="M6189" s="8">
        <v>1</v>
      </c>
      <c r="N6189" s="8" t="s">
        <v>27</v>
      </c>
      <c r="O6189" s="13"/>
      <c r="P6189" s="14">
        <v>0</v>
      </c>
      <c r="Q6189" s="15">
        <v>0.15</v>
      </c>
      <c r="R6189" s="16" t="str">
        <f t="shared" si="523"/>
        <v>ORDRO</v>
      </c>
    </row>
    <row r="6190" spans="1:19" ht="27" customHeight="1" x14ac:dyDescent="0.25">
      <c r="A6190" t="s">
        <v>7989</v>
      </c>
      <c r="H6190" t="s">
        <v>12725</v>
      </c>
      <c r="I6190" t="s">
        <v>12726</v>
      </c>
      <c r="J6190" t="s">
        <v>26</v>
      </c>
      <c r="K6190" s="42">
        <v>173</v>
      </c>
      <c r="L6190" s="12">
        <f t="shared" si="530"/>
        <v>288.33333333333337</v>
      </c>
      <c r="M6190" s="8">
        <v>1</v>
      </c>
      <c r="N6190" s="8" t="s">
        <v>27</v>
      </c>
      <c r="O6190" s="13"/>
      <c r="P6190" s="14">
        <v>0</v>
      </c>
      <c r="Q6190" s="15">
        <v>0.4</v>
      </c>
      <c r="R6190" s="16" t="str">
        <f t="shared" si="523"/>
        <v>RUSSOUND</v>
      </c>
    </row>
    <row r="6191" spans="1:19" ht="27" customHeight="1" x14ac:dyDescent="0.25">
      <c r="A6191" t="s">
        <v>12498</v>
      </c>
      <c r="H6191" t="s">
        <v>12727</v>
      </c>
      <c r="I6191" t="s">
        <v>12728</v>
      </c>
      <c r="J6191" t="s">
        <v>33</v>
      </c>
      <c r="K6191" s="42">
        <v>467000</v>
      </c>
      <c r="L6191" s="12">
        <f t="shared" si="530"/>
        <v>778333.33333333337</v>
      </c>
      <c r="M6191" s="8">
        <v>1</v>
      </c>
      <c r="N6191" s="8" t="s">
        <v>27</v>
      </c>
      <c r="O6191" s="13"/>
      <c r="P6191" s="14">
        <v>0</v>
      </c>
      <c r="Q6191" s="15">
        <v>0.4</v>
      </c>
      <c r="R6191" s="16" t="str">
        <f t="shared" ref="R6191:R6254" si="531">A6191</f>
        <v>AJAX</v>
      </c>
    </row>
    <row r="6192" spans="1:19" ht="27" customHeight="1" x14ac:dyDescent="0.25">
      <c r="A6192" t="s">
        <v>12498</v>
      </c>
      <c r="H6192" t="s">
        <v>12729</v>
      </c>
      <c r="I6192" t="s">
        <v>12730</v>
      </c>
      <c r="J6192" t="s">
        <v>33</v>
      </c>
      <c r="K6192" s="42">
        <v>196200</v>
      </c>
      <c r="L6192" s="12">
        <f t="shared" si="530"/>
        <v>280285.71428571432</v>
      </c>
      <c r="M6192" s="8">
        <v>1</v>
      </c>
      <c r="N6192" s="8" t="s">
        <v>27</v>
      </c>
      <c r="O6192" s="13"/>
      <c r="P6192" s="14">
        <v>0</v>
      </c>
      <c r="Q6192" s="15">
        <v>0.3</v>
      </c>
      <c r="R6192" s="16" t="str">
        <f t="shared" si="531"/>
        <v>AJAX</v>
      </c>
    </row>
    <row r="6193" spans="1:20" ht="27" customHeight="1" x14ac:dyDescent="0.25">
      <c r="A6193" t="s">
        <v>12498</v>
      </c>
      <c r="H6193" t="s">
        <v>12731</v>
      </c>
      <c r="I6193" t="s">
        <v>12732</v>
      </c>
      <c r="J6193" t="s">
        <v>33</v>
      </c>
      <c r="K6193" s="42">
        <v>277200</v>
      </c>
      <c r="L6193" s="12">
        <f t="shared" si="530"/>
        <v>462000</v>
      </c>
      <c r="M6193" s="8">
        <v>1</v>
      </c>
      <c r="N6193" s="8" t="s">
        <v>27</v>
      </c>
      <c r="O6193" s="13"/>
      <c r="P6193" s="14">
        <v>0</v>
      </c>
      <c r="Q6193" s="15">
        <v>0.4</v>
      </c>
      <c r="R6193" s="16" t="str">
        <f t="shared" si="531"/>
        <v>AJAX</v>
      </c>
    </row>
    <row r="6194" spans="1:20" ht="27" customHeight="1" x14ac:dyDescent="0.25">
      <c r="A6194" s="8" t="s">
        <v>8308</v>
      </c>
      <c r="B6194" s="9"/>
      <c r="C6194" s="9"/>
      <c r="D6194" s="8"/>
      <c r="E6194" s="8"/>
      <c r="F6194" s="8" t="s">
        <v>22</v>
      </c>
      <c r="G6194" s="10" t="s">
        <v>6960</v>
      </c>
      <c r="H6194" s="8" t="s">
        <v>12733</v>
      </c>
      <c r="I6194" s="10" t="s">
        <v>12734</v>
      </c>
      <c r="J6194" s="11" t="s">
        <v>33</v>
      </c>
      <c r="K6194" s="18">
        <v>20900</v>
      </c>
      <c r="L6194" s="12">
        <f t="shared" ref="L6194:L6203" si="532">IF(J6194="P",ROUNDUP(K6194/(1-Q6194),-2),K6194*(1+P6194)/(1-Q6194))</f>
        <v>34900</v>
      </c>
      <c r="M6194" s="8">
        <v>1</v>
      </c>
      <c r="N6194" s="8" t="s">
        <v>27</v>
      </c>
      <c r="O6194" s="13"/>
      <c r="P6194" s="14">
        <v>0</v>
      </c>
      <c r="Q6194" s="15">
        <v>0.4</v>
      </c>
      <c r="R6194" s="16" t="str">
        <f t="shared" si="531"/>
        <v>SOLIDVIEW</v>
      </c>
    </row>
    <row r="6195" spans="1:20" ht="27" customHeight="1" x14ac:dyDescent="0.25">
      <c r="A6195" s="8" t="s">
        <v>8308</v>
      </c>
      <c r="H6195" t="s">
        <v>12735</v>
      </c>
      <c r="I6195" s="10" t="s">
        <v>12736</v>
      </c>
      <c r="J6195" t="s">
        <v>33</v>
      </c>
      <c r="K6195" s="42">
        <v>15800</v>
      </c>
      <c r="L6195" s="12">
        <f t="shared" si="532"/>
        <v>26400</v>
      </c>
      <c r="M6195" s="8">
        <v>1</v>
      </c>
      <c r="N6195" s="8" t="s">
        <v>27</v>
      </c>
      <c r="O6195" s="13"/>
      <c r="P6195" s="14">
        <v>0</v>
      </c>
      <c r="Q6195" s="15">
        <v>0.4</v>
      </c>
      <c r="R6195" s="16" t="str">
        <f t="shared" si="531"/>
        <v>SOLIDVIEW</v>
      </c>
    </row>
    <row r="6196" spans="1:20" ht="27" customHeight="1" x14ac:dyDescent="0.25">
      <c r="A6196" s="8" t="s">
        <v>8308</v>
      </c>
      <c r="H6196" t="s">
        <v>12737</v>
      </c>
      <c r="I6196" t="s">
        <v>12738</v>
      </c>
      <c r="J6196" t="s">
        <v>33</v>
      </c>
      <c r="K6196" s="42">
        <v>12900</v>
      </c>
      <c r="L6196" s="12">
        <f t="shared" si="532"/>
        <v>23500</v>
      </c>
      <c r="M6196" s="8">
        <v>1</v>
      </c>
      <c r="N6196" s="8" t="s">
        <v>27</v>
      </c>
      <c r="O6196" s="13"/>
      <c r="P6196" s="14">
        <v>0</v>
      </c>
      <c r="Q6196" s="15">
        <v>0.45</v>
      </c>
      <c r="R6196" s="16" t="str">
        <f t="shared" si="531"/>
        <v>SOLIDVIEW</v>
      </c>
    </row>
    <row r="6197" spans="1:20" ht="27" customHeight="1" x14ac:dyDescent="0.25">
      <c r="A6197" s="8" t="s">
        <v>8308</v>
      </c>
      <c r="H6197" t="s">
        <v>12739</v>
      </c>
      <c r="I6197" t="s">
        <v>12740</v>
      </c>
      <c r="J6197" t="s">
        <v>33</v>
      </c>
      <c r="K6197" s="42">
        <v>360000</v>
      </c>
      <c r="L6197" s="12">
        <f t="shared" si="532"/>
        <v>600000</v>
      </c>
      <c r="M6197" s="8">
        <v>1</v>
      </c>
      <c r="N6197" s="8" t="s">
        <v>27</v>
      </c>
      <c r="O6197" s="13"/>
      <c r="P6197" s="14">
        <v>0</v>
      </c>
      <c r="Q6197" s="15">
        <v>0.4</v>
      </c>
      <c r="R6197" s="16" t="str">
        <f t="shared" si="531"/>
        <v>SOLIDVIEW</v>
      </c>
    </row>
    <row r="6198" spans="1:20" ht="27" customHeight="1" x14ac:dyDescent="0.25">
      <c r="A6198" s="32" t="s">
        <v>9866</v>
      </c>
      <c r="B6198" s="76"/>
      <c r="C6198" s="76"/>
      <c r="D6198" s="76"/>
      <c r="E6198" s="76"/>
      <c r="F6198" s="76"/>
      <c r="G6198" s="76"/>
      <c r="H6198" s="76" t="s">
        <v>12741</v>
      </c>
      <c r="I6198" s="76" t="s">
        <v>12742</v>
      </c>
      <c r="J6198" s="76" t="s">
        <v>26</v>
      </c>
      <c r="K6198" s="77">
        <v>60</v>
      </c>
      <c r="L6198" s="12">
        <f t="shared" si="532"/>
        <v>100</v>
      </c>
      <c r="M6198" s="8">
        <v>1</v>
      </c>
      <c r="N6198" s="8" t="s">
        <v>27</v>
      </c>
      <c r="O6198" s="78"/>
      <c r="P6198" s="14">
        <v>0</v>
      </c>
      <c r="Q6198" s="15">
        <v>0.4</v>
      </c>
      <c r="R6198" s="16" t="str">
        <f t="shared" si="531"/>
        <v>ORVIBO</v>
      </c>
      <c r="S6198" s="76"/>
      <c r="T6198" s="76"/>
    </row>
    <row r="6199" spans="1:20" ht="27" customHeight="1" x14ac:dyDescent="0.25">
      <c r="A6199" s="32" t="s">
        <v>9866</v>
      </c>
      <c r="B6199" s="76"/>
      <c r="C6199" s="76"/>
      <c r="D6199" s="76"/>
      <c r="E6199" s="76"/>
      <c r="F6199" s="76"/>
      <c r="G6199" s="76"/>
      <c r="H6199" s="76" t="s">
        <v>12743</v>
      </c>
      <c r="I6199" s="76" t="s">
        <v>12744</v>
      </c>
      <c r="J6199" s="76" t="s">
        <v>26</v>
      </c>
      <c r="K6199" s="77">
        <v>57</v>
      </c>
      <c r="L6199" s="12">
        <f t="shared" si="532"/>
        <v>95</v>
      </c>
      <c r="M6199" s="8">
        <v>1</v>
      </c>
      <c r="N6199" s="8" t="s">
        <v>27</v>
      </c>
      <c r="O6199" s="78"/>
      <c r="P6199" s="14">
        <v>0</v>
      </c>
      <c r="Q6199" s="15">
        <v>0.4</v>
      </c>
      <c r="R6199" s="16" t="str">
        <f t="shared" si="531"/>
        <v>ORVIBO</v>
      </c>
      <c r="S6199" s="76"/>
      <c r="T6199" s="76"/>
    </row>
    <row r="6200" spans="1:20" ht="27" customHeight="1" x14ac:dyDescent="0.25">
      <c r="A6200" s="32" t="s">
        <v>9866</v>
      </c>
      <c r="B6200" s="76"/>
      <c r="C6200" s="76"/>
      <c r="D6200" s="76"/>
      <c r="E6200" s="76"/>
      <c r="F6200" s="76"/>
      <c r="G6200" s="76"/>
      <c r="H6200" s="76" t="s">
        <v>12745</v>
      </c>
      <c r="I6200" s="76" t="s">
        <v>12746</v>
      </c>
      <c r="J6200" s="76" t="s">
        <v>26</v>
      </c>
      <c r="K6200" s="77">
        <v>52</v>
      </c>
      <c r="L6200" s="12">
        <f t="shared" si="532"/>
        <v>86.666666666666671</v>
      </c>
      <c r="M6200" s="8">
        <v>1</v>
      </c>
      <c r="N6200" s="8" t="s">
        <v>27</v>
      </c>
      <c r="O6200" s="78"/>
      <c r="P6200" s="14">
        <v>0</v>
      </c>
      <c r="Q6200" s="15">
        <v>0.4</v>
      </c>
      <c r="R6200" s="16" t="str">
        <f t="shared" si="531"/>
        <v>ORVIBO</v>
      </c>
      <c r="S6200" s="76"/>
      <c r="T6200" s="76"/>
    </row>
    <row r="6201" spans="1:20" ht="27" customHeight="1" x14ac:dyDescent="0.25">
      <c r="A6201" s="32" t="s">
        <v>9866</v>
      </c>
      <c r="B6201" s="76"/>
      <c r="C6201" s="76"/>
      <c r="D6201" s="76"/>
      <c r="E6201" s="76"/>
      <c r="F6201" s="76"/>
      <c r="G6201" s="76"/>
      <c r="H6201" s="76" t="s">
        <v>12747</v>
      </c>
      <c r="I6201" s="76" t="s">
        <v>12748</v>
      </c>
      <c r="J6201" s="76" t="s">
        <v>26</v>
      </c>
      <c r="K6201" s="77">
        <v>52</v>
      </c>
      <c r="L6201" s="12">
        <f t="shared" si="532"/>
        <v>86.666666666666671</v>
      </c>
      <c r="M6201" s="8">
        <v>1</v>
      </c>
      <c r="N6201" s="8" t="s">
        <v>27</v>
      </c>
      <c r="O6201" s="78"/>
      <c r="P6201" s="14">
        <v>0</v>
      </c>
      <c r="Q6201" s="15">
        <v>0.4</v>
      </c>
      <c r="R6201" s="16" t="str">
        <f t="shared" si="531"/>
        <v>ORVIBO</v>
      </c>
      <c r="S6201" s="76"/>
      <c r="T6201" s="76"/>
    </row>
    <row r="6202" spans="1:20" ht="27" customHeight="1" x14ac:dyDescent="0.25">
      <c r="A6202" s="32" t="s">
        <v>9866</v>
      </c>
      <c r="B6202" s="76"/>
      <c r="C6202" s="76"/>
      <c r="D6202" s="76"/>
      <c r="E6202" s="76"/>
      <c r="F6202" s="76"/>
      <c r="G6202" s="76"/>
      <c r="H6202" s="76" t="s">
        <v>12749</v>
      </c>
      <c r="I6202" s="76" t="s">
        <v>12750</v>
      </c>
      <c r="J6202" s="76" t="s">
        <v>26</v>
      </c>
      <c r="K6202" s="77">
        <v>56</v>
      </c>
      <c r="L6202" s="12">
        <f t="shared" si="532"/>
        <v>93.333333333333343</v>
      </c>
      <c r="M6202" s="8">
        <v>1</v>
      </c>
      <c r="N6202" s="8" t="s">
        <v>27</v>
      </c>
      <c r="O6202" s="78"/>
      <c r="P6202" s="14">
        <v>0</v>
      </c>
      <c r="Q6202" s="15">
        <v>0.4</v>
      </c>
      <c r="R6202" s="16" t="str">
        <f t="shared" si="531"/>
        <v>ORVIBO</v>
      </c>
      <c r="S6202" s="76"/>
      <c r="T6202" s="76"/>
    </row>
    <row r="6203" spans="1:20" ht="27" customHeight="1" x14ac:dyDescent="0.25">
      <c r="A6203" s="32" t="s">
        <v>9866</v>
      </c>
      <c r="B6203" s="76"/>
      <c r="C6203" s="76"/>
      <c r="D6203" s="76"/>
      <c r="E6203" s="76"/>
      <c r="F6203" s="76"/>
      <c r="G6203" s="76"/>
      <c r="H6203" s="76" t="s">
        <v>12751</v>
      </c>
      <c r="I6203" s="76" t="s">
        <v>12752</v>
      </c>
      <c r="J6203" s="76" t="s">
        <v>26</v>
      </c>
      <c r="K6203" s="77">
        <v>47</v>
      </c>
      <c r="L6203" s="12">
        <f t="shared" si="532"/>
        <v>78.333333333333343</v>
      </c>
      <c r="M6203" s="8">
        <v>1</v>
      </c>
      <c r="N6203" s="8" t="s">
        <v>27</v>
      </c>
      <c r="O6203" s="78"/>
      <c r="P6203" s="14">
        <v>0</v>
      </c>
      <c r="Q6203" s="15">
        <v>0.4</v>
      </c>
      <c r="R6203" s="16" t="str">
        <f t="shared" si="531"/>
        <v>ORVIBO</v>
      </c>
      <c r="S6203" s="76"/>
      <c r="T6203" s="76"/>
    </row>
    <row r="6204" spans="1:20" ht="27" customHeight="1" x14ac:dyDescent="0.25">
      <c r="A6204" s="32" t="s">
        <v>11685</v>
      </c>
      <c r="H6204" s="32" t="s">
        <v>12753</v>
      </c>
      <c r="I6204" s="33" t="s">
        <v>12754</v>
      </c>
      <c r="J6204" s="34" t="s">
        <v>26</v>
      </c>
      <c r="K6204" s="42">
        <v>44</v>
      </c>
      <c r="L6204" s="12">
        <f>ROUNDUP(K6204*(1+P6204)/(1-Q6204),0)</f>
        <v>74</v>
      </c>
      <c r="M6204" s="8">
        <v>1</v>
      </c>
      <c r="N6204" s="8" t="s">
        <v>27</v>
      </c>
      <c r="O6204" s="13"/>
      <c r="P6204" s="14">
        <v>0</v>
      </c>
      <c r="Q6204" s="15">
        <v>0.4</v>
      </c>
      <c r="R6204" s="16" t="str">
        <f t="shared" si="531"/>
        <v>RUIJIE</v>
      </c>
    </row>
    <row r="6205" spans="1:20" ht="27" customHeight="1" x14ac:dyDescent="0.25">
      <c r="A6205" s="32" t="s">
        <v>8308</v>
      </c>
      <c r="H6205" s="76" t="s">
        <v>12755</v>
      </c>
      <c r="I6205" s="76" t="s">
        <v>12756</v>
      </c>
      <c r="J6205" s="76" t="s">
        <v>33</v>
      </c>
      <c r="K6205" s="42">
        <v>11500</v>
      </c>
      <c r="L6205" s="12">
        <f>ROUNDUP(K6205*(1+P6205)/(1-Q6205),0)</f>
        <v>19167</v>
      </c>
      <c r="M6205" s="8">
        <v>1</v>
      </c>
      <c r="N6205" s="8" t="s">
        <v>27</v>
      </c>
      <c r="O6205" s="13"/>
      <c r="P6205" s="14">
        <v>0</v>
      </c>
      <c r="Q6205" s="15">
        <v>0.4</v>
      </c>
      <c r="R6205" s="16" t="str">
        <f t="shared" si="531"/>
        <v>SOLIDVIEW</v>
      </c>
    </row>
    <row r="6206" spans="1:20" ht="27" customHeight="1" x14ac:dyDescent="0.25">
      <c r="A6206" s="32" t="s">
        <v>12757</v>
      </c>
      <c r="H6206" s="76" t="s">
        <v>12758</v>
      </c>
      <c r="I6206" s="76" t="s">
        <v>12759</v>
      </c>
      <c r="J6206" s="76" t="s">
        <v>33</v>
      </c>
      <c r="K6206" s="42">
        <v>55000</v>
      </c>
      <c r="L6206" s="12">
        <f>ROUNDUP(K6206*(1+P6206)/(1-Q6206),0)</f>
        <v>91667</v>
      </c>
      <c r="M6206" s="8">
        <v>1</v>
      </c>
      <c r="N6206" s="8" t="s">
        <v>27</v>
      </c>
      <c r="O6206" s="13"/>
      <c r="P6206" s="14">
        <v>0</v>
      </c>
      <c r="Q6206" s="15">
        <v>0.4</v>
      </c>
      <c r="R6206" s="16" t="str">
        <f t="shared" si="531"/>
        <v>YANPO</v>
      </c>
    </row>
    <row r="6207" spans="1:20" ht="27" customHeight="1" x14ac:dyDescent="0.25">
      <c r="A6207" s="32" t="s">
        <v>3977</v>
      </c>
      <c r="H6207" s="76" t="s">
        <v>12760</v>
      </c>
      <c r="I6207" s="76" t="s">
        <v>12761</v>
      </c>
      <c r="J6207" s="76" t="s">
        <v>33</v>
      </c>
      <c r="K6207" s="42">
        <v>35000</v>
      </c>
      <c r="L6207" s="12">
        <f>ROUNDUP(K6207*(1+P6207)/(1-Q6207),0)</f>
        <v>58334</v>
      </c>
      <c r="M6207" s="8">
        <v>1</v>
      </c>
      <c r="N6207" s="8" t="s">
        <v>27</v>
      </c>
      <c r="O6207" s="13"/>
      <c r="P6207" s="14">
        <v>0</v>
      </c>
      <c r="Q6207" s="15">
        <v>0.4</v>
      </c>
      <c r="R6207" s="16" t="str">
        <f t="shared" si="531"/>
        <v>KOMODO</v>
      </c>
    </row>
    <row r="6208" spans="1:20" ht="27" customHeight="1" x14ac:dyDescent="0.25">
      <c r="A6208" s="32" t="s">
        <v>3672</v>
      </c>
      <c r="H6208" s="76" t="s">
        <v>12762</v>
      </c>
      <c r="I6208" s="76" t="s">
        <v>12763</v>
      </c>
      <c r="J6208" s="76" t="s">
        <v>33</v>
      </c>
      <c r="K6208" s="42">
        <v>8000</v>
      </c>
      <c r="L6208" s="12">
        <f>ROUNDUP(K6208*(1+P6208)/(1-Q6208),0)</f>
        <v>13334</v>
      </c>
      <c r="M6208" s="8">
        <v>1</v>
      </c>
      <c r="N6208" s="8" t="s">
        <v>27</v>
      </c>
      <c r="O6208" s="13"/>
      <c r="P6208" s="14">
        <v>0</v>
      </c>
      <c r="Q6208" s="15">
        <v>0.4</v>
      </c>
      <c r="R6208" s="16" t="str">
        <f t="shared" si="531"/>
        <v>ILUMAX</v>
      </c>
    </row>
    <row r="6209" spans="1:20" ht="27" customHeight="1" x14ac:dyDescent="0.25">
      <c r="A6209" s="32" t="s">
        <v>12764</v>
      </c>
      <c r="H6209" s="44" t="s">
        <v>12765</v>
      </c>
      <c r="I6209" s="33" t="s">
        <v>12766</v>
      </c>
      <c r="J6209" s="34" t="s">
        <v>26</v>
      </c>
      <c r="K6209" s="42">
        <v>27</v>
      </c>
      <c r="L6209" s="12">
        <f>K6209*(1+P6209)/(1-Q6209)</f>
        <v>54</v>
      </c>
      <c r="M6209" s="8">
        <v>1</v>
      </c>
      <c r="N6209" s="8" t="s">
        <v>27</v>
      </c>
      <c r="O6209" s="13"/>
      <c r="P6209" s="14">
        <v>0.2</v>
      </c>
      <c r="Q6209" s="15">
        <v>0.4</v>
      </c>
      <c r="R6209" s="40" t="str">
        <f t="shared" si="531"/>
        <v>HOMEPOT</v>
      </c>
      <c r="T6209" s="39" t="s">
        <v>12767</v>
      </c>
    </row>
    <row r="6210" spans="1:20" ht="27" customHeight="1" x14ac:dyDescent="0.25">
      <c r="A6210" s="32" t="s">
        <v>12378</v>
      </c>
      <c r="H6210" s="44" t="s">
        <v>12768</v>
      </c>
      <c r="I6210" s="33" t="s">
        <v>12769</v>
      </c>
      <c r="J6210" s="34" t="s">
        <v>26</v>
      </c>
      <c r="K6210" s="42">
        <v>45</v>
      </c>
      <c r="L6210" s="12">
        <f>K6210*(1+P6210)/(1-Q6210)</f>
        <v>90</v>
      </c>
      <c r="M6210" s="8">
        <v>1</v>
      </c>
      <c r="N6210" s="8" t="s">
        <v>27</v>
      </c>
      <c r="O6210" s="13"/>
      <c r="P6210" s="14">
        <v>0.2</v>
      </c>
      <c r="Q6210" s="15">
        <v>0.4</v>
      </c>
      <c r="R6210" s="40" t="str">
        <f t="shared" si="531"/>
        <v>ALEXA</v>
      </c>
    </row>
    <row r="6211" spans="1:20" ht="27" customHeight="1" x14ac:dyDescent="0.25">
      <c r="A6211" s="32" t="s">
        <v>9866</v>
      </c>
      <c r="H6211" s="44" t="s">
        <v>12770</v>
      </c>
      <c r="I6211" s="33" t="s">
        <v>12771</v>
      </c>
      <c r="J6211" s="34" t="s">
        <v>26</v>
      </c>
      <c r="K6211" s="42">
        <v>197</v>
      </c>
      <c r="L6211" s="12">
        <f>K6211*(1+P6211)/(1-Q6211)</f>
        <v>281.42857142857144</v>
      </c>
      <c r="M6211" s="8">
        <v>1</v>
      </c>
      <c r="N6211" s="8" t="s">
        <v>27</v>
      </c>
      <c r="O6211" s="13"/>
      <c r="P6211" s="14">
        <v>0</v>
      </c>
      <c r="Q6211" s="15">
        <v>0.3</v>
      </c>
      <c r="R6211" s="40" t="str">
        <f t="shared" si="531"/>
        <v>ORVIBO</v>
      </c>
    </row>
    <row r="6212" spans="1:20" ht="27" customHeight="1" x14ac:dyDescent="0.25">
      <c r="A6212" s="32" t="s">
        <v>9866</v>
      </c>
      <c r="H6212" s="44" t="s">
        <v>12772</v>
      </c>
      <c r="I6212" s="33" t="s">
        <v>12773</v>
      </c>
      <c r="J6212" s="34" t="s">
        <v>26</v>
      </c>
      <c r="K6212" s="42">
        <f>172/2</f>
        <v>86</v>
      </c>
      <c r="L6212" s="12">
        <f>K6212*(1+P6212)/(1-Q6212)</f>
        <v>122.85714285714286</v>
      </c>
      <c r="M6212" s="8">
        <v>1</v>
      </c>
      <c r="N6212" s="8" t="s">
        <v>27</v>
      </c>
      <c r="O6212" s="13"/>
      <c r="P6212" s="14">
        <v>0</v>
      </c>
      <c r="Q6212" s="15">
        <v>0.3</v>
      </c>
      <c r="R6212" s="40" t="str">
        <f t="shared" si="531"/>
        <v>ORVIBO</v>
      </c>
    </row>
    <row r="6213" spans="1:20" ht="27" customHeight="1" x14ac:dyDescent="0.25">
      <c r="A6213" t="s">
        <v>2095</v>
      </c>
      <c r="H6213" s="32" t="s">
        <v>12774</v>
      </c>
      <c r="I6213" t="s">
        <v>12775</v>
      </c>
      <c r="J6213" t="s">
        <v>33</v>
      </c>
      <c r="K6213" s="42">
        <v>42000</v>
      </c>
      <c r="L6213" s="12">
        <f>K6213*(1+P6213)/(1-Q6213)</f>
        <v>70000</v>
      </c>
      <c r="M6213" s="8">
        <v>1</v>
      </c>
      <c r="N6213" s="8" t="s">
        <v>27</v>
      </c>
      <c r="O6213" s="13"/>
      <c r="P6213" s="14">
        <v>0</v>
      </c>
      <c r="Q6213" s="15">
        <v>0.4</v>
      </c>
      <c r="R6213" s="16" t="str">
        <f t="shared" si="531"/>
        <v>ECOLITE</v>
      </c>
    </row>
    <row r="6214" spans="1:20" ht="27" customHeight="1" x14ac:dyDescent="0.25">
      <c r="A6214" s="32" t="s">
        <v>3694</v>
      </c>
      <c r="H6214" s="32" t="s">
        <v>12452</v>
      </c>
      <c r="I6214" s="33" t="s">
        <v>12776</v>
      </c>
      <c r="J6214" t="s">
        <v>33</v>
      </c>
      <c r="K6214" s="42">
        <v>185300</v>
      </c>
      <c r="L6214" s="12">
        <f t="shared" ref="L6214:L6229" si="533">ROUNDUP(K6214*(1+P6214)/(1-Q6214),0)</f>
        <v>308834</v>
      </c>
      <c r="M6214" s="8">
        <v>1</v>
      </c>
      <c r="N6214" s="8" t="s">
        <v>27</v>
      </c>
      <c r="O6214" s="13"/>
      <c r="P6214" s="14">
        <v>0</v>
      </c>
      <c r="Q6214" s="15">
        <v>0.4</v>
      </c>
      <c r="R6214" s="16" t="str">
        <f t="shared" si="531"/>
        <v>IMOU</v>
      </c>
    </row>
    <row r="6215" spans="1:20" ht="27" customHeight="1" x14ac:dyDescent="0.25">
      <c r="A6215" s="32" t="s">
        <v>3694</v>
      </c>
      <c r="H6215" s="32" t="s">
        <v>12777</v>
      </c>
      <c r="I6215" s="33" t="s">
        <v>12778</v>
      </c>
      <c r="J6215" t="s">
        <v>33</v>
      </c>
      <c r="K6215" s="42">
        <v>232470</v>
      </c>
      <c r="L6215" s="12">
        <f t="shared" si="533"/>
        <v>387450</v>
      </c>
      <c r="M6215" s="8">
        <v>1</v>
      </c>
      <c r="N6215" s="8" t="s">
        <v>27</v>
      </c>
      <c r="O6215" s="13"/>
      <c r="P6215" s="14">
        <v>0</v>
      </c>
      <c r="Q6215" s="15">
        <v>0.4</v>
      </c>
      <c r="R6215" s="16" t="str">
        <f t="shared" si="531"/>
        <v>IMOU</v>
      </c>
    </row>
    <row r="6216" spans="1:20" ht="27" customHeight="1" x14ac:dyDescent="0.25">
      <c r="A6216" s="32" t="s">
        <v>12779</v>
      </c>
      <c r="H6216" s="32" t="s">
        <v>12780</v>
      </c>
      <c r="I6216" s="33" t="s">
        <v>12781</v>
      </c>
      <c r="J6216" t="s">
        <v>33</v>
      </c>
      <c r="K6216" s="42">
        <v>195000</v>
      </c>
      <c r="L6216" s="12">
        <f t="shared" si="533"/>
        <v>278572</v>
      </c>
      <c r="M6216" s="8">
        <v>1</v>
      </c>
      <c r="N6216" s="8" t="s">
        <v>27</v>
      </c>
      <c r="O6216" s="13"/>
      <c r="P6216" s="14">
        <v>0</v>
      </c>
      <c r="Q6216" s="15">
        <v>0.3</v>
      </c>
      <c r="R6216" s="16" t="str">
        <f t="shared" si="531"/>
        <v>GLC</v>
      </c>
      <c r="S6216" s="39" t="s">
        <v>12782</v>
      </c>
      <c r="T6216" t="s">
        <v>12783</v>
      </c>
    </row>
    <row r="6217" spans="1:20" ht="27" customHeight="1" x14ac:dyDescent="0.25">
      <c r="A6217" s="32" t="s">
        <v>3694</v>
      </c>
      <c r="H6217" s="32" t="s">
        <v>12784</v>
      </c>
      <c r="I6217" s="24" t="s">
        <v>12785</v>
      </c>
      <c r="J6217" t="s">
        <v>33</v>
      </c>
      <c r="K6217" s="42">
        <v>171600</v>
      </c>
      <c r="L6217" s="12">
        <f t="shared" si="533"/>
        <v>286000</v>
      </c>
      <c r="M6217" s="8">
        <v>1</v>
      </c>
      <c r="N6217" s="8" t="s">
        <v>27</v>
      </c>
      <c r="O6217" s="13"/>
      <c r="P6217" s="14">
        <v>0</v>
      </c>
      <c r="Q6217" s="15">
        <v>0.4</v>
      </c>
      <c r="R6217" s="16" t="str">
        <f t="shared" si="531"/>
        <v>IMOU</v>
      </c>
    </row>
    <row r="6218" spans="1:20" ht="27" customHeight="1" x14ac:dyDescent="0.25">
      <c r="A6218" s="32" t="s">
        <v>12786</v>
      </c>
      <c r="H6218" s="32" t="s">
        <v>12787</v>
      </c>
      <c r="I6218" s="33" t="s">
        <v>12788</v>
      </c>
      <c r="J6218" t="s">
        <v>33</v>
      </c>
      <c r="K6218" s="42">
        <v>576500</v>
      </c>
      <c r="L6218" s="12">
        <f t="shared" si="533"/>
        <v>960834</v>
      </c>
      <c r="M6218" s="8">
        <v>1</v>
      </c>
      <c r="N6218" s="8" t="s">
        <v>27</v>
      </c>
      <c r="O6218" s="13"/>
      <c r="P6218" s="14">
        <v>0</v>
      </c>
      <c r="Q6218" s="15">
        <v>0.4</v>
      </c>
      <c r="R6218" s="16" t="str">
        <f t="shared" si="531"/>
        <v>HIPCAM</v>
      </c>
    </row>
    <row r="6219" spans="1:20" ht="27" customHeight="1" x14ac:dyDescent="0.25">
      <c r="A6219" s="32" t="s">
        <v>12786</v>
      </c>
      <c r="H6219" s="32" t="s">
        <v>12789</v>
      </c>
      <c r="I6219" s="33" t="s">
        <v>12790</v>
      </c>
      <c r="J6219" t="s">
        <v>33</v>
      </c>
      <c r="K6219" s="42">
        <v>96000</v>
      </c>
      <c r="L6219" s="12">
        <f t="shared" si="533"/>
        <v>160000</v>
      </c>
      <c r="M6219" s="8">
        <v>1</v>
      </c>
      <c r="N6219" s="8" t="s">
        <v>27</v>
      </c>
      <c r="O6219" s="13"/>
      <c r="P6219" s="14">
        <v>0</v>
      </c>
      <c r="Q6219" s="15">
        <v>0.4</v>
      </c>
      <c r="R6219" s="16" t="str">
        <f t="shared" si="531"/>
        <v>HIPCAM</v>
      </c>
    </row>
    <row r="6220" spans="1:20" ht="27" customHeight="1" x14ac:dyDescent="0.25">
      <c r="A6220" s="32" t="s">
        <v>12786</v>
      </c>
      <c r="H6220" s="32" t="s">
        <v>12791</v>
      </c>
      <c r="I6220" s="33" t="s">
        <v>12792</v>
      </c>
      <c r="J6220" t="s">
        <v>33</v>
      </c>
      <c r="K6220" s="42">
        <v>2240000</v>
      </c>
      <c r="L6220" s="12">
        <f t="shared" si="533"/>
        <v>3733334</v>
      </c>
      <c r="M6220" s="8">
        <v>1</v>
      </c>
      <c r="N6220" s="8" t="s">
        <v>27</v>
      </c>
      <c r="O6220" s="13"/>
      <c r="P6220" s="14">
        <v>0</v>
      </c>
      <c r="Q6220" s="15">
        <v>0.4</v>
      </c>
      <c r="R6220" s="16" t="str">
        <f t="shared" si="531"/>
        <v>HIPCAM</v>
      </c>
    </row>
    <row r="6221" spans="1:20" ht="27" customHeight="1" x14ac:dyDescent="0.25">
      <c r="A6221" s="32" t="s">
        <v>12786</v>
      </c>
      <c r="H6221" s="32" t="s">
        <v>12793</v>
      </c>
      <c r="I6221" s="33" t="s">
        <v>12794</v>
      </c>
      <c r="J6221" t="s">
        <v>33</v>
      </c>
      <c r="K6221" s="42">
        <v>512000</v>
      </c>
      <c r="L6221" s="12">
        <f t="shared" si="533"/>
        <v>853334</v>
      </c>
      <c r="M6221" s="8">
        <v>1</v>
      </c>
      <c r="N6221" s="8" t="s">
        <v>27</v>
      </c>
      <c r="O6221" s="13"/>
      <c r="P6221" s="14">
        <v>0</v>
      </c>
      <c r="Q6221" s="15">
        <v>0.4</v>
      </c>
      <c r="R6221" s="16" t="str">
        <f t="shared" si="531"/>
        <v>HIPCAM</v>
      </c>
    </row>
    <row r="6222" spans="1:20" ht="27" customHeight="1" x14ac:dyDescent="0.25">
      <c r="A6222" s="32" t="s">
        <v>12786</v>
      </c>
      <c r="H6222" s="32" t="s">
        <v>12795</v>
      </c>
      <c r="I6222" s="33" t="s">
        <v>12796</v>
      </c>
      <c r="J6222" t="s">
        <v>33</v>
      </c>
      <c r="K6222" s="42">
        <v>1752000</v>
      </c>
      <c r="L6222" s="12">
        <f t="shared" si="533"/>
        <v>2920000</v>
      </c>
      <c r="M6222" s="8">
        <v>1</v>
      </c>
      <c r="N6222" s="8" t="s">
        <v>27</v>
      </c>
      <c r="O6222" s="13"/>
      <c r="P6222" s="14">
        <v>0</v>
      </c>
      <c r="Q6222" s="15">
        <v>0.4</v>
      </c>
      <c r="R6222" s="16" t="str">
        <f t="shared" si="531"/>
        <v>HIPCAM</v>
      </c>
    </row>
    <row r="6223" spans="1:20" ht="27" customHeight="1" x14ac:dyDescent="0.25">
      <c r="A6223" s="32" t="s">
        <v>12786</v>
      </c>
      <c r="H6223" s="32" t="s">
        <v>12797</v>
      </c>
      <c r="I6223" s="33" t="s">
        <v>12798</v>
      </c>
      <c r="J6223" t="s">
        <v>33</v>
      </c>
      <c r="K6223" s="42">
        <v>185000</v>
      </c>
      <c r="L6223" s="12">
        <f t="shared" si="533"/>
        <v>308334</v>
      </c>
      <c r="M6223" s="8">
        <v>1</v>
      </c>
      <c r="N6223" s="8" t="s">
        <v>27</v>
      </c>
      <c r="O6223" s="13"/>
      <c r="P6223" s="14">
        <v>0</v>
      </c>
      <c r="Q6223" s="15">
        <v>0.4</v>
      </c>
      <c r="R6223" s="16" t="str">
        <f t="shared" si="531"/>
        <v>HIPCAM</v>
      </c>
    </row>
    <row r="6224" spans="1:20" ht="27" customHeight="1" x14ac:dyDescent="0.25">
      <c r="A6224" s="32" t="s">
        <v>2413</v>
      </c>
      <c r="H6224" s="32" t="s">
        <v>12799</v>
      </c>
      <c r="I6224" s="33" t="s">
        <v>12800</v>
      </c>
      <c r="J6224" t="s">
        <v>26</v>
      </c>
      <c r="K6224" s="42">
        <f>6816*0.85</f>
        <v>5793.5999999999995</v>
      </c>
      <c r="L6224" s="12">
        <f t="shared" si="533"/>
        <v>6816</v>
      </c>
      <c r="M6224" s="8">
        <v>1</v>
      </c>
      <c r="N6224" s="8" t="s">
        <v>27</v>
      </c>
      <c r="O6224" s="13"/>
      <c r="P6224" s="14">
        <v>0</v>
      </c>
      <c r="Q6224" s="15">
        <v>0.15</v>
      </c>
      <c r="R6224" s="16" t="str">
        <f t="shared" si="531"/>
        <v>FLOS</v>
      </c>
    </row>
    <row r="6225" spans="1:28" ht="27" customHeight="1" x14ac:dyDescent="0.25">
      <c r="A6225" s="32" t="s">
        <v>10370</v>
      </c>
      <c r="H6225" s="32" t="s">
        <v>12801</v>
      </c>
      <c r="I6225" s="33" t="s">
        <v>12802</v>
      </c>
      <c r="J6225" t="s">
        <v>26</v>
      </c>
      <c r="K6225" s="42">
        <f>22.69*1.3/0.75</f>
        <v>39.329333333333338</v>
      </c>
      <c r="L6225" s="12">
        <f t="shared" si="533"/>
        <v>57</v>
      </c>
      <c r="M6225" s="8">
        <v>1</v>
      </c>
      <c r="N6225" s="8" t="s">
        <v>27</v>
      </c>
      <c r="O6225" s="13"/>
      <c r="P6225" s="14">
        <v>0</v>
      </c>
      <c r="Q6225" s="15">
        <v>0.3</v>
      </c>
      <c r="R6225" s="16" t="str">
        <f t="shared" si="531"/>
        <v>LEDYI</v>
      </c>
    </row>
    <row r="6226" spans="1:28" ht="27" customHeight="1" x14ac:dyDescent="0.25">
      <c r="A6226" s="32" t="s">
        <v>10370</v>
      </c>
      <c r="H6226" s="32" t="s">
        <v>12803</v>
      </c>
      <c r="I6226" s="33" t="s">
        <v>12804</v>
      </c>
      <c r="J6226" t="s">
        <v>26</v>
      </c>
      <c r="K6226" s="42">
        <f>22.69*1.3/0.75</f>
        <v>39.329333333333338</v>
      </c>
      <c r="L6226" s="12">
        <f t="shared" si="533"/>
        <v>57</v>
      </c>
      <c r="M6226" s="8">
        <v>1</v>
      </c>
      <c r="N6226" s="8" t="s">
        <v>27</v>
      </c>
      <c r="O6226" s="13"/>
      <c r="P6226" s="14">
        <v>0</v>
      </c>
      <c r="Q6226" s="15">
        <v>0.3</v>
      </c>
      <c r="R6226" s="16" t="str">
        <f t="shared" si="531"/>
        <v>LEDYI</v>
      </c>
    </row>
    <row r="6227" spans="1:28" ht="27" customHeight="1" x14ac:dyDescent="0.25">
      <c r="A6227" s="32" t="s">
        <v>10370</v>
      </c>
      <c r="H6227" s="32" t="s">
        <v>12805</v>
      </c>
      <c r="I6227" s="33" t="s">
        <v>12806</v>
      </c>
      <c r="J6227" t="s">
        <v>26</v>
      </c>
      <c r="K6227" s="42">
        <f>123.34*1.15</f>
        <v>141.84099999999998</v>
      </c>
      <c r="L6227" s="12">
        <f t="shared" si="533"/>
        <v>203</v>
      </c>
      <c r="M6227" s="8">
        <v>1</v>
      </c>
      <c r="N6227" s="8" t="s">
        <v>27</v>
      </c>
      <c r="O6227" s="13"/>
      <c r="P6227" s="14">
        <v>0</v>
      </c>
      <c r="Q6227" s="15">
        <v>0.3</v>
      </c>
      <c r="R6227" s="16" t="str">
        <f t="shared" si="531"/>
        <v>LEDYI</v>
      </c>
    </row>
    <row r="6228" spans="1:28" ht="27" customHeight="1" x14ac:dyDescent="0.25">
      <c r="A6228" s="32" t="s">
        <v>2512</v>
      </c>
      <c r="H6228" s="32" t="s">
        <v>12807</v>
      </c>
      <c r="I6228" s="33" t="s">
        <v>12808</v>
      </c>
      <c r="J6228" t="s">
        <v>33</v>
      </c>
      <c r="K6228" s="42">
        <v>1200000</v>
      </c>
      <c r="L6228" s="12">
        <f t="shared" si="533"/>
        <v>2000000</v>
      </c>
      <c r="M6228" s="8">
        <v>1</v>
      </c>
      <c r="N6228" s="8" t="s">
        <v>27</v>
      </c>
      <c r="O6228" s="13"/>
      <c r="P6228" s="14">
        <v>0</v>
      </c>
      <c r="Q6228" s="15">
        <v>0.4</v>
      </c>
      <c r="R6228" s="16" t="str">
        <f t="shared" si="531"/>
        <v>GENERAL</v>
      </c>
      <c r="S6228" t="s">
        <v>12809</v>
      </c>
    </row>
    <row r="6229" spans="1:28" ht="27" customHeight="1" x14ac:dyDescent="0.25">
      <c r="A6229" s="32" t="s">
        <v>7989</v>
      </c>
      <c r="H6229" s="32" t="s">
        <v>12810</v>
      </c>
      <c r="I6229" s="33" t="s">
        <v>12811</v>
      </c>
      <c r="J6229" t="s">
        <v>26</v>
      </c>
      <c r="K6229" s="42">
        <v>415</v>
      </c>
      <c r="L6229" s="12">
        <f t="shared" si="533"/>
        <v>692</v>
      </c>
      <c r="M6229" s="8">
        <v>1</v>
      </c>
      <c r="N6229" s="8" t="s">
        <v>27</v>
      </c>
      <c r="O6229" s="13"/>
      <c r="P6229" s="14">
        <v>0</v>
      </c>
      <c r="Q6229" s="15">
        <v>0.4</v>
      </c>
      <c r="R6229" s="16" t="str">
        <f t="shared" si="531"/>
        <v>RUSSOUND</v>
      </c>
    </row>
    <row r="6230" spans="1:28" ht="27" customHeight="1" x14ac:dyDescent="0.25">
      <c r="A6230" t="s">
        <v>12498</v>
      </c>
      <c r="H6230" t="s">
        <v>12812</v>
      </c>
      <c r="I6230" t="s">
        <v>12813</v>
      </c>
      <c r="J6230" t="s">
        <v>33</v>
      </c>
      <c r="K6230" s="42">
        <v>211700</v>
      </c>
      <c r="L6230" s="12">
        <f t="shared" ref="L6230:L6239" si="534">K6230*(1+P6230)/(1-Q6230)</f>
        <v>352833.33333333337</v>
      </c>
      <c r="M6230" s="8">
        <v>1</v>
      </c>
      <c r="N6230" s="8" t="s">
        <v>27</v>
      </c>
      <c r="O6230" s="13"/>
      <c r="P6230" s="14">
        <v>0</v>
      </c>
      <c r="Q6230" s="15">
        <v>0.4</v>
      </c>
      <c r="R6230" s="16" t="str">
        <f t="shared" si="531"/>
        <v>AJAX</v>
      </c>
    </row>
    <row r="6231" spans="1:28" ht="27" customHeight="1" x14ac:dyDescent="0.25">
      <c r="A6231" t="s">
        <v>12498</v>
      </c>
      <c r="H6231" t="s">
        <v>12814</v>
      </c>
      <c r="I6231" t="s">
        <v>12815</v>
      </c>
      <c r="J6231" t="s">
        <v>33</v>
      </c>
      <c r="K6231" s="42">
        <v>520100</v>
      </c>
      <c r="L6231" s="12">
        <f t="shared" si="534"/>
        <v>866833.33333333337</v>
      </c>
      <c r="M6231" s="8">
        <v>1</v>
      </c>
      <c r="N6231" s="8" t="s">
        <v>27</v>
      </c>
      <c r="O6231" s="13"/>
      <c r="P6231" s="14">
        <v>0</v>
      </c>
      <c r="Q6231" s="15">
        <v>0.4</v>
      </c>
      <c r="R6231" s="16" t="str">
        <f t="shared" si="531"/>
        <v>AJAX</v>
      </c>
    </row>
    <row r="6232" spans="1:28" ht="27" customHeight="1" x14ac:dyDescent="0.25">
      <c r="A6232" t="s">
        <v>12498</v>
      </c>
      <c r="H6232" t="s">
        <v>12816</v>
      </c>
      <c r="I6232" t="s">
        <v>12817</v>
      </c>
      <c r="J6232" t="s">
        <v>33</v>
      </c>
      <c r="K6232" s="42">
        <v>196750</v>
      </c>
      <c r="L6232" s="12">
        <f t="shared" si="534"/>
        <v>327916.66666666669</v>
      </c>
      <c r="M6232" s="8">
        <v>1</v>
      </c>
      <c r="N6232" s="8" t="s">
        <v>27</v>
      </c>
      <c r="O6232" s="13"/>
      <c r="P6232" s="14">
        <v>0</v>
      </c>
      <c r="Q6232" s="15">
        <v>0.4</v>
      </c>
      <c r="R6232" s="16" t="str">
        <f t="shared" si="531"/>
        <v>AJAX</v>
      </c>
    </row>
    <row r="6233" spans="1:28" ht="27" customHeight="1" x14ac:dyDescent="0.25">
      <c r="A6233" t="s">
        <v>12498</v>
      </c>
      <c r="H6233" t="s">
        <v>12818</v>
      </c>
      <c r="I6233" t="s">
        <v>12819</v>
      </c>
      <c r="J6233" t="s">
        <v>33</v>
      </c>
      <c r="K6233" s="42">
        <v>104350</v>
      </c>
      <c r="L6233" s="12">
        <f t="shared" si="534"/>
        <v>173916.66666666669</v>
      </c>
      <c r="M6233" s="8">
        <v>1</v>
      </c>
      <c r="N6233" s="8" t="s">
        <v>27</v>
      </c>
      <c r="O6233" s="13"/>
      <c r="P6233" s="14">
        <v>0</v>
      </c>
      <c r="Q6233" s="15">
        <v>0.4</v>
      </c>
      <c r="R6233" s="16" t="str">
        <f t="shared" si="531"/>
        <v>AJAX</v>
      </c>
    </row>
    <row r="6234" spans="1:28" ht="27" customHeight="1" x14ac:dyDescent="0.25">
      <c r="A6234" t="s">
        <v>10370</v>
      </c>
      <c r="H6234" t="s">
        <v>12820</v>
      </c>
      <c r="I6234" t="s">
        <v>12821</v>
      </c>
      <c r="J6234" t="s">
        <v>33</v>
      </c>
      <c r="K6234" s="42">
        <f>75000/5</f>
        <v>15000</v>
      </c>
      <c r="L6234" s="12">
        <f t="shared" si="534"/>
        <v>30000</v>
      </c>
      <c r="M6234" s="8">
        <v>1</v>
      </c>
      <c r="N6234" s="8" t="s">
        <v>27</v>
      </c>
      <c r="O6234" s="13"/>
      <c r="P6234" s="14">
        <v>0</v>
      </c>
      <c r="Q6234" s="15">
        <v>0.5</v>
      </c>
      <c r="R6234" s="16" t="str">
        <f t="shared" si="531"/>
        <v>LEDYI</v>
      </c>
    </row>
    <row r="6235" spans="1:28" ht="27" customHeight="1" x14ac:dyDescent="0.25">
      <c r="A6235" t="s">
        <v>10370</v>
      </c>
      <c r="H6235" t="s">
        <v>12822</v>
      </c>
      <c r="I6235" t="s">
        <v>12823</v>
      </c>
      <c r="J6235" t="s">
        <v>33</v>
      </c>
      <c r="K6235" s="42">
        <f>633000+1450000</f>
        <v>2083000</v>
      </c>
      <c r="L6235" s="12">
        <f t="shared" si="534"/>
        <v>4166000</v>
      </c>
      <c r="M6235" s="8">
        <v>1</v>
      </c>
      <c r="N6235" s="8" t="s">
        <v>27</v>
      </c>
      <c r="O6235" s="13"/>
      <c r="P6235" s="14">
        <v>0</v>
      </c>
      <c r="Q6235" s="15">
        <v>0.5</v>
      </c>
      <c r="R6235" s="16" t="str">
        <f t="shared" si="531"/>
        <v>LEDYI</v>
      </c>
      <c r="S6235" s="39" t="s">
        <v>12824</v>
      </c>
    </row>
    <row r="6236" spans="1:28" ht="27" customHeight="1" x14ac:dyDescent="0.25">
      <c r="A6236" t="s">
        <v>10370</v>
      </c>
      <c r="H6236" t="s">
        <v>12825</v>
      </c>
      <c r="I6236" t="s">
        <v>12826</v>
      </c>
      <c r="J6236" t="s">
        <v>33</v>
      </c>
      <c r="K6236" s="42">
        <v>120000</v>
      </c>
      <c r="L6236" s="12">
        <f t="shared" si="534"/>
        <v>240000</v>
      </c>
      <c r="M6236" s="8">
        <v>1</v>
      </c>
      <c r="N6236" s="8" t="s">
        <v>27</v>
      </c>
      <c r="O6236" s="13"/>
      <c r="P6236" s="14">
        <v>0</v>
      </c>
      <c r="Q6236" s="15">
        <v>0.5</v>
      </c>
      <c r="R6236" s="16" t="str">
        <f t="shared" si="531"/>
        <v>LEDYI</v>
      </c>
      <c r="S6236" s="39" t="s">
        <v>12827</v>
      </c>
    </row>
    <row r="6237" spans="1:28" ht="27" customHeight="1" x14ac:dyDescent="0.25">
      <c r="A6237" t="s">
        <v>2095</v>
      </c>
      <c r="H6237" t="s">
        <v>12828</v>
      </c>
      <c r="I6237" t="s">
        <v>12829</v>
      </c>
      <c r="J6237" t="s">
        <v>33</v>
      </c>
      <c r="K6237" s="42">
        <v>134700</v>
      </c>
      <c r="L6237" s="12">
        <f t="shared" si="534"/>
        <v>224500</v>
      </c>
      <c r="M6237" s="8">
        <v>1</v>
      </c>
      <c r="N6237" s="8" t="s">
        <v>27</v>
      </c>
      <c r="O6237" s="13"/>
      <c r="P6237" s="14">
        <v>0</v>
      </c>
      <c r="Q6237" s="15">
        <v>0.4</v>
      </c>
      <c r="R6237" s="40" t="str">
        <f t="shared" si="531"/>
        <v>ECOLITE</v>
      </c>
      <c r="AB6237" s="112">
        <v>2</v>
      </c>
    </row>
    <row r="6238" spans="1:28" ht="27" customHeight="1" x14ac:dyDescent="0.25">
      <c r="A6238" t="s">
        <v>12830</v>
      </c>
      <c r="H6238" t="s">
        <v>12831</v>
      </c>
      <c r="I6238" t="s">
        <v>12832</v>
      </c>
      <c r="J6238" t="s">
        <v>26</v>
      </c>
      <c r="K6238" s="42">
        <v>190</v>
      </c>
      <c r="L6238" s="12">
        <f t="shared" si="534"/>
        <v>316.66666666666669</v>
      </c>
      <c r="M6238" s="8">
        <v>1</v>
      </c>
      <c r="N6238" s="8" t="s">
        <v>27</v>
      </c>
      <c r="O6238" s="13"/>
      <c r="P6238" s="14">
        <v>0</v>
      </c>
      <c r="Q6238" s="15">
        <v>0.4</v>
      </c>
      <c r="R6238" s="40" t="str">
        <f t="shared" si="531"/>
        <v>PARADIGM</v>
      </c>
    </row>
    <row r="6239" spans="1:28" ht="27" customHeight="1" x14ac:dyDescent="0.25">
      <c r="A6239" t="s">
        <v>8436</v>
      </c>
      <c r="H6239" t="s">
        <v>12833</v>
      </c>
      <c r="I6239" t="s">
        <v>12834</v>
      </c>
      <c r="J6239" t="s">
        <v>26</v>
      </c>
      <c r="K6239" s="42">
        <v>3122</v>
      </c>
      <c r="L6239" s="12">
        <f t="shared" si="534"/>
        <v>5203.3333333333339</v>
      </c>
      <c r="M6239" s="8">
        <v>1</v>
      </c>
      <c r="N6239" s="8" t="s">
        <v>27</v>
      </c>
      <c r="O6239" s="13"/>
      <c r="P6239" s="14">
        <v>0</v>
      </c>
      <c r="Q6239" s="15">
        <v>0.4</v>
      </c>
      <c r="R6239" s="16" t="str">
        <f t="shared" si="531"/>
        <v>SONY</v>
      </c>
    </row>
    <row r="6240" spans="1:28" ht="27" customHeight="1" x14ac:dyDescent="0.25">
      <c r="A6240" t="s">
        <v>10249</v>
      </c>
      <c r="H6240" t="s">
        <v>12835</v>
      </c>
      <c r="I6240" t="s">
        <v>12836</v>
      </c>
      <c r="J6240" t="s">
        <v>26</v>
      </c>
      <c r="K6240" s="42">
        <v>10</v>
      </c>
      <c r="L6240" s="12">
        <f>ROUNDUP(K6240*(1+P6240)/(1-Q6240),0)</f>
        <v>28</v>
      </c>
      <c r="M6240" s="8">
        <v>1</v>
      </c>
      <c r="N6240" s="8" t="s">
        <v>27</v>
      </c>
      <c r="O6240" s="13"/>
      <c r="P6240" s="14">
        <v>0.4</v>
      </c>
      <c r="Q6240" s="15">
        <v>0.5</v>
      </c>
      <c r="R6240" s="16" t="str">
        <f t="shared" si="531"/>
        <v>SKYDANCE</v>
      </c>
    </row>
    <row r="6241" spans="1:25" ht="27" customHeight="1" x14ac:dyDescent="0.25">
      <c r="A6241" s="32" t="s">
        <v>12337</v>
      </c>
      <c r="H6241" s="32" t="s">
        <v>12837</v>
      </c>
      <c r="I6241" s="33" t="s">
        <v>12838</v>
      </c>
      <c r="J6241" s="34" t="s">
        <v>33</v>
      </c>
      <c r="K6241" s="42">
        <v>23530</v>
      </c>
      <c r="L6241" s="12">
        <f>IF(J6241="P",ROUNDUP(K6241/(1-Q6241),-2),K6241*(1+P6241)/(1-Q6241))</f>
        <v>39300</v>
      </c>
      <c r="M6241" s="8">
        <v>1</v>
      </c>
      <c r="N6241" s="8" t="s">
        <v>27</v>
      </c>
      <c r="O6241" s="13">
        <f>F6241</f>
        <v>0</v>
      </c>
      <c r="P6241" s="14">
        <v>0</v>
      </c>
      <c r="Q6241" s="15">
        <v>0.4</v>
      </c>
      <c r="R6241" s="16" t="str">
        <f t="shared" si="531"/>
        <v>STECK</v>
      </c>
    </row>
    <row r="6242" spans="1:25" ht="27" customHeight="1" x14ac:dyDescent="0.25">
      <c r="A6242" t="s">
        <v>12337</v>
      </c>
      <c r="H6242" t="s">
        <v>12839</v>
      </c>
      <c r="I6242" t="s">
        <v>12840</v>
      </c>
      <c r="J6242" t="s">
        <v>33</v>
      </c>
      <c r="K6242" s="42">
        <v>37000</v>
      </c>
      <c r="L6242" s="12">
        <f>IF(J6242="P",ROUNDUP(K6242/(1-Q6242),-2),K6242*(1+P6242)/(1-Q6242))</f>
        <v>61700</v>
      </c>
      <c r="M6242" s="8">
        <v>1</v>
      </c>
      <c r="N6242" s="8" t="s">
        <v>27</v>
      </c>
      <c r="O6242" s="13">
        <f>F6242</f>
        <v>0</v>
      </c>
      <c r="P6242" s="14">
        <v>0</v>
      </c>
      <c r="Q6242" s="15">
        <v>0.4</v>
      </c>
      <c r="R6242" s="16" t="str">
        <f t="shared" si="531"/>
        <v>STECK</v>
      </c>
    </row>
    <row r="6243" spans="1:25" ht="27" customHeight="1" x14ac:dyDescent="0.25">
      <c r="A6243" s="32" t="s">
        <v>12337</v>
      </c>
      <c r="H6243" s="32" t="s">
        <v>12841</v>
      </c>
      <c r="I6243" s="33" t="s">
        <v>12842</v>
      </c>
      <c r="J6243" s="34" t="s">
        <v>33</v>
      </c>
      <c r="K6243" s="42">
        <v>15200</v>
      </c>
      <c r="L6243" s="12">
        <f>IF(J6243="P",ROUNDUP(K6243/(1-Q6243),-2),K6243*(1+P6243)/(1-Q6243))</f>
        <v>25400</v>
      </c>
      <c r="M6243" s="8">
        <v>1</v>
      </c>
      <c r="N6243" s="8" t="s">
        <v>27</v>
      </c>
      <c r="O6243" s="13">
        <f>F6243</f>
        <v>0</v>
      </c>
      <c r="P6243" s="14">
        <v>0</v>
      </c>
      <c r="Q6243" s="15">
        <v>0.4</v>
      </c>
      <c r="R6243" s="16" t="str">
        <f t="shared" si="531"/>
        <v>STECK</v>
      </c>
    </row>
    <row r="6244" spans="1:25" ht="27" customHeight="1" x14ac:dyDescent="0.25">
      <c r="A6244" s="8" t="s">
        <v>1255</v>
      </c>
      <c r="B6244" s="9"/>
      <c r="C6244" s="9"/>
      <c r="D6244" s="8"/>
      <c r="E6244" s="8"/>
      <c r="F6244" s="8" t="s">
        <v>22</v>
      </c>
      <c r="G6244" s="10" t="s">
        <v>1260</v>
      </c>
      <c r="H6244" s="8" t="s">
        <v>12843</v>
      </c>
      <c r="I6244" s="10" t="s">
        <v>12844</v>
      </c>
      <c r="J6244" s="11" t="s">
        <v>33</v>
      </c>
      <c r="K6244" s="18">
        <v>33000</v>
      </c>
      <c r="L6244" s="12">
        <f>IF(J6244="P",ROUNDUP(K6244/(1-Q6244),-2),K6244*(1+P6244)/(1-Q6244))</f>
        <v>55000</v>
      </c>
      <c r="M6244" s="8">
        <v>1</v>
      </c>
      <c r="N6244" s="8" t="s">
        <v>27</v>
      </c>
      <c r="O6244" s="13"/>
      <c r="P6244" s="14">
        <v>0</v>
      </c>
      <c r="Q6244" s="15">
        <v>0.4</v>
      </c>
      <c r="R6244" s="16" t="str">
        <f t="shared" si="531"/>
        <v>CHINT</v>
      </c>
      <c r="S6244" s="17"/>
      <c r="T6244" s="10" t="str">
        <f>G6244</f>
        <v>CONTACTOR DE 25 AMPERIOS CON BOBINA DE 110VAC.</v>
      </c>
    </row>
    <row r="6245" spans="1:25" ht="27" customHeight="1" x14ac:dyDescent="0.25">
      <c r="A6245" s="8" t="s">
        <v>2252</v>
      </c>
      <c r="B6245" s="9" t="s">
        <v>1070</v>
      </c>
      <c r="C6245" s="9"/>
      <c r="D6245" s="8" t="s">
        <v>28</v>
      </c>
      <c r="E6245" s="8">
        <v>2</v>
      </c>
      <c r="F6245" s="8" t="s">
        <v>22</v>
      </c>
      <c r="G6245" s="10" t="s">
        <v>2253</v>
      </c>
      <c r="H6245" s="8" t="s">
        <v>12845</v>
      </c>
      <c r="I6245" s="10" t="s">
        <v>12846</v>
      </c>
      <c r="J6245" s="11" t="s">
        <v>26</v>
      </c>
      <c r="K6245" s="18">
        <f>198/305</f>
        <v>0.64918032786885249</v>
      </c>
      <c r="L6245" s="12">
        <f>IF(J6245="P",ROUNDUP(K6245/(1-Q6245),-2),K6245*(1+P6245)/(1-Q6245))</f>
        <v>0.97377049180327868</v>
      </c>
      <c r="M6245" s="8">
        <v>1</v>
      </c>
      <c r="N6245" s="8" t="s">
        <v>110</v>
      </c>
      <c r="O6245" s="13"/>
      <c r="P6245" s="14">
        <v>0.2</v>
      </c>
      <c r="Q6245" s="15">
        <v>0.2</v>
      </c>
      <c r="R6245" s="16" t="str">
        <f t="shared" si="531"/>
        <v>ELECTROEXPERTS</v>
      </c>
      <c r="S6245" s="17"/>
      <c r="T6245" s="10" t="str">
        <f>G6245</f>
        <v>METRO DE CABLE PARA DETECCIÓN DE ALARMA DE INCENDIO 2X16, ROLLO POR 1000 PIES.</v>
      </c>
      <c r="U6245" s="14">
        <v>0.2</v>
      </c>
      <c r="V6245" s="15">
        <v>0.2</v>
      </c>
      <c r="W6245" s="16" t="str">
        <f>F6245</f>
        <v>BLANCO</v>
      </c>
      <c r="X6245" s="17"/>
      <c r="Y6245" s="10">
        <f>L6245</f>
        <v>0.97377049180327868</v>
      </c>
    </row>
    <row r="6246" spans="1:25" ht="27" customHeight="1" x14ac:dyDescent="0.25">
      <c r="A6246" s="8" t="s">
        <v>3977</v>
      </c>
      <c r="B6246" s="9" t="s">
        <v>5666</v>
      </c>
      <c r="C6246" s="9"/>
      <c r="D6246" s="8" t="s">
        <v>408</v>
      </c>
      <c r="E6246" s="8">
        <v>12</v>
      </c>
      <c r="F6246" s="8" t="s">
        <v>22</v>
      </c>
      <c r="G6246" s="10" t="s">
        <v>6048</v>
      </c>
      <c r="H6246" s="8" t="s">
        <v>12847</v>
      </c>
      <c r="I6246" s="10" t="s">
        <v>12848</v>
      </c>
      <c r="J6246" s="11" t="s">
        <v>26</v>
      </c>
      <c r="K6246" s="57">
        <v>335</v>
      </c>
      <c r="L6246" s="12">
        <f>ROUNDUP(K6246*(1+P6246)/(1-Q6246),0)</f>
        <v>670</v>
      </c>
      <c r="M6246" s="8">
        <v>1</v>
      </c>
      <c r="N6246" s="8" t="s">
        <v>27</v>
      </c>
      <c r="O6246" s="13"/>
      <c r="P6246" s="14">
        <v>0.2</v>
      </c>
      <c r="Q6246" s="15">
        <v>0.4</v>
      </c>
      <c r="R6246" s="16" t="str">
        <f t="shared" si="531"/>
        <v>KOMODO</v>
      </c>
      <c r="S6246" s="17" t="str">
        <f>A6246</f>
        <v>KOMODO</v>
      </c>
      <c r="T6246" s="10" t="str">
        <f>G6246</f>
        <v>PANEL DE CONMUTACIÓN DE 4 LASOS MULTI VOLTAJE A 16 AMPERIOS.</v>
      </c>
    </row>
    <row r="6247" spans="1:25" ht="27" customHeight="1" x14ac:dyDescent="0.25">
      <c r="A6247" s="32" t="s">
        <v>3977</v>
      </c>
      <c r="H6247" s="32" t="s">
        <v>12849</v>
      </c>
      <c r="I6247" t="s">
        <v>12850</v>
      </c>
      <c r="J6247" t="s">
        <v>26</v>
      </c>
      <c r="K6247" s="42">
        <v>550</v>
      </c>
      <c r="L6247" s="12">
        <f>IF(J6247="P",ROUNDUP(K6247/(1-Q6247),-2),K6247*(1+P6247)/(1-Q6247))</f>
        <v>1100</v>
      </c>
      <c r="M6247" s="8">
        <v>1</v>
      </c>
      <c r="N6247" s="8" t="s">
        <v>27</v>
      </c>
      <c r="O6247" s="13">
        <f>F6247</f>
        <v>0</v>
      </c>
      <c r="P6247" s="14">
        <v>0.2</v>
      </c>
      <c r="Q6247" s="15">
        <v>0.4</v>
      </c>
      <c r="R6247" s="16" t="str">
        <f t="shared" si="531"/>
        <v>KOMODO</v>
      </c>
    </row>
    <row r="6248" spans="1:25" ht="27" customHeight="1" x14ac:dyDescent="0.25">
      <c r="A6248" s="32" t="s">
        <v>7105</v>
      </c>
      <c r="H6248" s="32" t="s">
        <v>12851</v>
      </c>
      <c r="I6248" s="33" t="s">
        <v>12852</v>
      </c>
      <c r="J6248" s="34" t="s">
        <v>33</v>
      </c>
      <c r="K6248" s="42">
        <v>834000</v>
      </c>
      <c r="L6248" s="12">
        <f>IF(J6248="P",ROUNDUP(K6248/(1-Q6248),-2),K6248*(1+P6248)/(1-Q6248))</f>
        <v>1668000</v>
      </c>
      <c r="M6248" s="8">
        <v>1</v>
      </c>
      <c r="N6248" s="8" t="s">
        <v>27</v>
      </c>
      <c r="O6248" s="13">
        <f>F6248</f>
        <v>0</v>
      </c>
      <c r="P6248" s="14">
        <v>0.2</v>
      </c>
      <c r="Q6248" s="15">
        <v>0.5</v>
      </c>
      <c r="R6248" s="16" t="str">
        <f t="shared" si="531"/>
        <v>NORTH BAYOU</v>
      </c>
    </row>
    <row r="6249" spans="1:25" ht="27" customHeight="1" x14ac:dyDescent="0.25">
      <c r="A6249" s="32" t="s">
        <v>3977</v>
      </c>
      <c r="H6249" s="32" t="s">
        <v>12853</v>
      </c>
      <c r="I6249" s="33" t="s">
        <v>12854</v>
      </c>
      <c r="J6249" s="34" t="s">
        <v>33</v>
      </c>
      <c r="K6249" s="42">
        <v>1500000</v>
      </c>
      <c r="L6249" s="12">
        <f>IF(J6249="P",ROUNDUP(K6249/(1-Q6249),-2),K6249*(1+P6249)/(1-Q6249))</f>
        <v>3000000</v>
      </c>
      <c r="M6249" s="8">
        <v>1</v>
      </c>
      <c r="N6249" s="8" t="s">
        <v>27</v>
      </c>
      <c r="O6249" s="13">
        <f>F6249</f>
        <v>0</v>
      </c>
      <c r="P6249" s="14">
        <v>0.2</v>
      </c>
      <c r="Q6249" s="15">
        <v>0.5</v>
      </c>
      <c r="R6249" s="16" t="str">
        <f t="shared" si="531"/>
        <v>KOMODO</v>
      </c>
    </row>
    <row r="6250" spans="1:25" ht="27" customHeight="1" x14ac:dyDescent="0.25">
      <c r="A6250" s="32" t="s">
        <v>3977</v>
      </c>
      <c r="H6250" s="32" t="s">
        <v>12855</v>
      </c>
      <c r="I6250" s="33" t="s">
        <v>12856</v>
      </c>
      <c r="J6250" s="34" t="s">
        <v>33</v>
      </c>
      <c r="K6250" s="42">
        <v>120000</v>
      </c>
      <c r="L6250" s="12">
        <f>K6250*(1+P6250)/(1-Q6250)</f>
        <v>184615.3846153846</v>
      </c>
      <c r="M6250" s="8">
        <v>1</v>
      </c>
      <c r="N6250" s="8" t="s">
        <v>27</v>
      </c>
      <c r="O6250" s="13"/>
      <c r="P6250" s="14">
        <v>0</v>
      </c>
      <c r="Q6250" s="15">
        <v>0.35</v>
      </c>
      <c r="R6250" s="16" t="str">
        <f t="shared" si="531"/>
        <v>KOMODO</v>
      </c>
    </row>
    <row r="6251" spans="1:25" ht="27" customHeight="1" x14ac:dyDescent="0.25">
      <c r="A6251" s="32" t="s">
        <v>2512</v>
      </c>
      <c r="H6251" s="32" t="s">
        <v>12857</v>
      </c>
      <c r="I6251" t="s">
        <v>12858</v>
      </c>
      <c r="J6251" s="34" t="s">
        <v>33</v>
      </c>
      <c r="K6251" s="42">
        <v>800000</v>
      </c>
      <c r="L6251" s="12">
        <f>K6251*(1+P6251)/(1-Q6251)</f>
        <v>1230769.2307692308</v>
      </c>
      <c r="M6251" s="8">
        <v>1</v>
      </c>
      <c r="N6251" s="8" t="s">
        <v>27</v>
      </c>
      <c r="O6251" s="13"/>
      <c r="P6251" s="14">
        <v>0</v>
      </c>
      <c r="Q6251" s="15">
        <v>0.35</v>
      </c>
      <c r="R6251" s="16" t="str">
        <f t="shared" si="531"/>
        <v>GENERAL</v>
      </c>
    </row>
    <row r="6252" spans="1:25" ht="27" customHeight="1" x14ac:dyDescent="0.25">
      <c r="A6252" s="32" t="s">
        <v>2512</v>
      </c>
      <c r="H6252" s="32" t="s">
        <v>12859</v>
      </c>
      <c r="I6252" s="33" t="s">
        <v>12860</v>
      </c>
      <c r="J6252" s="34" t="s">
        <v>33</v>
      </c>
      <c r="K6252" s="42">
        <v>10000</v>
      </c>
      <c r="L6252" s="12">
        <f>K6252*(1+P6252)/(1-Q6252)</f>
        <v>15384.615384615385</v>
      </c>
      <c r="M6252" s="8">
        <v>1</v>
      </c>
      <c r="N6252" s="8" t="s">
        <v>27</v>
      </c>
      <c r="O6252" s="13"/>
      <c r="P6252" s="14">
        <v>0</v>
      </c>
      <c r="Q6252" s="15">
        <v>0.35</v>
      </c>
      <c r="R6252" s="16" t="str">
        <f t="shared" si="531"/>
        <v>GENERAL</v>
      </c>
    </row>
    <row r="6253" spans="1:25" ht="27" customHeight="1" x14ac:dyDescent="0.25">
      <c r="A6253" s="32" t="s">
        <v>612</v>
      </c>
      <c r="H6253" s="32" t="s">
        <v>12861</v>
      </c>
      <c r="I6253" s="33" t="s">
        <v>12862</v>
      </c>
      <c r="J6253" s="34" t="s">
        <v>33</v>
      </c>
      <c r="K6253" s="42">
        <v>3578992</v>
      </c>
      <c r="L6253" s="12">
        <f>K6253*(1+P6253)/(1-Q6253)</f>
        <v>5506141.538461538</v>
      </c>
      <c r="M6253" s="8">
        <v>1</v>
      </c>
      <c r="N6253" s="8" t="s">
        <v>27</v>
      </c>
      <c r="O6253" s="13"/>
      <c r="P6253" s="14">
        <v>0</v>
      </c>
      <c r="Q6253" s="15">
        <v>0.35</v>
      </c>
      <c r="R6253" s="16" t="str">
        <f t="shared" si="531"/>
        <v>APPLE</v>
      </c>
    </row>
    <row r="6254" spans="1:25" ht="27" customHeight="1" x14ac:dyDescent="0.25">
      <c r="A6254" s="32" t="s">
        <v>5170</v>
      </c>
      <c r="H6254" s="32" t="s">
        <v>12863</v>
      </c>
      <c r="I6254" s="33" t="s">
        <v>12864</v>
      </c>
      <c r="J6254" s="34" t="s">
        <v>33</v>
      </c>
      <c r="K6254" s="42">
        <v>17700</v>
      </c>
      <c r="L6254" s="12">
        <f>K6254*(1+P6254)/(1-Q6254)</f>
        <v>27230.76923076923</v>
      </c>
      <c r="M6254" s="8">
        <v>1</v>
      </c>
      <c r="N6254" s="8" t="s">
        <v>27</v>
      </c>
      <c r="O6254" s="13"/>
      <c r="P6254" s="14">
        <v>0</v>
      </c>
      <c r="Q6254" s="15">
        <v>0.35</v>
      </c>
      <c r="R6254" s="16" t="str">
        <f t="shared" si="531"/>
        <v>LEVITON</v>
      </c>
    </row>
    <row r="6255" spans="1:25" ht="27" customHeight="1" x14ac:dyDescent="0.25">
      <c r="A6255" s="79" t="s">
        <v>12865</v>
      </c>
      <c r="B6255" s="80" t="s">
        <v>1562</v>
      </c>
      <c r="C6255" s="81"/>
      <c r="D6255" s="81" t="s">
        <v>712</v>
      </c>
      <c r="E6255" s="81">
        <v>6</v>
      </c>
      <c r="F6255" s="8" t="s">
        <v>22</v>
      </c>
      <c r="G6255" s="82" t="s">
        <v>1625</v>
      </c>
      <c r="H6255" s="81" t="s">
        <v>12866</v>
      </c>
      <c r="I6255" s="82" t="s">
        <v>12867</v>
      </c>
      <c r="J6255" s="83" t="s">
        <v>33</v>
      </c>
      <c r="K6255" s="84">
        <v>388000</v>
      </c>
      <c r="L6255" s="85">
        <f t="shared" ref="L6255:L6262" si="535">IF(J6255="P",ROUNDUP(K6255/(1-Q6255),-2),K6255*(1+P6255)/(1-Q6255))</f>
        <v>554300</v>
      </c>
      <c r="M6255" s="81">
        <v>1</v>
      </c>
      <c r="N6255" s="86" t="s">
        <v>27</v>
      </c>
      <c r="O6255" s="87"/>
      <c r="P6255" s="88">
        <v>0.2</v>
      </c>
      <c r="Q6255" s="89">
        <v>0.3</v>
      </c>
      <c r="R6255" s="90" t="str">
        <f t="shared" ref="R6255:R6318" si="536">A6255</f>
        <v>WESTER DIGITAL</v>
      </c>
      <c r="S6255" s="87"/>
      <c r="T6255" s="10" t="str">
        <f>G6255</f>
        <v>DISCO DURO DE 2 TERAS</v>
      </c>
      <c r="U6255" s="19"/>
      <c r="V6255" s="19"/>
      <c r="W6255" s="19"/>
    </row>
    <row r="6256" spans="1:25" ht="27" customHeight="1" x14ac:dyDescent="0.25">
      <c r="A6256" s="32" t="s">
        <v>2124</v>
      </c>
      <c r="H6256" s="32" t="s">
        <v>12868</v>
      </c>
      <c r="I6256" s="33" t="s">
        <v>12869</v>
      </c>
      <c r="J6256" s="34" t="s">
        <v>33</v>
      </c>
      <c r="K6256" s="84">
        <v>625000</v>
      </c>
      <c r="L6256" s="85">
        <f t="shared" si="535"/>
        <v>892900</v>
      </c>
      <c r="M6256" s="81">
        <v>1</v>
      </c>
      <c r="N6256" s="86" t="s">
        <v>27</v>
      </c>
      <c r="O6256" s="87"/>
      <c r="P6256" s="88">
        <v>0</v>
      </c>
      <c r="Q6256" s="89">
        <v>0.3</v>
      </c>
      <c r="R6256" s="90" t="str">
        <f t="shared" si="536"/>
        <v>ECOLUZ</v>
      </c>
    </row>
    <row r="6257" spans="1:21" ht="27" customHeight="1" x14ac:dyDescent="0.25">
      <c r="A6257" s="32" t="s">
        <v>2124</v>
      </c>
      <c r="H6257" s="32" t="s">
        <v>12870</v>
      </c>
      <c r="I6257" s="33" t="s">
        <v>12869</v>
      </c>
      <c r="J6257" s="34" t="s">
        <v>33</v>
      </c>
      <c r="K6257" s="84">
        <v>785000</v>
      </c>
      <c r="L6257" s="85">
        <f t="shared" si="535"/>
        <v>1121500</v>
      </c>
      <c r="M6257" s="81">
        <v>1</v>
      </c>
      <c r="N6257" s="86" t="s">
        <v>27</v>
      </c>
      <c r="O6257" s="87"/>
      <c r="P6257" s="88">
        <v>0</v>
      </c>
      <c r="Q6257" s="89">
        <v>0.3</v>
      </c>
      <c r="R6257" s="90" t="str">
        <f t="shared" si="536"/>
        <v>ECOLUZ</v>
      </c>
    </row>
    <row r="6258" spans="1:21" ht="27" customHeight="1" x14ac:dyDescent="0.25">
      <c r="A6258" s="32" t="s">
        <v>1561</v>
      </c>
      <c r="H6258" s="32" t="s">
        <v>12871</v>
      </c>
      <c r="I6258" s="33" t="s">
        <v>12872</v>
      </c>
      <c r="J6258" s="34" t="s">
        <v>33</v>
      </c>
      <c r="K6258" s="42">
        <v>1818000</v>
      </c>
      <c r="L6258" s="85">
        <f t="shared" si="535"/>
        <v>2597200</v>
      </c>
      <c r="M6258" s="81">
        <v>1</v>
      </c>
      <c r="N6258" s="86" t="s">
        <v>27</v>
      </c>
      <c r="O6258" s="87"/>
      <c r="P6258" s="88">
        <v>0</v>
      </c>
      <c r="Q6258" s="89">
        <v>0.3</v>
      </c>
      <c r="R6258" s="90" t="str">
        <f t="shared" si="536"/>
        <v>DAHUA</v>
      </c>
    </row>
    <row r="6259" spans="1:21" ht="27" customHeight="1" x14ac:dyDescent="0.25">
      <c r="A6259" s="32" t="s">
        <v>1561</v>
      </c>
      <c r="H6259" s="32" t="s">
        <v>12873</v>
      </c>
      <c r="I6259" s="33" t="s">
        <v>12874</v>
      </c>
      <c r="J6259" s="34" t="s">
        <v>33</v>
      </c>
      <c r="K6259" s="42">
        <v>715000</v>
      </c>
      <c r="L6259" s="85">
        <f t="shared" si="535"/>
        <v>1021500</v>
      </c>
      <c r="M6259" s="81">
        <v>1</v>
      </c>
      <c r="N6259" s="86" t="s">
        <v>27</v>
      </c>
      <c r="O6259" s="87"/>
      <c r="P6259" s="88">
        <v>0</v>
      </c>
      <c r="Q6259" s="89">
        <v>0.3</v>
      </c>
      <c r="R6259" s="90" t="str">
        <f t="shared" si="536"/>
        <v>DAHUA</v>
      </c>
    </row>
    <row r="6260" spans="1:21" ht="27" customHeight="1" x14ac:dyDescent="0.25">
      <c r="A6260" s="32" t="s">
        <v>2286</v>
      </c>
      <c r="H6260" s="32" t="s">
        <v>12875</v>
      </c>
      <c r="I6260" s="33" t="s">
        <v>12876</v>
      </c>
      <c r="J6260" s="34" t="s">
        <v>33</v>
      </c>
      <c r="K6260" s="42">
        <v>355300</v>
      </c>
      <c r="L6260" s="85">
        <f t="shared" si="535"/>
        <v>507600</v>
      </c>
      <c r="M6260" s="81">
        <v>1</v>
      </c>
      <c r="N6260" s="86" t="s">
        <v>27</v>
      </c>
      <c r="O6260" s="87"/>
      <c r="P6260" s="88">
        <v>0</v>
      </c>
      <c r="Q6260" s="89">
        <v>0.3</v>
      </c>
      <c r="R6260" s="90" t="str">
        <f t="shared" si="536"/>
        <v>ENERLINE</v>
      </c>
    </row>
    <row r="6261" spans="1:21" ht="27" customHeight="1" x14ac:dyDescent="0.25">
      <c r="A6261" s="32" t="s">
        <v>1561</v>
      </c>
      <c r="H6261" s="32" t="s">
        <v>12877</v>
      </c>
      <c r="I6261" s="33" t="s">
        <v>12878</v>
      </c>
      <c r="J6261" s="34" t="s">
        <v>33</v>
      </c>
      <c r="K6261" s="42">
        <v>355300</v>
      </c>
      <c r="L6261" s="85">
        <f t="shared" si="535"/>
        <v>507600</v>
      </c>
      <c r="M6261" s="81">
        <v>1</v>
      </c>
      <c r="N6261" s="86" t="s">
        <v>27</v>
      </c>
      <c r="O6261" s="87"/>
      <c r="P6261" s="88">
        <v>0</v>
      </c>
      <c r="Q6261" s="89">
        <v>0.3</v>
      </c>
      <c r="R6261" s="90" t="str">
        <f t="shared" si="536"/>
        <v>DAHUA</v>
      </c>
    </row>
    <row r="6262" spans="1:21" ht="27" customHeight="1" x14ac:dyDescent="0.25">
      <c r="A6262" s="32" t="s">
        <v>1561</v>
      </c>
      <c r="H6262" s="32" t="s">
        <v>12879</v>
      </c>
      <c r="I6262" s="33" t="s">
        <v>12880</v>
      </c>
      <c r="J6262" s="34" t="s">
        <v>33</v>
      </c>
      <c r="K6262" s="42">
        <v>276000</v>
      </c>
      <c r="L6262" s="85">
        <f t="shared" si="535"/>
        <v>394300</v>
      </c>
      <c r="M6262" s="81">
        <v>1</v>
      </c>
      <c r="N6262" s="86" t="s">
        <v>27</v>
      </c>
      <c r="O6262" s="87"/>
      <c r="P6262" s="88">
        <v>0</v>
      </c>
      <c r="Q6262" s="89">
        <v>0.3</v>
      </c>
      <c r="R6262" s="90" t="str">
        <f t="shared" si="536"/>
        <v>DAHUA</v>
      </c>
    </row>
    <row r="6263" spans="1:21" ht="27" customHeight="1" x14ac:dyDescent="0.25">
      <c r="A6263" t="s">
        <v>12881</v>
      </c>
      <c r="H6263" t="s">
        <v>12882</v>
      </c>
      <c r="I6263" t="s">
        <v>12883</v>
      </c>
      <c r="J6263" t="s">
        <v>26</v>
      </c>
      <c r="K6263" s="42">
        <v>49.9</v>
      </c>
      <c r="L6263" s="12">
        <f t="shared" ref="L6263:L6271" si="537">K6263*(1+P6263)/(1-Q6263)</f>
        <v>99.8</v>
      </c>
      <c r="M6263" s="8">
        <v>1</v>
      </c>
      <c r="N6263" s="8" t="s">
        <v>27</v>
      </c>
      <c r="O6263" s="13"/>
      <c r="P6263" s="14">
        <v>0.2</v>
      </c>
      <c r="Q6263" s="15">
        <v>0.4</v>
      </c>
      <c r="R6263" s="16" t="str">
        <f t="shared" si="536"/>
        <v>FX</v>
      </c>
    </row>
    <row r="6264" spans="1:21" ht="27" customHeight="1" x14ac:dyDescent="0.25">
      <c r="A6264" s="8" t="s">
        <v>5672</v>
      </c>
      <c r="B6264" s="9"/>
      <c r="C6264" s="9"/>
      <c r="D6264" s="8"/>
      <c r="E6264" s="8"/>
      <c r="F6264" s="8"/>
      <c r="G6264" s="10"/>
      <c r="H6264" s="8" t="s">
        <v>12884</v>
      </c>
      <c r="I6264" s="10" t="s">
        <v>12885</v>
      </c>
      <c r="J6264" s="11" t="s">
        <v>26</v>
      </c>
      <c r="K6264" s="57">
        <v>75</v>
      </c>
      <c r="L6264" s="12">
        <f t="shared" si="537"/>
        <v>150</v>
      </c>
      <c r="M6264" s="8">
        <v>1</v>
      </c>
      <c r="N6264" s="8" t="s">
        <v>27</v>
      </c>
      <c r="O6264" s="13"/>
      <c r="P6264" s="14">
        <v>0.2</v>
      </c>
      <c r="Q6264" s="15">
        <v>0.4</v>
      </c>
      <c r="R6264" s="16" t="str">
        <f t="shared" si="536"/>
        <v>LUTRON</v>
      </c>
      <c r="S6264" s="17"/>
      <c r="T6264" s="10"/>
      <c r="U6264" s="24"/>
    </row>
    <row r="6265" spans="1:21" ht="27" customHeight="1" x14ac:dyDescent="0.25">
      <c r="A6265" s="8" t="s">
        <v>5672</v>
      </c>
      <c r="B6265" s="9"/>
      <c r="C6265" s="9"/>
      <c r="D6265" s="8"/>
      <c r="E6265" s="8"/>
      <c r="F6265" s="8"/>
      <c r="G6265" s="10"/>
      <c r="H6265" s="8" t="s">
        <v>12886</v>
      </c>
      <c r="I6265" s="10" t="s">
        <v>12887</v>
      </c>
      <c r="J6265" s="11" t="s">
        <v>26</v>
      </c>
      <c r="K6265" s="57">
        <v>75</v>
      </c>
      <c r="L6265" s="12">
        <f t="shared" si="537"/>
        <v>150</v>
      </c>
      <c r="M6265" s="8">
        <v>1</v>
      </c>
      <c r="N6265" s="8" t="s">
        <v>27</v>
      </c>
      <c r="O6265" s="13"/>
      <c r="P6265" s="14">
        <v>0.2</v>
      </c>
      <c r="Q6265" s="15">
        <v>0.4</v>
      </c>
      <c r="R6265" s="16" t="str">
        <f t="shared" si="536"/>
        <v>LUTRON</v>
      </c>
    </row>
    <row r="6266" spans="1:21" ht="27" customHeight="1" x14ac:dyDescent="0.25">
      <c r="A6266" s="32" t="s">
        <v>12888</v>
      </c>
      <c r="H6266" s="32" t="s">
        <v>12889</v>
      </c>
      <c r="I6266" s="33" t="s">
        <v>12890</v>
      </c>
      <c r="J6266" s="34" t="s">
        <v>26</v>
      </c>
      <c r="K6266" s="42">
        <v>48</v>
      </c>
      <c r="L6266" s="12">
        <f t="shared" si="537"/>
        <v>96</v>
      </c>
      <c r="M6266" s="8">
        <v>1</v>
      </c>
      <c r="N6266" s="8" t="s">
        <v>27</v>
      </c>
      <c r="O6266" s="13"/>
      <c r="P6266" s="14">
        <v>0.2</v>
      </c>
      <c r="Q6266" s="15">
        <v>0.4</v>
      </c>
      <c r="R6266" s="16" t="str">
        <f t="shared" si="536"/>
        <v>GAIA</v>
      </c>
    </row>
    <row r="6267" spans="1:21" ht="27" customHeight="1" x14ac:dyDescent="0.25">
      <c r="A6267" s="32" t="s">
        <v>2297</v>
      </c>
      <c r="H6267" s="32" t="s">
        <v>12891</v>
      </c>
      <c r="I6267" s="33" t="s">
        <v>12892</v>
      </c>
      <c r="J6267" s="34" t="s">
        <v>33</v>
      </c>
      <c r="K6267" s="42">
        <v>349000</v>
      </c>
      <c r="L6267" s="12">
        <f t="shared" si="537"/>
        <v>498571.42857142858</v>
      </c>
      <c r="M6267" s="8">
        <v>1</v>
      </c>
      <c r="N6267" s="8" t="s">
        <v>27</v>
      </c>
      <c r="O6267" s="13"/>
      <c r="P6267" s="14">
        <v>0</v>
      </c>
      <c r="Q6267" s="15">
        <v>0.3</v>
      </c>
      <c r="R6267" s="16" t="str">
        <f t="shared" si="536"/>
        <v>EPSON</v>
      </c>
    </row>
    <row r="6268" spans="1:21" ht="27" customHeight="1" x14ac:dyDescent="0.25">
      <c r="A6268" s="32" t="s">
        <v>12893</v>
      </c>
      <c r="H6268" s="32" t="s">
        <v>12894</v>
      </c>
      <c r="I6268" s="33" t="s">
        <v>12895</v>
      </c>
      <c r="J6268" s="34" t="s">
        <v>26</v>
      </c>
      <c r="K6268" s="42">
        <v>116</v>
      </c>
      <c r="L6268" s="12">
        <f t="shared" si="537"/>
        <v>198.85714285714286</v>
      </c>
      <c r="M6268" s="8">
        <v>1</v>
      </c>
      <c r="N6268" s="8" t="s">
        <v>27</v>
      </c>
      <c r="O6268" s="13"/>
      <c r="P6268" s="14">
        <v>0.2</v>
      </c>
      <c r="Q6268" s="15">
        <v>0.3</v>
      </c>
      <c r="R6268" s="16" t="str">
        <f t="shared" si="536"/>
        <v>MARTIN_LOGAN</v>
      </c>
    </row>
    <row r="6269" spans="1:21" ht="27" customHeight="1" x14ac:dyDescent="0.25">
      <c r="A6269" s="32" t="s">
        <v>12893</v>
      </c>
      <c r="H6269" s="32" t="s">
        <v>12896</v>
      </c>
      <c r="I6269" s="33" t="s">
        <v>12897</v>
      </c>
      <c r="J6269" s="34" t="s">
        <v>26</v>
      </c>
      <c r="K6269" s="42">
        <v>422</v>
      </c>
      <c r="L6269" s="12">
        <f t="shared" si="537"/>
        <v>723.42857142857144</v>
      </c>
      <c r="M6269" s="8">
        <v>1</v>
      </c>
      <c r="N6269" s="8" t="s">
        <v>27</v>
      </c>
      <c r="O6269" s="13"/>
      <c r="P6269" s="14">
        <v>0.2</v>
      </c>
      <c r="Q6269" s="15">
        <v>0.3</v>
      </c>
      <c r="R6269" s="16" t="str">
        <f t="shared" si="536"/>
        <v>MARTIN_LOGAN</v>
      </c>
    </row>
    <row r="6270" spans="1:21" ht="27" customHeight="1" x14ac:dyDescent="0.25">
      <c r="A6270" s="32" t="s">
        <v>12893</v>
      </c>
      <c r="H6270" s="32" t="s">
        <v>12898</v>
      </c>
      <c r="I6270" s="33" t="s">
        <v>12899</v>
      </c>
      <c r="J6270" s="34" t="s">
        <v>26</v>
      </c>
      <c r="K6270" s="42">
        <v>274</v>
      </c>
      <c r="L6270" s="12">
        <f t="shared" si="537"/>
        <v>391.42857142857144</v>
      </c>
      <c r="M6270" s="8">
        <v>1</v>
      </c>
      <c r="N6270" s="8" t="s">
        <v>27</v>
      </c>
      <c r="O6270" s="13"/>
      <c r="P6270" s="14">
        <v>0</v>
      </c>
      <c r="Q6270" s="15">
        <v>0.3</v>
      </c>
      <c r="R6270" s="16" t="str">
        <f t="shared" si="536"/>
        <v>MARTIN_LOGAN</v>
      </c>
    </row>
    <row r="6271" spans="1:21" ht="27" customHeight="1" x14ac:dyDescent="0.25">
      <c r="A6271" s="32" t="s">
        <v>12900</v>
      </c>
      <c r="H6271" s="32" t="s">
        <v>12901</v>
      </c>
      <c r="I6271" s="33" t="s">
        <v>12902</v>
      </c>
      <c r="J6271" s="34" t="s">
        <v>26</v>
      </c>
      <c r="K6271" s="42">
        <v>39</v>
      </c>
      <c r="L6271" s="12">
        <f t="shared" si="537"/>
        <v>66.857142857142861</v>
      </c>
      <c r="M6271" s="8">
        <v>1</v>
      </c>
      <c r="N6271" s="8" t="s">
        <v>27</v>
      </c>
      <c r="O6271" s="13"/>
      <c r="P6271" s="14">
        <v>0.2</v>
      </c>
      <c r="Q6271" s="15">
        <v>0.3</v>
      </c>
      <c r="R6271" s="16" t="str">
        <f t="shared" si="536"/>
        <v>DIRECT</v>
      </c>
      <c r="S6271" t="s">
        <v>12903</v>
      </c>
      <c r="T6271" t="s">
        <v>12904</v>
      </c>
    </row>
    <row r="6272" spans="1:21" ht="27" customHeight="1" x14ac:dyDescent="0.25">
      <c r="A6272" t="s">
        <v>2124</v>
      </c>
      <c r="H6272" t="s">
        <v>12905</v>
      </c>
      <c r="I6272" t="s">
        <v>12906</v>
      </c>
      <c r="J6272" t="s">
        <v>33</v>
      </c>
      <c r="K6272" s="42">
        <v>245000</v>
      </c>
      <c r="L6272" s="12">
        <f>IF(J6272="P",ROUNDUP(K6272/(1-Q6272),-2),K6272*(1+P6272)/(1-Q6272))</f>
        <v>350000</v>
      </c>
      <c r="M6272" s="8">
        <v>1</v>
      </c>
      <c r="N6272" s="8" t="s">
        <v>27</v>
      </c>
      <c r="O6272" s="13"/>
      <c r="P6272" s="14">
        <v>0</v>
      </c>
      <c r="Q6272" s="15">
        <v>0.3</v>
      </c>
      <c r="R6272" s="16" t="str">
        <f t="shared" si="536"/>
        <v>ECOLUZ</v>
      </c>
      <c r="S6272" s="17"/>
    </row>
    <row r="6273" spans="1:19" ht="27" customHeight="1" x14ac:dyDescent="0.25">
      <c r="A6273" t="s">
        <v>2095</v>
      </c>
      <c r="H6273" t="s">
        <v>12907</v>
      </c>
      <c r="I6273" t="s">
        <v>12908</v>
      </c>
      <c r="J6273" t="s">
        <v>33</v>
      </c>
      <c r="K6273" s="42">
        <v>87000</v>
      </c>
      <c r="L6273" s="12">
        <f>IF(J6273="P",ROUNDUP(K6273/(1-Q6273),-2),K6273*(1+P6273)/(1-Q6273))</f>
        <v>124300</v>
      </c>
      <c r="M6273" s="8">
        <v>1</v>
      </c>
      <c r="N6273" s="8" t="s">
        <v>27</v>
      </c>
      <c r="O6273" s="13"/>
      <c r="P6273" s="14">
        <v>0</v>
      </c>
      <c r="Q6273" s="15">
        <v>0.3</v>
      </c>
      <c r="R6273" s="16" t="str">
        <f t="shared" si="536"/>
        <v>ECOLITE</v>
      </c>
      <c r="S6273" s="17"/>
    </row>
    <row r="6274" spans="1:19" ht="27" customHeight="1" x14ac:dyDescent="0.25">
      <c r="A6274" s="8" t="s">
        <v>9912</v>
      </c>
      <c r="H6274" s="32" t="s">
        <v>12909</v>
      </c>
      <c r="I6274" t="s">
        <v>12910</v>
      </c>
      <c r="J6274" t="s">
        <v>33</v>
      </c>
      <c r="K6274" s="42">
        <v>2456000</v>
      </c>
      <c r="L6274" s="12">
        <f t="shared" ref="L6274:L6288" si="538">ROUNDUP(K6274*(1+P6274)/(1-Q6274),0)</f>
        <v>4093334</v>
      </c>
      <c r="M6274" s="8">
        <v>1</v>
      </c>
      <c r="N6274" s="8" t="s">
        <v>27</v>
      </c>
      <c r="O6274" s="13"/>
      <c r="P6274" s="14">
        <v>0</v>
      </c>
      <c r="Q6274" s="15">
        <v>0.4</v>
      </c>
      <c r="R6274" s="16" t="str">
        <f t="shared" si="536"/>
        <v>SIETEPRO</v>
      </c>
    </row>
    <row r="6275" spans="1:19" ht="27" customHeight="1" x14ac:dyDescent="0.25">
      <c r="A6275" s="32" t="s">
        <v>12911</v>
      </c>
      <c r="H6275" s="32" t="s">
        <v>12912</v>
      </c>
      <c r="I6275" t="s">
        <v>12913</v>
      </c>
      <c r="J6275" t="s">
        <v>26</v>
      </c>
      <c r="K6275" s="42">
        <v>18.989999999999998</v>
      </c>
      <c r="L6275" s="12">
        <f t="shared" si="538"/>
        <v>32</v>
      </c>
      <c r="M6275" s="8">
        <v>1</v>
      </c>
      <c r="N6275" s="8" t="s">
        <v>27</v>
      </c>
      <c r="O6275" s="13"/>
      <c r="P6275" s="14">
        <v>0</v>
      </c>
      <c r="Q6275" s="15">
        <v>0.4</v>
      </c>
      <c r="R6275" s="16" t="str">
        <f t="shared" si="536"/>
        <v>TOSLINK</v>
      </c>
    </row>
    <row r="6276" spans="1:19" ht="27" customHeight="1" x14ac:dyDescent="0.25">
      <c r="A6276" s="32" t="s">
        <v>5380</v>
      </c>
      <c r="H6276" s="32" t="s">
        <v>12914</v>
      </c>
      <c r="I6276" t="s">
        <v>12915</v>
      </c>
      <c r="J6276" t="s">
        <v>33</v>
      </c>
      <c r="K6276" s="42">
        <v>43092</v>
      </c>
      <c r="L6276" s="12">
        <f t="shared" si="538"/>
        <v>71820</v>
      </c>
      <c r="M6276" s="8">
        <v>1</v>
      </c>
      <c r="N6276" s="8" t="s">
        <v>27</v>
      </c>
      <c r="O6276" s="13"/>
      <c r="P6276" s="14">
        <v>0</v>
      </c>
      <c r="Q6276" s="15">
        <v>0.4</v>
      </c>
      <c r="R6276" s="16" t="str">
        <f t="shared" si="536"/>
        <v>LINDY</v>
      </c>
    </row>
    <row r="6277" spans="1:19" ht="27" customHeight="1" x14ac:dyDescent="0.25">
      <c r="A6277" s="32" t="s">
        <v>12498</v>
      </c>
      <c r="H6277" s="32" t="s">
        <v>12916</v>
      </c>
      <c r="I6277" t="s">
        <v>12917</v>
      </c>
      <c r="J6277" t="s">
        <v>33</v>
      </c>
      <c r="K6277" s="42">
        <v>137514</v>
      </c>
      <c r="L6277" s="12">
        <f t="shared" si="538"/>
        <v>229190</v>
      </c>
      <c r="M6277" s="8">
        <v>1</v>
      </c>
      <c r="N6277" s="8" t="s">
        <v>27</v>
      </c>
      <c r="O6277" s="13"/>
      <c r="P6277" s="14">
        <v>0</v>
      </c>
      <c r="Q6277" s="15">
        <v>0.4</v>
      </c>
      <c r="R6277" s="16" t="str">
        <f t="shared" si="536"/>
        <v>AJAX</v>
      </c>
    </row>
    <row r="6278" spans="1:19" ht="27" customHeight="1" x14ac:dyDescent="0.25">
      <c r="A6278" s="32" t="s">
        <v>2512</v>
      </c>
      <c r="H6278" s="32" t="s">
        <v>12918</v>
      </c>
      <c r="I6278" t="s">
        <v>12919</v>
      </c>
      <c r="J6278" t="s">
        <v>33</v>
      </c>
      <c r="K6278" s="42">
        <v>49000</v>
      </c>
      <c r="L6278" s="12">
        <f t="shared" si="538"/>
        <v>81667</v>
      </c>
      <c r="M6278" s="8">
        <v>1</v>
      </c>
      <c r="N6278" s="8" t="s">
        <v>27</v>
      </c>
      <c r="O6278" s="13"/>
      <c r="P6278" s="14">
        <v>0</v>
      </c>
      <c r="Q6278" s="15">
        <v>0.4</v>
      </c>
      <c r="R6278" s="16" t="str">
        <f t="shared" si="536"/>
        <v>GENERAL</v>
      </c>
    </row>
    <row r="6279" spans="1:19" ht="27" customHeight="1" x14ac:dyDescent="0.25">
      <c r="A6279" s="32" t="s">
        <v>534</v>
      </c>
      <c r="H6279" s="32" t="s">
        <v>12920</v>
      </c>
      <c r="I6279" s="33" t="s">
        <v>12921</v>
      </c>
      <c r="J6279" t="s">
        <v>26</v>
      </c>
      <c r="K6279" s="42">
        <v>230</v>
      </c>
      <c r="L6279" s="12">
        <f t="shared" si="538"/>
        <v>395</v>
      </c>
      <c r="M6279" s="8">
        <v>1</v>
      </c>
      <c r="N6279" s="8" t="s">
        <v>27</v>
      </c>
      <c r="O6279" s="13"/>
      <c r="P6279" s="14">
        <v>0.2</v>
      </c>
      <c r="Q6279" s="15">
        <v>0.3</v>
      </c>
      <c r="R6279" s="16" t="str">
        <f t="shared" si="536"/>
        <v>ANTHONY GALLO</v>
      </c>
    </row>
    <row r="6280" spans="1:19" ht="27" customHeight="1" x14ac:dyDescent="0.25">
      <c r="A6280" s="32" t="s">
        <v>534</v>
      </c>
      <c r="H6280" s="32" t="s">
        <v>12922</v>
      </c>
      <c r="I6280" t="s">
        <v>12923</v>
      </c>
      <c r="J6280" t="s">
        <v>26</v>
      </c>
      <c r="K6280" s="42">
        <v>22.5</v>
      </c>
      <c r="L6280" s="12">
        <f t="shared" si="538"/>
        <v>39</v>
      </c>
      <c r="M6280" s="8">
        <v>1</v>
      </c>
      <c r="N6280" s="8" t="s">
        <v>27</v>
      </c>
      <c r="O6280" s="13"/>
      <c r="P6280" s="14">
        <v>0.2</v>
      </c>
      <c r="Q6280" s="15">
        <v>0.3</v>
      </c>
      <c r="R6280" s="16" t="str">
        <f t="shared" si="536"/>
        <v>ANTHONY GALLO</v>
      </c>
    </row>
    <row r="6281" spans="1:19" ht="27" customHeight="1" x14ac:dyDescent="0.25">
      <c r="A6281" s="32" t="s">
        <v>534</v>
      </c>
      <c r="H6281" s="32" t="s">
        <v>12924</v>
      </c>
      <c r="I6281" t="s">
        <v>12925</v>
      </c>
      <c r="J6281" t="s">
        <v>26</v>
      </c>
      <c r="K6281" s="42">
        <v>25</v>
      </c>
      <c r="L6281" s="12">
        <f t="shared" si="538"/>
        <v>43</v>
      </c>
      <c r="M6281" s="8">
        <v>1</v>
      </c>
      <c r="N6281" s="8" t="s">
        <v>27</v>
      </c>
      <c r="O6281" s="13"/>
      <c r="P6281" s="14">
        <v>0.2</v>
      </c>
      <c r="Q6281" s="15">
        <v>0.3</v>
      </c>
      <c r="R6281" s="16" t="str">
        <f t="shared" si="536"/>
        <v>ANTHONY GALLO</v>
      </c>
    </row>
    <row r="6282" spans="1:19" ht="27" customHeight="1" x14ac:dyDescent="0.25">
      <c r="A6282" s="32" t="s">
        <v>11502</v>
      </c>
      <c r="H6282" s="32" t="s">
        <v>12926</v>
      </c>
      <c r="I6282" t="s">
        <v>12927</v>
      </c>
      <c r="J6282" t="s">
        <v>33</v>
      </c>
      <c r="K6282" s="42">
        <v>82000</v>
      </c>
      <c r="L6282" s="12">
        <f t="shared" si="538"/>
        <v>136667</v>
      </c>
      <c r="M6282" s="8">
        <v>1</v>
      </c>
      <c r="N6282" s="8" t="s">
        <v>27</v>
      </c>
      <c r="O6282" s="13"/>
      <c r="P6282" s="14">
        <v>0</v>
      </c>
      <c r="Q6282" s="15">
        <v>0.4</v>
      </c>
      <c r="R6282" s="16" t="str">
        <f t="shared" si="536"/>
        <v>FULL</v>
      </c>
    </row>
    <row r="6283" spans="1:19" ht="27" customHeight="1" x14ac:dyDescent="0.25">
      <c r="A6283" s="32" t="s">
        <v>2512</v>
      </c>
      <c r="H6283" s="32" t="s">
        <v>12928</v>
      </c>
      <c r="I6283" t="s">
        <v>12929</v>
      </c>
      <c r="J6283" t="s">
        <v>26</v>
      </c>
      <c r="K6283" s="42">
        <v>20</v>
      </c>
      <c r="L6283" s="12">
        <f t="shared" si="538"/>
        <v>34</v>
      </c>
      <c r="M6283" s="8">
        <v>1</v>
      </c>
      <c r="N6283" s="8" t="s">
        <v>27</v>
      </c>
      <c r="O6283" s="13"/>
      <c r="P6283" s="14">
        <v>0</v>
      </c>
      <c r="Q6283" s="15">
        <v>0.4</v>
      </c>
      <c r="R6283" s="16" t="str">
        <f t="shared" si="536"/>
        <v>GENERAL</v>
      </c>
      <c r="S6283" t="s">
        <v>12930</v>
      </c>
    </row>
    <row r="6284" spans="1:19" ht="27" customHeight="1" x14ac:dyDescent="0.25">
      <c r="A6284" s="32" t="s">
        <v>12931</v>
      </c>
      <c r="H6284" s="32" t="s">
        <v>12932</v>
      </c>
      <c r="I6284" t="s">
        <v>12933</v>
      </c>
      <c r="J6284" t="s">
        <v>33</v>
      </c>
      <c r="K6284" s="42">
        <v>20000</v>
      </c>
      <c r="L6284" s="12">
        <f t="shared" si="538"/>
        <v>33334</v>
      </c>
      <c r="M6284" s="8">
        <v>1</v>
      </c>
      <c r="N6284" s="8" t="s">
        <v>27</v>
      </c>
      <c r="O6284" s="13"/>
      <c r="P6284" s="14">
        <v>0</v>
      </c>
      <c r="Q6284" s="15">
        <v>0.4</v>
      </c>
      <c r="R6284" s="16" t="str">
        <f t="shared" si="536"/>
        <v>LINK</v>
      </c>
    </row>
    <row r="6285" spans="1:19" ht="27" customHeight="1" x14ac:dyDescent="0.25">
      <c r="A6285" s="32" t="s">
        <v>5672</v>
      </c>
      <c r="H6285" s="32" t="s">
        <v>12934</v>
      </c>
      <c r="I6285" t="s">
        <v>12935</v>
      </c>
      <c r="J6285" t="s">
        <v>26</v>
      </c>
      <c r="K6285" s="42">
        <v>35</v>
      </c>
      <c r="L6285" s="12">
        <f t="shared" si="538"/>
        <v>70</v>
      </c>
      <c r="M6285" s="8">
        <v>1</v>
      </c>
      <c r="N6285" s="8" t="s">
        <v>27</v>
      </c>
      <c r="O6285" s="13"/>
      <c r="P6285" s="14">
        <v>0.2</v>
      </c>
      <c r="Q6285" s="15">
        <v>0.4</v>
      </c>
      <c r="R6285" s="16" t="str">
        <f t="shared" si="536"/>
        <v>LUTRON</v>
      </c>
    </row>
    <row r="6286" spans="1:19" ht="27" customHeight="1" x14ac:dyDescent="0.25">
      <c r="A6286" s="32" t="s">
        <v>5672</v>
      </c>
      <c r="H6286" t="s">
        <v>12936</v>
      </c>
      <c r="I6286" t="s">
        <v>12937</v>
      </c>
      <c r="J6286" t="s">
        <v>26</v>
      </c>
      <c r="K6286" s="42">
        <v>205</v>
      </c>
      <c r="L6286" s="12">
        <f t="shared" si="538"/>
        <v>410</v>
      </c>
      <c r="M6286" s="8">
        <v>1</v>
      </c>
      <c r="N6286" s="8" t="s">
        <v>27</v>
      </c>
      <c r="O6286" s="13"/>
      <c r="P6286" s="14">
        <v>0.2</v>
      </c>
      <c r="Q6286" s="15">
        <v>0.4</v>
      </c>
      <c r="R6286" s="16" t="str">
        <f t="shared" si="536"/>
        <v>LUTRON</v>
      </c>
    </row>
    <row r="6287" spans="1:19" ht="27" customHeight="1" x14ac:dyDescent="0.25">
      <c r="A6287" s="32" t="s">
        <v>5672</v>
      </c>
      <c r="H6287" t="s">
        <v>12938</v>
      </c>
      <c r="I6287" t="s">
        <v>12939</v>
      </c>
      <c r="J6287" t="s">
        <v>26</v>
      </c>
      <c r="K6287" s="42">
        <v>92.5</v>
      </c>
      <c r="L6287" s="12">
        <f t="shared" si="538"/>
        <v>185</v>
      </c>
      <c r="M6287" s="8">
        <v>1</v>
      </c>
      <c r="N6287" s="8" t="s">
        <v>27</v>
      </c>
      <c r="O6287" s="13"/>
      <c r="P6287" s="14">
        <v>0.2</v>
      </c>
      <c r="Q6287" s="15">
        <v>0.4</v>
      </c>
      <c r="R6287" s="16" t="str">
        <f t="shared" si="536"/>
        <v>LUTRON</v>
      </c>
    </row>
    <row r="6288" spans="1:19" ht="27" customHeight="1" x14ac:dyDescent="0.25">
      <c r="A6288" s="32" t="s">
        <v>5672</v>
      </c>
      <c r="H6288" t="s">
        <v>12940</v>
      </c>
      <c r="I6288" t="s">
        <v>12941</v>
      </c>
      <c r="J6288" t="s">
        <v>26</v>
      </c>
      <c r="K6288" s="42">
        <v>16</v>
      </c>
      <c r="L6288" s="12">
        <f t="shared" si="538"/>
        <v>32</v>
      </c>
      <c r="M6288" s="8">
        <v>1</v>
      </c>
      <c r="N6288" s="8" t="s">
        <v>27</v>
      </c>
      <c r="O6288" s="13"/>
      <c r="P6288" s="14">
        <v>0.2</v>
      </c>
      <c r="Q6288" s="15">
        <v>0.4</v>
      </c>
      <c r="R6288" s="16" t="str">
        <f t="shared" si="536"/>
        <v>LUTRON</v>
      </c>
    </row>
    <row r="6289" spans="1:19" ht="27" customHeight="1" x14ac:dyDescent="0.25">
      <c r="A6289" s="8" t="s">
        <v>3977</v>
      </c>
      <c r="H6289" s="44" t="s">
        <v>12942</v>
      </c>
      <c r="I6289" s="91" t="s">
        <v>12943</v>
      </c>
      <c r="J6289" s="34" t="s">
        <v>33</v>
      </c>
      <c r="K6289" s="42">
        <v>55000</v>
      </c>
      <c r="L6289" s="12">
        <f t="shared" ref="L6289:L6294" si="539">K6289*(1+P6289)/(1-Q6289)</f>
        <v>110000</v>
      </c>
      <c r="M6289" s="8">
        <v>1</v>
      </c>
      <c r="N6289" s="8" t="s">
        <v>27</v>
      </c>
      <c r="O6289" s="13"/>
      <c r="P6289" s="14">
        <v>0.2</v>
      </c>
      <c r="Q6289" s="15">
        <v>0.4</v>
      </c>
      <c r="R6289" s="16" t="str">
        <f t="shared" si="536"/>
        <v>KOMODO</v>
      </c>
    </row>
    <row r="6290" spans="1:19" ht="27" customHeight="1" x14ac:dyDescent="0.25">
      <c r="A6290" s="8" t="s">
        <v>3977</v>
      </c>
      <c r="H6290" s="44" t="s">
        <v>12944</v>
      </c>
      <c r="I6290" s="91" t="s">
        <v>12945</v>
      </c>
      <c r="J6290" s="34" t="s">
        <v>33</v>
      </c>
      <c r="K6290" s="42">
        <v>55000</v>
      </c>
      <c r="L6290" s="12">
        <f t="shared" si="539"/>
        <v>110000</v>
      </c>
      <c r="M6290" s="8">
        <v>1</v>
      </c>
      <c r="N6290" s="8" t="s">
        <v>27</v>
      </c>
      <c r="O6290" s="13"/>
      <c r="P6290" s="14">
        <v>0.2</v>
      </c>
      <c r="Q6290" s="15">
        <v>0.4</v>
      </c>
      <c r="R6290" s="16" t="str">
        <f t="shared" si="536"/>
        <v>KOMODO</v>
      </c>
    </row>
    <row r="6291" spans="1:19" ht="27" customHeight="1" x14ac:dyDescent="0.25">
      <c r="A6291" s="32" t="s">
        <v>12243</v>
      </c>
      <c r="H6291" t="s">
        <v>12946</v>
      </c>
      <c r="I6291" t="s">
        <v>12947</v>
      </c>
      <c r="J6291" t="s">
        <v>33</v>
      </c>
      <c r="K6291" s="42">
        <v>102800</v>
      </c>
      <c r="L6291" s="12">
        <f t="shared" si="539"/>
        <v>171333.33333333334</v>
      </c>
      <c r="M6291" s="8">
        <v>1</v>
      </c>
      <c r="N6291" s="8" t="s">
        <v>27</v>
      </c>
      <c r="O6291" s="13"/>
      <c r="P6291" s="14">
        <v>0</v>
      </c>
      <c r="Q6291" s="15">
        <v>0.4</v>
      </c>
      <c r="R6291" s="16" t="str">
        <f t="shared" si="536"/>
        <v>SILVANYA</v>
      </c>
    </row>
    <row r="6292" spans="1:19" ht="27" customHeight="1" x14ac:dyDescent="0.25">
      <c r="A6292" s="32" t="s">
        <v>12948</v>
      </c>
      <c r="H6292" t="s">
        <v>12949</v>
      </c>
      <c r="I6292" s="38" t="s">
        <v>12950</v>
      </c>
      <c r="J6292" t="s">
        <v>33</v>
      </c>
      <c r="K6292" s="42">
        <v>1902000</v>
      </c>
      <c r="L6292" s="12">
        <f t="shared" si="539"/>
        <v>2717142.8571428573</v>
      </c>
      <c r="M6292" s="8">
        <v>1</v>
      </c>
      <c r="N6292" s="8" t="s">
        <v>27</v>
      </c>
      <c r="O6292" s="13"/>
      <c r="P6292" s="14">
        <v>0</v>
      </c>
      <c r="Q6292" s="15">
        <v>0.3</v>
      </c>
      <c r="R6292" s="16" t="str">
        <f t="shared" si="536"/>
        <v>KNX</v>
      </c>
    </row>
    <row r="6293" spans="1:19" ht="27" customHeight="1" x14ac:dyDescent="0.25">
      <c r="A6293" s="32" t="s">
        <v>12948</v>
      </c>
      <c r="H6293" t="s">
        <v>12951</v>
      </c>
      <c r="I6293" s="38" t="s">
        <v>12952</v>
      </c>
      <c r="J6293" t="s">
        <v>33</v>
      </c>
      <c r="K6293" s="42">
        <v>2549000</v>
      </c>
      <c r="L6293" s="12">
        <f t="shared" si="539"/>
        <v>3641428.5714285718</v>
      </c>
      <c r="M6293" s="8">
        <v>1</v>
      </c>
      <c r="N6293" s="8" t="s">
        <v>27</v>
      </c>
      <c r="O6293" s="13"/>
      <c r="P6293" s="14">
        <v>0</v>
      </c>
      <c r="Q6293" s="15">
        <v>0.3</v>
      </c>
      <c r="R6293" s="16" t="str">
        <f t="shared" si="536"/>
        <v>KNX</v>
      </c>
    </row>
    <row r="6294" spans="1:19" ht="27" customHeight="1" x14ac:dyDescent="0.25">
      <c r="A6294" s="32" t="s">
        <v>5672</v>
      </c>
      <c r="H6294" t="s">
        <v>12953</v>
      </c>
      <c r="I6294" t="s">
        <v>12954</v>
      </c>
      <c r="J6294" t="s">
        <v>26</v>
      </c>
      <c r="K6294" s="42">
        <v>32.5</v>
      </c>
      <c r="L6294" s="12">
        <f t="shared" si="539"/>
        <v>55.714285714285715</v>
      </c>
      <c r="M6294" s="8">
        <v>1</v>
      </c>
      <c r="N6294" s="8" t="s">
        <v>27</v>
      </c>
      <c r="O6294" s="13"/>
      <c r="P6294" s="14">
        <v>0.2</v>
      </c>
      <c r="Q6294" s="15">
        <v>0.3</v>
      </c>
      <c r="R6294" s="16" t="str">
        <f t="shared" si="536"/>
        <v>LUTRON</v>
      </c>
    </row>
    <row r="6295" spans="1:19" ht="27" customHeight="1" x14ac:dyDescent="0.25">
      <c r="A6295" s="32" t="s">
        <v>8404</v>
      </c>
      <c r="H6295" t="s">
        <v>12955</v>
      </c>
      <c r="I6295" s="33" t="s">
        <v>12956</v>
      </c>
      <c r="J6295" s="34" t="s">
        <v>26</v>
      </c>
      <c r="K6295" s="20">
        <v>439</v>
      </c>
      <c r="L6295" s="12">
        <f t="shared" ref="L6295:L6300" si="540">IF(J6295="P",ROUNDUP(K6295/(1-Q6295),-2),K6295*(1+P6295)/(1-Q6295))</f>
        <v>579.91393764616282</v>
      </c>
      <c r="M6295" s="8">
        <v>1</v>
      </c>
      <c r="N6295" s="8" t="s">
        <v>27</v>
      </c>
      <c r="O6295" s="13"/>
      <c r="P6295" s="14">
        <v>0.2</v>
      </c>
      <c r="Q6295" s="15">
        <v>9.1589344897881383E-2</v>
      </c>
      <c r="R6295" s="40" t="str">
        <f t="shared" si="536"/>
        <v>SONOS</v>
      </c>
    </row>
    <row r="6296" spans="1:19" ht="27" customHeight="1" x14ac:dyDescent="0.25">
      <c r="A6296" t="s">
        <v>8404</v>
      </c>
      <c r="H6296" t="s">
        <v>12957</v>
      </c>
      <c r="I6296" t="s">
        <v>12958</v>
      </c>
      <c r="J6296" t="s">
        <v>26</v>
      </c>
      <c r="K6296" s="42">
        <v>450</v>
      </c>
      <c r="L6296" s="12">
        <f t="shared" si="540"/>
        <v>594.44481079902801</v>
      </c>
      <c r="M6296" s="8">
        <v>1</v>
      </c>
      <c r="N6296" s="8" t="s">
        <v>27</v>
      </c>
      <c r="O6296" s="13"/>
      <c r="P6296" s="14">
        <v>0.2</v>
      </c>
      <c r="Q6296" s="15">
        <v>9.1589344897881383E-2</v>
      </c>
      <c r="R6296" s="40" t="str">
        <f t="shared" si="536"/>
        <v>SONOS</v>
      </c>
    </row>
    <row r="6297" spans="1:19" ht="27" customHeight="1" x14ac:dyDescent="0.25">
      <c r="A6297" s="32" t="s">
        <v>12959</v>
      </c>
      <c r="H6297" t="s">
        <v>12960</v>
      </c>
      <c r="I6297" t="s">
        <v>12961</v>
      </c>
      <c r="J6297" t="s">
        <v>26</v>
      </c>
      <c r="K6297" s="42">
        <v>342</v>
      </c>
      <c r="L6297" s="12">
        <f t="shared" si="540"/>
        <v>488.57142857142861</v>
      </c>
      <c r="M6297" s="8">
        <v>1</v>
      </c>
      <c r="N6297" s="8" t="s">
        <v>27</v>
      </c>
      <c r="O6297" s="13"/>
      <c r="P6297" s="14">
        <v>0</v>
      </c>
      <c r="Q6297" s="15">
        <v>0.3</v>
      </c>
      <c r="R6297" s="40" t="str">
        <f t="shared" si="536"/>
        <v>LITHE</v>
      </c>
    </row>
    <row r="6298" spans="1:19" ht="27" customHeight="1" x14ac:dyDescent="0.25">
      <c r="A6298" s="32" t="s">
        <v>7662</v>
      </c>
      <c r="H6298" t="s">
        <v>12962</v>
      </c>
      <c r="I6298" t="s">
        <v>12963</v>
      </c>
      <c r="J6298" t="s">
        <v>33</v>
      </c>
      <c r="K6298" s="42">
        <v>280000</v>
      </c>
      <c r="L6298" s="12">
        <f t="shared" si="540"/>
        <v>400000</v>
      </c>
      <c r="M6298" s="8">
        <v>1</v>
      </c>
      <c r="N6298" s="8" t="s">
        <v>27</v>
      </c>
      <c r="O6298" s="13"/>
      <c r="P6298" s="14">
        <v>0</v>
      </c>
      <c r="Q6298" s="15">
        <v>0.3</v>
      </c>
      <c r="R6298" s="40" t="str">
        <f t="shared" si="536"/>
        <v>PHILIPS</v>
      </c>
    </row>
    <row r="6299" spans="1:19" ht="27" customHeight="1" x14ac:dyDescent="0.25">
      <c r="A6299" s="32" t="s">
        <v>7662</v>
      </c>
      <c r="H6299" t="s">
        <v>12964</v>
      </c>
      <c r="I6299" t="s">
        <v>12580</v>
      </c>
      <c r="J6299" t="s">
        <v>33</v>
      </c>
      <c r="K6299" s="42">
        <v>53000</v>
      </c>
      <c r="L6299" s="12">
        <f t="shared" si="540"/>
        <v>88400</v>
      </c>
      <c r="M6299" s="8">
        <v>1</v>
      </c>
      <c r="N6299" s="8" t="s">
        <v>27</v>
      </c>
      <c r="O6299" s="13"/>
      <c r="P6299" s="14">
        <v>0</v>
      </c>
      <c r="Q6299" s="15">
        <v>0.4</v>
      </c>
      <c r="R6299" s="40" t="str">
        <f t="shared" si="536"/>
        <v>PHILIPS</v>
      </c>
    </row>
    <row r="6300" spans="1:19" ht="27" customHeight="1" x14ac:dyDescent="0.25">
      <c r="A6300" s="32" t="s">
        <v>7662</v>
      </c>
      <c r="H6300" t="s">
        <v>12965</v>
      </c>
      <c r="I6300" t="s">
        <v>12966</v>
      </c>
      <c r="K6300" s="42">
        <v>138000</v>
      </c>
      <c r="L6300" s="12">
        <f t="shared" si="540"/>
        <v>230000</v>
      </c>
      <c r="M6300" s="8">
        <v>1</v>
      </c>
      <c r="N6300" s="8" t="s">
        <v>27</v>
      </c>
      <c r="O6300" s="13"/>
      <c r="P6300" s="14">
        <v>0</v>
      </c>
      <c r="Q6300" s="15">
        <v>0.4</v>
      </c>
      <c r="R6300" s="40" t="str">
        <f t="shared" si="536"/>
        <v>PHILIPS</v>
      </c>
    </row>
    <row r="6301" spans="1:19" ht="27" customHeight="1" x14ac:dyDescent="0.25">
      <c r="A6301" s="32" t="s">
        <v>6886</v>
      </c>
      <c r="H6301" t="s">
        <v>178</v>
      </c>
      <c r="I6301" s="33" t="s">
        <v>12967</v>
      </c>
      <c r="J6301" s="34" t="s">
        <v>26</v>
      </c>
      <c r="K6301" s="42">
        <v>34</v>
      </c>
      <c r="L6301" s="12">
        <f>(K6301*(1+P6301)/(1-Q6301))</f>
        <v>81.599999999999994</v>
      </c>
      <c r="M6301" s="8">
        <v>1</v>
      </c>
      <c r="N6301" s="8" t="s">
        <v>27</v>
      </c>
      <c r="O6301" s="13"/>
      <c r="P6301" s="14">
        <v>0.2</v>
      </c>
      <c r="Q6301" s="15">
        <v>0.5</v>
      </c>
      <c r="R6301" s="64" t="str">
        <f t="shared" si="536"/>
        <v>MEANWELL</v>
      </c>
    </row>
    <row r="6302" spans="1:19" ht="27" customHeight="1" x14ac:dyDescent="0.25">
      <c r="A6302" s="32" t="s">
        <v>2512</v>
      </c>
      <c r="H6302" t="s">
        <v>12968</v>
      </c>
      <c r="I6302" t="s">
        <v>12969</v>
      </c>
      <c r="J6302" t="s">
        <v>26</v>
      </c>
      <c r="K6302" s="42">
        <v>32</v>
      </c>
      <c r="L6302" s="12">
        <f>(K6302*(1+P6302)/(1-Q6302))</f>
        <v>64</v>
      </c>
      <c r="M6302" s="8">
        <v>1</v>
      </c>
      <c r="N6302" s="8" t="s">
        <v>27</v>
      </c>
      <c r="O6302" s="13"/>
      <c r="P6302" s="14">
        <v>0.2</v>
      </c>
      <c r="Q6302" s="15">
        <v>0.4</v>
      </c>
      <c r="R6302" s="64" t="str">
        <f t="shared" si="536"/>
        <v>GENERAL</v>
      </c>
      <c r="S6302" s="39" t="s">
        <v>12970</v>
      </c>
    </row>
    <row r="6303" spans="1:19" ht="27" customHeight="1" x14ac:dyDescent="0.25">
      <c r="A6303" s="32" t="s">
        <v>7662</v>
      </c>
      <c r="H6303" t="s">
        <v>12971</v>
      </c>
      <c r="I6303" t="s">
        <v>12972</v>
      </c>
      <c r="J6303" t="s">
        <v>26</v>
      </c>
      <c r="K6303" s="42">
        <v>12</v>
      </c>
      <c r="L6303" s="12">
        <f>(K6303*(1+P6303)/(1-Q6303))</f>
        <v>17.142857142857142</v>
      </c>
      <c r="M6303" s="8">
        <v>1</v>
      </c>
      <c r="N6303" s="8" t="s">
        <v>27</v>
      </c>
      <c r="O6303" s="13"/>
      <c r="P6303" s="14">
        <v>0</v>
      </c>
      <c r="Q6303" s="15">
        <v>0.3</v>
      </c>
      <c r="R6303" s="64" t="str">
        <f t="shared" si="536"/>
        <v>PHILIPS</v>
      </c>
      <c r="S6303" t="s">
        <v>12973</v>
      </c>
    </row>
    <row r="6304" spans="1:19" ht="27" customHeight="1" x14ac:dyDescent="0.25">
      <c r="A6304" s="32" t="s">
        <v>2095</v>
      </c>
      <c r="H6304" t="s">
        <v>12974</v>
      </c>
      <c r="I6304" t="s">
        <v>12975</v>
      </c>
      <c r="J6304" t="s">
        <v>33</v>
      </c>
      <c r="K6304" s="42">
        <v>51000</v>
      </c>
      <c r="L6304" s="12">
        <f>(K6304*(1+P6304)/(1-Q6304))</f>
        <v>72857.142857142855</v>
      </c>
      <c r="M6304" s="8">
        <v>1</v>
      </c>
      <c r="N6304" s="8" t="s">
        <v>27</v>
      </c>
      <c r="O6304" s="13"/>
      <c r="P6304" s="14">
        <v>0</v>
      </c>
      <c r="Q6304" s="15">
        <v>0.3</v>
      </c>
      <c r="R6304" s="64" t="str">
        <f t="shared" si="536"/>
        <v>ECOLITE</v>
      </c>
    </row>
    <row r="6305" spans="1:19" ht="27" customHeight="1" x14ac:dyDescent="0.25">
      <c r="A6305" s="32" t="s">
        <v>2095</v>
      </c>
      <c r="H6305" t="s">
        <v>12976</v>
      </c>
      <c r="I6305" t="s">
        <v>12977</v>
      </c>
      <c r="J6305" t="s">
        <v>33</v>
      </c>
      <c r="K6305" s="42">
        <v>186000</v>
      </c>
      <c r="L6305" s="12">
        <f>(K6305*(1+P6305)/(1-Q6305))</f>
        <v>265714.28571428574</v>
      </c>
      <c r="M6305" s="8">
        <v>1</v>
      </c>
      <c r="N6305" s="8" t="s">
        <v>27</v>
      </c>
      <c r="O6305" s="13"/>
      <c r="P6305" s="14">
        <v>0</v>
      </c>
      <c r="Q6305" s="15">
        <v>0.3</v>
      </c>
      <c r="R6305" s="64" t="str">
        <f t="shared" si="536"/>
        <v>ECOLITE</v>
      </c>
    </row>
    <row r="6306" spans="1:19" ht="27" customHeight="1" x14ac:dyDescent="0.25">
      <c r="A6306" s="32" t="s">
        <v>12978</v>
      </c>
      <c r="H6306" s="32" t="s">
        <v>12979</v>
      </c>
      <c r="I6306" s="33" t="s">
        <v>12980</v>
      </c>
      <c r="J6306" s="34" t="s">
        <v>33</v>
      </c>
      <c r="K6306" s="42">
        <v>211000</v>
      </c>
      <c r="L6306" s="12">
        <f>K6306*(1+P6306)/(1-Q6306)</f>
        <v>301428.57142857142</v>
      </c>
      <c r="M6306" s="8">
        <v>1</v>
      </c>
      <c r="N6306" s="8" t="s">
        <v>27</v>
      </c>
      <c r="O6306" s="13"/>
      <c r="P6306" s="14">
        <v>0</v>
      </c>
      <c r="Q6306" s="15">
        <v>0.3</v>
      </c>
      <c r="R6306" s="40" t="str">
        <f t="shared" si="536"/>
        <v>DENGKOO</v>
      </c>
      <c r="S6306" t="s">
        <v>12981</v>
      </c>
    </row>
    <row r="6307" spans="1:19" ht="27" customHeight="1" x14ac:dyDescent="0.25">
      <c r="A6307" s="32" t="s">
        <v>12982</v>
      </c>
      <c r="H6307" s="32" t="s">
        <v>12983</v>
      </c>
      <c r="I6307" s="33" t="s">
        <v>12984</v>
      </c>
      <c r="J6307" s="34" t="s">
        <v>33</v>
      </c>
      <c r="K6307" s="42">
        <v>290000</v>
      </c>
      <c r="L6307" s="12">
        <f>K6307*(1+P6307)/(1-Q6307)</f>
        <v>870000</v>
      </c>
      <c r="M6307" s="8">
        <v>1</v>
      </c>
      <c r="N6307" s="8" t="s">
        <v>27</v>
      </c>
      <c r="O6307" s="13"/>
      <c r="P6307" s="14">
        <v>0.8</v>
      </c>
      <c r="Q6307" s="15">
        <v>0.4</v>
      </c>
      <c r="R6307" s="40" t="str">
        <f t="shared" si="536"/>
        <v>VIOLET</v>
      </c>
      <c r="S6307" s="39" t="s">
        <v>12985</v>
      </c>
    </row>
    <row r="6308" spans="1:19" ht="27" customHeight="1" x14ac:dyDescent="0.25">
      <c r="A6308" s="8" t="s">
        <v>2124</v>
      </c>
      <c r="B6308" s="9"/>
      <c r="C6308" s="9"/>
      <c r="D6308" s="8"/>
      <c r="E6308" s="8"/>
      <c r="F6308" s="8" t="s">
        <v>22</v>
      </c>
      <c r="G6308" s="10" t="s">
        <v>2141</v>
      </c>
      <c r="H6308" s="8" t="s">
        <v>12986</v>
      </c>
      <c r="I6308" s="10" t="s">
        <v>12987</v>
      </c>
      <c r="J6308" s="11" t="s">
        <v>33</v>
      </c>
      <c r="K6308" s="18">
        <v>1585000</v>
      </c>
      <c r="L6308" s="12">
        <f t="shared" ref="L6308:L6320" si="541">IF(J6308="P",ROUNDUP(K6308/(1-Q6308),-2),K6308*(1+P6308)/(1-Q6308))</f>
        <v>2264300</v>
      </c>
      <c r="M6308" s="8">
        <v>1</v>
      </c>
      <c r="N6308" s="8" t="s">
        <v>27</v>
      </c>
      <c r="O6308" s="13"/>
      <c r="P6308" s="14">
        <v>0</v>
      </c>
      <c r="Q6308" s="15">
        <v>0.3</v>
      </c>
      <c r="R6308" s="16" t="str">
        <f t="shared" si="536"/>
        <v>ECOLUZ</v>
      </c>
    </row>
    <row r="6309" spans="1:19" ht="27" customHeight="1" x14ac:dyDescent="0.25">
      <c r="A6309" s="32" t="s">
        <v>2095</v>
      </c>
      <c r="H6309" s="32" t="s">
        <v>12988</v>
      </c>
      <c r="I6309" s="33" t="s">
        <v>12989</v>
      </c>
      <c r="J6309" s="34" t="s">
        <v>33</v>
      </c>
      <c r="K6309" s="42">
        <v>106000</v>
      </c>
      <c r="L6309" s="12">
        <f t="shared" si="541"/>
        <v>176700</v>
      </c>
      <c r="M6309" s="8">
        <v>1</v>
      </c>
      <c r="N6309" s="8" t="s">
        <v>27</v>
      </c>
      <c r="O6309" s="13"/>
      <c r="P6309" s="14">
        <v>0</v>
      </c>
      <c r="Q6309" s="15">
        <v>0.4</v>
      </c>
      <c r="R6309" s="16" t="str">
        <f t="shared" si="536"/>
        <v>ECOLITE</v>
      </c>
    </row>
    <row r="6310" spans="1:19" ht="27" customHeight="1" x14ac:dyDescent="0.25">
      <c r="A6310" s="32" t="s">
        <v>8836</v>
      </c>
      <c r="H6310" s="32" t="s">
        <v>12990</v>
      </c>
      <c r="I6310" s="33" t="s">
        <v>12991</v>
      </c>
      <c r="J6310" s="34" t="s">
        <v>33</v>
      </c>
      <c r="K6310" s="42">
        <f>39900*0.9</f>
        <v>35910</v>
      </c>
      <c r="L6310" s="12">
        <f t="shared" si="541"/>
        <v>51300</v>
      </c>
      <c r="M6310" s="8">
        <v>1</v>
      </c>
      <c r="N6310" s="8" t="s">
        <v>27</v>
      </c>
      <c r="O6310" s="13"/>
      <c r="P6310" s="14">
        <v>0</v>
      </c>
      <c r="Q6310" s="15">
        <v>0.3</v>
      </c>
      <c r="R6310" s="16" t="str">
        <f t="shared" si="536"/>
        <v>TECNOLITE</v>
      </c>
    </row>
    <row r="6311" spans="1:19" ht="27" customHeight="1" x14ac:dyDescent="0.25">
      <c r="A6311" s="32" t="s">
        <v>12978</v>
      </c>
      <c r="H6311" s="32" t="s">
        <v>12992</v>
      </c>
      <c r="I6311" s="33" t="s">
        <v>12993</v>
      </c>
      <c r="J6311" s="34" t="s">
        <v>33</v>
      </c>
      <c r="K6311" s="42">
        <v>15000</v>
      </c>
      <c r="L6311" s="12">
        <f t="shared" si="541"/>
        <v>21500</v>
      </c>
      <c r="M6311" s="8">
        <v>1</v>
      </c>
      <c r="N6311" s="8" t="s">
        <v>27</v>
      </c>
      <c r="O6311" s="13"/>
      <c r="P6311" s="14">
        <v>0</v>
      </c>
      <c r="Q6311" s="15">
        <v>0.3</v>
      </c>
      <c r="R6311" s="16" t="str">
        <f t="shared" si="536"/>
        <v>DENGKOO</v>
      </c>
    </row>
    <row r="6312" spans="1:19" ht="27" customHeight="1" x14ac:dyDescent="0.25">
      <c r="A6312" s="32" t="s">
        <v>7989</v>
      </c>
      <c r="H6312" s="32" t="s">
        <v>8033</v>
      </c>
      <c r="I6312" s="33" t="s">
        <v>12994</v>
      </c>
      <c r="J6312" s="34" t="s">
        <v>26</v>
      </c>
      <c r="K6312" s="42">
        <v>297</v>
      </c>
      <c r="L6312" s="12">
        <f t="shared" si="541"/>
        <v>495</v>
      </c>
      <c r="M6312" s="8">
        <v>1</v>
      </c>
      <c r="N6312" s="8" t="s">
        <v>27</v>
      </c>
      <c r="O6312" s="13"/>
      <c r="P6312" s="14">
        <v>0</v>
      </c>
      <c r="Q6312" s="15">
        <v>0.4</v>
      </c>
      <c r="R6312" s="16" t="str">
        <f t="shared" si="536"/>
        <v>RUSSOUND</v>
      </c>
    </row>
    <row r="6313" spans="1:19" ht="27" customHeight="1" x14ac:dyDescent="0.25">
      <c r="A6313" s="32" t="s">
        <v>3749</v>
      </c>
      <c r="H6313" s="32" t="s">
        <v>12995</v>
      </c>
      <c r="I6313" s="33" t="s">
        <v>12996</v>
      </c>
      <c r="J6313" s="34" t="s">
        <v>33</v>
      </c>
      <c r="K6313" s="42">
        <v>368000</v>
      </c>
      <c r="L6313" s="12">
        <f t="shared" si="541"/>
        <v>613400</v>
      </c>
      <c r="M6313" s="8">
        <v>1</v>
      </c>
      <c r="N6313" s="8" t="s">
        <v>27</v>
      </c>
      <c r="O6313" s="13"/>
      <c r="P6313" s="14">
        <v>0</v>
      </c>
      <c r="Q6313" s="15">
        <v>0.4</v>
      </c>
      <c r="R6313" s="16" t="str">
        <f t="shared" si="536"/>
        <v>JBL</v>
      </c>
    </row>
    <row r="6314" spans="1:19" ht="27" customHeight="1" x14ac:dyDescent="0.25">
      <c r="A6314" s="32" t="s">
        <v>1297</v>
      </c>
      <c r="H6314" s="32" t="s">
        <v>12997</v>
      </c>
      <c r="I6314" s="33" t="s">
        <v>12998</v>
      </c>
      <c r="J6314" s="34" t="s">
        <v>26</v>
      </c>
      <c r="K6314" s="42">
        <v>3370</v>
      </c>
      <c r="L6314" s="12">
        <f t="shared" si="541"/>
        <v>5616.666666666667</v>
      </c>
      <c r="M6314" s="8">
        <v>1</v>
      </c>
      <c r="N6314" s="8" t="s">
        <v>27</v>
      </c>
      <c r="O6314" s="13"/>
      <c r="P6314" s="14">
        <v>0</v>
      </c>
      <c r="Q6314" s="15">
        <v>0.4</v>
      </c>
      <c r="R6314" s="16" t="str">
        <f t="shared" si="536"/>
        <v>CLEVERTOUCH</v>
      </c>
    </row>
    <row r="6315" spans="1:19" ht="27" customHeight="1" x14ac:dyDescent="0.25">
      <c r="A6315" s="32" t="s">
        <v>6853</v>
      </c>
      <c r="H6315" s="32" t="s">
        <v>12999</v>
      </c>
      <c r="I6315" s="33" t="s">
        <v>13000</v>
      </c>
      <c r="J6315" s="34" t="s">
        <v>33</v>
      </c>
      <c r="K6315" s="42">
        <v>15299000</v>
      </c>
      <c r="L6315" s="12">
        <f t="shared" si="541"/>
        <v>21855800</v>
      </c>
      <c r="M6315" s="8">
        <v>1</v>
      </c>
      <c r="N6315" s="8" t="s">
        <v>27</v>
      </c>
      <c r="O6315" s="13"/>
      <c r="P6315" s="14">
        <v>0</v>
      </c>
      <c r="Q6315" s="15">
        <v>0.3</v>
      </c>
      <c r="R6315" s="16" t="str">
        <f t="shared" si="536"/>
        <v>MAXHUB</v>
      </c>
    </row>
    <row r="6316" spans="1:19" ht="27" customHeight="1" x14ac:dyDescent="0.25">
      <c r="A6316" s="32" t="s">
        <v>12041</v>
      </c>
      <c r="H6316" s="32" t="s">
        <v>13001</v>
      </c>
      <c r="I6316" s="33" t="s">
        <v>13002</v>
      </c>
      <c r="J6316" s="34" t="s">
        <v>26</v>
      </c>
      <c r="K6316" s="42">
        <v>690</v>
      </c>
      <c r="L6316" s="12">
        <f t="shared" si="541"/>
        <v>985.71428571428578</v>
      </c>
      <c r="M6316" s="8">
        <v>1</v>
      </c>
      <c r="N6316" s="8" t="s">
        <v>27</v>
      </c>
      <c r="O6316" s="13"/>
      <c r="P6316" s="14">
        <v>0</v>
      </c>
      <c r="Q6316" s="15">
        <v>0.3</v>
      </c>
      <c r="R6316" s="16" t="str">
        <f t="shared" si="536"/>
        <v>INTEL</v>
      </c>
    </row>
    <row r="6317" spans="1:19" ht="27" customHeight="1" x14ac:dyDescent="0.25">
      <c r="A6317" s="32" t="s">
        <v>6853</v>
      </c>
      <c r="H6317" s="32" t="s">
        <v>13003</v>
      </c>
      <c r="I6317" s="33" t="s">
        <v>13004</v>
      </c>
      <c r="J6317" s="34" t="s">
        <v>33</v>
      </c>
      <c r="K6317" s="42">
        <v>12300000</v>
      </c>
      <c r="L6317" s="12">
        <f t="shared" si="541"/>
        <v>17571500</v>
      </c>
      <c r="M6317" s="8">
        <v>1</v>
      </c>
      <c r="N6317" s="8" t="s">
        <v>27</v>
      </c>
      <c r="O6317" s="13"/>
      <c r="P6317" s="14">
        <v>0</v>
      </c>
      <c r="Q6317" s="15">
        <v>0.3</v>
      </c>
      <c r="R6317" s="16" t="str">
        <f t="shared" si="536"/>
        <v>MAXHUB</v>
      </c>
    </row>
    <row r="6318" spans="1:19" ht="27" customHeight="1" x14ac:dyDescent="0.25">
      <c r="A6318" s="32" t="s">
        <v>6853</v>
      </c>
      <c r="H6318" s="32" t="s">
        <v>13005</v>
      </c>
      <c r="I6318" s="33" t="s">
        <v>13006</v>
      </c>
      <c r="J6318" s="34" t="s">
        <v>33</v>
      </c>
      <c r="K6318" s="42">
        <v>3600000</v>
      </c>
      <c r="L6318" s="12">
        <f t="shared" si="541"/>
        <v>5142900</v>
      </c>
      <c r="M6318" s="8">
        <v>1</v>
      </c>
      <c r="N6318" s="8" t="s">
        <v>27</v>
      </c>
      <c r="O6318" s="13"/>
      <c r="P6318" s="14">
        <v>0</v>
      </c>
      <c r="Q6318" s="15">
        <v>0.3</v>
      </c>
      <c r="R6318" s="16" t="str">
        <f t="shared" si="536"/>
        <v>MAXHUB</v>
      </c>
    </row>
    <row r="6319" spans="1:19" ht="27" customHeight="1" x14ac:dyDescent="0.25">
      <c r="A6319" s="32" t="s">
        <v>4988</v>
      </c>
      <c r="H6319" s="32" t="s">
        <v>13007</v>
      </c>
      <c r="I6319" s="33" t="s">
        <v>12402</v>
      </c>
      <c r="J6319" s="34" t="s">
        <v>26</v>
      </c>
      <c r="K6319" s="42">
        <v>210</v>
      </c>
      <c r="L6319" s="12">
        <f t="shared" si="541"/>
        <v>300</v>
      </c>
      <c r="M6319" s="8">
        <v>1</v>
      </c>
      <c r="N6319" s="8" t="s">
        <v>27</v>
      </c>
      <c r="O6319" s="13"/>
      <c r="P6319" s="14">
        <v>0</v>
      </c>
      <c r="Q6319" s="15">
        <v>0.3</v>
      </c>
      <c r="R6319" s="16" t="str">
        <f t="shared" ref="R6319:R6380" si="542">A6319</f>
        <v>KRAMER</v>
      </c>
    </row>
    <row r="6320" spans="1:19" ht="27" customHeight="1" x14ac:dyDescent="0.25">
      <c r="A6320" s="32" t="s">
        <v>13008</v>
      </c>
      <c r="H6320" s="32" t="s">
        <v>13009</v>
      </c>
      <c r="I6320" s="33" t="s">
        <v>13010</v>
      </c>
      <c r="J6320" s="34" t="s">
        <v>26</v>
      </c>
      <c r="K6320" s="42">
        <v>18</v>
      </c>
      <c r="L6320" s="12">
        <f t="shared" si="541"/>
        <v>25.714285714285715</v>
      </c>
      <c r="M6320" s="8">
        <v>1</v>
      </c>
      <c r="N6320" s="8" t="s">
        <v>27</v>
      </c>
      <c r="O6320" s="13"/>
      <c r="P6320" s="14">
        <v>0</v>
      </c>
      <c r="Q6320" s="15">
        <v>0.3</v>
      </c>
      <c r="R6320" s="16" t="str">
        <f t="shared" si="542"/>
        <v>AUTUT</v>
      </c>
      <c r="S6320" s="39" t="s">
        <v>13011</v>
      </c>
    </row>
    <row r="6321" spans="1:20" ht="27" customHeight="1" x14ac:dyDescent="0.25">
      <c r="A6321" s="32" t="s">
        <v>38</v>
      </c>
      <c r="H6321" s="32" t="s">
        <v>13012</v>
      </c>
      <c r="I6321" s="33" t="s">
        <v>13013</v>
      </c>
      <c r="J6321" t="s">
        <v>26</v>
      </c>
      <c r="K6321" s="42">
        <v>1139</v>
      </c>
      <c r="L6321" s="12">
        <f>K6321*(1+P6321)/(1-Q6321)</f>
        <v>1627.1428571428573</v>
      </c>
      <c r="M6321" s="8">
        <v>1</v>
      </c>
      <c r="N6321" s="8" t="s">
        <v>27</v>
      </c>
      <c r="O6321" s="13"/>
      <c r="P6321" s="14">
        <v>0</v>
      </c>
      <c r="Q6321" s="15">
        <v>0.3</v>
      </c>
      <c r="R6321" s="16" t="str">
        <f t="shared" si="542"/>
        <v>CONTROL4</v>
      </c>
    </row>
    <row r="6322" spans="1:20" ht="27" customHeight="1" x14ac:dyDescent="0.25">
      <c r="A6322" s="32" t="s">
        <v>38</v>
      </c>
      <c r="H6322" s="32" t="s">
        <v>13014</v>
      </c>
      <c r="I6322" s="33" t="s">
        <v>13015</v>
      </c>
      <c r="J6322" t="s">
        <v>26</v>
      </c>
      <c r="K6322" s="42">
        <v>268</v>
      </c>
      <c r="L6322" s="12">
        <f>K6322*(1+P6322)/(1-Q6322)</f>
        <v>382.85714285714289</v>
      </c>
      <c r="M6322" s="8">
        <v>1</v>
      </c>
      <c r="N6322" s="8" t="s">
        <v>27</v>
      </c>
      <c r="O6322" s="13"/>
      <c r="P6322" s="14">
        <v>0</v>
      </c>
      <c r="Q6322" s="15">
        <v>0.3</v>
      </c>
      <c r="R6322" s="16" t="str">
        <f t="shared" si="542"/>
        <v>CONTROL4</v>
      </c>
    </row>
    <row r="6323" spans="1:20" ht="27" customHeight="1" x14ac:dyDescent="0.25">
      <c r="A6323" s="32" t="s">
        <v>8308</v>
      </c>
      <c r="H6323" s="8" t="s">
        <v>13016</v>
      </c>
      <c r="I6323" s="33" t="s">
        <v>11111</v>
      </c>
      <c r="J6323" s="34" t="s">
        <v>33</v>
      </c>
      <c r="K6323" s="20">
        <v>55000</v>
      </c>
      <c r="L6323" s="12">
        <f>IF(J6323="P",ROUNDUP(K6323/(1-Q6323),-2),K6323*(1+P6323)/(1-Q6323))</f>
        <v>91700</v>
      </c>
      <c r="M6323" s="8">
        <v>1</v>
      </c>
      <c r="N6323" s="8" t="s">
        <v>27</v>
      </c>
      <c r="O6323" s="13" t="s">
        <v>588</v>
      </c>
      <c r="P6323" s="14">
        <v>0</v>
      </c>
      <c r="Q6323" s="15">
        <v>0.4</v>
      </c>
      <c r="R6323" s="16" t="str">
        <f t="shared" si="542"/>
        <v>SOLIDVIEW</v>
      </c>
      <c r="S6323" s="17"/>
      <c r="T6323" s="10">
        <f>G6323</f>
        <v>0</v>
      </c>
    </row>
    <row r="6324" spans="1:20" ht="27" customHeight="1" x14ac:dyDescent="0.25">
      <c r="A6324" s="32" t="s">
        <v>6853</v>
      </c>
      <c r="H6324" s="32" t="s">
        <v>13017</v>
      </c>
      <c r="I6324" s="33" t="s">
        <v>13018</v>
      </c>
      <c r="J6324" s="34" t="s">
        <v>33</v>
      </c>
      <c r="K6324" s="42">
        <v>2099000</v>
      </c>
      <c r="L6324" s="12">
        <f>IF(J6324="P",ROUNDUP(K6324/(1-Q6324),-2),K6324*(1+P6324)/(1-Q6324))</f>
        <v>3498400</v>
      </c>
      <c r="M6324" s="8">
        <v>1</v>
      </c>
      <c r="N6324" s="8" t="s">
        <v>27</v>
      </c>
      <c r="O6324" s="13" t="s">
        <v>588</v>
      </c>
      <c r="P6324" s="14">
        <v>0</v>
      </c>
      <c r="Q6324" s="15">
        <v>0.4</v>
      </c>
      <c r="R6324" s="16" t="str">
        <f t="shared" si="542"/>
        <v>MAXHUB</v>
      </c>
      <c r="S6324" s="17"/>
      <c r="T6324" s="10">
        <f>G6324</f>
        <v>0</v>
      </c>
    </row>
    <row r="6325" spans="1:20" ht="27" customHeight="1" x14ac:dyDescent="0.25">
      <c r="A6325" s="32" t="s">
        <v>5327</v>
      </c>
      <c r="H6325" s="32" t="s">
        <v>13019</v>
      </c>
      <c r="I6325" s="33" t="s">
        <v>13020</v>
      </c>
      <c r="J6325" s="34" t="s">
        <v>33</v>
      </c>
      <c r="K6325" s="42">
        <v>2599900</v>
      </c>
      <c r="L6325" s="12">
        <f>IF(J6325="P",ROUNDUP(K6325/(1-Q6325),-2),K6325*(1+P6325)/(1-Q6325))</f>
        <v>2888800</v>
      </c>
      <c r="M6325" s="8">
        <v>1</v>
      </c>
      <c r="N6325" s="8" t="s">
        <v>27</v>
      </c>
      <c r="O6325" s="13" t="s">
        <v>588</v>
      </c>
      <c r="P6325" s="14">
        <v>0</v>
      </c>
      <c r="Q6325" s="15">
        <v>0.1</v>
      </c>
      <c r="R6325" s="16" t="str">
        <f t="shared" si="542"/>
        <v>LG</v>
      </c>
    </row>
    <row r="6326" spans="1:20" ht="27" customHeight="1" x14ac:dyDescent="0.25">
      <c r="A6326" s="32" t="s">
        <v>13021</v>
      </c>
      <c r="H6326" s="32" t="s">
        <v>13022</v>
      </c>
      <c r="I6326" s="33" t="s">
        <v>13023</v>
      </c>
      <c r="J6326" s="34" t="s">
        <v>26</v>
      </c>
      <c r="K6326" s="42">
        <v>320</v>
      </c>
      <c r="L6326" s="12">
        <f>IF(J6326="P",ROUNDUP(K6326/(1-Q6326),-2),K6326*(1+P6326)/(1-Q6326))</f>
        <v>640</v>
      </c>
      <c r="M6326" s="8">
        <v>1</v>
      </c>
      <c r="N6326" s="8" t="s">
        <v>27</v>
      </c>
      <c r="O6326" s="13" t="s">
        <v>588</v>
      </c>
      <c r="P6326" s="14">
        <v>0.2</v>
      </c>
      <c r="Q6326" s="15">
        <v>0.4</v>
      </c>
      <c r="R6326" s="16" t="str">
        <f t="shared" si="542"/>
        <v>IADEA</v>
      </c>
    </row>
    <row r="6327" spans="1:20" ht="27" customHeight="1" x14ac:dyDescent="0.25">
      <c r="A6327" s="8" t="s">
        <v>5672</v>
      </c>
      <c r="B6327" s="9"/>
      <c r="C6327" s="9"/>
      <c r="D6327" s="8"/>
      <c r="E6327" s="8"/>
      <c r="F6327" s="8"/>
      <c r="G6327" s="10"/>
      <c r="H6327" s="8" t="s">
        <v>12884</v>
      </c>
      <c r="I6327" s="10" t="s">
        <v>12885</v>
      </c>
      <c r="J6327" s="11" t="s">
        <v>26</v>
      </c>
      <c r="K6327" s="57">
        <v>75</v>
      </c>
      <c r="L6327" s="12">
        <f t="shared" ref="L6327:L6336" si="543">K6327*(1+P6327)/(1-Q6327)</f>
        <v>150</v>
      </c>
      <c r="M6327" s="8">
        <v>1</v>
      </c>
      <c r="N6327" s="8" t="s">
        <v>27</v>
      </c>
      <c r="O6327" s="13"/>
      <c r="P6327" s="14">
        <v>0.2</v>
      </c>
      <c r="Q6327" s="15">
        <v>0.4</v>
      </c>
      <c r="R6327" s="16" t="str">
        <f t="shared" si="542"/>
        <v>LUTRON</v>
      </c>
      <c r="S6327" s="17"/>
      <c r="T6327" s="10"/>
    </row>
    <row r="6328" spans="1:20" ht="27" customHeight="1" x14ac:dyDescent="0.25">
      <c r="A6328" s="32" t="s">
        <v>2512</v>
      </c>
      <c r="H6328" s="32" t="s">
        <v>13024</v>
      </c>
      <c r="I6328" s="33" t="s">
        <v>13025</v>
      </c>
      <c r="J6328" s="34" t="s">
        <v>33</v>
      </c>
      <c r="K6328" s="42">
        <f>1600000/20</f>
        <v>80000</v>
      </c>
      <c r="L6328" s="12">
        <f t="shared" si="543"/>
        <v>148571.42857142858</v>
      </c>
      <c r="M6328" s="8">
        <v>1</v>
      </c>
      <c r="N6328" s="8" t="s">
        <v>27</v>
      </c>
      <c r="O6328" s="13"/>
      <c r="P6328" s="14">
        <v>0.3</v>
      </c>
      <c r="Q6328" s="15">
        <v>0.3</v>
      </c>
      <c r="R6328" s="16" t="str">
        <f t="shared" si="542"/>
        <v>GENERAL</v>
      </c>
      <c r="S6328" t="s">
        <v>13026</v>
      </c>
    </row>
    <row r="6329" spans="1:20" ht="27" customHeight="1" x14ac:dyDescent="0.25">
      <c r="A6329" s="32" t="s">
        <v>13027</v>
      </c>
      <c r="H6329" s="32" t="s">
        <v>13028</v>
      </c>
      <c r="I6329" s="33" t="s">
        <v>13029</v>
      </c>
      <c r="J6329" s="34" t="s">
        <v>33</v>
      </c>
      <c r="L6329" s="12">
        <f t="shared" si="543"/>
        <v>0</v>
      </c>
      <c r="M6329" s="8">
        <v>1</v>
      </c>
      <c r="N6329" s="8" t="s">
        <v>27</v>
      </c>
      <c r="O6329" s="13"/>
      <c r="P6329" s="14">
        <v>0.3</v>
      </c>
      <c r="Q6329" s="15">
        <v>0.3</v>
      </c>
      <c r="R6329" s="40" t="str">
        <f t="shared" si="542"/>
        <v>EVOKO</v>
      </c>
    </row>
    <row r="6330" spans="1:20" ht="27" customHeight="1" x14ac:dyDescent="0.25">
      <c r="A6330" s="32" t="s">
        <v>5672</v>
      </c>
      <c r="H6330" s="32" t="s">
        <v>13030</v>
      </c>
      <c r="I6330" s="33" t="s">
        <v>13031</v>
      </c>
      <c r="J6330" s="34" t="s">
        <v>26</v>
      </c>
      <c r="K6330" s="77">
        <v>1989.38</v>
      </c>
      <c r="L6330" s="12">
        <f t="shared" si="543"/>
        <v>3694.5628571428579</v>
      </c>
      <c r="M6330" s="8">
        <v>1</v>
      </c>
      <c r="N6330" s="8" t="s">
        <v>27</v>
      </c>
      <c r="O6330" s="13"/>
      <c r="P6330" s="14">
        <v>0.3</v>
      </c>
      <c r="Q6330" s="15">
        <v>0.3</v>
      </c>
      <c r="R6330" s="40" t="str">
        <f t="shared" si="542"/>
        <v>LUTRON</v>
      </c>
    </row>
    <row r="6331" spans="1:20" ht="27" customHeight="1" x14ac:dyDescent="0.25">
      <c r="A6331" s="32" t="s">
        <v>5672</v>
      </c>
      <c r="H6331" s="32" t="s">
        <v>13032</v>
      </c>
      <c r="I6331" s="33" t="s">
        <v>13033</v>
      </c>
      <c r="J6331" s="34" t="s">
        <v>26</v>
      </c>
      <c r="K6331" s="77">
        <v>1752.06</v>
      </c>
      <c r="L6331" s="12">
        <f t="shared" si="543"/>
        <v>3253.8257142857142</v>
      </c>
      <c r="M6331" s="8">
        <v>1</v>
      </c>
      <c r="N6331" s="8" t="s">
        <v>27</v>
      </c>
      <c r="O6331" s="13"/>
      <c r="P6331" s="14">
        <v>0.3</v>
      </c>
      <c r="Q6331" s="15">
        <v>0.3</v>
      </c>
      <c r="R6331" s="40" t="str">
        <f t="shared" si="542"/>
        <v>LUTRON</v>
      </c>
    </row>
    <row r="6332" spans="1:20" ht="27" customHeight="1" x14ac:dyDescent="0.25">
      <c r="A6332" s="32" t="s">
        <v>8280</v>
      </c>
      <c r="H6332" s="32" t="s">
        <v>13034</v>
      </c>
      <c r="I6332" s="33" t="s">
        <v>13035</v>
      </c>
      <c r="J6332" s="34" t="s">
        <v>26</v>
      </c>
      <c r="K6332" s="77">
        <v>500</v>
      </c>
      <c r="L6332" s="12">
        <f t="shared" si="543"/>
        <v>1300</v>
      </c>
      <c r="M6332" s="8">
        <v>1</v>
      </c>
      <c r="N6332" s="8" t="s">
        <v>27</v>
      </c>
      <c r="O6332" s="13"/>
      <c r="P6332" s="14">
        <v>0.3</v>
      </c>
      <c r="Q6332" s="15">
        <v>0.5</v>
      </c>
      <c r="R6332" s="40" t="str">
        <f t="shared" si="542"/>
        <v>SMART</v>
      </c>
      <c r="S6332" s="39" t="s">
        <v>13036</v>
      </c>
    </row>
    <row r="6333" spans="1:20" ht="27" customHeight="1" x14ac:dyDescent="0.25">
      <c r="A6333" s="32" t="s">
        <v>8280</v>
      </c>
      <c r="H6333" s="32" t="s">
        <v>13037</v>
      </c>
      <c r="I6333" s="33" t="s">
        <v>13035</v>
      </c>
      <c r="J6333" s="34" t="s">
        <v>26</v>
      </c>
      <c r="K6333" s="77">
        <v>560</v>
      </c>
      <c r="L6333" s="12">
        <f t="shared" si="543"/>
        <v>1456</v>
      </c>
      <c r="M6333" s="8">
        <v>1</v>
      </c>
      <c r="N6333" s="8" t="s">
        <v>27</v>
      </c>
      <c r="O6333" s="13"/>
      <c r="P6333" s="14">
        <v>0.3</v>
      </c>
      <c r="Q6333" s="15">
        <v>0.5</v>
      </c>
      <c r="R6333" s="40" t="str">
        <f t="shared" si="542"/>
        <v>SMART</v>
      </c>
    </row>
    <row r="6334" spans="1:20" ht="27" customHeight="1" x14ac:dyDescent="0.25">
      <c r="A6334" s="32" t="s">
        <v>5672</v>
      </c>
      <c r="H6334" s="32" t="s">
        <v>13038</v>
      </c>
      <c r="I6334" s="33" t="s">
        <v>13039</v>
      </c>
      <c r="J6334" s="34" t="s">
        <v>26</v>
      </c>
      <c r="K6334" s="77">
        <v>1190</v>
      </c>
      <c r="L6334" s="12">
        <f t="shared" si="543"/>
        <v>2040.0000000000002</v>
      </c>
      <c r="M6334" s="8">
        <v>1</v>
      </c>
      <c r="N6334" s="8" t="s">
        <v>27</v>
      </c>
      <c r="O6334" s="13"/>
      <c r="P6334" s="14">
        <v>0.2</v>
      </c>
      <c r="Q6334" s="15">
        <v>0.3</v>
      </c>
      <c r="R6334" s="40" t="str">
        <f t="shared" si="542"/>
        <v>LUTRON</v>
      </c>
    </row>
    <row r="6335" spans="1:20" ht="27" customHeight="1" x14ac:dyDescent="0.25">
      <c r="A6335" s="32" t="s">
        <v>811</v>
      </c>
      <c r="H6335" s="32" t="s">
        <v>13040</v>
      </c>
      <c r="I6335" s="33" t="s">
        <v>13041</v>
      </c>
      <c r="J6335" s="34" t="s">
        <v>26</v>
      </c>
      <c r="K6335" s="77">
        <v>1620</v>
      </c>
      <c r="L6335" s="12">
        <f t="shared" si="543"/>
        <v>2314.2857142857142</v>
      </c>
      <c r="M6335" s="8">
        <v>1</v>
      </c>
      <c r="N6335" s="8" t="s">
        <v>27</v>
      </c>
      <c r="O6335" s="13"/>
      <c r="P6335" s="14">
        <v>0</v>
      </c>
      <c r="Q6335" s="15">
        <v>0.3</v>
      </c>
      <c r="R6335" s="40" t="str">
        <f t="shared" si="542"/>
        <v>BIAMP</v>
      </c>
    </row>
    <row r="6336" spans="1:20" ht="27" customHeight="1" x14ac:dyDescent="0.25">
      <c r="A6336" s="32" t="s">
        <v>5422</v>
      </c>
      <c r="H6336" s="32" t="s">
        <v>13042</v>
      </c>
      <c r="I6336" s="33" t="s">
        <v>13043</v>
      </c>
      <c r="J6336" s="34" t="s">
        <v>26</v>
      </c>
      <c r="K6336" s="77">
        <v>683</v>
      </c>
      <c r="L6336" s="12">
        <f t="shared" si="543"/>
        <v>975.71428571428578</v>
      </c>
      <c r="M6336" s="8">
        <v>1</v>
      </c>
      <c r="N6336" s="8" t="s">
        <v>27</v>
      </c>
      <c r="O6336" s="13"/>
      <c r="P6336" s="14">
        <v>0</v>
      </c>
      <c r="Q6336" s="15">
        <v>0.3</v>
      </c>
      <c r="R6336" s="40" t="str">
        <f t="shared" si="542"/>
        <v>LOGITECH</v>
      </c>
    </row>
    <row r="6337" spans="1:20" ht="27" customHeight="1" x14ac:dyDescent="0.25">
      <c r="A6337" s="8" t="s">
        <v>5672</v>
      </c>
      <c r="B6337" s="9" t="s">
        <v>5666</v>
      </c>
      <c r="C6337" s="9"/>
      <c r="D6337" s="8" t="s">
        <v>188</v>
      </c>
      <c r="E6337" s="8">
        <v>8</v>
      </c>
      <c r="F6337" s="8" t="s">
        <v>22</v>
      </c>
      <c r="G6337" s="10" t="s">
        <v>5937</v>
      </c>
      <c r="H6337" s="8" t="s">
        <v>13044</v>
      </c>
      <c r="I6337" s="10" t="s">
        <v>13045</v>
      </c>
      <c r="J6337" s="11" t="s">
        <v>26</v>
      </c>
      <c r="K6337" s="57">
        <v>31</v>
      </c>
      <c r="L6337" s="12">
        <f t="shared" ref="L6337:L6360" si="544">ROUNDUP(K6337*(1+P6337)/(1-Q6337),0)</f>
        <v>62</v>
      </c>
      <c r="M6337" s="8">
        <v>1</v>
      </c>
      <c r="N6337" s="8" t="s">
        <v>27</v>
      </c>
      <c r="O6337" s="13"/>
      <c r="P6337" s="14">
        <v>0.2</v>
      </c>
      <c r="Q6337" s="15">
        <v>0.4</v>
      </c>
      <c r="R6337" s="16" t="str">
        <f t="shared" si="542"/>
        <v>LUTRON</v>
      </c>
      <c r="S6337" s="17" t="str">
        <f>A6337</f>
        <v>LUTRON</v>
      </c>
      <c r="T6337" s="10" t="str">
        <f>G6337</f>
        <v>TECLADO PICO EN COLOR NEGRO CON BOTONES DE ENCENDIDO Y APAGADO.</v>
      </c>
    </row>
    <row r="6338" spans="1:20" ht="27" customHeight="1" x14ac:dyDescent="0.25">
      <c r="A6338" s="32" t="s">
        <v>9731</v>
      </c>
      <c r="H6338" s="32" t="s">
        <v>13046</v>
      </c>
      <c r="I6338" s="33" t="s">
        <v>13047</v>
      </c>
      <c r="J6338" s="34" t="s">
        <v>33</v>
      </c>
      <c r="K6338" s="77">
        <f>2149000*0.75</f>
        <v>1611750</v>
      </c>
      <c r="L6338" s="12">
        <f t="shared" si="544"/>
        <v>2405598</v>
      </c>
      <c r="M6338" s="8">
        <v>1</v>
      </c>
      <c r="N6338" s="8" t="s">
        <v>27</v>
      </c>
      <c r="O6338" s="13"/>
      <c r="P6338" s="14">
        <v>0</v>
      </c>
      <c r="Q6338" s="15">
        <v>0.33</v>
      </c>
      <c r="R6338" s="40" t="str">
        <f t="shared" si="542"/>
        <v>SOMFY</v>
      </c>
    </row>
    <row r="6339" spans="1:20" ht="27" customHeight="1" x14ac:dyDescent="0.25">
      <c r="A6339" s="32" t="s">
        <v>9731</v>
      </c>
      <c r="H6339" s="32" t="s">
        <v>13048</v>
      </c>
      <c r="I6339" s="33" t="s">
        <v>13049</v>
      </c>
      <c r="J6339" s="34" t="s">
        <v>33</v>
      </c>
      <c r="K6339" s="77">
        <f>2134000*0.75</f>
        <v>1600500</v>
      </c>
      <c r="L6339" s="12">
        <f t="shared" si="544"/>
        <v>2388806</v>
      </c>
      <c r="M6339" s="8">
        <v>1</v>
      </c>
      <c r="N6339" s="8" t="s">
        <v>27</v>
      </c>
      <c r="O6339" s="13"/>
      <c r="P6339" s="14">
        <v>0</v>
      </c>
      <c r="Q6339" s="15">
        <v>0.33</v>
      </c>
      <c r="R6339" s="40" t="str">
        <f t="shared" si="542"/>
        <v>SOMFY</v>
      </c>
    </row>
    <row r="6340" spans="1:20" ht="27" customHeight="1" x14ac:dyDescent="0.25">
      <c r="A6340" s="32" t="s">
        <v>9731</v>
      </c>
      <c r="H6340" s="32" t="s">
        <v>13050</v>
      </c>
      <c r="I6340" s="33" t="s">
        <v>13051</v>
      </c>
      <c r="J6340" s="34" t="s">
        <v>33</v>
      </c>
      <c r="K6340" s="77">
        <f>2071000*0.75</f>
        <v>1553250</v>
      </c>
      <c r="L6340" s="12">
        <f t="shared" si="544"/>
        <v>2318284</v>
      </c>
      <c r="M6340" s="8">
        <v>1</v>
      </c>
      <c r="N6340" s="8" t="s">
        <v>27</v>
      </c>
      <c r="O6340" s="13"/>
      <c r="P6340" s="14">
        <v>0</v>
      </c>
      <c r="Q6340" s="15">
        <v>0.33</v>
      </c>
      <c r="R6340" s="40" t="str">
        <f t="shared" si="542"/>
        <v>SOMFY</v>
      </c>
    </row>
    <row r="6341" spans="1:20" ht="27" customHeight="1" x14ac:dyDescent="0.25">
      <c r="A6341" s="32" t="s">
        <v>9731</v>
      </c>
      <c r="H6341" s="32" t="s">
        <v>13052</v>
      </c>
      <c r="I6341" s="33" t="s">
        <v>13053</v>
      </c>
      <c r="J6341" s="34" t="s">
        <v>33</v>
      </c>
      <c r="K6341" s="77">
        <f>2144350*0.75</f>
        <v>1608262.5</v>
      </c>
      <c r="L6341" s="12">
        <f t="shared" si="544"/>
        <v>2400392</v>
      </c>
      <c r="M6341" s="8">
        <v>1</v>
      </c>
      <c r="N6341" s="8" t="s">
        <v>27</v>
      </c>
      <c r="O6341" s="13"/>
      <c r="P6341" s="14">
        <v>0</v>
      </c>
      <c r="Q6341" s="15">
        <v>0.33</v>
      </c>
      <c r="R6341" s="40" t="str">
        <f t="shared" si="542"/>
        <v>SOMFY</v>
      </c>
    </row>
    <row r="6342" spans="1:20" ht="27" customHeight="1" x14ac:dyDescent="0.25">
      <c r="A6342" s="32" t="s">
        <v>9731</v>
      </c>
      <c r="H6342" s="32" t="s">
        <v>13054</v>
      </c>
      <c r="I6342" s="33" t="s">
        <v>13055</v>
      </c>
      <c r="J6342" s="34" t="s">
        <v>33</v>
      </c>
      <c r="K6342" s="77">
        <f>2066800*0.75</f>
        <v>1550100</v>
      </c>
      <c r="L6342" s="12">
        <f t="shared" si="544"/>
        <v>2313583</v>
      </c>
      <c r="M6342" s="8">
        <v>1</v>
      </c>
      <c r="N6342" s="8" t="s">
        <v>27</v>
      </c>
      <c r="O6342" s="13"/>
      <c r="P6342" s="14">
        <v>0</v>
      </c>
      <c r="Q6342" s="15">
        <v>0.33</v>
      </c>
      <c r="R6342" s="40" t="str">
        <f t="shared" si="542"/>
        <v>SOMFY</v>
      </c>
    </row>
    <row r="6343" spans="1:20" ht="27" customHeight="1" x14ac:dyDescent="0.25">
      <c r="A6343" s="32" t="s">
        <v>9731</v>
      </c>
      <c r="H6343" s="32" t="s">
        <v>13056</v>
      </c>
      <c r="I6343" s="33" t="s">
        <v>13057</v>
      </c>
      <c r="J6343" s="34" t="s">
        <v>33</v>
      </c>
      <c r="K6343" s="77">
        <f>2243350*0.75</f>
        <v>1682512.5</v>
      </c>
      <c r="L6343" s="12">
        <f t="shared" si="544"/>
        <v>2511213</v>
      </c>
      <c r="M6343" s="8">
        <v>1</v>
      </c>
      <c r="N6343" s="8" t="s">
        <v>27</v>
      </c>
      <c r="O6343" s="13"/>
      <c r="P6343" s="14">
        <v>0</v>
      </c>
      <c r="Q6343" s="15">
        <v>0.33</v>
      </c>
      <c r="R6343" s="40" t="str">
        <f t="shared" si="542"/>
        <v>SOMFY</v>
      </c>
    </row>
    <row r="6344" spans="1:20" ht="27" customHeight="1" x14ac:dyDescent="0.25">
      <c r="A6344" s="32" t="s">
        <v>9731</v>
      </c>
      <c r="H6344" s="32" t="s">
        <v>13058</v>
      </c>
      <c r="I6344" s="33" t="s">
        <v>13059</v>
      </c>
      <c r="J6344" s="34" t="s">
        <v>33</v>
      </c>
      <c r="K6344" s="77">
        <f>2094850*0.75</f>
        <v>1571137.5</v>
      </c>
      <c r="L6344" s="12">
        <f t="shared" si="544"/>
        <v>2344982</v>
      </c>
      <c r="M6344" s="8">
        <v>1</v>
      </c>
      <c r="N6344" s="8" t="s">
        <v>27</v>
      </c>
      <c r="O6344" s="13"/>
      <c r="P6344" s="14">
        <v>0</v>
      </c>
      <c r="Q6344" s="15">
        <v>0.33</v>
      </c>
      <c r="R6344" s="40" t="str">
        <f t="shared" si="542"/>
        <v>SOMFY</v>
      </c>
    </row>
    <row r="6345" spans="1:20" ht="27" customHeight="1" x14ac:dyDescent="0.25">
      <c r="A6345" s="32" t="s">
        <v>9731</v>
      </c>
      <c r="H6345" s="32" t="s">
        <v>13060</v>
      </c>
      <c r="I6345" s="33" t="s">
        <v>13061</v>
      </c>
      <c r="J6345" s="34" t="s">
        <v>33</v>
      </c>
      <c r="K6345" s="77">
        <f>2693800*0.75</f>
        <v>2020350</v>
      </c>
      <c r="L6345" s="12">
        <f t="shared" si="544"/>
        <v>3015448</v>
      </c>
      <c r="M6345" s="8">
        <v>1</v>
      </c>
      <c r="N6345" s="8" t="s">
        <v>27</v>
      </c>
      <c r="O6345" s="13"/>
      <c r="P6345" s="14">
        <v>0</v>
      </c>
      <c r="Q6345" s="15">
        <v>0.33</v>
      </c>
      <c r="R6345" s="40" t="str">
        <f t="shared" si="542"/>
        <v>SOMFY</v>
      </c>
    </row>
    <row r="6346" spans="1:20" ht="27" customHeight="1" x14ac:dyDescent="0.25">
      <c r="A6346" s="32" t="s">
        <v>9731</v>
      </c>
      <c r="H6346" s="32" t="s">
        <v>13062</v>
      </c>
      <c r="I6346" s="33" t="s">
        <v>13063</v>
      </c>
      <c r="J6346" s="34" t="s">
        <v>33</v>
      </c>
      <c r="K6346" s="77">
        <f>2456200*0.75</f>
        <v>1842150</v>
      </c>
      <c r="L6346" s="12">
        <f t="shared" si="544"/>
        <v>2749478</v>
      </c>
      <c r="M6346" s="8">
        <v>1</v>
      </c>
      <c r="N6346" s="8" t="s">
        <v>27</v>
      </c>
      <c r="O6346" s="13"/>
      <c r="P6346" s="14">
        <v>0</v>
      </c>
      <c r="Q6346" s="15">
        <v>0.33</v>
      </c>
      <c r="R6346" s="40" t="str">
        <f t="shared" si="542"/>
        <v>SOMFY</v>
      </c>
    </row>
    <row r="6347" spans="1:20" ht="27" customHeight="1" x14ac:dyDescent="0.25">
      <c r="A6347" s="32" t="s">
        <v>9731</v>
      </c>
      <c r="H6347" s="32" t="s">
        <v>13064</v>
      </c>
      <c r="I6347" s="33" t="s">
        <v>13059</v>
      </c>
      <c r="J6347" s="34" t="s">
        <v>33</v>
      </c>
      <c r="K6347" s="77">
        <f>2094850*0.75</f>
        <v>1571137.5</v>
      </c>
      <c r="L6347" s="12">
        <f t="shared" si="544"/>
        <v>2344982</v>
      </c>
      <c r="M6347" s="8">
        <v>1</v>
      </c>
      <c r="N6347" s="8" t="s">
        <v>27</v>
      </c>
      <c r="O6347" s="13"/>
      <c r="P6347" s="14">
        <v>0</v>
      </c>
      <c r="Q6347" s="15">
        <v>0.33</v>
      </c>
      <c r="R6347" s="40" t="str">
        <f t="shared" si="542"/>
        <v>SOMFY</v>
      </c>
    </row>
    <row r="6348" spans="1:20" ht="27" customHeight="1" x14ac:dyDescent="0.25">
      <c r="A6348" s="32" t="s">
        <v>9731</v>
      </c>
      <c r="H6348" s="32" t="s">
        <v>13065</v>
      </c>
      <c r="I6348" s="33" t="s">
        <v>13066</v>
      </c>
      <c r="J6348" s="34" t="s">
        <v>33</v>
      </c>
      <c r="K6348" s="77">
        <f>2410000*0.75</f>
        <v>1807500</v>
      </c>
      <c r="L6348" s="12">
        <f t="shared" si="544"/>
        <v>2697762</v>
      </c>
      <c r="M6348" s="8">
        <v>1</v>
      </c>
      <c r="N6348" s="8" t="s">
        <v>27</v>
      </c>
      <c r="O6348" s="13"/>
      <c r="P6348" s="14">
        <v>0</v>
      </c>
      <c r="Q6348" s="15">
        <v>0.33</v>
      </c>
      <c r="R6348" s="40" t="str">
        <f t="shared" si="542"/>
        <v>SOMFY</v>
      </c>
    </row>
    <row r="6349" spans="1:20" ht="27" customHeight="1" x14ac:dyDescent="0.25">
      <c r="A6349" s="32" t="s">
        <v>9731</v>
      </c>
      <c r="H6349" s="32" t="s">
        <v>13067</v>
      </c>
      <c r="I6349" s="33" t="s">
        <v>13068</v>
      </c>
      <c r="J6349" s="34" t="s">
        <v>33</v>
      </c>
      <c r="K6349" s="77">
        <f>1896850*0.75</f>
        <v>1422637.5</v>
      </c>
      <c r="L6349" s="12">
        <f t="shared" si="544"/>
        <v>2123340</v>
      </c>
      <c r="M6349" s="8">
        <v>1</v>
      </c>
      <c r="N6349" s="8" t="s">
        <v>27</v>
      </c>
      <c r="O6349" s="13"/>
      <c r="P6349" s="14">
        <v>0</v>
      </c>
      <c r="Q6349" s="15">
        <v>0.33</v>
      </c>
      <c r="R6349" s="40" t="str">
        <f t="shared" si="542"/>
        <v>SOMFY</v>
      </c>
    </row>
    <row r="6350" spans="1:20" ht="27" customHeight="1" x14ac:dyDescent="0.25">
      <c r="A6350" s="32" t="s">
        <v>9731</v>
      </c>
      <c r="H6350" s="32" t="s">
        <v>13069</v>
      </c>
      <c r="I6350" s="33" t="s">
        <v>13070</v>
      </c>
      <c r="J6350" s="34" t="s">
        <v>33</v>
      </c>
      <c r="K6350" s="77">
        <v>1350000</v>
      </c>
      <c r="L6350" s="12">
        <f t="shared" si="544"/>
        <v>2014926</v>
      </c>
      <c r="M6350" s="8">
        <v>1</v>
      </c>
      <c r="N6350" s="8" t="s">
        <v>27</v>
      </c>
      <c r="O6350" s="13"/>
      <c r="P6350" s="14">
        <v>0</v>
      </c>
      <c r="Q6350" s="15">
        <v>0.33</v>
      </c>
      <c r="R6350" s="40" t="str">
        <f t="shared" si="542"/>
        <v>SOMFY</v>
      </c>
    </row>
    <row r="6351" spans="1:20" ht="27" customHeight="1" x14ac:dyDescent="0.25">
      <c r="A6351" s="32" t="s">
        <v>9731</v>
      </c>
      <c r="H6351" s="32" t="s">
        <v>13071</v>
      </c>
      <c r="I6351" s="33" t="s">
        <v>13072</v>
      </c>
      <c r="J6351" s="34" t="s">
        <v>26</v>
      </c>
      <c r="K6351" s="77">
        <v>389</v>
      </c>
      <c r="L6351" s="12">
        <f t="shared" si="544"/>
        <v>697</v>
      </c>
      <c r="M6351" s="8">
        <v>1</v>
      </c>
      <c r="N6351" s="8" t="s">
        <v>27</v>
      </c>
      <c r="O6351" s="13"/>
      <c r="P6351" s="14">
        <v>0.2</v>
      </c>
      <c r="Q6351" s="15">
        <v>0.33</v>
      </c>
      <c r="R6351" s="40" t="str">
        <f t="shared" si="542"/>
        <v>SOMFY</v>
      </c>
    </row>
    <row r="6352" spans="1:20" ht="27" customHeight="1" x14ac:dyDescent="0.25">
      <c r="A6352" s="32" t="s">
        <v>9731</v>
      </c>
      <c r="H6352" s="32" t="s">
        <v>13073</v>
      </c>
      <c r="I6352" s="33" t="s">
        <v>13074</v>
      </c>
      <c r="J6352" s="34" t="s">
        <v>33</v>
      </c>
      <c r="K6352" s="77">
        <v>1505000</v>
      </c>
      <c r="L6352" s="12">
        <f t="shared" si="544"/>
        <v>2246269</v>
      </c>
      <c r="M6352" s="8">
        <v>1</v>
      </c>
      <c r="N6352" s="8" t="s">
        <v>27</v>
      </c>
      <c r="O6352" s="13"/>
      <c r="P6352" s="14">
        <v>0</v>
      </c>
      <c r="Q6352" s="15">
        <v>0.33</v>
      </c>
      <c r="R6352" s="40" t="str">
        <f t="shared" si="542"/>
        <v>SOMFY</v>
      </c>
    </row>
    <row r="6353" spans="1:20" ht="27" customHeight="1" x14ac:dyDescent="0.25">
      <c r="A6353" s="32" t="s">
        <v>9731</v>
      </c>
      <c r="H6353" s="32" t="s">
        <v>13075</v>
      </c>
      <c r="I6353" s="33" t="s">
        <v>13076</v>
      </c>
      <c r="J6353" s="34" t="s">
        <v>33</v>
      </c>
      <c r="K6353" s="77">
        <v>1635000</v>
      </c>
      <c r="L6353" s="12">
        <f t="shared" si="544"/>
        <v>2440299</v>
      </c>
      <c r="M6353" s="8">
        <v>1</v>
      </c>
      <c r="N6353" s="8" t="s">
        <v>27</v>
      </c>
      <c r="O6353" s="13"/>
      <c r="P6353" s="14">
        <v>0</v>
      </c>
      <c r="Q6353" s="15">
        <v>0.33</v>
      </c>
      <c r="R6353" s="40" t="str">
        <f t="shared" si="542"/>
        <v>SOMFY</v>
      </c>
    </row>
    <row r="6354" spans="1:20" ht="27" customHeight="1" x14ac:dyDescent="0.25">
      <c r="A6354" s="32" t="s">
        <v>9731</v>
      </c>
      <c r="H6354" s="32" t="s">
        <v>13077</v>
      </c>
      <c r="I6354" s="33" t="s">
        <v>13078</v>
      </c>
      <c r="J6354" s="34" t="s">
        <v>33</v>
      </c>
      <c r="K6354" s="77">
        <v>1798000</v>
      </c>
      <c r="L6354" s="12">
        <f t="shared" si="544"/>
        <v>2683583</v>
      </c>
      <c r="M6354" s="8">
        <v>1</v>
      </c>
      <c r="N6354" s="8" t="s">
        <v>27</v>
      </c>
      <c r="O6354" s="13"/>
      <c r="P6354" s="14">
        <v>0</v>
      </c>
      <c r="Q6354" s="15">
        <v>0.33</v>
      </c>
      <c r="R6354" s="40" t="str">
        <f t="shared" si="542"/>
        <v>SOMFY</v>
      </c>
    </row>
    <row r="6355" spans="1:20" ht="27" customHeight="1" x14ac:dyDescent="0.25">
      <c r="A6355" s="32" t="s">
        <v>11685</v>
      </c>
      <c r="H6355" s="32" t="s">
        <v>13079</v>
      </c>
      <c r="I6355" s="33" t="s">
        <v>13080</v>
      </c>
      <c r="J6355" s="34" t="s">
        <v>33</v>
      </c>
      <c r="K6355" s="77">
        <v>167333</v>
      </c>
      <c r="L6355" s="12">
        <f t="shared" si="544"/>
        <v>278889</v>
      </c>
      <c r="M6355" s="8">
        <v>1</v>
      </c>
      <c r="N6355" s="8" t="s">
        <v>27</v>
      </c>
      <c r="O6355" s="13"/>
      <c r="P6355" s="14">
        <v>0</v>
      </c>
      <c r="Q6355" s="15">
        <v>0.4</v>
      </c>
      <c r="R6355" s="40" t="str">
        <f t="shared" si="542"/>
        <v>RUIJIE</v>
      </c>
    </row>
    <row r="6356" spans="1:20" ht="27" customHeight="1" x14ac:dyDescent="0.25">
      <c r="A6356" s="32" t="s">
        <v>13081</v>
      </c>
      <c r="H6356" s="32" t="s">
        <v>13082</v>
      </c>
      <c r="I6356" s="38" t="s">
        <v>13083</v>
      </c>
      <c r="J6356" s="34" t="s">
        <v>33</v>
      </c>
      <c r="K6356" s="77">
        <v>8840</v>
      </c>
      <c r="L6356" s="12">
        <f t="shared" si="544"/>
        <v>14734</v>
      </c>
      <c r="M6356" s="8">
        <v>1</v>
      </c>
      <c r="N6356" s="8" t="s">
        <v>27</v>
      </c>
      <c r="O6356" s="13"/>
      <c r="P6356" s="14">
        <v>0</v>
      </c>
      <c r="Q6356" s="15">
        <v>0.4</v>
      </c>
      <c r="R6356" s="40" t="str">
        <f t="shared" si="542"/>
        <v>ROYAL</v>
      </c>
    </row>
    <row r="6357" spans="1:20" ht="27" customHeight="1" x14ac:dyDescent="0.25">
      <c r="A6357" s="32" t="s">
        <v>13084</v>
      </c>
      <c r="H6357" s="32" t="s">
        <v>13085</v>
      </c>
      <c r="I6357" s="33" t="s">
        <v>13086</v>
      </c>
      <c r="J6357" s="34" t="s">
        <v>33</v>
      </c>
      <c r="K6357" s="77">
        <v>16000</v>
      </c>
      <c r="L6357" s="12">
        <f t="shared" si="544"/>
        <v>20000</v>
      </c>
      <c r="M6357" s="8">
        <v>1</v>
      </c>
      <c r="N6357" s="8" t="s">
        <v>27</v>
      </c>
      <c r="O6357" s="13"/>
      <c r="P6357" s="14">
        <v>0</v>
      </c>
      <c r="Q6357" s="15">
        <v>0.2</v>
      </c>
      <c r="R6357" s="40" t="str">
        <f t="shared" si="542"/>
        <v>ENERGIZER</v>
      </c>
    </row>
    <row r="6358" spans="1:20" ht="27" customHeight="1" x14ac:dyDescent="0.25">
      <c r="A6358" s="32" t="s">
        <v>11095</v>
      </c>
      <c r="H6358" s="8" t="s">
        <v>13087</v>
      </c>
      <c r="I6358" s="33" t="s">
        <v>11099</v>
      </c>
      <c r="J6358" s="34" t="s">
        <v>26</v>
      </c>
      <c r="K6358" s="47">
        <v>711.3</v>
      </c>
      <c r="L6358" s="12">
        <f t="shared" si="544"/>
        <v>1321</v>
      </c>
      <c r="M6358" s="8">
        <v>1</v>
      </c>
      <c r="N6358" s="8" t="s">
        <v>27</v>
      </c>
      <c r="O6358" s="13"/>
      <c r="P6358" s="14">
        <v>0.3</v>
      </c>
      <c r="Q6358" s="15">
        <v>0.3</v>
      </c>
      <c r="R6358" s="16" t="str">
        <f t="shared" si="542"/>
        <v>SCP</v>
      </c>
    </row>
    <row r="6359" spans="1:20" ht="27" customHeight="1" x14ac:dyDescent="0.25">
      <c r="A6359" s="32" t="s">
        <v>13088</v>
      </c>
      <c r="H6359" s="32" t="s">
        <v>13089</v>
      </c>
      <c r="I6359" s="33" t="s">
        <v>13090</v>
      </c>
      <c r="J6359" s="34" t="s">
        <v>26</v>
      </c>
      <c r="K6359" s="77">
        <v>2</v>
      </c>
      <c r="L6359" s="12">
        <f t="shared" si="544"/>
        <v>4</v>
      </c>
      <c r="M6359" s="8">
        <v>1</v>
      </c>
      <c r="N6359" s="8" t="s">
        <v>27</v>
      </c>
      <c r="O6359" s="13"/>
      <c r="P6359" s="14">
        <v>0.2</v>
      </c>
      <c r="Q6359" s="15">
        <v>0.3</v>
      </c>
      <c r="R6359" s="16" t="str">
        <f t="shared" si="542"/>
        <v>BNYZWOT</v>
      </c>
      <c r="S6359" t="s">
        <v>13091</v>
      </c>
    </row>
    <row r="6360" spans="1:20" ht="27" customHeight="1" x14ac:dyDescent="0.25">
      <c r="A6360" s="32" t="s">
        <v>5672</v>
      </c>
      <c r="H6360" s="32" t="s">
        <v>13092</v>
      </c>
      <c r="I6360" s="33" t="s">
        <v>13093</v>
      </c>
      <c r="J6360" s="34" t="s">
        <v>26</v>
      </c>
      <c r="K6360" s="77">
        <v>1330</v>
      </c>
      <c r="L6360" s="12">
        <f t="shared" si="544"/>
        <v>1922</v>
      </c>
      <c r="M6360" s="8">
        <v>1</v>
      </c>
      <c r="N6360" s="8" t="s">
        <v>27</v>
      </c>
      <c r="O6360" s="13"/>
      <c r="P6360" s="14">
        <v>0.3</v>
      </c>
      <c r="Q6360" s="15">
        <v>0.1</v>
      </c>
      <c r="R6360" s="16" t="str">
        <f t="shared" si="542"/>
        <v>LUTRON</v>
      </c>
    </row>
    <row r="6361" spans="1:20" ht="27" customHeight="1" x14ac:dyDescent="0.25">
      <c r="A6361" s="8" t="s">
        <v>2512</v>
      </c>
      <c r="B6361" s="9"/>
      <c r="C6361" s="9"/>
      <c r="D6361" s="8"/>
      <c r="E6361" s="8"/>
      <c r="F6361" s="8" t="s">
        <v>22</v>
      </c>
      <c r="G6361" s="10" t="s">
        <v>2538</v>
      </c>
      <c r="H6361" s="8" t="s">
        <v>13094</v>
      </c>
      <c r="I6361" s="10" t="s">
        <v>13095</v>
      </c>
      <c r="J6361" s="11" t="s">
        <v>33</v>
      </c>
      <c r="K6361" s="18">
        <v>415</v>
      </c>
      <c r="L6361" s="12">
        <f>IF(J6361="P",K6361/(1-Q6361),K6361*(1+P6361)/(1-Q6361))</f>
        <v>592.85714285714289</v>
      </c>
      <c r="M6361" s="8">
        <v>1</v>
      </c>
      <c r="N6361" s="8" t="s">
        <v>27</v>
      </c>
      <c r="O6361" s="13"/>
      <c r="P6361" s="14">
        <v>0.2</v>
      </c>
      <c r="Q6361" s="15">
        <v>0.3</v>
      </c>
      <c r="R6361" s="16" t="str">
        <f t="shared" si="542"/>
        <v>GENERAL</v>
      </c>
      <c r="S6361" s="17"/>
      <c r="T6361" s="10" t="str">
        <f>G6361</f>
        <v>CONECTOR ROSCADO AMARILLO</v>
      </c>
    </row>
    <row r="6362" spans="1:20" ht="27" customHeight="1" x14ac:dyDescent="0.25">
      <c r="A6362" s="8" t="s">
        <v>2512</v>
      </c>
      <c r="B6362" s="9"/>
      <c r="C6362" s="9"/>
      <c r="D6362" s="8"/>
      <c r="E6362" s="8"/>
      <c r="F6362" s="8" t="s">
        <v>22</v>
      </c>
      <c r="G6362" s="10" t="s">
        <v>2538</v>
      </c>
      <c r="H6362" s="8" t="s">
        <v>13096</v>
      </c>
      <c r="I6362" s="10" t="s">
        <v>13097</v>
      </c>
      <c r="J6362" s="11" t="s">
        <v>33</v>
      </c>
      <c r="K6362" s="18">
        <v>200</v>
      </c>
      <c r="L6362" s="12">
        <f>IF(J6362="P",K6362/(1-Q6362),K6362*(1+P6362)/(1-Q6362))</f>
        <v>285.71428571428572</v>
      </c>
      <c r="M6362" s="8">
        <v>1</v>
      </c>
      <c r="N6362" s="8" t="s">
        <v>27</v>
      </c>
      <c r="O6362" s="13"/>
      <c r="P6362" s="14">
        <v>0.2</v>
      </c>
      <c r="Q6362" s="15">
        <v>0.3</v>
      </c>
      <c r="R6362" s="16" t="str">
        <f t="shared" si="542"/>
        <v>GENERAL</v>
      </c>
    </row>
    <row r="6363" spans="1:20" ht="27" customHeight="1" x14ac:dyDescent="0.25">
      <c r="A6363" s="32" t="s">
        <v>1954</v>
      </c>
      <c r="H6363" s="8" t="s">
        <v>13098</v>
      </c>
      <c r="I6363" s="33" t="s">
        <v>13099</v>
      </c>
      <c r="J6363" t="s">
        <v>33</v>
      </c>
      <c r="K6363" s="77">
        <v>21000</v>
      </c>
      <c r="L6363" s="12">
        <f>IF(J6363="P",ROUNDUP(K6363/(1-Q6363),-2),K6363*(1+P6363)/(1-Q6363))</f>
        <v>30000</v>
      </c>
      <c r="M6363" s="8">
        <v>1</v>
      </c>
      <c r="N6363" s="8" t="s">
        <v>110</v>
      </c>
      <c r="O6363" s="13"/>
      <c r="P6363" s="14">
        <v>0</v>
      </c>
      <c r="Q6363" s="15">
        <v>0.3</v>
      </c>
      <c r="R6363" s="16" t="str">
        <f t="shared" si="542"/>
        <v>DEXON</v>
      </c>
    </row>
    <row r="6364" spans="1:20" ht="27" customHeight="1" x14ac:dyDescent="0.25">
      <c r="A6364" s="32" t="s">
        <v>1954</v>
      </c>
      <c r="H6364" s="8" t="s">
        <v>13100</v>
      </c>
      <c r="I6364" s="33" t="s">
        <v>13101</v>
      </c>
      <c r="J6364" t="s">
        <v>33</v>
      </c>
      <c r="K6364" s="77">
        <v>40000</v>
      </c>
      <c r="L6364" s="12">
        <f>IF(J6364="P",ROUNDUP(K6364/(1-Q6364),-2),K6364*(1+P6364)/(1-Q6364))</f>
        <v>57200</v>
      </c>
      <c r="M6364" s="8">
        <v>1</v>
      </c>
      <c r="N6364" s="8" t="s">
        <v>110</v>
      </c>
      <c r="O6364" s="13"/>
      <c r="P6364" s="14">
        <v>0</v>
      </c>
      <c r="Q6364" s="15">
        <v>0.3</v>
      </c>
      <c r="R6364" s="16" t="str">
        <f t="shared" si="542"/>
        <v>DEXON</v>
      </c>
    </row>
    <row r="6365" spans="1:20" ht="27" customHeight="1" x14ac:dyDescent="0.25">
      <c r="A6365" s="8" t="s">
        <v>5672</v>
      </c>
      <c r="B6365" s="9"/>
      <c r="C6365" s="9"/>
      <c r="D6365" s="8"/>
      <c r="E6365" s="8"/>
      <c r="F6365" s="8" t="s">
        <v>22</v>
      </c>
      <c r="G6365" s="10" t="s">
        <v>6387</v>
      </c>
      <c r="H6365" s="8" t="s">
        <v>13102</v>
      </c>
      <c r="I6365" s="10" t="s">
        <v>13103</v>
      </c>
      <c r="J6365" s="11" t="s">
        <v>26</v>
      </c>
      <c r="K6365" s="57">
        <v>5.55</v>
      </c>
      <c r="L6365" s="12">
        <f>K6365*(1+P6365)/(1-Q6365)</f>
        <v>11.1</v>
      </c>
      <c r="M6365" s="8">
        <v>1</v>
      </c>
      <c r="N6365" s="8" t="s">
        <v>27</v>
      </c>
      <c r="O6365" s="13"/>
      <c r="P6365" s="14">
        <v>0.2</v>
      </c>
      <c r="Q6365" s="15">
        <v>0.4</v>
      </c>
      <c r="R6365" s="16" t="str">
        <f t="shared" si="542"/>
        <v>LUTRON</v>
      </c>
      <c r="S6365" s="17"/>
      <c r="T6365" s="10" t="str">
        <f>G6365</f>
        <v>TAPA DECORATIVA EN COLOR BLANCO MATE.</v>
      </c>
    </row>
    <row r="6366" spans="1:20" ht="27" customHeight="1" x14ac:dyDescent="0.25">
      <c r="A6366" s="8" t="s">
        <v>5672</v>
      </c>
      <c r="B6366" s="9" t="s">
        <v>5666</v>
      </c>
      <c r="C6366" s="9"/>
      <c r="D6366" s="8" t="s">
        <v>6178</v>
      </c>
      <c r="E6366" s="8">
        <v>4</v>
      </c>
      <c r="F6366" s="8" t="s">
        <v>22</v>
      </c>
      <c r="G6366" s="10" t="s">
        <v>6229</v>
      </c>
      <c r="H6366" s="8" t="s">
        <v>13104</v>
      </c>
      <c r="I6366" s="10" t="s">
        <v>13105</v>
      </c>
      <c r="J6366" s="11" t="s">
        <v>26</v>
      </c>
      <c r="K6366" s="57">
        <v>25</v>
      </c>
      <c r="L6366" s="12">
        <f t="shared" ref="L6366:L6380" si="545">ROUNDUP(K6366*(1+P6366)/(1-Q6366),0)</f>
        <v>50</v>
      </c>
      <c r="M6366" s="8">
        <v>1</v>
      </c>
      <c r="N6366" s="8" t="s">
        <v>27</v>
      </c>
      <c r="O6366" s="13"/>
      <c r="P6366" s="14">
        <v>0.2</v>
      </c>
      <c r="Q6366" s="15">
        <v>0.4</v>
      </c>
      <c r="R6366" s="16" t="str">
        <f t="shared" si="542"/>
        <v>LUTRON</v>
      </c>
      <c r="S6366" s="17"/>
      <c r="T6366" s="10" t="str">
        <f>G6366</f>
        <v xml:space="preserve">TOMA CORRIENTE GFCI EN COLOR BLANCO. </v>
      </c>
    </row>
    <row r="6367" spans="1:20" ht="27" customHeight="1" x14ac:dyDescent="0.25">
      <c r="A6367" s="32" t="s">
        <v>1867</v>
      </c>
      <c r="H6367" s="44" t="s">
        <v>13106</v>
      </c>
      <c r="I6367" s="91" t="s">
        <v>11403</v>
      </c>
      <c r="J6367" s="34" t="s">
        <v>26</v>
      </c>
      <c r="K6367" s="77">
        <v>550</v>
      </c>
      <c r="L6367" s="12">
        <f t="shared" si="545"/>
        <v>917</v>
      </c>
      <c r="M6367" s="8">
        <v>1</v>
      </c>
      <c r="N6367" s="8" t="s">
        <v>27</v>
      </c>
      <c r="O6367" s="13"/>
      <c r="P6367" s="14">
        <v>0</v>
      </c>
      <c r="Q6367" s="15">
        <v>0.4</v>
      </c>
      <c r="R6367" s="16" t="str">
        <f t="shared" si="542"/>
        <v>DENON</v>
      </c>
    </row>
    <row r="6368" spans="1:20" ht="27" customHeight="1" x14ac:dyDescent="0.25">
      <c r="A6368" s="32" t="s">
        <v>10412</v>
      </c>
      <c r="H6368" s="44" t="s">
        <v>13107</v>
      </c>
      <c r="I6368" s="91" t="s">
        <v>13108</v>
      </c>
      <c r="J6368" s="34" t="s">
        <v>26</v>
      </c>
      <c r="K6368" s="77">
        <f>650*0.7</f>
        <v>454.99999999999994</v>
      </c>
      <c r="L6368" s="12">
        <f t="shared" si="545"/>
        <v>650</v>
      </c>
      <c r="M6368" s="8">
        <v>1</v>
      </c>
      <c r="N6368" s="8" t="s">
        <v>27</v>
      </c>
      <c r="O6368" s="13"/>
      <c r="P6368" s="14">
        <v>0</v>
      </c>
      <c r="Q6368" s="15">
        <v>0.3</v>
      </c>
      <c r="R6368" s="16" t="str">
        <f t="shared" si="542"/>
        <v>SAVANT</v>
      </c>
    </row>
    <row r="6369" spans="1:22" ht="27" customHeight="1" x14ac:dyDescent="0.25">
      <c r="A6369" s="32" t="s">
        <v>10412</v>
      </c>
      <c r="H6369" s="44" t="s">
        <v>13109</v>
      </c>
      <c r="I6369" s="91" t="s">
        <v>13110</v>
      </c>
      <c r="J6369" s="34" t="s">
        <v>26</v>
      </c>
      <c r="K6369" s="77">
        <f>865*0.7</f>
        <v>605.5</v>
      </c>
      <c r="L6369" s="12">
        <f t="shared" si="545"/>
        <v>865</v>
      </c>
      <c r="M6369" s="8">
        <v>1</v>
      </c>
      <c r="N6369" s="8" t="s">
        <v>27</v>
      </c>
      <c r="O6369" s="13"/>
      <c r="P6369" s="14">
        <v>0</v>
      </c>
      <c r="Q6369" s="15">
        <v>0.3</v>
      </c>
      <c r="R6369" s="16" t="str">
        <f t="shared" si="542"/>
        <v>SAVANT</v>
      </c>
    </row>
    <row r="6370" spans="1:22" ht="27" customHeight="1" x14ac:dyDescent="0.25">
      <c r="A6370" s="32" t="s">
        <v>10412</v>
      </c>
      <c r="H6370" s="44" t="s">
        <v>13111</v>
      </c>
      <c r="I6370" s="91" t="s">
        <v>13112</v>
      </c>
      <c r="J6370" s="34" t="s">
        <v>26</v>
      </c>
      <c r="K6370" s="77">
        <f>630*0.7</f>
        <v>441</v>
      </c>
      <c r="L6370" s="12">
        <f t="shared" si="545"/>
        <v>630</v>
      </c>
      <c r="M6370" s="8">
        <v>1</v>
      </c>
      <c r="N6370" s="8" t="s">
        <v>27</v>
      </c>
      <c r="O6370" s="13"/>
      <c r="P6370" s="14">
        <v>0</v>
      </c>
      <c r="Q6370" s="15">
        <v>0.3</v>
      </c>
      <c r="R6370" s="16" t="str">
        <f t="shared" si="542"/>
        <v>SAVANT</v>
      </c>
    </row>
    <row r="6371" spans="1:22" ht="27" customHeight="1" x14ac:dyDescent="0.25">
      <c r="A6371" s="32" t="s">
        <v>10412</v>
      </c>
      <c r="H6371" s="44" t="s">
        <v>13113</v>
      </c>
      <c r="I6371" s="91" t="s">
        <v>13114</v>
      </c>
      <c r="J6371" s="34" t="s">
        <v>26</v>
      </c>
      <c r="K6371" s="77">
        <f>280*0.7</f>
        <v>196</v>
      </c>
      <c r="L6371" s="12">
        <f t="shared" si="545"/>
        <v>280</v>
      </c>
      <c r="M6371" s="8">
        <v>1</v>
      </c>
      <c r="N6371" s="8" t="s">
        <v>27</v>
      </c>
      <c r="O6371" s="13"/>
      <c r="P6371" s="14">
        <v>0</v>
      </c>
      <c r="Q6371" s="15">
        <v>0.3</v>
      </c>
      <c r="R6371" s="16" t="str">
        <f t="shared" si="542"/>
        <v>SAVANT</v>
      </c>
      <c r="V6371">
        <f>234.6/0.9</f>
        <v>260.66666666666663</v>
      </c>
    </row>
    <row r="6372" spans="1:22" ht="27" customHeight="1" x14ac:dyDescent="0.25">
      <c r="A6372" s="32" t="s">
        <v>10412</v>
      </c>
      <c r="H6372" s="44" t="s">
        <v>13115</v>
      </c>
      <c r="I6372" s="91" t="s">
        <v>13116</v>
      </c>
      <c r="J6372" s="34" t="s">
        <v>26</v>
      </c>
      <c r="K6372" s="77">
        <f>330*0.7</f>
        <v>230.99999999999997</v>
      </c>
      <c r="L6372" s="12">
        <f t="shared" si="545"/>
        <v>330</v>
      </c>
      <c r="M6372" s="8">
        <v>1</v>
      </c>
      <c r="N6372" s="8" t="s">
        <v>27</v>
      </c>
      <c r="O6372" s="13"/>
      <c r="P6372" s="14">
        <v>0</v>
      </c>
      <c r="Q6372" s="15">
        <v>0.3</v>
      </c>
      <c r="R6372" s="16" t="str">
        <f t="shared" si="542"/>
        <v>SAVANT</v>
      </c>
    </row>
    <row r="6373" spans="1:22" ht="27" customHeight="1" x14ac:dyDescent="0.25">
      <c r="A6373" s="32" t="s">
        <v>2124</v>
      </c>
      <c r="H6373" s="44" t="s">
        <v>13117</v>
      </c>
      <c r="I6373" s="91" t="s">
        <v>13118</v>
      </c>
      <c r="J6373" s="34" t="s">
        <v>26</v>
      </c>
      <c r="K6373" s="77">
        <v>325000</v>
      </c>
      <c r="L6373" s="12">
        <f t="shared" si="545"/>
        <v>406250</v>
      </c>
      <c r="M6373" s="8">
        <v>1</v>
      </c>
      <c r="N6373" s="8" t="s">
        <v>27</v>
      </c>
      <c r="O6373" s="13"/>
      <c r="P6373" s="14">
        <v>0</v>
      </c>
      <c r="Q6373" s="15">
        <v>0.2</v>
      </c>
      <c r="R6373" s="16" t="str">
        <f t="shared" si="542"/>
        <v>ECOLUZ</v>
      </c>
    </row>
    <row r="6374" spans="1:22" ht="27" customHeight="1" x14ac:dyDescent="0.25">
      <c r="A6374" s="32" t="s">
        <v>2124</v>
      </c>
      <c r="H6374" s="44" t="s">
        <v>13119</v>
      </c>
      <c r="I6374" s="91" t="s">
        <v>13120</v>
      </c>
      <c r="J6374" s="34" t="s">
        <v>26</v>
      </c>
      <c r="K6374" s="77">
        <v>100000</v>
      </c>
      <c r="L6374" s="12">
        <f t="shared" si="545"/>
        <v>125000</v>
      </c>
      <c r="M6374" s="8">
        <v>1</v>
      </c>
      <c r="N6374" s="8" t="s">
        <v>27</v>
      </c>
      <c r="O6374" s="13"/>
      <c r="P6374" s="14">
        <v>0</v>
      </c>
      <c r="Q6374" s="15">
        <v>0.2</v>
      </c>
      <c r="R6374" s="16" t="str">
        <f t="shared" si="542"/>
        <v>ECOLUZ</v>
      </c>
    </row>
    <row r="6375" spans="1:22" ht="27" customHeight="1" x14ac:dyDescent="0.25">
      <c r="A6375" s="32" t="s">
        <v>2512</v>
      </c>
      <c r="H6375" s="44" t="s">
        <v>13121</v>
      </c>
      <c r="I6375" s="91" t="s">
        <v>13122</v>
      </c>
      <c r="J6375" s="34" t="s">
        <v>33</v>
      </c>
      <c r="K6375" s="77">
        <v>56000</v>
      </c>
      <c r="L6375" s="12">
        <f t="shared" si="545"/>
        <v>86154</v>
      </c>
      <c r="M6375" s="8">
        <v>1</v>
      </c>
      <c r="N6375" s="8" t="s">
        <v>27</v>
      </c>
      <c r="O6375" s="13"/>
      <c r="P6375" s="14">
        <v>0</v>
      </c>
      <c r="Q6375" s="15">
        <v>0.35</v>
      </c>
      <c r="R6375" s="16" t="str">
        <f t="shared" si="542"/>
        <v>GENERAL</v>
      </c>
      <c r="S6375" t="s">
        <v>13123</v>
      </c>
    </row>
    <row r="6376" spans="1:22" ht="27" customHeight="1" x14ac:dyDescent="0.25">
      <c r="A6376" s="32" t="s">
        <v>2512</v>
      </c>
      <c r="H6376" s="44" t="s">
        <v>13124</v>
      </c>
      <c r="I6376" s="91" t="s">
        <v>13122</v>
      </c>
      <c r="J6376" s="34" t="s">
        <v>33</v>
      </c>
      <c r="K6376" s="77">
        <v>67000</v>
      </c>
      <c r="L6376" s="12">
        <f t="shared" si="545"/>
        <v>103077</v>
      </c>
      <c r="M6376" s="8">
        <v>1</v>
      </c>
      <c r="N6376" s="8" t="s">
        <v>27</v>
      </c>
      <c r="O6376" s="13"/>
      <c r="P6376" s="14">
        <v>0</v>
      </c>
      <c r="Q6376" s="15">
        <v>0.35</v>
      </c>
      <c r="R6376" s="16" t="str">
        <f t="shared" si="542"/>
        <v>GENERAL</v>
      </c>
    </row>
    <row r="6377" spans="1:22" ht="27" customHeight="1" x14ac:dyDescent="0.25">
      <c r="A6377" s="32" t="s">
        <v>2512</v>
      </c>
      <c r="H6377" s="44" t="s">
        <v>13125</v>
      </c>
      <c r="I6377" s="91" t="s">
        <v>13122</v>
      </c>
      <c r="J6377" s="34" t="s">
        <v>33</v>
      </c>
      <c r="K6377" s="77">
        <v>102000</v>
      </c>
      <c r="L6377" s="12">
        <f t="shared" si="545"/>
        <v>156924</v>
      </c>
      <c r="M6377" s="8">
        <v>1</v>
      </c>
      <c r="N6377" s="8" t="s">
        <v>27</v>
      </c>
      <c r="O6377" s="13"/>
      <c r="P6377" s="14">
        <v>0</v>
      </c>
      <c r="Q6377" s="15">
        <v>0.35</v>
      </c>
      <c r="R6377" s="16" t="str">
        <f t="shared" si="542"/>
        <v>GENERAL</v>
      </c>
    </row>
    <row r="6378" spans="1:22" ht="27" customHeight="1" x14ac:dyDescent="0.25">
      <c r="A6378" s="32" t="s">
        <v>2512</v>
      </c>
      <c r="H6378" s="44" t="s">
        <v>13126</v>
      </c>
      <c r="I6378" s="91" t="s">
        <v>13122</v>
      </c>
      <c r="J6378" s="34" t="s">
        <v>33</v>
      </c>
      <c r="K6378" s="77">
        <v>138000</v>
      </c>
      <c r="L6378" s="12">
        <f t="shared" si="545"/>
        <v>212308</v>
      </c>
      <c r="M6378" s="8">
        <v>1</v>
      </c>
      <c r="N6378" s="8" t="s">
        <v>27</v>
      </c>
      <c r="O6378" s="13"/>
      <c r="P6378" s="14">
        <v>0</v>
      </c>
      <c r="Q6378" s="15">
        <v>0.35</v>
      </c>
      <c r="R6378" s="16" t="str">
        <f t="shared" si="542"/>
        <v>GENERAL</v>
      </c>
    </row>
    <row r="6379" spans="1:22" ht="27" customHeight="1" x14ac:dyDescent="0.25">
      <c r="A6379" s="32" t="s">
        <v>2512</v>
      </c>
      <c r="H6379" s="44" t="s">
        <v>13127</v>
      </c>
      <c r="I6379" s="91" t="s">
        <v>13128</v>
      </c>
      <c r="J6379" s="34" t="s">
        <v>33</v>
      </c>
      <c r="K6379" s="77">
        <v>972000</v>
      </c>
      <c r="L6379" s="12">
        <f t="shared" si="545"/>
        <v>1495385</v>
      </c>
      <c r="M6379" s="8">
        <v>1</v>
      </c>
      <c r="N6379" s="8" t="s">
        <v>27</v>
      </c>
      <c r="O6379" s="13"/>
      <c r="P6379" s="14">
        <v>0</v>
      </c>
      <c r="Q6379" s="15">
        <v>0.35</v>
      </c>
      <c r="R6379" s="16" t="str">
        <f t="shared" si="542"/>
        <v>GENERAL</v>
      </c>
      <c r="S6379" t="s">
        <v>13129</v>
      </c>
    </row>
    <row r="6380" spans="1:22" ht="27" customHeight="1" x14ac:dyDescent="0.25">
      <c r="A6380" s="32" t="s">
        <v>2512</v>
      </c>
      <c r="H6380" s="44" t="s">
        <v>13130</v>
      </c>
      <c r="I6380" s="91" t="s">
        <v>13131</v>
      </c>
      <c r="J6380" s="34" t="s">
        <v>33</v>
      </c>
      <c r="K6380" s="77">
        <v>338000</v>
      </c>
      <c r="L6380" s="12">
        <f t="shared" si="545"/>
        <v>520000</v>
      </c>
      <c r="M6380" s="8">
        <v>1</v>
      </c>
      <c r="N6380" s="8" t="s">
        <v>27</v>
      </c>
      <c r="O6380" s="13"/>
      <c r="P6380" s="14">
        <v>0</v>
      </c>
      <c r="Q6380" s="15">
        <v>0.35</v>
      </c>
      <c r="R6380" s="16" t="str">
        <f t="shared" si="542"/>
        <v>GENERAL</v>
      </c>
      <c r="S6380" s="39" t="s">
        <v>13132</v>
      </c>
    </row>
    <row r="6381" spans="1:22" ht="27" customHeight="1" x14ac:dyDescent="0.25">
      <c r="A6381" s="32" t="s">
        <v>2512</v>
      </c>
      <c r="H6381" s="44" t="s">
        <v>13133</v>
      </c>
      <c r="I6381" s="91" t="s">
        <v>13134</v>
      </c>
      <c r="J6381" s="34" t="s">
        <v>33</v>
      </c>
      <c r="K6381" s="77">
        <f>490000+194000</f>
        <v>684000</v>
      </c>
      <c r="S6381" t="s">
        <v>13135</v>
      </c>
    </row>
    <row r="6382" spans="1:22" ht="27" customHeight="1" x14ac:dyDescent="0.25">
      <c r="A6382" s="32" t="s">
        <v>2512</v>
      </c>
      <c r="H6382" s="44" t="s">
        <v>13133</v>
      </c>
      <c r="I6382" s="91" t="s">
        <v>13136</v>
      </c>
      <c r="J6382" s="34" t="s">
        <v>33</v>
      </c>
      <c r="K6382" s="77">
        <v>482000</v>
      </c>
      <c r="L6382" s="12">
        <f>ROUNDUP(K6382*(1+P6382)/(1-Q6382),0)</f>
        <v>741539</v>
      </c>
      <c r="M6382" s="8">
        <v>1</v>
      </c>
      <c r="N6382" s="8" t="s">
        <v>27</v>
      </c>
      <c r="O6382" s="13"/>
      <c r="P6382" s="14">
        <v>0</v>
      </c>
      <c r="Q6382" s="15">
        <v>0.35</v>
      </c>
      <c r="R6382" s="16" t="str">
        <f t="shared" ref="R6382:R6413" si="546">A6382</f>
        <v>GENERAL</v>
      </c>
      <c r="S6382" s="39" t="s">
        <v>13137</v>
      </c>
    </row>
    <row r="6383" spans="1:22" ht="27" customHeight="1" x14ac:dyDescent="0.25">
      <c r="A6383" s="8" t="s">
        <v>8836</v>
      </c>
      <c r="B6383" s="9"/>
      <c r="C6383" s="9"/>
      <c r="D6383" s="8"/>
      <c r="E6383" s="8"/>
      <c r="F6383" s="8"/>
      <c r="G6383" s="10"/>
      <c r="H6383" s="8" t="s">
        <v>13138</v>
      </c>
      <c r="I6383" s="10" t="s">
        <v>9148</v>
      </c>
      <c r="J6383" s="11" t="s">
        <v>33</v>
      </c>
      <c r="K6383" s="18">
        <f>150786*0.9</f>
        <v>135707.4</v>
      </c>
      <c r="L6383" s="12">
        <f>IF(J6383="P",ROUNDUP(K6383/(1-Q6383),-2),K6383*(1+P6383)/(1-Q6383))</f>
        <v>193900</v>
      </c>
      <c r="M6383" s="8">
        <v>1</v>
      </c>
      <c r="N6383" s="8" t="s">
        <v>27</v>
      </c>
      <c r="O6383" s="13"/>
      <c r="P6383" s="14">
        <v>0</v>
      </c>
      <c r="Q6383" s="15">
        <v>0.3</v>
      </c>
      <c r="R6383" s="16" t="str">
        <f t="shared" si="546"/>
        <v>TECNOLITE</v>
      </c>
      <c r="S6383" s="17"/>
      <c r="T6383" s="10"/>
    </row>
    <row r="6384" spans="1:22" ht="27" customHeight="1" x14ac:dyDescent="0.25">
      <c r="A6384" s="8" t="s">
        <v>8836</v>
      </c>
      <c r="B6384" s="9"/>
      <c r="C6384" s="9"/>
      <c r="D6384" s="8"/>
      <c r="E6384" s="8"/>
      <c r="F6384" s="8"/>
      <c r="G6384" s="10"/>
      <c r="H6384" s="8" t="s">
        <v>13139</v>
      </c>
      <c r="I6384" s="10" t="s">
        <v>13140</v>
      </c>
      <c r="J6384" s="11" t="s">
        <v>33</v>
      </c>
      <c r="K6384" s="18">
        <f>118800*0.9</f>
        <v>106920</v>
      </c>
      <c r="L6384" s="12">
        <f>IF(J6384="P",ROUNDUP(K6384/(1-Q6384),-2),K6384*(1+P6384)/(1-Q6384))</f>
        <v>152800</v>
      </c>
      <c r="M6384" s="8">
        <v>1</v>
      </c>
      <c r="N6384" s="8" t="s">
        <v>27</v>
      </c>
      <c r="O6384" s="13"/>
      <c r="P6384" s="14">
        <v>0</v>
      </c>
      <c r="Q6384" s="15">
        <v>0.3</v>
      </c>
      <c r="R6384" s="16" t="str">
        <f t="shared" si="546"/>
        <v>TECNOLITE</v>
      </c>
      <c r="S6384" s="17"/>
      <c r="T6384" s="10"/>
    </row>
    <row r="6385" spans="1:18" ht="27" customHeight="1" x14ac:dyDescent="0.25">
      <c r="A6385" s="32" t="s">
        <v>2095</v>
      </c>
      <c r="H6385" s="32" t="s">
        <v>13141</v>
      </c>
      <c r="I6385" s="33" t="s">
        <v>13142</v>
      </c>
      <c r="J6385" s="34" t="s">
        <v>33</v>
      </c>
      <c r="K6385" s="77">
        <v>55000</v>
      </c>
      <c r="L6385" s="12">
        <f t="shared" ref="L6385:L6402" si="547">ROUNDUP(K6385*(1+P6385)/(1-Q6385),0)</f>
        <v>110000</v>
      </c>
      <c r="M6385" s="8">
        <v>1</v>
      </c>
      <c r="N6385" s="8" t="s">
        <v>27</v>
      </c>
      <c r="O6385" s="13"/>
      <c r="P6385" s="14">
        <v>0</v>
      </c>
      <c r="Q6385" s="15">
        <v>0.5</v>
      </c>
      <c r="R6385" s="16" t="str">
        <f t="shared" si="546"/>
        <v>ECOLITE</v>
      </c>
    </row>
    <row r="6386" spans="1:18" ht="27" customHeight="1" x14ac:dyDescent="0.25">
      <c r="A6386" s="32" t="s">
        <v>2095</v>
      </c>
      <c r="H6386" s="32" t="s">
        <v>13143</v>
      </c>
      <c r="I6386" s="33" t="s">
        <v>13144</v>
      </c>
      <c r="J6386" s="34" t="s">
        <v>33</v>
      </c>
      <c r="K6386" s="77">
        <v>13000</v>
      </c>
      <c r="L6386" s="12">
        <f t="shared" si="547"/>
        <v>26000</v>
      </c>
      <c r="M6386" s="8">
        <v>1</v>
      </c>
      <c r="N6386" s="8" t="s">
        <v>27</v>
      </c>
      <c r="O6386" s="13"/>
      <c r="P6386" s="14">
        <v>0</v>
      </c>
      <c r="Q6386" s="15">
        <v>0.5</v>
      </c>
      <c r="R6386" s="16" t="str">
        <f t="shared" si="546"/>
        <v>ECOLITE</v>
      </c>
    </row>
    <row r="6387" spans="1:18" ht="27" customHeight="1" x14ac:dyDescent="0.25">
      <c r="A6387" s="32" t="s">
        <v>2095</v>
      </c>
      <c r="H6387" s="32" t="s">
        <v>13145</v>
      </c>
      <c r="I6387" s="33" t="s">
        <v>13146</v>
      </c>
      <c r="J6387" s="34" t="s">
        <v>33</v>
      </c>
      <c r="K6387" s="77">
        <v>16000</v>
      </c>
      <c r="L6387" s="12">
        <f t="shared" si="547"/>
        <v>32000</v>
      </c>
      <c r="M6387" s="8">
        <v>1</v>
      </c>
      <c r="N6387" s="8" t="s">
        <v>27</v>
      </c>
      <c r="O6387" s="13"/>
      <c r="P6387" s="14">
        <v>0</v>
      </c>
      <c r="Q6387" s="15">
        <v>0.5</v>
      </c>
      <c r="R6387" s="16" t="str">
        <f t="shared" si="546"/>
        <v>ECOLITE</v>
      </c>
    </row>
    <row r="6388" spans="1:18" ht="27" customHeight="1" x14ac:dyDescent="0.25">
      <c r="A6388" s="32" t="s">
        <v>2095</v>
      </c>
      <c r="H6388" s="32" t="s">
        <v>13147</v>
      </c>
      <c r="I6388" s="33" t="s">
        <v>13148</v>
      </c>
      <c r="J6388" s="34" t="s">
        <v>33</v>
      </c>
      <c r="K6388" s="77">
        <v>16000</v>
      </c>
      <c r="L6388" s="12">
        <f t="shared" si="547"/>
        <v>32000</v>
      </c>
      <c r="M6388" s="8">
        <v>1</v>
      </c>
      <c r="N6388" s="8" t="s">
        <v>27</v>
      </c>
      <c r="O6388" s="13"/>
      <c r="P6388" s="14">
        <v>0</v>
      </c>
      <c r="Q6388" s="15">
        <v>0.5</v>
      </c>
      <c r="R6388" s="16" t="str">
        <f t="shared" si="546"/>
        <v>ECOLITE</v>
      </c>
    </row>
    <row r="6389" spans="1:18" ht="27" customHeight="1" x14ac:dyDescent="0.25">
      <c r="A6389" s="32" t="s">
        <v>2095</v>
      </c>
      <c r="H6389" s="32" t="s">
        <v>13149</v>
      </c>
      <c r="I6389" s="33" t="s">
        <v>13150</v>
      </c>
      <c r="J6389" s="34" t="s">
        <v>33</v>
      </c>
      <c r="K6389" s="77">
        <v>65000</v>
      </c>
      <c r="L6389" s="12">
        <f t="shared" si="547"/>
        <v>130000</v>
      </c>
      <c r="M6389" s="8">
        <v>1</v>
      </c>
      <c r="N6389" s="8" t="s">
        <v>27</v>
      </c>
      <c r="O6389" s="13"/>
      <c r="P6389" s="14">
        <v>0</v>
      </c>
      <c r="Q6389" s="15">
        <v>0.5</v>
      </c>
      <c r="R6389" s="16" t="str">
        <f t="shared" si="546"/>
        <v>ECOLITE</v>
      </c>
    </row>
    <row r="6390" spans="1:18" ht="27" customHeight="1" x14ac:dyDescent="0.25">
      <c r="A6390" s="32" t="s">
        <v>2095</v>
      </c>
      <c r="H6390" s="32" t="s">
        <v>13151</v>
      </c>
      <c r="I6390" s="33" t="s">
        <v>13152</v>
      </c>
      <c r="J6390" s="34" t="s">
        <v>33</v>
      </c>
      <c r="K6390" s="77">
        <v>85000</v>
      </c>
      <c r="L6390" s="12">
        <f t="shared" si="547"/>
        <v>170000</v>
      </c>
      <c r="M6390" s="8">
        <v>1</v>
      </c>
      <c r="N6390" s="8" t="s">
        <v>27</v>
      </c>
      <c r="O6390" s="13"/>
      <c r="P6390" s="14">
        <v>0</v>
      </c>
      <c r="Q6390" s="15">
        <v>0.5</v>
      </c>
      <c r="R6390" s="16" t="str">
        <f t="shared" si="546"/>
        <v>ECOLITE</v>
      </c>
    </row>
    <row r="6391" spans="1:18" ht="27" customHeight="1" x14ac:dyDescent="0.25">
      <c r="A6391" s="32" t="s">
        <v>2095</v>
      </c>
      <c r="H6391" s="32" t="s">
        <v>13153</v>
      </c>
      <c r="I6391" s="33" t="s">
        <v>13154</v>
      </c>
      <c r="J6391" s="34" t="s">
        <v>33</v>
      </c>
      <c r="K6391" s="77">
        <v>80000</v>
      </c>
      <c r="L6391" s="12">
        <f t="shared" si="547"/>
        <v>160000</v>
      </c>
      <c r="M6391" s="8">
        <v>1</v>
      </c>
      <c r="N6391" s="8" t="s">
        <v>27</v>
      </c>
      <c r="O6391" s="13"/>
      <c r="P6391" s="14">
        <v>0</v>
      </c>
      <c r="Q6391" s="15">
        <v>0.5</v>
      </c>
      <c r="R6391" s="16" t="str">
        <f t="shared" si="546"/>
        <v>ECOLITE</v>
      </c>
    </row>
    <row r="6392" spans="1:18" ht="27" customHeight="1" x14ac:dyDescent="0.25">
      <c r="A6392" s="32" t="s">
        <v>2095</v>
      </c>
      <c r="H6392" s="32" t="s">
        <v>13155</v>
      </c>
      <c r="I6392" s="33" t="s">
        <v>13156</v>
      </c>
      <c r="J6392" s="34" t="s">
        <v>33</v>
      </c>
      <c r="K6392" s="77">
        <v>80000</v>
      </c>
      <c r="L6392" s="12">
        <f t="shared" si="547"/>
        <v>160000</v>
      </c>
      <c r="M6392" s="8">
        <v>1</v>
      </c>
      <c r="N6392" s="8" t="s">
        <v>27</v>
      </c>
      <c r="O6392" s="13"/>
      <c r="P6392" s="14">
        <v>0</v>
      </c>
      <c r="Q6392" s="15">
        <v>0.5</v>
      </c>
      <c r="R6392" s="16" t="str">
        <f t="shared" si="546"/>
        <v>ECOLITE</v>
      </c>
    </row>
    <row r="6393" spans="1:18" ht="27" customHeight="1" x14ac:dyDescent="0.25">
      <c r="A6393" s="32" t="s">
        <v>2095</v>
      </c>
      <c r="H6393" s="32" t="s">
        <v>13157</v>
      </c>
      <c r="I6393" s="33" t="s">
        <v>13158</v>
      </c>
      <c r="J6393" s="34" t="s">
        <v>33</v>
      </c>
      <c r="K6393" s="77">
        <v>33200</v>
      </c>
      <c r="L6393" s="12">
        <f t="shared" si="547"/>
        <v>55334</v>
      </c>
      <c r="M6393" s="8">
        <v>1</v>
      </c>
      <c r="N6393" s="8" t="s">
        <v>27</v>
      </c>
      <c r="O6393" s="13"/>
      <c r="P6393" s="14">
        <v>0</v>
      </c>
      <c r="Q6393" s="15">
        <v>0.4</v>
      </c>
      <c r="R6393" s="16" t="str">
        <f t="shared" si="546"/>
        <v>ECOLITE</v>
      </c>
    </row>
    <row r="6394" spans="1:18" ht="27" customHeight="1" x14ac:dyDescent="0.25">
      <c r="A6394" s="32" t="s">
        <v>2095</v>
      </c>
      <c r="H6394" s="32" t="s">
        <v>13159</v>
      </c>
      <c r="I6394" s="33" t="s">
        <v>13160</v>
      </c>
      <c r="J6394" s="34" t="s">
        <v>33</v>
      </c>
      <c r="K6394" s="77">
        <v>146000</v>
      </c>
      <c r="L6394" s="12">
        <f t="shared" si="547"/>
        <v>243334</v>
      </c>
      <c r="M6394" s="8">
        <v>1</v>
      </c>
      <c r="N6394" s="8" t="s">
        <v>27</v>
      </c>
      <c r="O6394" s="13"/>
      <c r="P6394" s="14">
        <v>0</v>
      </c>
      <c r="Q6394" s="15">
        <v>0.4</v>
      </c>
      <c r="R6394" s="16" t="str">
        <f t="shared" si="546"/>
        <v>ECOLITE</v>
      </c>
    </row>
    <row r="6395" spans="1:18" ht="27" customHeight="1" x14ac:dyDescent="0.25">
      <c r="A6395" s="32" t="s">
        <v>2095</v>
      </c>
      <c r="H6395" s="32" t="s">
        <v>13161</v>
      </c>
      <c r="I6395" s="33" t="s">
        <v>13162</v>
      </c>
      <c r="J6395" s="34" t="s">
        <v>33</v>
      </c>
      <c r="K6395" s="77">
        <v>87000</v>
      </c>
      <c r="L6395" s="12">
        <f t="shared" si="547"/>
        <v>145000</v>
      </c>
      <c r="M6395" s="8">
        <v>1</v>
      </c>
      <c r="N6395" s="8" t="s">
        <v>27</v>
      </c>
      <c r="O6395" s="13"/>
      <c r="P6395" s="14">
        <v>0</v>
      </c>
      <c r="Q6395" s="15">
        <v>0.4</v>
      </c>
      <c r="R6395" s="16" t="str">
        <f t="shared" si="546"/>
        <v>ECOLITE</v>
      </c>
    </row>
    <row r="6396" spans="1:18" ht="27" customHeight="1" x14ac:dyDescent="0.25">
      <c r="A6396" s="32" t="s">
        <v>2095</v>
      </c>
      <c r="H6396" s="32" t="s">
        <v>13163</v>
      </c>
      <c r="I6396" s="33" t="s">
        <v>13164</v>
      </c>
      <c r="J6396" s="34" t="s">
        <v>33</v>
      </c>
      <c r="K6396" s="77">
        <v>146000</v>
      </c>
      <c r="L6396" s="12">
        <f t="shared" si="547"/>
        <v>243334</v>
      </c>
      <c r="M6396" s="8">
        <v>1</v>
      </c>
      <c r="N6396" s="8" t="s">
        <v>27</v>
      </c>
      <c r="O6396" s="13"/>
      <c r="P6396" s="14">
        <v>0</v>
      </c>
      <c r="Q6396" s="15">
        <v>0.4</v>
      </c>
      <c r="R6396" s="16" t="str">
        <f t="shared" si="546"/>
        <v>ECOLITE</v>
      </c>
    </row>
    <row r="6397" spans="1:18" ht="27" customHeight="1" x14ac:dyDescent="0.25">
      <c r="A6397" s="32" t="s">
        <v>2095</v>
      </c>
      <c r="H6397" s="32" t="s">
        <v>13165</v>
      </c>
      <c r="I6397" s="33" t="s">
        <v>13158</v>
      </c>
      <c r="J6397" s="34" t="s">
        <v>33</v>
      </c>
      <c r="K6397" s="77">
        <v>33200</v>
      </c>
      <c r="L6397" s="12">
        <f t="shared" si="547"/>
        <v>55334</v>
      </c>
      <c r="M6397" s="8">
        <v>1</v>
      </c>
      <c r="N6397" s="8" t="s">
        <v>27</v>
      </c>
      <c r="O6397" s="13"/>
      <c r="P6397" s="14">
        <v>0</v>
      </c>
      <c r="Q6397" s="15">
        <v>0.4</v>
      </c>
      <c r="R6397" s="16" t="str">
        <f t="shared" si="546"/>
        <v>ECOLITE</v>
      </c>
    </row>
    <row r="6398" spans="1:18" ht="27" customHeight="1" x14ac:dyDescent="0.25">
      <c r="A6398" s="32" t="s">
        <v>2095</v>
      </c>
      <c r="H6398" s="32" t="s">
        <v>13166</v>
      </c>
      <c r="I6398" s="33" t="s">
        <v>13167</v>
      </c>
      <c r="J6398" s="34" t="s">
        <v>33</v>
      </c>
      <c r="K6398" s="77">
        <v>211000</v>
      </c>
      <c r="L6398" s="12">
        <f t="shared" si="547"/>
        <v>351667</v>
      </c>
      <c r="M6398" s="8">
        <v>1</v>
      </c>
      <c r="N6398" s="8" t="s">
        <v>27</v>
      </c>
      <c r="O6398" s="13"/>
      <c r="P6398" s="14">
        <v>0</v>
      </c>
      <c r="Q6398" s="15">
        <v>0.4</v>
      </c>
      <c r="R6398" s="16" t="str">
        <f t="shared" si="546"/>
        <v>ECOLITE</v>
      </c>
    </row>
    <row r="6399" spans="1:18" ht="27" customHeight="1" x14ac:dyDescent="0.25">
      <c r="A6399" s="32" t="s">
        <v>2095</v>
      </c>
      <c r="H6399" s="32" t="s">
        <v>13168</v>
      </c>
      <c r="I6399" s="33" t="s">
        <v>13169</v>
      </c>
      <c r="J6399" s="34" t="s">
        <v>33</v>
      </c>
      <c r="K6399" s="77">
        <v>40000</v>
      </c>
      <c r="L6399" s="12">
        <f t="shared" si="547"/>
        <v>80000</v>
      </c>
      <c r="M6399" s="8">
        <v>1</v>
      </c>
      <c r="N6399" s="8" t="s">
        <v>27</v>
      </c>
      <c r="O6399" s="13"/>
      <c r="P6399" s="14">
        <v>0</v>
      </c>
      <c r="Q6399" s="15">
        <v>0.5</v>
      </c>
      <c r="R6399" s="16" t="str">
        <f t="shared" si="546"/>
        <v>ECOLITE</v>
      </c>
    </row>
    <row r="6400" spans="1:18" ht="27" customHeight="1" x14ac:dyDescent="0.25">
      <c r="A6400" s="32" t="s">
        <v>2095</v>
      </c>
      <c r="H6400" s="32" t="s">
        <v>13170</v>
      </c>
      <c r="I6400" s="33" t="s">
        <v>13144</v>
      </c>
      <c r="J6400" s="34" t="s">
        <v>33</v>
      </c>
      <c r="K6400" s="77">
        <v>13000</v>
      </c>
      <c r="L6400" s="12">
        <f t="shared" si="547"/>
        <v>26000</v>
      </c>
      <c r="M6400" s="8">
        <v>1</v>
      </c>
      <c r="N6400" s="8" t="s">
        <v>27</v>
      </c>
      <c r="O6400" s="13"/>
      <c r="P6400" s="14">
        <v>0</v>
      </c>
      <c r="Q6400" s="15">
        <v>0.5</v>
      </c>
      <c r="R6400" s="16" t="str">
        <f t="shared" si="546"/>
        <v>ECOLITE</v>
      </c>
    </row>
    <row r="6401" spans="1:28" ht="27" customHeight="1" x14ac:dyDescent="0.25">
      <c r="A6401" s="32" t="s">
        <v>2095</v>
      </c>
      <c r="H6401" s="32" t="s">
        <v>13171</v>
      </c>
      <c r="I6401" s="33" t="s">
        <v>13172</v>
      </c>
      <c r="J6401" s="34" t="s">
        <v>33</v>
      </c>
      <c r="K6401" s="77">
        <v>80000</v>
      </c>
      <c r="L6401" s="12">
        <f t="shared" si="547"/>
        <v>160000</v>
      </c>
      <c r="M6401" s="8">
        <v>1</v>
      </c>
      <c r="N6401" s="8" t="s">
        <v>27</v>
      </c>
      <c r="O6401" s="13"/>
      <c r="P6401" s="14">
        <v>0</v>
      </c>
      <c r="Q6401" s="15">
        <v>0.5</v>
      </c>
      <c r="R6401" s="16" t="str">
        <f t="shared" si="546"/>
        <v>ECOLITE</v>
      </c>
    </row>
    <row r="6402" spans="1:28" ht="27" customHeight="1" x14ac:dyDescent="0.25">
      <c r="A6402" s="32" t="s">
        <v>13173</v>
      </c>
      <c r="H6402" s="32" t="s">
        <v>13174</v>
      </c>
      <c r="I6402" s="33" t="s">
        <v>13090</v>
      </c>
      <c r="J6402" s="34" t="s">
        <v>26</v>
      </c>
      <c r="K6402" s="77">
        <f>(16+7)/5</f>
        <v>4.5999999999999996</v>
      </c>
      <c r="L6402" s="12">
        <f t="shared" si="547"/>
        <v>7</v>
      </c>
      <c r="M6402" s="8">
        <v>1</v>
      </c>
      <c r="N6402" s="8" t="s">
        <v>27</v>
      </c>
      <c r="O6402" s="13"/>
      <c r="P6402" s="14">
        <v>0</v>
      </c>
      <c r="Q6402" s="15">
        <v>0.3</v>
      </c>
      <c r="R6402" s="16" t="str">
        <f t="shared" si="546"/>
        <v>BNAFES</v>
      </c>
      <c r="S6402" s="39" t="s">
        <v>13175</v>
      </c>
    </row>
    <row r="6403" spans="1:28" ht="27" customHeight="1" x14ac:dyDescent="0.25">
      <c r="A6403" s="32" t="s">
        <v>5672</v>
      </c>
      <c r="H6403" s="32" t="s">
        <v>13176</v>
      </c>
      <c r="I6403" s="33" t="s">
        <v>13177</v>
      </c>
      <c r="J6403" s="34" t="s">
        <v>26</v>
      </c>
      <c r="K6403" s="77">
        <v>7.2</v>
      </c>
      <c r="L6403" s="12">
        <f t="shared" ref="L6403:L6408" si="548">(K6403*(1+P6403)/(1-Q6403))</f>
        <v>14.400000000000002</v>
      </c>
      <c r="M6403" s="8">
        <v>1</v>
      </c>
      <c r="N6403" s="8" t="s">
        <v>27</v>
      </c>
      <c r="O6403" s="13"/>
      <c r="P6403" s="14">
        <v>0.2</v>
      </c>
      <c r="Q6403" s="15">
        <v>0.4</v>
      </c>
      <c r="R6403" s="16" t="str">
        <f t="shared" si="546"/>
        <v>LUTRON</v>
      </c>
    </row>
    <row r="6404" spans="1:28" ht="27" customHeight="1" x14ac:dyDescent="0.25">
      <c r="A6404" s="32" t="s">
        <v>5672</v>
      </c>
      <c r="H6404" s="32" t="s">
        <v>13178</v>
      </c>
      <c r="I6404" s="33" t="s">
        <v>13179</v>
      </c>
      <c r="J6404" s="34" t="s">
        <v>26</v>
      </c>
      <c r="K6404" s="77">
        <v>16.2</v>
      </c>
      <c r="L6404" s="12">
        <f t="shared" si="548"/>
        <v>32.4</v>
      </c>
      <c r="M6404" s="8">
        <v>1</v>
      </c>
      <c r="N6404" s="8" t="s">
        <v>27</v>
      </c>
      <c r="O6404" s="13"/>
      <c r="P6404" s="14">
        <v>0.2</v>
      </c>
      <c r="Q6404" s="15">
        <v>0.4</v>
      </c>
      <c r="R6404" s="16" t="str">
        <f t="shared" si="546"/>
        <v>LUTRON</v>
      </c>
    </row>
    <row r="6405" spans="1:28" ht="27" customHeight="1" x14ac:dyDescent="0.25">
      <c r="A6405" s="32" t="s">
        <v>5170</v>
      </c>
      <c r="H6405" s="32" t="s">
        <v>13180</v>
      </c>
      <c r="I6405" s="33" t="s">
        <v>13181</v>
      </c>
      <c r="J6405" s="34" t="s">
        <v>33</v>
      </c>
      <c r="K6405" s="77">
        <v>21300</v>
      </c>
      <c r="L6405" s="12">
        <f t="shared" si="548"/>
        <v>35500</v>
      </c>
      <c r="M6405" s="8">
        <v>1</v>
      </c>
      <c r="N6405" s="8" t="s">
        <v>27</v>
      </c>
      <c r="O6405" s="13"/>
      <c r="P6405" s="14">
        <v>0</v>
      </c>
      <c r="Q6405" s="15">
        <v>0.4</v>
      </c>
      <c r="R6405" s="16" t="str">
        <f t="shared" si="546"/>
        <v>LEVITON</v>
      </c>
    </row>
    <row r="6406" spans="1:28" ht="27" customHeight="1" x14ac:dyDescent="0.25">
      <c r="A6406" s="32" t="s">
        <v>10370</v>
      </c>
      <c r="H6406" s="32" t="s">
        <v>13182</v>
      </c>
      <c r="I6406" s="33" t="s">
        <v>13183</v>
      </c>
      <c r="J6406" s="34" t="s">
        <v>26</v>
      </c>
      <c r="K6406" s="77">
        <v>28</v>
      </c>
      <c r="L6406" s="12">
        <f t="shared" si="548"/>
        <v>46.666666666666671</v>
      </c>
      <c r="M6406" s="8">
        <v>1</v>
      </c>
      <c r="N6406" s="8" t="s">
        <v>27</v>
      </c>
      <c r="O6406" s="13"/>
      <c r="P6406" s="14">
        <v>0</v>
      </c>
      <c r="Q6406" s="15">
        <v>0.4</v>
      </c>
      <c r="R6406" s="16" t="str">
        <f t="shared" si="546"/>
        <v>LEDYI</v>
      </c>
    </row>
    <row r="6407" spans="1:28" ht="27" customHeight="1" x14ac:dyDescent="0.25">
      <c r="A6407" s="32" t="s">
        <v>3977</v>
      </c>
      <c r="H6407" s="32" t="s">
        <v>13184</v>
      </c>
      <c r="I6407" s="33" t="s">
        <v>13185</v>
      </c>
      <c r="J6407" s="34" t="s">
        <v>33</v>
      </c>
      <c r="K6407" s="77">
        <v>10000</v>
      </c>
      <c r="L6407" s="12">
        <f t="shared" si="548"/>
        <v>16666.666666666668</v>
      </c>
      <c r="M6407" s="8">
        <v>1</v>
      </c>
      <c r="N6407" s="8" t="s">
        <v>27</v>
      </c>
      <c r="O6407" s="13"/>
      <c r="P6407" s="14">
        <v>0</v>
      </c>
      <c r="Q6407" s="15">
        <v>0.4</v>
      </c>
      <c r="R6407" s="16" t="str">
        <f t="shared" si="546"/>
        <v>KOMODO</v>
      </c>
    </row>
    <row r="6408" spans="1:28" ht="27" customHeight="1" x14ac:dyDescent="0.25">
      <c r="A6408" s="32" t="s">
        <v>9258</v>
      </c>
      <c r="H6408" s="32" t="s">
        <v>13186</v>
      </c>
      <c r="I6408" s="33" t="s">
        <v>13187</v>
      </c>
      <c r="J6408" s="34" t="s">
        <v>33</v>
      </c>
      <c r="K6408" s="77">
        <v>48000</v>
      </c>
      <c r="L6408" s="12">
        <f t="shared" si="548"/>
        <v>60000</v>
      </c>
      <c r="M6408" s="8">
        <v>1</v>
      </c>
      <c r="N6408" s="8" t="s">
        <v>27</v>
      </c>
      <c r="O6408" s="13"/>
      <c r="P6408" s="14">
        <v>0</v>
      </c>
      <c r="Q6408" s="15">
        <v>0.2</v>
      </c>
      <c r="R6408" s="16" t="str">
        <f t="shared" si="546"/>
        <v>TP_LINK</v>
      </c>
      <c r="S6408" s="39" t="s">
        <v>13188</v>
      </c>
    </row>
    <row r="6409" spans="1:28" ht="27" customHeight="1" x14ac:dyDescent="0.25">
      <c r="A6409" s="8" t="s">
        <v>5402</v>
      </c>
      <c r="B6409" s="9"/>
      <c r="C6409" s="9"/>
      <c r="D6409" s="8"/>
      <c r="E6409" s="8"/>
      <c r="F6409" s="8"/>
      <c r="G6409" s="10"/>
      <c r="H6409" s="8" t="s">
        <v>13189</v>
      </c>
      <c r="I6409" s="10" t="s">
        <v>13190</v>
      </c>
      <c r="J6409" s="11" t="s">
        <v>33</v>
      </c>
      <c r="K6409" s="18">
        <v>197910</v>
      </c>
      <c r="L6409" s="12">
        <f>K6409*(1+P6409)/(1-Q6409)</f>
        <v>247387.5</v>
      </c>
      <c r="M6409" s="8">
        <v>1</v>
      </c>
      <c r="N6409" s="8" t="s">
        <v>27</v>
      </c>
      <c r="O6409" s="13"/>
      <c r="P6409" s="14">
        <v>0</v>
      </c>
      <c r="Q6409" s="15">
        <v>0.2</v>
      </c>
      <c r="R6409" s="16" t="str">
        <f t="shared" si="546"/>
        <v>LINKSYS</v>
      </c>
    </row>
    <row r="6410" spans="1:28" ht="27" customHeight="1" x14ac:dyDescent="0.25">
      <c r="A6410" s="44" t="s">
        <v>3977</v>
      </c>
      <c r="H6410" s="44" t="s">
        <v>10579</v>
      </c>
      <c r="I6410" s="45" t="s">
        <v>13191</v>
      </c>
      <c r="J6410" s="41" t="s">
        <v>33</v>
      </c>
      <c r="K6410" s="77">
        <v>150000</v>
      </c>
      <c r="L6410" s="12">
        <f>K6410*(1+P6410)/(1-Q6410)</f>
        <v>250000</v>
      </c>
      <c r="M6410" s="8">
        <v>1</v>
      </c>
      <c r="N6410" s="8" t="s">
        <v>27</v>
      </c>
      <c r="O6410" s="13"/>
      <c r="P6410" s="14">
        <v>0</v>
      </c>
      <c r="Q6410" s="15">
        <v>0.4</v>
      </c>
      <c r="R6410" s="16" t="str">
        <f t="shared" si="546"/>
        <v>KOMODO</v>
      </c>
      <c r="T6410" t="s">
        <v>13192</v>
      </c>
    </row>
    <row r="6411" spans="1:28" ht="27" customHeight="1" x14ac:dyDescent="0.25">
      <c r="A6411" s="44" t="s">
        <v>4994</v>
      </c>
      <c r="H6411" s="44" t="s">
        <v>13193</v>
      </c>
      <c r="I6411" s="45" t="s">
        <v>13194</v>
      </c>
      <c r="J6411" s="41" t="s">
        <v>33</v>
      </c>
      <c r="K6411" s="77">
        <f>211800+52000</f>
        <v>263800</v>
      </c>
      <c r="L6411" s="12">
        <f>K6411*(1+P6411)/(1-Q6411)</f>
        <v>376857.1428571429</v>
      </c>
      <c r="M6411" s="8">
        <v>1</v>
      </c>
      <c r="N6411" s="8" t="s">
        <v>27</v>
      </c>
      <c r="O6411" s="13"/>
      <c r="P6411" s="14">
        <v>0</v>
      </c>
      <c r="Q6411" s="15">
        <v>0.3</v>
      </c>
      <c r="R6411" s="16" t="str">
        <f t="shared" si="546"/>
        <v>LAMP</v>
      </c>
    </row>
    <row r="6412" spans="1:28" ht="27" customHeight="1" x14ac:dyDescent="0.25">
      <c r="A6412" s="44" t="s">
        <v>4994</v>
      </c>
      <c r="H6412" s="44" t="s">
        <v>13195</v>
      </c>
      <c r="I6412" s="45" t="s">
        <v>13196</v>
      </c>
      <c r="J6412" s="41" t="s">
        <v>33</v>
      </c>
      <c r="K6412" s="77">
        <v>352942</v>
      </c>
      <c r="L6412" s="12">
        <f>K6412*(1+P6412)/(1-Q6412)</f>
        <v>504202.85714285716</v>
      </c>
      <c r="M6412" s="8">
        <v>1</v>
      </c>
      <c r="N6412" s="8" t="s">
        <v>27</v>
      </c>
      <c r="O6412" s="13"/>
      <c r="P6412" s="14">
        <v>0</v>
      </c>
      <c r="Q6412" s="15">
        <v>0.3</v>
      </c>
      <c r="R6412" s="16" t="str">
        <f t="shared" si="546"/>
        <v>LAMP</v>
      </c>
    </row>
    <row r="6413" spans="1:28" ht="27" customHeight="1" x14ac:dyDescent="0.25">
      <c r="A6413" s="44" t="s">
        <v>13197</v>
      </c>
      <c r="H6413" s="44" t="s">
        <v>13198</v>
      </c>
      <c r="I6413" s="45" t="s">
        <v>13199</v>
      </c>
      <c r="J6413" s="41" t="s">
        <v>33</v>
      </c>
      <c r="K6413" s="77">
        <f>52000+27000</f>
        <v>79000</v>
      </c>
      <c r="L6413" s="12">
        <f>K6413*(1+P6413)/(1-Q6413)</f>
        <v>171166.66666666669</v>
      </c>
      <c r="M6413" s="8">
        <v>1</v>
      </c>
      <c r="N6413" s="8" t="s">
        <v>27</v>
      </c>
      <c r="O6413" s="13"/>
      <c r="P6413" s="14">
        <v>0.3</v>
      </c>
      <c r="Q6413" s="15">
        <v>0.4</v>
      </c>
      <c r="R6413" s="16" t="str">
        <f t="shared" si="546"/>
        <v>DVOLADOR</v>
      </c>
      <c r="S6413" s="39" t="s">
        <v>13200</v>
      </c>
      <c r="AB6413" s="112">
        <v>19</v>
      </c>
    </row>
    <row r="6414" spans="1:28" ht="27" customHeight="1" x14ac:dyDescent="0.25">
      <c r="A6414" s="32" t="s">
        <v>2512</v>
      </c>
      <c r="H6414" t="s">
        <v>13201</v>
      </c>
      <c r="I6414" s="33" t="s">
        <v>13202</v>
      </c>
      <c r="J6414" s="34" t="s">
        <v>33</v>
      </c>
      <c r="K6414" s="77">
        <v>372000</v>
      </c>
      <c r="L6414" s="12">
        <f t="shared" ref="L6414:L6424" si="549">(K6414*(1+P6414)/(1-Q6414))</f>
        <v>806000</v>
      </c>
      <c r="M6414" s="8">
        <v>1</v>
      </c>
      <c r="N6414" s="8" t="s">
        <v>27</v>
      </c>
      <c r="O6414" s="13"/>
      <c r="P6414" s="14">
        <v>0.3</v>
      </c>
      <c r="Q6414" s="15">
        <v>0.4</v>
      </c>
      <c r="R6414" s="64" t="str">
        <f t="shared" ref="R6414:R6433" si="550">A6414</f>
        <v>GENERAL</v>
      </c>
      <c r="S6414" t="s">
        <v>13203</v>
      </c>
    </row>
    <row r="6415" spans="1:28" ht="27" customHeight="1" x14ac:dyDescent="0.25">
      <c r="A6415" s="32" t="s">
        <v>10370</v>
      </c>
      <c r="H6415" s="32" t="s">
        <v>13204</v>
      </c>
      <c r="I6415" s="33" t="s">
        <v>13205</v>
      </c>
      <c r="J6415" s="34" t="s">
        <v>33</v>
      </c>
      <c r="K6415" s="77">
        <f>90000/5</f>
        <v>18000</v>
      </c>
      <c r="L6415" s="12">
        <f t="shared" si="549"/>
        <v>25714.285714285717</v>
      </c>
      <c r="M6415" s="8">
        <v>1</v>
      </c>
      <c r="N6415" s="8" t="s">
        <v>27</v>
      </c>
      <c r="O6415" s="13"/>
      <c r="P6415" s="14">
        <v>0</v>
      </c>
      <c r="Q6415" s="15">
        <v>0.3</v>
      </c>
      <c r="R6415" s="64" t="str">
        <f t="shared" si="550"/>
        <v>LEDYI</v>
      </c>
    </row>
    <row r="6416" spans="1:28" ht="27" customHeight="1" x14ac:dyDescent="0.25">
      <c r="A6416" s="32" t="s">
        <v>13206</v>
      </c>
      <c r="H6416" s="32" t="s">
        <v>13207</v>
      </c>
      <c r="I6416" s="33" t="s">
        <v>13208</v>
      </c>
      <c r="J6416" s="34" t="s">
        <v>33</v>
      </c>
      <c r="K6416" s="77">
        <v>1269000</v>
      </c>
      <c r="L6416" s="12">
        <f t="shared" si="549"/>
        <v>2175428.5714285714</v>
      </c>
      <c r="M6416" s="8">
        <v>1</v>
      </c>
      <c r="N6416" s="8" t="s">
        <v>27</v>
      </c>
      <c r="O6416" s="13"/>
      <c r="P6416" s="14">
        <v>0.2</v>
      </c>
      <c r="Q6416" s="15">
        <v>0.3</v>
      </c>
      <c r="R6416" s="64" t="str">
        <f t="shared" si="550"/>
        <v>ARTIC</v>
      </c>
      <c r="S6416" s="39" t="s">
        <v>13209</v>
      </c>
    </row>
    <row r="6417" spans="1:28" ht="27" customHeight="1" x14ac:dyDescent="0.25">
      <c r="A6417" s="32" t="s">
        <v>13206</v>
      </c>
      <c r="H6417" s="32" t="s">
        <v>13210</v>
      </c>
      <c r="I6417" s="33" t="s">
        <v>13211</v>
      </c>
      <c r="J6417" s="34" t="s">
        <v>33</v>
      </c>
      <c r="K6417" s="77">
        <v>92000</v>
      </c>
      <c r="L6417" s="12">
        <f t="shared" si="549"/>
        <v>199333.33333333334</v>
      </c>
      <c r="M6417" s="8">
        <v>1</v>
      </c>
      <c r="N6417" s="8" t="s">
        <v>27</v>
      </c>
      <c r="O6417" s="13"/>
      <c r="P6417" s="14">
        <v>0.3</v>
      </c>
      <c r="Q6417" s="15">
        <v>0.4</v>
      </c>
      <c r="R6417" s="64" t="str">
        <f t="shared" si="550"/>
        <v>ARTIC</v>
      </c>
      <c r="S6417" s="39" t="s">
        <v>13212</v>
      </c>
    </row>
    <row r="6418" spans="1:28" ht="27" customHeight="1" x14ac:dyDescent="0.25">
      <c r="A6418" s="32" t="s">
        <v>13206</v>
      </c>
      <c r="H6418" s="32" t="s">
        <v>13213</v>
      </c>
      <c r="I6418" s="33" t="s">
        <v>13214</v>
      </c>
      <c r="J6418" s="34" t="s">
        <v>33</v>
      </c>
      <c r="K6418" s="77">
        <v>70000</v>
      </c>
      <c r="L6418" s="12">
        <f t="shared" si="549"/>
        <v>151666.66666666669</v>
      </c>
      <c r="M6418" s="8">
        <v>1</v>
      </c>
      <c r="N6418" s="8" t="s">
        <v>27</v>
      </c>
      <c r="O6418" s="13"/>
      <c r="P6418" s="14">
        <v>0.3</v>
      </c>
      <c r="Q6418" s="15">
        <v>0.4</v>
      </c>
      <c r="R6418" s="64" t="str">
        <f t="shared" si="550"/>
        <v>ARTIC</v>
      </c>
      <c r="S6418" s="39" t="s">
        <v>13215</v>
      </c>
    </row>
    <row r="6419" spans="1:28" ht="27" customHeight="1" x14ac:dyDescent="0.25">
      <c r="A6419" s="32" t="s">
        <v>6853</v>
      </c>
      <c r="H6419" s="32" t="s">
        <v>13216</v>
      </c>
      <c r="I6419" s="33" t="s">
        <v>13217</v>
      </c>
      <c r="J6419" s="34" t="s">
        <v>33</v>
      </c>
      <c r="K6419" s="77">
        <v>4699000</v>
      </c>
      <c r="L6419" s="12">
        <f t="shared" si="549"/>
        <v>6712857.1428571437</v>
      </c>
      <c r="M6419" s="8">
        <v>1</v>
      </c>
      <c r="N6419" s="8" t="s">
        <v>27</v>
      </c>
      <c r="O6419" s="13"/>
      <c r="P6419" s="14">
        <v>0</v>
      </c>
      <c r="Q6419" s="15">
        <v>0.3</v>
      </c>
      <c r="R6419" s="64" t="str">
        <f t="shared" si="550"/>
        <v>MAXHUB</v>
      </c>
    </row>
    <row r="6420" spans="1:28" ht="27" customHeight="1" x14ac:dyDescent="0.25">
      <c r="A6420" s="32" t="s">
        <v>5327</v>
      </c>
      <c r="H6420" s="32" t="s">
        <v>13218</v>
      </c>
      <c r="I6420" s="33" t="s">
        <v>13219</v>
      </c>
      <c r="J6420" s="34" t="s">
        <v>33</v>
      </c>
      <c r="K6420" s="77">
        <v>3400000</v>
      </c>
      <c r="L6420" s="12">
        <f t="shared" si="549"/>
        <v>4857142.8571428573</v>
      </c>
      <c r="M6420" s="8">
        <v>1</v>
      </c>
      <c r="N6420" s="8" t="s">
        <v>27</v>
      </c>
      <c r="O6420" s="13"/>
      <c r="P6420" s="14">
        <v>0</v>
      </c>
      <c r="Q6420" s="15">
        <v>0.3</v>
      </c>
      <c r="R6420" s="64" t="str">
        <f t="shared" si="550"/>
        <v>LG</v>
      </c>
    </row>
    <row r="6421" spans="1:28" ht="27" customHeight="1" x14ac:dyDescent="0.25">
      <c r="A6421" s="32" t="s">
        <v>3977</v>
      </c>
      <c r="H6421" s="32" t="s">
        <v>4326</v>
      </c>
      <c r="I6421" s="33" t="s">
        <v>13220</v>
      </c>
      <c r="J6421" s="34" t="s">
        <v>33</v>
      </c>
      <c r="K6421" s="77">
        <v>1000000</v>
      </c>
      <c r="L6421" s="12">
        <f t="shared" si="549"/>
        <v>1428571.4285714286</v>
      </c>
      <c r="M6421" s="8">
        <v>1</v>
      </c>
      <c r="N6421" s="8" t="s">
        <v>27</v>
      </c>
      <c r="O6421" s="13"/>
      <c r="P6421" s="14">
        <v>0</v>
      </c>
      <c r="Q6421" s="15">
        <v>0.3</v>
      </c>
      <c r="R6421" s="64" t="str">
        <f t="shared" si="550"/>
        <v>KOMODO</v>
      </c>
    </row>
    <row r="6422" spans="1:28" ht="27" customHeight="1" x14ac:dyDescent="0.25">
      <c r="A6422" s="32" t="s">
        <v>13221</v>
      </c>
      <c r="H6422" s="32" t="s">
        <v>13222</v>
      </c>
      <c r="I6422" s="33" t="s">
        <v>13223</v>
      </c>
      <c r="J6422" s="34" t="s">
        <v>26</v>
      </c>
      <c r="K6422" s="77">
        <f>170/2</f>
        <v>85</v>
      </c>
      <c r="L6422" s="12">
        <f t="shared" si="549"/>
        <v>121.42857142857143</v>
      </c>
      <c r="M6422" s="8">
        <v>1</v>
      </c>
      <c r="N6422" s="8" t="s">
        <v>27</v>
      </c>
      <c r="O6422" s="13"/>
      <c r="P6422" s="14">
        <v>0</v>
      </c>
      <c r="Q6422" s="15">
        <v>0.3</v>
      </c>
      <c r="R6422" s="64" t="str">
        <f t="shared" si="550"/>
        <v>EPISODE</v>
      </c>
      <c r="AB6422" s="112">
        <v>2</v>
      </c>
    </row>
    <row r="6423" spans="1:28" ht="27" customHeight="1" x14ac:dyDescent="0.25">
      <c r="A6423" s="32" t="s">
        <v>11685</v>
      </c>
      <c r="H6423" s="32" t="s">
        <v>13224</v>
      </c>
      <c r="I6423" s="33" t="s">
        <v>9262</v>
      </c>
      <c r="J6423" s="34" t="s">
        <v>33</v>
      </c>
      <c r="K6423" s="77">
        <v>35640</v>
      </c>
      <c r="L6423" s="12">
        <f t="shared" si="549"/>
        <v>66000.000001680964</v>
      </c>
      <c r="M6423" s="8">
        <v>1</v>
      </c>
      <c r="N6423" s="8" t="s">
        <v>27</v>
      </c>
      <c r="O6423" s="13"/>
      <c r="P6423" s="14">
        <v>0</v>
      </c>
      <c r="Q6423" s="15">
        <v>0.4600000000137533</v>
      </c>
      <c r="R6423" s="64" t="str">
        <f t="shared" si="550"/>
        <v>RUIJIE</v>
      </c>
    </row>
    <row r="6424" spans="1:28" ht="27" customHeight="1" x14ac:dyDescent="0.25">
      <c r="A6424" s="32" t="s">
        <v>11685</v>
      </c>
      <c r="H6424" s="32" t="s">
        <v>13225</v>
      </c>
      <c r="I6424" s="38" t="s">
        <v>13226</v>
      </c>
      <c r="J6424" s="34" t="s">
        <v>33</v>
      </c>
      <c r="K6424" s="77">
        <v>656300</v>
      </c>
      <c r="L6424" s="12">
        <f t="shared" si="549"/>
        <v>1093833.3333333335</v>
      </c>
      <c r="M6424" s="8">
        <v>1</v>
      </c>
      <c r="N6424" s="8" t="s">
        <v>27</v>
      </c>
      <c r="O6424" s="13"/>
      <c r="P6424" s="14">
        <v>0</v>
      </c>
      <c r="Q6424" s="15">
        <v>0.4</v>
      </c>
      <c r="R6424" s="64" t="str">
        <f t="shared" si="550"/>
        <v>RUIJIE</v>
      </c>
    </row>
    <row r="6425" spans="1:28" ht="27" customHeight="1" x14ac:dyDescent="0.25">
      <c r="A6425" s="32" t="s">
        <v>2095</v>
      </c>
      <c r="H6425" s="32" t="s">
        <v>13227</v>
      </c>
      <c r="I6425" s="33" t="s">
        <v>13228</v>
      </c>
      <c r="J6425" s="34" t="s">
        <v>33</v>
      </c>
      <c r="K6425" s="77">
        <v>36400</v>
      </c>
      <c r="L6425" s="12">
        <f>ROUNDUP(K6425*(1+P6425)/(1-Q6425),0)</f>
        <v>52000</v>
      </c>
      <c r="M6425" s="8">
        <v>1</v>
      </c>
      <c r="N6425" s="8" t="s">
        <v>27</v>
      </c>
      <c r="O6425" s="13"/>
      <c r="P6425" s="14">
        <v>0</v>
      </c>
      <c r="Q6425" s="15">
        <v>0.3</v>
      </c>
      <c r="R6425" s="16" t="str">
        <f t="shared" si="550"/>
        <v>ECOLITE</v>
      </c>
    </row>
    <row r="6426" spans="1:28" ht="27" customHeight="1" x14ac:dyDescent="0.25">
      <c r="A6426" s="32" t="s">
        <v>8836</v>
      </c>
      <c r="H6426" s="32" t="s">
        <v>13229</v>
      </c>
      <c r="I6426" s="33" t="s">
        <v>13230</v>
      </c>
      <c r="J6426" s="34" t="s">
        <v>33</v>
      </c>
      <c r="K6426" s="77">
        <v>10104</v>
      </c>
      <c r="L6426" s="12">
        <f t="shared" ref="L6426:L6433" si="551">K6426*(1+P6426)/(1-Q6426)</f>
        <v>12630</v>
      </c>
      <c r="M6426" s="8">
        <v>1</v>
      </c>
      <c r="N6426" s="8" t="s">
        <v>27</v>
      </c>
      <c r="O6426" s="13"/>
      <c r="P6426" s="14">
        <v>0</v>
      </c>
      <c r="Q6426" s="15">
        <v>0.2</v>
      </c>
      <c r="R6426" s="40" t="str">
        <f t="shared" si="550"/>
        <v>TECNOLITE</v>
      </c>
    </row>
    <row r="6427" spans="1:28" ht="27" customHeight="1" x14ac:dyDescent="0.25">
      <c r="A6427" s="32" t="s">
        <v>2095</v>
      </c>
      <c r="H6427" s="32" t="s">
        <v>13231</v>
      </c>
      <c r="I6427" s="33" t="s">
        <v>12155</v>
      </c>
      <c r="J6427" s="34" t="s">
        <v>33</v>
      </c>
      <c r="K6427" s="77">
        <f>93146</f>
        <v>93146</v>
      </c>
      <c r="L6427" s="12">
        <f t="shared" si="551"/>
        <v>116432.5</v>
      </c>
      <c r="M6427" s="8">
        <v>1</v>
      </c>
      <c r="N6427" s="8" t="s">
        <v>27</v>
      </c>
      <c r="O6427" s="13"/>
      <c r="P6427" s="14">
        <v>0</v>
      </c>
      <c r="Q6427" s="15">
        <v>0.2</v>
      </c>
      <c r="R6427" s="40" t="str">
        <f t="shared" si="550"/>
        <v>ECOLITE</v>
      </c>
    </row>
    <row r="6428" spans="1:28" ht="27" customHeight="1" x14ac:dyDescent="0.25">
      <c r="A6428" s="32" t="s">
        <v>38</v>
      </c>
      <c r="H6428" s="32" t="s">
        <v>13232</v>
      </c>
      <c r="I6428" s="33" t="s">
        <v>13233</v>
      </c>
      <c r="J6428" s="34" t="s">
        <v>26</v>
      </c>
      <c r="K6428" s="77">
        <v>986</v>
      </c>
      <c r="L6428" s="12">
        <f t="shared" si="551"/>
        <v>1408.5714285714287</v>
      </c>
      <c r="M6428" s="8">
        <v>1</v>
      </c>
      <c r="N6428" s="8" t="s">
        <v>27</v>
      </c>
      <c r="O6428" s="13"/>
      <c r="P6428" s="14">
        <v>0</v>
      </c>
      <c r="Q6428" s="15">
        <v>0.3</v>
      </c>
      <c r="R6428" s="40" t="str">
        <f t="shared" si="550"/>
        <v>CONTROL4</v>
      </c>
    </row>
    <row r="6429" spans="1:28" ht="27" customHeight="1" x14ac:dyDescent="0.25">
      <c r="A6429" s="32" t="s">
        <v>3694</v>
      </c>
      <c r="H6429" s="32" t="s">
        <v>13234</v>
      </c>
      <c r="I6429" s="33" t="s">
        <v>13235</v>
      </c>
      <c r="J6429" s="34" t="s">
        <v>33</v>
      </c>
      <c r="K6429" s="77">
        <v>538080</v>
      </c>
      <c r="L6429" s="12">
        <f t="shared" si="551"/>
        <v>768685.71428571432</v>
      </c>
      <c r="M6429" s="8">
        <v>1</v>
      </c>
      <c r="N6429" s="8" t="s">
        <v>27</v>
      </c>
      <c r="O6429" s="13"/>
      <c r="P6429" s="14">
        <v>0</v>
      </c>
      <c r="Q6429" s="15">
        <v>0.3</v>
      </c>
      <c r="R6429" s="40" t="str">
        <f t="shared" si="550"/>
        <v>IMOU</v>
      </c>
    </row>
    <row r="6430" spans="1:28" ht="27" customHeight="1" x14ac:dyDescent="0.25">
      <c r="A6430" s="32" t="s">
        <v>6917</v>
      </c>
      <c r="H6430" s="32" t="s">
        <v>13236</v>
      </c>
      <c r="I6430" s="33" t="s">
        <v>13237</v>
      </c>
      <c r="J6430" s="34" t="s">
        <v>33</v>
      </c>
      <c r="K6430" s="77">
        <v>382400</v>
      </c>
      <c r="L6430" s="12">
        <f t="shared" si="551"/>
        <v>546285.71428571432</v>
      </c>
      <c r="M6430" s="8">
        <v>1</v>
      </c>
      <c r="N6430" s="8" t="s">
        <v>27</v>
      </c>
      <c r="O6430" s="13"/>
      <c r="P6430" s="14">
        <v>0</v>
      </c>
      <c r="Q6430" s="15">
        <v>0.3</v>
      </c>
      <c r="R6430" s="40" t="str">
        <f t="shared" si="550"/>
        <v>MICRONET</v>
      </c>
    </row>
    <row r="6431" spans="1:28" ht="27" customHeight="1" x14ac:dyDescent="0.25">
      <c r="A6431" s="32" t="s">
        <v>2512</v>
      </c>
      <c r="H6431" s="32" t="s">
        <v>13238</v>
      </c>
      <c r="I6431" s="33" t="s">
        <v>13239</v>
      </c>
      <c r="J6431" s="34" t="s">
        <v>33</v>
      </c>
      <c r="K6431" s="77">
        <v>12000</v>
      </c>
      <c r="L6431" s="12">
        <f t="shared" si="551"/>
        <v>18461.538461538461</v>
      </c>
      <c r="M6431" s="8">
        <v>1</v>
      </c>
      <c r="N6431" s="8" t="s">
        <v>27</v>
      </c>
      <c r="O6431" s="13"/>
      <c r="P6431" s="14">
        <v>0</v>
      </c>
      <c r="Q6431" s="15">
        <v>0.35</v>
      </c>
      <c r="R6431" s="40" t="str">
        <f t="shared" si="550"/>
        <v>GENERAL</v>
      </c>
    </row>
    <row r="6432" spans="1:28" ht="27" customHeight="1" x14ac:dyDescent="0.25">
      <c r="A6432" s="32" t="s">
        <v>3977</v>
      </c>
      <c r="H6432" s="32" t="s">
        <v>13240</v>
      </c>
      <c r="I6432" s="33" t="s">
        <v>13241</v>
      </c>
      <c r="J6432" s="34" t="s">
        <v>26</v>
      </c>
      <c r="K6432" s="77">
        <v>2500000</v>
      </c>
      <c r="L6432" s="12">
        <f t="shared" si="551"/>
        <v>3846153.846153846</v>
      </c>
      <c r="M6432" s="8">
        <v>1</v>
      </c>
      <c r="N6432" s="8" t="s">
        <v>27</v>
      </c>
      <c r="O6432" s="13"/>
      <c r="P6432" s="14">
        <v>0</v>
      </c>
      <c r="Q6432" s="15">
        <v>0.35</v>
      </c>
      <c r="R6432" s="40" t="str">
        <f t="shared" si="550"/>
        <v>KOMODO</v>
      </c>
    </row>
    <row r="6433" spans="1:18" ht="27" customHeight="1" x14ac:dyDescent="0.25">
      <c r="A6433" s="32" t="s">
        <v>2512</v>
      </c>
      <c r="H6433" t="s">
        <v>13242</v>
      </c>
      <c r="I6433" s="33" t="s">
        <v>13243</v>
      </c>
      <c r="J6433" s="34" t="s">
        <v>33</v>
      </c>
      <c r="K6433" s="77">
        <v>99000</v>
      </c>
      <c r="L6433" s="12">
        <f t="shared" si="551"/>
        <v>152307.69230769231</v>
      </c>
      <c r="M6433" s="8">
        <v>1</v>
      </c>
      <c r="N6433" s="8" t="s">
        <v>27</v>
      </c>
      <c r="O6433" s="13"/>
      <c r="P6433" s="14">
        <v>0</v>
      </c>
      <c r="Q6433" s="15">
        <v>0.35</v>
      </c>
      <c r="R6433" s="40" t="str">
        <f t="shared" si="550"/>
        <v>GENERAL</v>
      </c>
    </row>
    <row r="6434" spans="1:18" ht="27" customHeight="1" x14ac:dyDescent="0.25">
      <c r="A6434" s="8" t="s">
        <v>2413</v>
      </c>
      <c r="B6434" s="9"/>
      <c r="C6434" s="9"/>
      <c r="D6434" s="8"/>
      <c r="E6434" s="8"/>
      <c r="F6434" s="8" t="s">
        <v>22</v>
      </c>
      <c r="G6434" s="10" t="s">
        <v>2414</v>
      </c>
      <c r="H6434" s="8" t="s">
        <v>13244</v>
      </c>
      <c r="I6434" s="10" t="s">
        <v>13245</v>
      </c>
      <c r="J6434" s="11" t="s">
        <v>26</v>
      </c>
      <c r="K6434" s="18">
        <v>146.85</v>
      </c>
      <c r="L6434" s="12">
        <v>234.96</v>
      </c>
      <c r="M6434" s="8">
        <v>1</v>
      </c>
      <c r="N6434" s="8" t="s">
        <v>27</v>
      </c>
      <c r="O6434" s="13"/>
      <c r="P6434" s="14">
        <v>0.2</v>
      </c>
      <c r="Q6434" s="15">
        <v>0.25</v>
      </c>
      <c r="R6434" s="16" t="s">
        <v>2413</v>
      </c>
    </row>
    <row r="6435" spans="1:18" ht="27" customHeight="1" x14ac:dyDescent="0.25">
      <c r="A6435" s="8" t="s">
        <v>2413</v>
      </c>
      <c r="B6435" s="9"/>
      <c r="C6435" s="9"/>
      <c r="D6435" s="8"/>
      <c r="E6435" s="8"/>
      <c r="F6435" s="8" t="s">
        <v>22</v>
      </c>
      <c r="G6435" s="10" t="s">
        <v>2416</v>
      </c>
      <c r="H6435" s="8" t="s">
        <v>13246</v>
      </c>
      <c r="I6435" s="10" t="s">
        <v>13247</v>
      </c>
      <c r="J6435" s="11" t="s">
        <v>26</v>
      </c>
      <c r="K6435" s="18">
        <v>146.85</v>
      </c>
      <c r="L6435" s="12">
        <v>234.96</v>
      </c>
      <c r="M6435" s="8">
        <v>2</v>
      </c>
      <c r="N6435" s="8" t="s">
        <v>27</v>
      </c>
      <c r="O6435" s="13"/>
      <c r="P6435" s="14">
        <v>0.2</v>
      </c>
      <c r="Q6435" s="15">
        <v>0.25</v>
      </c>
      <c r="R6435" s="16" t="s">
        <v>2413</v>
      </c>
    </row>
    <row r="6436" spans="1:18" ht="27" customHeight="1" x14ac:dyDescent="0.25">
      <c r="A6436" s="8" t="s">
        <v>2413</v>
      </c>
      <c r="B6436" s="9"/>
      <c r="C6436" s="9"/>
      <c r="D6436" s="8"/>
      <c r="E6436" s="8"/>
      <c r="F6436" s="8"/>
      <c r="G6436" s="10"/>
      <c r="H6436" s="8" t="s">
        <v>13248</v>
      </c>
      <c r="I6436" s="10" t="s">
        <v>13249</v>
      </c>
      <c r="J6436" s="11" t="s">
        <v>10321</v>
      </c>
      <c r="K6436" s="18">
        <v>30.6</v>
      </c>
      <c r="L6436" s="12">
        <v>61.200065589572823</v>
      </c>
      <c r="M6436" s="8">
        <v>1</v>
      </c>
      <c r="N6436" s="8" t="s">
        <v>27</v>
      </c>
      <c r="O6436" s="13"/>
      <c r="P6436" s="14">
        <v>0.35</v>
      </c>
      <c r="Q6436" s="15">
        <v>0.32500072341363068</v>
      </c>
      <c r="R6436" s="16" t="s">
        <v>2413</v>
      </c>
    </row>
    <row r="6437" spans="1:18" ht="27" customHeight="1" x14ac:dyDescent="0.25">
      <c r="A6437" s="8" t="s">
        <v>2413</v>
      </c>
      <c r="B6437" s="9"/>
      <c r="C6437" s="9"/>
      <c r="D6437" s="8"/>
      <c r="E6437" s="8"/>
      <c r="F6437" s="8"/>
      <c r="G6437" s="10"/>
      <c r="H6437" s="8" t="s">
        <v>13250</v>
      </c>
      <c r="I6437" s="10" t="s">
        <v>13251</v>
      </c>
      <c r="J6437" s="11" t="s">
        <v>10321</v>
      </c>
      <c r="K6437" s="18">
        <v>40.299999999999997</v>
      </c>
      <c r="L6437" s="12">
        <v>80.600086381038707</v>
      </c>
      <c r="M6437" s="8">
        <v>1</v>
      </c>
      <c r="N6437" s="8" t="s">
        <v>27</v>
      </c>
      <c r="O6437" s="13"/>
      <c r="P6437" s="14">
        <v>0.35</v>
      </c>
      <c r="Q6437" s="15">
        <v>0.32500072341363068</v>
      </c>
      <c r="R6437" s="16" t="s">
        <v>2413</v>
      </c>
    </row>
    <row r="6438" spans="1:18" ht="27" customHeight="1" x14ac:dyDescent="0.25">
      <c r="A6438" s="8" t="s">
        <v>2413</v>
      </c>
      <c r="B6438" s="9"/>
      <c r="C6438" s="9"/>
      <c r="D6438" s="8"/>
      <c r="E6438" s="8"/>
      <c r="F6438" s="8"/>
      <c r="G6438" s="10"/>
      <c r="H6438" s="8" t="s">
        <v>13252</v>
      </c>
      <c r="I6438" s="10" t="s">
        <v>13253</v>
      </c>
      <c r="J6438" s="11" t="s">
        <v>10321</v>
      </c>
      <c r="K6438" s="18">
        <v>74.5</v>
      </c>
      <c r="L6438" s="12">
        <v>149.0001596870319</v>
      </c>
      <c r="M6438" s="8">
        <v>1</v>
      </c>
      <c r="N6438" s="8" t="s">
        <v>27</v>
      </c>
      <c r="O6438" s="13"/>
      <c r="P6438" s="14">
        <v>0.35</v>
      </c>
      <c r="Q6438" s="15">
        <v>0.32500072341363068</v>
      </c>
      <c r="R6438" s="16" t="s">
        <v>2413</v>
      </c>
    </row>
    <row r="6439" spans="1:18" ht="27" customHeight="1" x14ac:dyDescent="0.25">
      <c r="A6439" s="8" t="s">
        <v>2413</v>
      </c>
      <c r="B6439" s="9"/>
      <c r="C6439" s="9"/>
      <c r="D6439" s="8"/>
      <c r="E6439" s="8"/>
      <c r="F6439" s="8"/>
      <c r="G6439" s="10"/>
      <c r="H6439" s="8" t="s">
        <v>13254</v>
      </c>
      <c r="I6439" s="10" t="s">
        <v>13255</v>
      </c>
      <c r="J6439" s="11" t="s">
        <v>10321</v>
      </c>
      <c r="K6439" s="18">
        <v>71.5</v>
      </c>
      <c r="L6439" s="12">
        <v>143.00015325668161</v>
      </c>
      <c r="M6439" s="8">
        <v>1</v>
      </c>
      <c r="N6439" s="8" t="s">
        <v>27</v>
      </c>
      <c r="O6439" s="13"/>
      <c r="P6439" s="14">
        <v>0.35</v>
      </c>
      <c r="Q6439" s="15">
        <v>0.32500072341363068</v>
      </c>
      <c r="R6439" s="16" t="s">
        <v>2413</v>
      </c>
    </row>
    <row r="6440" spans="1:18" ht="27" customHeight="1" x14ac:dyDescent="0.25">
      <c r="A6440" s="8" t="s">
        <v>2413</v>
      </c>
      <c r="B6440" s="9"/>
      <c r="C6440" s="9"/>
      <c r="D6440" s="8"/>
      <c r="E6440" s="8"/>
      <c r="F6440" s="8"/>
      <c r="G6440" s="10"/>
      <c r="H6440" s="8" t="s">
        <v>13256</v>
      </c>
      <c r="I6440" s="10" t="s">
        <v>13257</v>
      </c>
      <c r="J6440" s="11" t="s">
        <v>10321</v>
      </c>
      <c r="K6440" s="18">
        <v>96.9</v>
      </c>
      <c r="L6440" s="12">
        <v>193.80020770031399</v>
      </c>
      <c r="M6440" s="8">
        <v>1</v>
      </c>
      <c r="N6440" s="8" t="s">
        <v>27</v>
      </c>
      <c r="O6440" s="13"/>
      <c r="P6440" s="14">
        <v>0.35</v>
      </c>
      <c r="Q6440" s="15">
        <v>0.32500072341363068</v>
      </c>
      <c r="R6440" s="16" t="s">
        <v>2413</v>
      </c>
    </row>
    <row r="6441" spans="1:18" ht="27" customHeight="1" x14ac:dyDescent="0.25">
      <c r="A6441" s="8" t="s">
        <v>2413</v>
      </c>
      <c r="B6441" s="9"/>
      <c r="C6441" s="9"/>
      <c r="D6441" s="8"/>
      <c r="E6441" s="8"/>
      <c r="F6441" s="8"/>
      <c r="G6441" s="10"/>
      <c r="H6441" s="8" t="s">
        <v>13258</v>
      </c>
      <c r="I6441" s="10" t="s">
        <v>13259</v>
      </c>
      <c r="J6441" s="11" t="s">
        <v>10321</v>
      </c>
      <c r="K6441" s="18">
        <v>55</v>
      </c>
      <c r="L6441" s="12">
        <v>110.0001178897551</v>
      </c>
      <c r="M6441" s="8">
        <v>1</v>
      </c>
      <c r="N6441" s="8" t="s">
        <v>27</v>
      </c>
      <c r="O6441" s="13"/>
      <c r="P6441" s="14">
        <v>0.35</v>
      </c>
      <c r="Q6441" s="15">
        <v>0.32500072341363068</v>
      </c>
      <c r="R6441" s="16" t="s">
        <v>2413</v>
      </c>
    </row>
    <row r="6442" spans="1:18" ht="27" customHeight="1" x14ac:dyDescent="0.25">
      <c r="A6442" s="8" t="s">
        <v>2413</v>
      </c>
      <c r="B6442" s="9"/>
      <c r="C6442" s="9"/>
      <c r="D6442" s="8"/>
      <c r="E6442" s="8"/>
      <c r="F6442" s="8"/>
      <c r="G6442" s="10"/>
      <c r="H6442" s="8" t="s">
        <v>13260</v>
      </c>
      <c r="I6442" s="10" t="s">
        <v>13261</v>
      </c>
      <c r="J6442" s="11" t="s">
        <v>10321</v>
      </c>
      <c r="K6442" s="18">
        <v>6.65</v>
      </c>
      <c r="L6442" s="12">
        <v>13.300014253943109</v>
      </c>
      <c r="M6442" s="8">
        <v>1</v>
      </c>
      <c r="N6442" s="8" t="s">
        <v>27</v>
      </c>
      <c r="O6442" s="13"/>
      <c r="P6442" s="14">
        <v>0.35</v>
      </c>
      <c r="Q6442" s="15">
        <v>0.32500072341363068</v>
      </c>
      <c r="R6442" s="16" t="s">
        <v>2413</v>
      </c>
    </row>
    <row r="6443" spans="1:18" ht="27" customHeight="1" x14ac:dyDescent="0.25">
      <c r="A6443" s="8" t="s">
        <v>2413</v>
      </c>
      <c r="B6443" s="9"/>
      <c r="C6443" s="9"/>
      <c r="D6443" s="8"/>
      <c r="E6443" s="8"/>
      <c r="F6443" s="8"/>
      <c r="G6443" s="10"/>
      <c r="H6443" s="8" t="s">
        <v>13262</v>
      </c>
      <c r="I6443" s="10" t="s">
        <v>13263</v>
      </c>
      <c r="J6443" s="11" t="s">
        <v>10321</v>
      </c>
      <c r="K6443" s="18">
        <v>13.25</v>
      </c>
      <c r="L6443" s="12">
        <v>26.50002840071372</v>
      </c>
      <c r="M6443" s="8">
        <v>1</v>
      </c>
      <c r="N6443" s="8" t="s">
        <v>27</v>
      </c>
      <c r="O6443" s="13"/>
      <c r="P6443" s="14">
        <v>0.35</v>
      </c>
      <c r="Q6443" s="15">
        <v>0.32500072341363068</v>
      </c>
      <c r="R6443" s="16" t="s">
        <v>2413</v>
      </c>
    </row>
    <row r="6444" spans="1:18" ht="27" customHeight="1" x14ac:dyDescent="0.25">
      <c r="A6444" s="8" t="s">
        <v>2413</v>
      </c>
      <c r="B6444" s="9"/>
      <c r="C6444" s="9"/>
      <c r="D6444" s="8"/>
      <c r="E6444" s="8"/>
      <c r="F6444" s="8"/>
      <c r="G6444" s="10"/>
      <c r="H6444" s="8" t="s">
        <v>13264</v>
      </c>
      <c r="I6444" s="10" t="s">
        <v>13265</v>
      </c>
      <c r="J6444" s="11" t="s">
        <v>10321</v>
      </c>
      <c r="K6444" s="18">
        <v>18.350000000000001</v>
      </c>
      <c r="L6444" s="12">
        <v>36.700039332309203</v>
      </c>
      <c r="M6444" s="8">
        <v>1</v>
      </c>
      <c r="N6444" s="8" t="s">
        <v>27</v>
      </c>
      <c r="O6444" s="13"/>
      <c r="P6444" s="14">
        <v>0.35</v>
      </c>
      <c r="Q6444" s="15">
        <v>0.32500072341363068</v>
      </c>
      <c r="R6444" s="16" t="s">
        <v>2413</v>
      </c>
    </row>
    <row r="6445" spans="1:18" ht="27" customHeight="1" x14ac:dyDescent="0.25">
      <c r="A6445" s="8" t="s">
        <v>2413</v>
      </c>
      <c r="B6445" s="9"/>
      <c r="C6445" s="9"/>
      <c r="D6445" s="8"/>
      <c r="E6445" s="8"/>
      <c r="F6445" s="8"/>
      <c r="G6445" s="10"/>
      <c r="H6445" s="8" t="s">
        <v>13266</v>
      </c>
      <c r="I6445" s="10" t="s">
        <v>13261</v>
      </c>
      <c r="J6445" s="11" t="s">
        <v>10321</v>
      </c>
      <c r="K6445" s="18">
        <v>15.3</v>
      </c>
      <c r="L6445" s="12">
        <v>30.600032794786411</v>
      </c>
      <c r="M6445" s="8">
        <v>1</v>
      </c>
      <c r="N6445" s="8" t="s">
        <v>27</v>
      </c>
      <c r="O6445" s="13"/>
      <c r="P6445" s="14">
        <v>0.35</v>
      </c>
      <c r="Q6445" s="15">
        <v>0.32500072341363068</v>
      </c>
      <c r="R6445" s="16" t="s">
        <v>2413</v>
      </c>
    </row>
    <row r="6446" spans="1:18" ht="27" customHeight="1" x14ac:dyDescent="0.25">
      <c r="A6446" s="8" t="s">
        <v>2413</v>
      </c>
      <c r="B6446" s="9"/>
      <c r="C6446" s="9"/>
      <c r="D6446" s="8"/>
      <c r="E6446" s="8"/>
      <c r="F6446" s="8"/>
      <c r="G6446" s="10"/>
      <c r="H6446" s="8" t="s">
        <v>13267</v>
      </c>
      <c r="I6446" s="10" t="s">
        <v>13261</v>
      </c>
      <c r="J6446" s="11" t="s">
        <v>10321</v>
      </c>
      <c r="K6446" s="18">
        <v>8.1</v>
      </c>
      <c r="L6446" s="12">
        <v>16.200017361945751</v>
      </c>
      <c r="M6446" s="8">
        <v>1</v>
      </c>
      <c r="N6446" s="8" t="s">
        <v>27</v>
      </c>
      <c r="O6446" s="13"/>
      <c r="P6446" s="14">
        <v>0.35</v>
      </c>
      <c r="Q6446" s="15">
        <v>0.32500072341363068</v>
      </c>
      <c r="R6446" s="16" t="s">
        <v>2413</v>
      </c>
    </row>
    <row r="6447" spans="1:18" ht="27" customHeight="1" x14ac:dyDescent="0.25">
      <c r="A6447" s="8" t="s">
        <v>2413</v>
      </c>
      <c r="B6447" s="9"/>
      <c r="C6447" s="9"/>
      <c r="D6447" s="8"/>
      <c r="E6447" s="8"/>
      <c r="F6447" s="8"/>
      <c r="G6447" s="10"/>
      <c r="H6447" s="8" t="s">
        <v>13268</v>
      </c>
      <c r="I6447" s="10" t="s">
        <v>13261</v>
      </c>
      <c r="J6447" s="11" t="s">
        <v>10321</v>
      </c>
      <c r="K6447" s="18">
        <v>7.75</v>
      </c>
      <c r="L6447" s="12">
        <v>15.500016611738211</v>
      </c>
      <c r="M6447" s="8">
        <v>1</v>
      </c>
      <c r="N6447" s="8" t="s">
        <v>27</v>
      </c>
      <c r="O6447" s="13"/>
      <c r="P6447" s="14">
        <v>0.35</v>
      </c>
      <c r="Q6447" s="15">
        <v>0.32500072341363068</v>
      </c>
      <c r="R6447" s="16" t="s">
        <v>2413</v>
      </c>
    </row>
    <row r="6448" spans="1:18" ht="27" customHeight="1" x14ac:dyDescent="0.25">
      <c r="A6448" s="8" t="s">
        <v>2413</v>
      </c>
      <c r="B6448" s="9"/>
      <c r="C6448" s="9"/>
      <c r="D6448" s="8"/>
      <c r="E6448" s="8"/>
      <c r="F6448" s="8"/>
      <c r="G6448" s="10"/>
      <c r="H6448" s="8" t="s">
        <v>13269</v>
      </c>
      <c r="I6448" s="10" t="s">
        <v>13270</v>
      </c>
      <c r="J6448" s="11" t="s">
        <v>10321</v>
      </c>
      <c r="K6448" s="18">
        <v>63</v>
      </c>
      <c r="L6448" s="12">
        <v>126.0001350373558</v>
      </c>
      <c r="M6448" s="8">
        <v>1</v>
      </c>
      <c r="N6448" s="8" t="s">
        <v>27</v>
      </c>
      <c r="O6448" s="13"/>
      <c r="P6448" s="14">
        <v>0.35</v>
      </c>
      <c r="Q6448" s="15">
        <v>0.32500072341363068</v>
      </c>
      <c r="R6448" s="16" t="s">
        <v>2413</v>
      </c>
    </row>
    <row r="6449" spans="1:18" ht="27" customHeight="1" x14ac:dyDescent="0.25">
      <c r="A6449" s="8" t="s">
        <v>2413</v>
      </c>
      <c r="B6449" s="9"/>
      <c r="C6449" s="9"/>
      <c r="D6449" s="8"/>
      <c r="E6449" s="8"/>
      <c r="F6449" s="8"/>
      <c r="G6449" s="10"/>
      <c r="H6449" s="8" t="s">
        <v>13271</v>
      </c>
      <c r="I6449" s="10" t="s">
        <v>13272</v>
      </c>
      <c r="J6449" s="11" t="s">
        <v>10321</v>
      </c>
      <c r="K6449" s="18">
        <v>63</v>
      </c>
      <c r="L6449" s="12">
        <v>126.0001350373558</v>
      </c>
      <c r="M6449" s="8">
        <v>1</v>
      </c>
      <c r="N6449" s="8" t="s">
        <v>27</v>
      </c>
      <c r="O6449" s="13"/>
      <c r="P6449" s="14">
        <v>0.35</v>
      </c>
      <c r="Q6449" s="15">
        <v>0.32500072341363068</v>
      </c>
      <c r="R6449" s="16" t="s">
        <v>2413</v>
      </c>
    </row>
    <row r="6450" spans="1:18" ht="27" customHeight="1" x14ac:dyDescent="0.25">
      <c r="A6450" s="8" t="s">
        <v>2413</v>
      </c>
      <c r="B6450" s="9"/>
      <c r="C6450" s="9"/>
      <c r="D6450" s="8"/>
      <c r="E6450" s="8"/>
      <c r="F6450" s="8"/>
      <c r="G6450" s="10"/>
      <c r="H6450" s="8" t="s">
        <v>13273</v>
      </c>
      <c r="I6450" s="10" t="s">
        <v>13274</v>
      </c>
      <c r="J6450" s="11" t="s">
        <v>10321</v>
      </c>
      <c r="K6450" s="18">
        <v>76.5</v>
      </c>
      <c r="L6450" s="12">
        <v>153.00016397393199</v>
      </c>
      <c r="M6450" s="8">
        <v>1</v>
      </c>
      <c r="N6450" s="8" t="s">
        <v>27</v>
      </c>
      <c r="O6450" s="13"/>
      <c r="P6450" s="14">
        <v>0.35</v>
      </c>
      <c r="Q6450" s="15">
        <v>0.32500072341363068</v>
      </c>
      <c r="R6450" s="16" t="s">
        <v>2413</v>
      </c>
    </row>
    <row r="6451" spans="1:18" ht="27" customHeight="1" x14ac:dyDescent="0.25">
      <c r="A6451" s="8" t="s">
        <v>2413</v>
      </c>
      <c r="B6451" s="9"/>
      <c r="C6451" s="9"/>
      <c r="D6451" s="8"/>
      <c r="E6451" s="8"/>
      <c r="F6451" s="8"/>
      <c r="G6451" s="10"/>
      <c r="H6451" s="8" t="s">
        <v>13275</v>
      </c>
      <c r="I6451" s="10" t="s">
        <v>13274</v>
      </c>
      <c r="J6451" s="11" t="s">
        <v>10321</v>
      </c>
      <c r="K6451" s="18">
        <v>76.5</v>
      </c>
      <c r="L6451" s="12">
        <v>153.00016397393199</v>
      </c>
      <c r="M6451" s="8">
        <v>1</v>
      </c>
      <c r="N6451" s="8" t="s">
        <v>27</v>
      </c>
      <c r="O6451" s="13"/>
      <c r="P6451" s="14">
        <v>0.35</v>
      </c>
      <c r="Q6451" s="15">
        <v>0.32500072341363068</v>
      </c>
      <c r="R6451" s="16" t="s">
        <v>2413</v>
      </c>
    </row>
    <row r="6452" spans="1:18" ht="27" customHeight="1" x14ac:dyDescent="0.25">
      <c r="A6452" s="32" t="s">
        <v>2413</v>
      </c>
      <c r="H6452" t="s">
        <v>13276</v>
      </c>
      <c r="I6452" s="33" t="s">
        <v>4781</v>
      </c>
      <c r="J6452" s="34" t="s">
        <v>26</v>
      </c>
      <c r="K6452" s="76">
        <v>58.76</v>
      </c>
      <c r="L6452" s="12">
        <v>117.52000713262881</v>
      </c>
      <c r="M6452" s="8">
        <v>1</v>
      </c>
      <c r="N6452" s="8" t="s">
        <v>27</v>
      </c>
      <c r="O6452" s="13"/>
      <c r="P6452" s="14">
        <v>0.25</v>
      </c>
      <c r="Q6452" s="15">
        <v>0.37500003793305592</v>
      </c>
      <c r="R6452" s="16" t="s">
        <v>2413</v>
      </c>
    </row>
    <row r="6453" spans="1:18" ht="27" customHeight="1" x14ac:dyDescent="0.25">
      <c r="A6453" s="32" t="s">
        <v>2413</v>
      </c>
      <c r="H6453" t="s">
        <v>13277</v>
      </c>
      <c r="I6453" s="10" t="s">
        <v>13261</v>
      </c>
      <c r="J6453" s="11" t="s">
        <v>26</v>
      </c>
      <c r="K6453" s="18">
        <v>9.375</v>
      </c>
      <c r="L6453" s="12">
        <v>18.750020094844611</v>
      </c>
      <c r="M6453" s="8">
        <v>1</v>
      </c>
      <c r="N6453" s="8" t="s">
        <v>27</v>
      </c>
      <c r="O6453" s="13"/>
      <c r="P6453" s="14">
        <v>0.35</v>
      </c>
      <c r="Q6453" s="15">
        <v>0.32500072341363068</v>
      </c>
      <c r="R6453" s="16" t="s">
        <v>2413</v>
      </c>
    </row>
    <row r="6454" spans="1:18" ht="27" customHeight="1" x14ac:dyDescent="0.25">
      <c r="A6454" s="32" t="s">
        <v>2413</v>
      </c>
      <c r="H6454" t="s">
        <v>13278</v>
      </c>
      <c r="I6454" s="33" t="s">
        <v>13279</v>
      </c>
      <c r="J6454" s="11" t="s">
        <v>26</v>
      </c>
      <c r="K6454" s="18">
        <v>160.46</v>
      </c>
      <c r="L6454" s="12">
        <v>320.92034393800179</v>
      </c>
      <c r="M6454" s="8">
        <v>1</v>
      </c>
      <c r="N6454" s="8" t="s">
        <v>27</v>
      </c>
      <c r="O6454" s="13"/>
      <c r="P6454" s="14">
        <v>0.35</v>
      </c>
      <c r="Q6454" s="15">
        <v>0.32500072341363068</v>
      </c>
      <c r="R6454" s="16" t="s">
        <v>2413</v>
      </c>
    </row>
    <row r="6455" spans="1:18" ht="27" customHeight="1" x14ac:dyDescent="0.25">
      <c r="A6455" s="32" t="s">
        <v>2413</v>
      </c>
      <c r="H6455" t="s">
        <v>13280</v>
      </c>
      <c r="I6455" s="33" t="s">
        <v>13281</v>
      </c>
      <c r="J6455" s="11" t="s">
        <v>26</v>
      </c>
      <c r="K6455" s="18">
        <v>39.549999999999997</v>
      </c>
      <c r="L6455" s="12">
        <v>79.10008477345113</v>
      </c>
      <c r="M6455" s="8">
        <v>1</v>
      </c>
      <c r="N6455" s="8" t="s">
        <v>27</v>
      </c>
      <c r="O6455" s="13"/>
      <c r="P6455" s="14">
        <v>0.35</v>
      </c>
      <c r="Q6455" s="15">
        <v>0.32500072341363068</v>
      </c>
      <c r="R6455" s="16" t="s">
        <v>2413</v>
      </c>
    </row>
    <row r="6456" spans="1:18" ht="27" customHeight="1" x14ac:dyDescent="0.25">
      <c r="A6456" s="32" t="s">
        <v>2413</v>
      </c>
      <c r="H6456" t="s">
        <v>13282</v>
      </c>
      <c r="I6456" s="33" t="s">
        <v>13283</v>
      </c>
      <c r="J6456" s="11" t="s">
        <v>26</v>
      </c>
      <c r="K6456" s="18">
        <v>85.314999999999998</v>
      </c>
      <c r="L6456" s="12">
        <v>170.63018286844459</v>
      </c>
      <c r="M6456" s="8">
        <v>1</v>
      </c>
      <c r="N6456" s="8" t="s">
        <v>27</v>
      </c>
      <c r="O6456" s="13"/>
      <c r="P6456" s="14">
        <v>0.35</v>
      </c>
      <c r="Q6456" s="15">
        <v>0.32500072341363068</v>
      </c>
      <c r="R6456" s="16" t="s">
        <v>2413</v>
      </c>
    </row>
    <row r="6457" spans="1:18" ht="27" customHeight="1" x14ac:dyDescent="0.25">
      <c r="A6457" s="32" t="s">
        <v>2413</v>
      </c>
      <c r="H6457" t="s">
        <v>13284</v>
      </c>
      <c r="I6457" s="33" t="s">
        <v>13285</v>
      </c>
      <c r="J6457" s="11" t="s">
        <v>26</v>
      </c>
      <c r="K6457" s="18">
        <v>16.045000000000002</v>
      </c>
      <c r="L6457" s="12">
        <v>32.090034391656729</v>
      </c>
      <c r="M6457" s="8">
        <v>1</v>
      </c>
      <c r="N6457" s="8" t="s">
        <v>27</v>
      </c>
      <c r="O6457" s="13"/>
      <c r="P6457" s="14">
        <v>0.35</v>
      </c>
      <c r="Q6457" s="15">
        <v>0.32500072341363068</v>
      </c>
      <c r="R6457" s="16" t="s">
        <v>2413</v>
      </c>
    </row>
    <row r="6458" spans="1:18" ht="27" customHeight="1" x14ac:dyDescent="0.25">
      <c r="A6458" s="32" t="s">
        <v>2413</v>
      </c>
      <c r="H6458" t="s">
        <v>13286</v>
      </c>
      <c r="I6458" s="33" t="s">
        <v>13287</v>
      </c>
      <c r="J6458" s="11" t="s">
        <v>26</v>
      </c>
      <c r="K6458" s="18">
        <v>177.97499999999999</v>
      </c>
      <c r="L6458" s="12">
        <v>355.95038148053021</v>
      </c>
      <c r="M6458" s="8">
        <v>1</v>
      </c>
      <c r="N6458" s="8" t="s">
        <v>27</v>
      </c>
      <c r="O6458" s="13"/>
      <c r="P6458" s="14">
        <v>0.35</v>
      </c>
      <c r="Q6458" s="15">
        <v>0.32500072341363068</v>
      </c>
      <c r="R6458" s="16" t="s">
        <v>2413</v>
      </c>
    </row>
    <row r="6459" spans="1:18" ht="27" customHeight="1" x14ac:dyDescent="0.25">
      <c r="A6459" s="32" t="s">
        <v>2413</v>
      </c>
      <c r="H6459" t="s">
        <v>13288</v>
      </c>
      <c r="I6459" t="s">
        <v>13289</v>
      </c>
      <c r="J6459" s="41" t="s">
        <v>26</v>
      </c>
      <c r="K6459" s="47">
        <v>173.45500000000001</v>
      </c>
      <c r="L6459" s="12">
        <v>346.91004327236908</v>
      </c>
      <c r="M6459" s="8">
        <v>1</v>
      </c>
      <c r="N6459" s="8" t="s">
        <v>27</v>
      </c>
      <c r="O6459" s="13"/>
      <c r="P6459" s="14">
        <v>0.25</v>
      </c>
      <c r="Q6459" s="15">
        <v>0.37500007796035661</v>
      </c>
      <c r="R6459" s="40" t="s">
        <v>2413</v>
      </c>
    </row>
    <row r="6460" spans="1:18" ht="27" customHeight="1" x14ac:dyDescent="0.25">
      <c r="A6460" t="s">
        <v>2413</v>
      </c>
      <c r="H6460" s="32" t="s">
        <v>13290</v>
      </c>
      <c r="I6460" t="s">
        <v>13291</v>
      </c>
      <c r="J6460" t="s">
        <v>33</v>
      </c>
      <c r="K6460" s="77">
        <v>700671.5</v>
      </c>
      <c r="L6460" s="12">
        <v>1000960</v>
      </c>
      <c r="M6460" s="8">
        <v>1</v>
      </c>
      <c r="N6460" s="8" t="s">
        <v>27</v>
      </c>
      <c r="O6460" s="13" t="s">
        <v>12056</v>
      </c>
      <c r="P6460" s="14">
        <v>0</v>
      </c>
      <c r="Q6460" s="15">
        <v>0.3</v>
      </c>
      <c r="R6460" s="16" t="s">
        <v>2413</v>
      </c>
    </row>
    <row r="6461" spans="1:18" ht="27" customHeight="1" x14ac:dyDescent="0.25">
      <c r="A6461" t="s">
        <v>2413</v>
      </c>
      <c r="H6461" s="32" t="s">
        <v>13292</v>
      </c>
      <c r="I6461" t="s">
        <v>13293</v>
      </c>
      <c r="J6461" t="s">
        <v>33</v>
      </c>
      <c r="K6461" s="77">
        <v>531200</v>
      </c>
      <c r="L6461" s="12">
        <v>758858</v>
      </c>
      <c r="M6461" s="8">
        <v>1</v>
      </c>
      <c r="N6461" s="8" t="s">
        <v>27</v>
      </c>
      <c r="O6461" s="13" t="s">
        <v>12056</v>
      </c>
      <c r="P6461" s="14">
        <v>0</v>
      </c>
      <c r="Q6461" s="15">
        <v>0.3</v>
      </c>
      <c r="R6461" s="16" t="s">
        <v>2413</v>
      </c>
    </row>
    <row r="6462" spans="1:18" ht="27" customHeight="1" x14ac:dyDescent="0.25">
      <c r="A6462" s="32" t="s">
        <v>3977</v>
      </c>
      <c r="H6462" t="s">
        <v>13294</v>
      </c>
      <c r="I6462" t="s">
        <v>13295</v>
      </c>
      <c r="J6462" s="34" t="s">
        <v>33</v>
      </c>
      <c r="K6462" s="77">
        <v>1000000</v>
      </c>
      <c r="L6462" s="12">
        <f>K6462*(1+P6462)/(1-Q6462)</f>
        <v>1250000</v>
      </c>
      <c r="M6462" s="8">
        <v>1</v>
      </c>
      <c r="N6462" s="8" t="s">
        <v>27</v>
      </c>
      <c r="O6462" s="13"/>
      <c r="P6462" s="14">
        <v>0</v>
      </c>
      <c r="Q6462" s="15">
        <v>0.2</v>
      </c>
      <c r="R6462" s="40" t="str">
        <f t="shared" ref="R6462:R6525" si="552">A6462</f>
        <v>KOMODO</v>
      </c>
    </row>
    <row r="6463" spans="1:18" ht="27" customHeight="1" x14ac:dyDescent="0.25">
      <c r="A6463" s="32" t="s">
        <v>3977</v>
      </c>
      <c r="H6463" s="32" t="s">
        <v>13296</v>
      </c>
      <c r="I6463" t="s">
        <v>13297</v>
      </c>
      <c r="J6463" s="34" t="s">
        <v>33</v>
      </c>
      <c r="K6463" s="77">
        <v>1000000</v>
      </c>
      <c r="L6463" s="12">
        <f>ROUNDUP(K6463*(1+P6463)/(1-Q6463),0)</f>
        <v>2800000</v>
      </c>
      <c r="M6463" s="8">
        <v>1</v>
      </c>
      <c r="N6463" s="8" t="s">
        <v>27</v>
      </c>
      <c r="O6463" s="13"/>
      <c r="P6463" s="14">
        <v>0.4</v>
      </c>
      <c r="Q6463" s="15">
        <v>0.5</v>
      </c>
      <c r="R6463" s="16" t="str">
        <f t="shared" si="552"/>
        <v>KOMODO</v>
      </c>
    </row>
    <row r="6464" spans="1:18" ht="27" customHeight="1" x14ac:dyDescent="0.25">
      <c r="A6464" s="32" t="s">
        <v>13298</v>
      </c>
      <c r="H6464" s="32" t="s">
        <v>13299</v>
      </c>
      <c r="I6464" t="s">
        <v>13300</v>
      </c>
      <c r="J6464" s="34" t="s">
        <v>26</v>
      </c>
      <c r="K6464" s="77">
        <v>175</v>
      </c>
      <c r="L6464" s="12">
        <f>ROUNDUP(K6464*(1+P6464)/(1-Q6464),0)</f>
        <v>250</v>
      </c>
      <c r="M6464" s="8">
        <v>1</v>
      </c>
      <c r="N6464" s="8" t="s">
        <v>27</v>
      </c>
      <c r="O6464" s="13"/>
      <c r="P6464" s="14">
        <v>0</v>
      </c>
      <c r="Q6464" s="15">
        <v>0.3</v>
      </c>
      <c r="R6464" s="16" t="str">
        <f t="shared" si="552"/>
        <v>CLARE</v>
      </c>
    </row>
    <row r="6465" spans="1:20" ht="27" customHeight="1" x14ac:dyDescent="0.25">
      <c r="A6465" s="32" t="s">
        <v>5672</v>
      </c>
      <c r="H6465" s="32" t="s">
        <v>13301</v>
      </c>
      <c r="I6465" t="s">
        <v>13302</v>
      </c>
      <c r="J6465" t="s">
        <v>26</v>
      </c>
      <c r="K6465" s="77">
        <v>56.1</v>
      </c>
      <c r="L6465" s="12">
        <f>ROUNDUP(K6465*(1+P6465)/(1-Q6465),0)</f>
        <v>113</v>
      </c>
      <c r="M6465" s="8">
        <v>1</v>
      </c>
      <c r="N6465" s="8" t="s">
        <v>27</v>
      </c>
      <c r="O6465" s="13"/>
      <c r="P6465" s="14">
        <v>0.2</v>
      </c>
      <c r="Q6465" s="15">
        <v>0.4</v>
      </c>
      <c r="R6465" s="16" t="str">
        <f t="shared" si="552"/>
        <v>LUTRON</v>
      </c>
    </row>
    <row r="6466" spans="1:20" ht="27" customHeight="1" x14ac:dyDescent="0.25">
      <c r="A6466" s="32" t="s">
        <v>12893</v>
      </c>
      <c r="H6466" s="32" t="s">
        <v>13303</v>
      </c>
      <c r="I6466" s="33" t="s">
        <v>13304</v>
      </c>
      <c r="J6466" s="34" t="s">
        <v>26</v>
      </c>
      <c r="K6466" s="77">
        <v>145</v>
      </c>
      <c r="L6466" s="12">
        <f>(K6466*(1+P6466)/(1-Q6466))</f>
        <v>241.66666666666669</v>
      </c>
      <c r="M6466" s="8">
        <v>1</v>
      </c>
      <c r="N6466" s="8" t="s">
        <v>27</v>
      </c>
      <c r="O6466" s="13"/>
      <c r="P6466" s="14">
        <v>0</v>
      </c>
      <c r="Q6466" s="15">
        <v>0.4</v>
      </c>
      <c r="R6466" s="64" t="str">
        <f t="shared" si="552"/>
        <v>MARTIN_LOGAN</v>
      </c>
    </row>
    <row r="6467" spans="1:20" ht="27" customHeight="1" x14ac:dyDescent="0.25">
      <c r="A6467" s="32" t="s">
        <v>11808</v>
      </c>
      <c r="H6467" s="32" t="s">
        <v>13305</v>
      </c>
      <c r="I6467" s="33" t="s">
        <v>13306</v>
      </c>
      <c r="J6467" s="34" t="s">
        <v>26</v>
      </c>
      <c r="K6467" s="77">
        <v>121.5</v>
      </c>
      <c r="L6467" s="12">
        <f>(K6467*(1+P6467)/(1-Q6467))</f>
        <v>202.5</v>
      </c>
      <c r="M6467" s="8">
        <v>1</v>
      </c>
      <c r="N6467" s="8" t="s">
        <v>27</v>
      </c>
      <c r="O6467" s="13"/>
      <c r="P6467" s="14">
        <v>0</v>
      </c>
      <c r="Q6467" s="15">
        <v>0.4</v>
      </c>
      <c r="R6467" s="64" t="str">
        <f t="shared" si="552"/>
        <v>POLK</v>
      </c>
    </row>
    <row r="6468" spans="1:20" ht="27" customHeight="1" x14ac:dyDescent="0.25">
      <c r="A6468" s="32" t="s">
        <v>7989</v>
      </c>
      <c r="H6468" s="32" t="s">
        <v>13307</v>
      </c>
      <c r="I6468" s="33" t="s">
        <v>13308</v>
      </c>
      <c r="J6468" s="34" t="s">
        <v>26</v>
      </c>
      <c r="K6468" s="77">
        <v>142.5</v>
      </c>
      <c r="L6468" s="12">
        <f>(K6468*(1+P6468)/(1-Q6468))</f>
        <v>237.5</v>
      </c>
      <c r="M6468" s="8">
        <v>1</v>
      </c>
      <c r="N6468" s="8" t="s">
        <v>27</v>
      </c>
      <c r="O6468" s="13"/>
      <c r="P6468" s="14">
        <v>0</v>
      </c>
      <c r="Q6468" s="15">
        <v>0.4</v>
      </c>
      <c r="R6468" s="64" t="str">
        <f t="shared" si="552"/>
        <v>RUSSOUND</v>
      </c>
    </row>
    <row r="6469" spans="1:20" ht="27" customHeight="1" x14ac:dyDescent="0.25">
      <c r="A6469" s="32" t="s">
        <v>12893</v>
      </c>
      <c r="H6469" s="8" t="s">
        <v>13309</v>
      </c>
      <c r="I6469" s="33" t="s">
        <v>13310</v>
      </c>
      <c r="J6469" s="34" t="s">
        <v>26</v>
      </c>
      <c r="K6469" s="77">
        <v>187</v>
      </c>
      <c r="L6469" s="12">
        <f>IF(J6469="P",ROUNDUP(K6469/(1-Q6469),-2),K6469*(1+P6469)/(1-Q6469))</f>
        <v>220</v>
      </c>
      <c r="M6469" s="8">
        <v>1</v>
      </c>
      <c r="N6469" s="8" t="s">
        <v>27</v>
      </c>
      <c r="O6469" s="13">
        <f>F6469</f>
        <v>0</v>
      </c>
      <c r="P6469" s="14">
        <v>0</v>
      </c>
      <c r="Q6469" s="15">
        <v>0.15</v>
      </c>
      <c r="R6469" s="16" t="str">
        <f t="shared" si="552"/>
        <v>MARTIN_LOGAN</v>
      </c>
    </row>
    <row r="6470" spans="1:20" ht="27" customHeight="1" x14ac:dyDescent="0.25">
      <c r="A6470" s="32" t="s">
        <v>13311</v>
      </c>
      <c r="H6470" s="44" t="s">
        <v>13312</v>
      </c>
      <c r="I6470" s="33" t="s">
        <v>13313</v>
      </c>
      <c r="J6470" s="34" t="s">
        <v>26</v>
      </c>
      <c r="K6470" s="77">
        <v>169</v>
      </c>
      <c r="L6470" s="12">
        <f>IF(J6470="P",ROUNDUP(K6470/(1-Q6470),-2),K6470*(1+P6470)/(1-Q6470))</f>
        <v>198.82352941176472</v>
      </c>
      <c r="M6470" s="8">
        <v>1</v>
      </c>
      <c r="N6470" s="8" t="s">
        <v>27</v>
      </c>
      <c r="O6470" s="13">
        <f>F6470</f>
        <v>0</v>
      </c>
      <c r="P6470" s="14">
        <v>0</v>
      </c>
      <c r="Q6470" s="15">
        <v>0.15</v>
      </c>
      <c r="R6470" s="16" t="str">
        <f t="shared" si="552"/>
        <v>DEFINITIVE</v>
      </c>
    </row>
    <row r="6471" spans="1:20" ht="27" customHeight="1" x14ac:dyDescent="0.25">
      <c r="A6471" s="32" t="s">
        <v>11808</v>
      </c>
      <c r="H6471" s="32" t="s">
        <v>13314</v>
      </c>
      <c r="I6471" s="33" t="s">
        <v>13315</v>
      </c>
      <c r="J6471" s="34" t="s">
        <v>26</v>
      </c>
      <c r="K6471" s="77">
        <v>121.5</v>
      </c>
      <c r="L6471" s="12">
        <f>(K6471*(1+P6471)/(1-Q6471))</f>
        <v>202.5</v>
      </c>
      <c r="M6471" s="8">
        <v>1</v>
      </c>
      <c r="N6471" s="8" t="s">
        <v>27</v>
      </c>
      <c r="O6471" s="13"/>
      <c r="P6471" s="14">
        <v>0</v>
      </c>
      <c r="Q6471" s="15">
        <v>0.4</v>
      </c>
      <c r="R6471" s="64" t="str">
        <f t="shared" si="552"/>
        <v>POLK</v>
      </c>
    </row>
    <row r="6472" spans="1:20" ht="27" customHeight="1" x14ac:dyDescent="0.25">
      <c r="A6472" s="32" t="s">
        <v>13311</v>
      </c>
      <c r="H6472" s="32" t="s">
        <v>13316</v>
      </c>
      <c r="I6472" s="33" t="s">
        <v>13317</v>
      </c>
      <c r="J6472" s="34" t="s">
        <v>26</v>
      </c>
      <c r="K6472" s="77">
        <v>660</v>
      </c>
      <c r="L6472" s="12">
        <f>(K6472*(1+P6472)/(1-Q6472))</f>
        <v>1100</v>
      </c>
      <c r="M6472" s="8">
        <v>1</v>
      </c>
      <c r="N6472" s="8" t="s">
        <v>27</v>
      </c>
      <c r="O6472" s="13"/>
      <c r="P6472" s="14">
        <v>0</v>
      </c>
      <c r="Q6472" s="15">
        <v>0.4</v>
      </c>
      <c r="R6472" s="64" t="str">
        <f t="shared" si="552"/>
        <v>DEFINITIVE</v>
      </c>
    </row>
    <row r="6473" spans="1:20" ht="27" customHeight="1" x14ac:dyDescent="0.25">
      <c r="A6473" s="32" t="s">
        <v>7870</v>
      </c>
      <c r="H6473" s="32" t="s">
        <v>12424</v>
      </c>
      <c r="I6473" s="33" t="s">
        <v>13318</v>
      </c>
      <c r="J6473" s="34" t="s">
        <v>33</v>
      </c>
      <c r="K6473" s="77">
        <v>320000</v>
      </c>
      <c r="L6473" s="12">
        <f>(K6473*(1+P6473)/(1-Q6473))</f>
        <v>457142.85714285716</v>
      </c>
      <c r="M6473" s="8">
        <v>1</v>
      </c>
      <c r="N6473" s="8" t="s">
        <v>27</v>
      </c>
      <c r="O6473" s="13"/>
      <c r="P6473" s="14">
        <v>0</v>
      </c>
      <c r="Q6473" s="15">
        <v>0.3</v>
      </c>
      <c r="R6473" s="64" t="str">
        <f t="shared" si="552"/>
        <v>QUEST</v>
      </c>
    </row>
    <row r="6474" spans="1:20" ht="27" customHeight="1" x14ac:dyDescent="0.25">
      <c r="A6474" s="8" t="s">
        <v>1524</v>
      </c>
      <c r="H6474" s="44" t="s">
        <v>13319</v>
      </c>
      <c r="I6474" s="45" t="s">
        <v>13320</v>
      </c>
      <c r="J6474" s="41" t="s">
        <v>26</v>
      </c>
      <c r="K6474" s="77">
        <v>2550</v>
      </c>
      <c r="L6474" s="12">
        <f t="shared" ref="L6474:L6488" si="553">K6474*(1+P6474)/(1-Q6474)</f>
        <v>5100</v>
      </c>
      <c r="M6474" s="8">
        <v>1</v>
      </c>
      <c r="N6474" s="8" t="s">
        <v>27</v>
      </c>
      <c r="O6474" s="13"/>
      <c r="P6474" s="14">
        <v>0.2</v>
      </c>
      <c r="Q6474" s="15">
        <v>0.4</v>
      </c>
      <c r="R6474" s="16" t="str">
        <f t="shared" si="552"/>
        <v>CROWN</v>
      </c>
      <c r="S6474" s="17"/>
      <c r="T6474" s="10"/>
    </row>
    <row r="6475" spans="1:20" ht="27" customHeight="1" x14ac:dyDescent="0.25">
      <c r="A6475" s="8" t="s">
        <v>1524</v>
      </c>
      <c r="H6475" s="44" t="s">
        <v>13321</v>
      </c>
      <c r="I6475" s="45" t="s">
        <v>13322</v>
      </c>
      <c r="J6475" s="41" t="s">
        <v>26</v>
      </c>
      <c r="K6475" s="77">
        <v>958</v>
      </c>
      <c r="L6475" s="12">
        <f t="shared" si="553"/>
        <v>1916</v>
      </c>
      <c r="M6475" s="8">
        <v>1</v>
      </c>
      <c r="N6475" s="8" t="s">
        <v>27</v>
      </c>
      <c r="O6475" s="13"/>
      <c r="P6475" s="14">
        <v>0.2</v>
      </c>
      <c r="Q6475" s="15">
        <v>0.4</v>
      </c>
      <c r="R6475" s="16" t="str">
        <f t="shared" si="552"/>
        <v>CROWN</v>
      </c>
      <c r="S6475" s="17"/>
    </row>
    <row r="6476" spans="1:20" ht="27" customHeight="1" x14ac:dyDescent="0.25">
      <c r="A6476" s="32" t="s">
        <v>3915</v>
      </c>
      <c r="H6476" s="32" t="s">
        <v>13323</v>
      </c>
      <c r="I6476" s="33" t="s">
        <v>13324</v>
      </c>
      <c r="J6476" s="34" t="s">
        <v>26</v>
      </c>
      <c r="K6476" s="77">
        <v>188</v>
      </c>
      <c r="L6476" s="12">
        <f t="shared" si="553"/>
        <v>376</v>
      </c>
      <c r="M6476" s="8">
        <v>1</v>
      </c>
      <c r="N6476" s="8" t="s">
        <v>27</v>
      </c>
      <c r="O6476" s="13"/>
      <c r="P6476" s="14">
        <v>0.2</v>
      </c>
      <c r="Q6476" s="15">
        <v>0.4</v>
      </c>
      <c r="R6476" s="16" t="str">
        <f t="shared" si="552"/>
        <v>KLIPSCH</v>
      </c>
    </row>
    <row r="6477" spans="1:20" ht="27" customHeight="1" x14ac:dyDescent="0.25">
      <c r="A6477" s="32" t="s">
        <v>13325</v>
      </c>
      <c r="H6477" s="32" t="s">
        <v>13326</v>
      </c>
      <c r="I6477" s="33" t="s">
        <v>13327</v>
      </c>
      <c r="J6477" s="34" t="s">
        <v>26</v>
      </c>
      <c r="K6477" s="77">
        <v>99</v>
      </c>
      <c r="L6477" s="12">
        <f t="shared" si="553"/>
        <v>198</v>
      </c>
      <c r="M6477" s="8">
        <v>1</v>
      </c>
      <c r="N6477" s="8" t="s">
        <v>27</v>
      </c>
      <c r="O6477" s="13"/>
      <c r="P6477" s="14">
        <v>0.2</v>
      </c>
      <c r="Q6477" s="15">
        <v>0.4</v>
      </c>
      <c r="R6477" s="16" t="str">
        <f t="shared" si="552"/>
        <v>OSD</v>
      </c>
      <c r="S6477" t="s">
        <v>13328</v>
      </c>
    </row>
    <row r="6478" spans="1:20" ht="27" customHeight="1" x14ac:dyDescent="0.25">
      <c r="A6478" s="32" t="s">
        <v>7825</v>
      </c>
      <c r="H6478" s="32" t="s">
        <v>13329</v>
      </c>
      <c r="I6478" s="33" t="s">
        <v>13330</v>
      </c>
      <c r="J6478" s="34" t="s">
        <v>26</v>
      </c>
      <c r="K6478" s="77">
        <v>223</v>
      </c>
      <c r="L6478" s="12">
        <f t="shared" si="553"/>
        <v>445.99999999999994</v>
      </c>
      <c r="M6478" s="8">
        <v>1</v>
      </c>
      <c r="N6478" s="8" t="s">
        <v>27</v>
      </c>
      <c r="O6478" s="13"/>
      <c r="P6478" s="14">
        <v>0.2</v>
      </c>
      <c r="Q6478" s="15">
        <v>0.4</v>
      </c>
      <c r="R6478" s="16" t="str">
        <f t="shared" si="552"/>
        <v>PYLE</v>
      </c>
      <c r="S6478" t="s">
        <v>13331</v>
      </c>
    </row>
    <row r="6479" spans="1:20" ht="27" customHeight="1" x14ac:dyDescent="0.25">
      <c r="A6479" s="32" t="s">
        <v>2512</v>
      </c>
      <c r="H6479" s="32" t="s">
        <v>13332</v>
      </c>
      <c r="I6479" s="33" t="s">
        <v>13333</v>
      </c>
      <c r="J6479" s="34" t="s">
        <v>33</v>
      </c>
      <c r="K6479" s="77">
        <v>223000</v>
      </c>
      <c r="L6479" s="12">
        <f t="shared" si="553"/>
        <v>371666.66666666669</v>
      </c>
      <c r="M6479" s="8">
        <v>1</v>
      </c>
      <c r="N6479" s="8" t="s">
        <v>27</v>
      </c>
      <c r="O6479" s="13"/>
      <c r="P6479" s="14">
        <v>0</v>
      </c>
      <c r="Q6479" s="15">
        <v>0.4</v>
      </c>
      <c r="R6479" s="40" t="str">
        <f t="shared" si="552"/>
        <v>GENERAL</v>
      </c>
      <c r="S6479" s="39" t="s">
        <v>13334</v>
      </c>
    </row>
    <row r="6480" spans="1:20" ht="27" customHeight="1" x14ac:dyDescent="0.25">
      <c r="A6480" s="32" t="s">
        <v>2512</v>
      </c>
      <c r="H6480" s="32" t="s">
        <v>13335</v>
      </c>
      <c r="I6480" s="33" t="s">
        <v>13336</v>
      </c>
      <c r="J6480" s="34" t="s">
        <v>33</v>
      </c>
      <c r="K6480" s="77">
        <f>365000+126000</f>
        <v>491000</v>
      </c>
      <c r="L6480" s="12">
        <f t="shared" si="553"/>
        <v>818333.33333333337</v>
      </c>
      <c r="M6480" s="8">
        <v>1</v>
      </c>
      <c r="N6480" s="8" t="s">
        <v>27</v>
      </c>
      <c r="O6480" s="13"/>
      <c r="P6480" s="14">
        <v>0</v>
      </c>
      <c r="Q6480" s="15">
        <v>0.4</v>
      </c>
      <c r="R6480" s="40" t="str">
        <f t="shared" si="552"/>
        <v>GENERAL</v>
      </c>
      <c r="S6480" s="39" t="s">
        <v>13337</v>
      </c>
    </row>
    <row r="6481" spans="1:28" ht="27" customHeight="1" x14ac:dyDescent="0.25">
      <c r="A6481" s="32" t="s">
        <v>2512</v>
      </c>
      <c r="H6481" s="32" t="s">
        <v>13338</v>
      </c>
      <c r="I6481" s="33" t="s">
        <v>13339</v>
      </c>
      <c r="J6481" s="34" t="s">
        <v>26</v>
      </c>
      <c r="K6481" s="77">
        <f>27/12</f>
        <v>2.25</v>
      </c>
      <c r="L6481" s="12">
        <f t="shared" si="553"/>
        <v>3.75</v>
      </c>
      <c r="M6481" s="8">
        <v>1</v>
      </c>
      <c r="N6481" s="8" t="s">
        <v>27</v>
      </c>
      <c r="O6481" s="13"/>
      <c r="P6481" s="14">
        <v>0</v>
      </c>
      <c r="Q6481" s="15">
        <v>0.4</v>
      </c>
      <c r="R6481" s="40" t="str">
        <f t="shared" si="552"/>
        <v>GENERAL</v>
      </c>
      <c r="S6481" t="s">
        <v>13340</v>
      </c>
    </row>
    <row r="6482" spans="1:28" ht="27" customHeight="1" x14ac:dyDescent="0.25">
      <c r="A6482" s="32" t="s">
        <v>2512</v>
      </c>
      <c r="H6482" s="32" t="s">
        <v>13341</v>
      </c>
      <c r="I6482" s="33" t="s">
        <v>13342</v>
      </c>
      <c r="J6482" s="34" t="s">
        <v>33</v>
      </c>
      <c r="K6482" s="77">
        <v>161000</v>
      </c>
      <c r="L6482" s="12">
        <f t="shared" si="553"/>
        <v>268333.33333333337</v>
      </c>
      <c r="M6482" s="8">
        <v>1</v>
      </c>
      <c r="N6482" s="8" t="s">
        <v>27</v>
      </c>
      <c r="O6482" s="13"/>
      <c r="P6482" s="14">
        <v>0</v>
      </c>
      <c r="Q6482" s="15">
        <v>0.4</v>
      </c>
      <c r="R6482" s="40" t="str">
        <f t="shared" si="552"/>
        <v>GENERAL</v>
      </c>
      <c r="S6482" s="39" t="s">
        <v>13343</v>
      </c>
      <c r="AB6482" s="112">
        <v>4</v>
      </c>
    </row>
    <row r="6483" spans="1:28" ht="27" customHeight="1" x14ac:dyDescent="0.25">
      <c r="A6483" s="32" t="s">
        <v>7989</v>
      </c>
      <c r="H6483" s="32" t="s">
        <v>13344</v>
      </c>
      <c r="I6483" s="33" t="s">
        <v>13345</v>
      </c>
      <c r="J6483" s="34" t="s">
        <v>26</v>
      </c>
      <c r="K6483" s="77">
        <v>557</v>
      </c>
      <c r="L6483" s="12">
        <f t="shared" si="553"/>
        <v>928.33333333333337</v>
      </c>
      <c r="M6483" s="8">
        <v>1</v>
      </c>
      <c r="N6483" s="8" t="s">
        <v>27</v>
      </c>
      <c r="O6483" s="13"/>
      <c r="P6483" s="14">
        <v>0</v>
      </c>
      <c r="Q6483" s="15">
        <v>0.4</v>
      </c>
      <c r="R6483" s="40" t="str">
        <f t="shared" si="552"/>
        <v>RUSSOUND</v>
      </c>
    </row>
    <row r="6484" spans="1:28" ht="27" customHeight="1" x14ac:dyDescent="0.25">
      <c r="A6484" s="32" t="s">
        <v>3977</v>
      </c>
      <c r="H6484" s="32" t="s">
        <v>13346</v>
      </c>
      <c r="I6484" s="33" t="s">
        <v>13347</v>
      </c>
      <c r="J6484" s="34" t="s">
        <v>33</v>
      </c>
      <c r="K6484" s="77">
        <v>350000</v>
      </c>
      <c r="L6484" s="12">
        <f t="shared" si="553"/>
        <v>583333.33333333337</v>
      </c>
      <c r="M6484" s="8">
        <v>1</v>
      </c>
      <c r="N6484" s="8" t="s">
        <v>27</v>
      </c>
      <c r="O6484" s="13"/>
      <c r="P6484" s="14">
        <v>0</v>
      </c>
      <c r="Q6484" s="15">
        <v>0.4</v>
      </c>
      <c r="R6484" s="40" t="str">
        <f t="shared" si="552"/>
        <v>KOMODO</v>
      </c>
    </row>
    <row r="6485" spans="1:28" ht="27" customHeight="1" x14ac:dyDescent="0.25">
      <c r="A6485" s="8" t="s">
        <v>879</v>
      </c>
      <c r="H6485" s="32" t="s">
        <v>13348</v>
      </c>
      <c r="I6485" s="33" t="s">
        <v>13349</v>
      </c>
      <c r="J6485" s="34" t="s">
        <v>26</v>
      </c>
      <c r="K6485" s="42">
        <v>382</v>
      </c>
      <c r="L6485" s="12">
        <f t="shared" si="553"/>
        <v>477.5</v>
      </c>
      <c r="M6485" s="8">
        <v>1</v>
      </c>
      <c r="N6485" s="8" t="s">
        <v>27</v>
      </c>
      <c r="O6485" s="13"/>
      <c r="P6485" s="14">
        <v>0</v>
      </c>
      <c r="Q6485" s="15">
        <v>0.2</v>
      </c>
      <c r="R6485" s="40" t="str">
        <f t="shared" si="552"/>
        <v>BOSTON ACOUSTICS</v>
      </c>
    </row>
    <row r="6486" spans="1:28" ht="27" customHeight="1" x14ac:dyDescent="0.25">
      <c r="A6486" s="32" t="s">
        <v>10370</v>
      </c>
      <c r="H6486" s="32" t="s">
        <v>13350</v>
      </c>
      <c r="I6486" s="33" t="s">
        <v>13351</v>
      </c>
      <c r="J6486" s="34" t="s">
        <v>33</v>
      </c>
      <c r="K6486" s="42">
        <v>120000</v>
      </c>
      <c r="L6486" s="12">
        <f t="shared" si="553"/>
        <v>200000</v>
      </c>
      <c r="M6486" s="8">
        <v>1</v>
      </c>
      <c r="N6486" s="8" t="s">
        <v>27</v>
      </c>
      <c r="O6486" s="13"/>
      <c r="P6486" s="14">
        <v>0</v>
      </c>
      <c r="Q6486" s="15">
        <v>0.4</v>
      </c>
      <c r="R6486" s="40" t="str">
        <f t="shared" si="552"/>
        <v>LEDYI</v>
      </c>
    </row>
    <row r="6487" spans="1:28" ht="27" customHeight="1" x14ac:dyDescent="0.25">
      <c r="A6487" s="32" t="s">
        <v>2512</v>
      </c>
      <c r="H6487" s="32" t="s">
        <v>13352</v>
      </c>
      <c r="I6487" s="33" t="s">
        <v>13353</v>
      </c>
      <c r="J6487" s="34" t="s">
        <v>33</v>
      </c>
      <c r="K6487" s="42">
        <v>72000</v>
      </c>
      <c r="L6487" s="12">
        <f t="shared" si="553"/>
        <v>187200</v>
      </c>
      <c r="M6487" s="8">
        <v>1</v>
      </c>
      <c r="N6487" s="8" t="s">
        <v>27</v>
      </c>
      <c r="O6487" s="13"/>
      <c r="P6487" s="14">
        <v>0.3</v>
      </c>
      <c r="Q6487" s="15">
        <v>0.5</v>
      </c>
      <c r="R6487" s="40" t="str">
        <f t="shared" si="552"/>
        <v>GENERAL</v>
      </c>
      <c r="S6487" s="39" t="s">
        <v>13354</v>
      </c>
    </row>
    <row r="6488" spans="1:28" ht="27" customHeight="1" x14ac:dyDescent="0.25">
      <c r="A6488" s="32" t="s">
        <v>10249</v>
      </c>
      <c r="H6488" s="32" t="s">
        <v>13355</v>
      </c>
      <c r="I6488" s="33" t="s">
        <v>13356</v>
      </c>
      <c r="J6488" s="34" t="s">
        <v>26</v>
      </c>
      <c r="K6488" s="42">
        <v>6.7</v>
      </c>
      <c r="L6488" s="12">
        <f t="shared" si="553"/>
        <v>17.420000000000002</v>
      </c>
      <c r="M6488" s="8">
        <v>1</v>
      </c>
      <c r="N6488" s="8" t="s">
        <v>27</v>
      </c>
      <c r="O6488" s="13"/>
      <c r="P6488" s="14">
        <v>0.3</v>
      </c>
      <c r="Q6488" s="15">
        <v>0.5</v>
      </c>
      <c r="R6488" s="40" t="str">
        <f t="shared" si="552"/>
        <v>SKYDANCE</v>
      </c>
    </row>
    <row r="6489" spans="1:28" ht="27" customHeight="1" x14ac:dyDescent="0.25">
      <c r="A6489" s="32" t="s">
        <v>11685</v>
      </c>
      <c r="H6489" s="32" t="s">
        <v>13357</v>
      </c>
      <c r="I6489" s="33" t="s">
        <v>13358</v>
      </c>
      <c r="J6489" s="34" t="s">
        <v>33</v>
      </c>
      <c r="K6489" s="42">
        <v>699000</v>
      </c>
      <c r="L6489" s="12">
        <f>(K6489*(1+P6489)/(1-Q6489))</f>
        <v>1165000</v>
      </c>
      <c r="M6489" s="8">
        <v>1</v>
      </c>
      <c r="N6489" s="8" t="s">
        <v>27</v>
      </c>
      <c r="O6489" s="13"/>
      <c r="P6489" s="14">
        <v>0</v>
      </c>
      <c r="Q6489" s="15">
        <v>0.4</v>
      </c>
      <c r="R6489" s="64" t="str">
        <f t="shared" si="552"/>
        <v>RUIJIE</v>
      </c>
    </row>
    <row r="6490" spans="1:28" ht="24" customHeight="1" x14ac:dyDescent="0.25">
      <c r="A6490" t="s">
        <v>2095</v>
      </c>
      <c r="H6490" t="s">
        <v>13359</v>
      </c>
      <c r="I6490" s="33" t="s">
        <v>13360</v>
      </c>
      <c r="J6490" s="34" t="s">
        <v>33</v>
      </c>
      <c r="K6490" s="42">
        <v>63500</v>
      </c>
      <c r="L6490" s="12">
        <f>K6490*(1+P6490)/(1-Q6490)</f>
        <v>79375</v>
      </c>
      <c r="M6490" s="8">
        <v>1</v>
      </c>
      <c r="N6490" s="8" t="s">
        <v>27</v>
      </c>
      <c r="O6490" s="13"/>
      <c r="P6490" s="14">
        <v>0</v>
      </c>
      <c r="Q6490" s="15">
        <v>0.2</v>
      </c>
      <c r="R6490" s="40" t="str">
        <f t="shared" si="552"/>
        <v>ECOLITE</v>
      </c>
    </row>
    <row r="6491" spans="1:28" ht="27" customHeight="1" x14ac:dyDescent="0.25">
      <c r="A6491" t="s">
        <v>7989</v>
      </c>
      <c r="H6491" t="s">
        <v>13361</v>
      </c>
      <c r="I6491" s="33" t="s">
        <v>13362</v>
      </c>
      <c r="J6491" s="34" t="s">
        <v>26</v>
      </c>
      <c r="K6491" s="42">
        <v>736</v>
      </c>
      <c r="L6491" s="12">
        <f>K6491*(1+P6491)/(1-Q6491)</f>
        <v>1226.6666666666667</v>
      </c>
      <c r="M6491" s="8">
        <v>1</v>
      </c>
      <c r="N6491" s="8" t="s">
        <v>27</v>
      </c>
      <c r="O6491" s="13"/>
      <c r="P6491" s="14">
        <v>0</v>
      </c>
      <c r="Q6491" s="15">
        <v>0.4</v>
      </c>
      <c r="R6491" s="40" t="str">
        <f t="shared" si="552"/>
        <v>RUSSOUND</v>
      </c>
    </row>
    <row r="6492" spans="1:28" ht="27" customHeight="1" x14ac:dyDescent="0.25">
      <c r="A6492" t="s">
        <v>861</v>
      </c>
      <c r="H6492" t="s">
        <v>13363</v>
      </c>
      <c r="I6492" s="33" t="s">
        <v>13364</v>
      </c>
      <c r="J6492" s="34" t="s">
        <v>26</v>
      </c>
      <c r="K6492" s="42">
        <v>259</v>
      </c>
      <c r="L6492" s="12">
        <f>IF(J6492="P",ROUNDUP(K6492/(1-Q6492),-2),K6492*(1+P6492)/(1-Q6492))</f>
        <v>388.5</v>
      </c>
      <c r="M6492" s="8">
        <v>1</v>
      </c>
      <c r="N6492" s="8" t="s">
        <v>27</v>
      </c>
      <c r="O6492" s="13">
        <f>F6492</f>
        <v>0</v>
      </c>
      <c r="P6492" s="14">
        <v>0.2</v>
      </c>
      <c r="Q6492" s="15">
        <v>0.2</v>
      </c>
      <c r="R6492" s="40" t="str">
        <f t="shared" si="552"/>
        <v>BLUOS</v>
      </c>
    </row>
    <row r="6493" spans="1:28" ht="27" customHeight="1" x14ac:dyDescent="0.25">
      <c r="A6493" t="s">
        <v>9223</v>
      </c>
      <c r="H6493" t="s">
        <v>13365</v>
      </c>
      <c r="I6493" s="33" t="s">
        <v>13366</v>
      </c>
      <c r="J6493" s="34" t="s">
        <v>33</v>
      </c>
      <c r="K6493" s="42">
        <v>8326000</v>
      </c>
      <c r="L6493" s="12">
        <f>IF(J6493="P",ROUNDUP(K6493/(1-Q6493),-2),K6493*(1+P6493)/(1-Q6493))</f>
        <v>11101400</v>
      </c>
      <c r="M6493" s="8">
        <v>1</v>
      </c>
      <c r="N6493" s="8" t="s">
        <v>27</v>
      </c>
      <c r="O6493" s="13">
        <f>F6493</f>
        <v>0</v>
      </c>
      <c r="P6493" s="14">
        <v>0</v>
      </c>
      <c r="Q6493" s="15">
        <v>0.25</v>
      </c>
      <c r="R6493" s="40" t="str">
        <f t="shared" si="552"/>
        <v>TENSOFLEX</v>
      </c>
    </row>
    <row r="6494" spans="1:28" ht="27" customHeight="1" x14ac:dyDescent="0.25">
      <c r="A6494" t="s">
        <v>9223</v>
      </c>
      <c r="H6494" t="s">
        <v>13367</v>
      </c>
      <c r="I6494" s="33" t="s">
        <v>13368</v>
      </c>
      <c r="J6494" s="34" t="s">
        <v>33</v>
      </c>
      <c r="K6494" s="42">
        <v>1960000</v>
      </c>
      <c r="L6494" s="12">
        <f>IF(J6494="P",ROUNDUP(K6494/(1-Q6494),-2),K6494*(1+P6494)/(1-Q6494))</f>
        <v>2613400</v>
      </c>
      <c r="M6494" s="8">
        <v>1</v>
      </c>
      <c r="N6494" s="8" t="s">
        <v>27</v>
      </c>
      <c r="O6494" s="13">
        <f>F6494</f>
        <v>0</v>
      </c>
      <c r="P6494" s="14">
        <v>0</v>
      </c>
      <c r="Q6494" s="15">
        <v>0.25</v>
      </c>
      <c r="R6494" s="40" t="str">
        <f t="shared" si="552"/>
        <v>TENSOFLEX</v>
      </c>
    </row>
    <row r="6495" spans="1:28" ht="27" customHeight="1" x14ac:dyDescent="0.25">
      <c r="A6495" t="s">
        <v>5672</v>
      </c>
      <c r="H6495" t="s">
        <v>13369</v>
      </c>
      <c r="I6495" s="33" t="s">
        <v>13370</v>
      </c>
      <c r="J6495" s="34" t="s">
        <v>26</v>
      </c>
      <c r="K6495" s="42">
        <f>860*0.75*1.1</f>
        <v>709.50000000000011</v>
      </c>
      <c r="L6495" s="12">
        <f>K6495*(1+P6495)/(1-Q6495)</f>
        <v>1419.0000000000002</v>
      </c>
      <c r="M6495" s="8">
        <v>1</v>
      </c>
      <c r="N6495" s="8" t="s">
        <v>27</v>
      </c>
      <c r="O6495" s="13"/>
      <c r="P6495" s="14">
        <v>0.2</v>
      </c>
      <c r="Q6495" s="15">
        <v>0.4</v>
      </c>
      <c r="R6495" s="40" t="str">
        <f t="shared" si="552"/>
        <v>LUTRON</v>
      </c>
    </row>
    <row r="6496" spans="1:28" ht="27" customHeight="1" x14ac:dyDescent="0.25">
      <c r="A6496" t="s">
        <v>7870</v>
      </c>
      <c r="H6496" t="s">
        <v>13371</v>
      </c>
      <c r="I6496" s="33" t="s">
        <v>13372</v>
      </c>
      <c r="J6496" s="34" t="s">
        <v>33</v>
      </c>
      <c r="K6496" s="42">
        <v>1328000</v>
      </c>
      <c r="L6496" s="12">
        <f>K6496*(1+P6496)/(1-Q6496)</f>
        <v>1897142.8571428573</v>
      </c>
      <c r="M6496" s="8">
        <v>1</v>
      </c>
      <c r="N6496" s="8" t="s">
        <v>27</v>
      </c>
      <c r="O6496" s="13"/>
      <c r="P6496" s="14">
        <v>0</v>
      </c>
      <c r="Q6496" s="15">
        <v>0.3</v>
      </c>
      <c r="R6496" s="40" t="str">
        <f t="shared" si="552"/>
        <v>QUEST</v>
      </c>
    </row>
    <row r="6497" spans="1:20" ht="27" customHeight="1" x14ac:dyDescent="0.25">
      <c r="A6497" t="s">
        <v>2512</v>
      </c>
      <c r="H6497" t="s">
        <v>13373</v>
      </c>
      <c r="I6497" s="33" t="s">
        <v>13374</v>
      </c>
      <c r="J6497" s="34" t="s">
        <v>33</v>
      </c>
      <c r="K6497" s="42">
        <v>38000</v>
      </c>
      <c r="L6497" s="12">
        <f>K6497*(1+P6497)/(1-Q6497)</f>
        <v>54285.71428571429</v>
      </c>
      <c r="M6497" s="8">
        <v>1</v>
      </c>
      <c r="N6497" s="8" t="s">
        <v>27</v>
      </c>
      <c r="O6497" s="13"/>
      <c r="P6497" s="14">
        <v>0</v>
      </c>
      <c r="Q6497" s="15">
        <v>0.3</v>
      </c>
      <c r="R6497" s="40" t="str">
        <f t="shared" si="552"/>
        <v>GENERAL</v>
      </c>
    </row>
    <row r="6498" spans="1:20" ht="27" customHeight="1" x14ac:dyDescent="0.25">
      <c r="A6498" t="s">
        <v>5001</v>
      </c>
      <c r="H6498" t="s">
        <v>13375</v>
      </c>
      <c r="I6498" s="33" t="s">
        <v>13376</v>
      </c>
      <c r="J6498" s="34" t="s">
        <v>33</v>
      </c>
      <c r="K6498" s="42">
        <v>567000</v>
      </c>
      <c r="L6498" s="12">
        <f t="shared" ref="L6498:L6510" si="554">IF(J6498="P",ROUNDUP(K6498/(1-Q6498),-2),K6498*(1+P6498)/(1-Q6498))</f>
        <v>810000</v>
      </c>
      <c r="M6498" s="8">
        <v>1</v>
      </c>
      <c r="N6498" s="8" t="s">
        <v>27</v>
      </c>
      <c r="O6498" s="13"/>
      <c r="P6498" s="14">
        <v>0</v>
      </c>
      <c r="Q6498" s="15">
        <v>0.3</v>
      </c>
      <c r="R6498" s="40" t="str">
        <f t="shared" si="552"/>
        <v>LANPRO</v>
      </c>
    </row>
    <row r="6499" spans="1:20" ht="27" customHeight="1" x14ac:dyDescent="0.25">
      <c r="A6499" t="s">
        <v>8036</v>
      </c>
      <c r="H6499" t="s">
        <v>13377</v>
      </c>
      <c r="I6499" s="33" t="s">
        <v>13378</v>
      </c>
      <c r="J6499" s="34" t="s">
        <v>33</v>
      </c>
      <c r="K6499" s="42">
        <v>2500</v>
      </c>
      <c r="L6499" s="12">
        <f t="shared" si="554"/>
        <v>3900</v>
      </c>
      <c r="M6499" s="8">
        <v>1</v>
      </c>
      <c r="N6499" s="8" t="s">
        <v>27</v>
      </c>
      <c r="O6499" s="13"/>
      <c r="P6499" s="14">
        <v>0</v>
      </c>
      <c r="Q6499" s="15">
        <v>0.35</v>
      </c>
      <c r="R6499" s="40" t="str">
        <f t="shared" si="552"/>
        <v>SAMSUNG</v>
      </c>
    </row>
    <row r="6500" spans="1:20" ht="27" customHeight="1" x14ac:dyDescent="0.25">
      <c r="A6500" t="s">
        <v>5672</v>
      </c>
      <c r="H6500" t="s">
        <v>13379</v>
      </c>
      <c r="I6500" s="33" t="s">
        <v>13380</v>
      </c>
      <c r="J6500" s="34" t="s">
        <v>26</v>
      </c>
      <c r="K6500" s="42">
        <v>1820</v>
      </c>
      <c r="L6500" s="12">
        <f t="shared" si="554"/>
        <v>2800</v>
      </c>
      <c r="M6500" s="8">
        <v>1</v>
      </c>
      <c r="N6500" s="8" t="s">
        <v>27</v>
      </c>
      <c r="O6500" s="13"/>
      <c r="P6500" s="14">
        <v>0</v>
      </c>
      <c r="Q6500" s="15">
        <v>0.35</v>
      </c>
      <c r="R6500" s="40" t="str">
        <f t="shared" si="552"/>
        <v>LUTRON</v>
      </c>
    </row>
    <row r="6501" spans="1:20" ht="27" customHeight="1" x14ac:dyDescent="0.25">
      <c r="A6501" t="s">
        <v>12024</v>
      </c>
      <c r="H6501" t="s">
        <v>13381</v>
      </c>
      <c r="I6501" s="33" t="s">
        <v>13382</v>
      </c>
      <c r="J6501" s="34" t="s">
        <v>26</v>
      </c>
      <c r="K6501" s="42">
        <v>24</v>
      </c>
      <c r="L6501" s="12">
        <f t="shared" si="554"/>
        <v>40</v>
      </c>
      <c r="M6501" s="8">
        <v>1</v>
      </c>
      <c r="N6501" s="8" t="s">
        <v>27</v>
      </c>
      <c r="O6501" s="13"/>
      <c r="P6501" s="14">
        <v>0</v>
      </c>
      <c r="Q6501" s="15">
        <v>0.4</v>
      </c>
      <c r="R6501" s="40" t="str">
        <f t="shared" si="552"/>
        <v>SANUS</v>
      </c>
      <c r="S6501" t="s">
        <v>13383</v>
      </c>
    </row>
    <row r="6502" spans="1:20" ht="27" customHeight="1" x14ac:dyDescent="0.25">
      <c r="A6502" t="s">
        <v>13384</v>
      </c>
      <c r="H6502" t="s">
        <v>13385</v>
      </c>
      <c r="I6502" s="33" t="s">
        <v>13386</v>
      </c>
      <c r="J6502" s="34" t="s">
        <v>26</v>
      </c>
      <c r="K6502" s="42">
        <v>41</v>
      </c>
      <c r="L6502" s="12">
        <f t="shared" si="554"/>
        <v>63.076923076923073</v>
      </c>
      <c r="M6502" s="8">
        <v>1</v>
      </c>
      <c r="N6502" s="8" t="s">
        <v>27</v>
      </c>
      <c r="O6502" s="13"/>
      <c r="P6502" s="14">
        <v>0</v>
      </c>
      <c r="Q6502" s="15">
        <v>0.35</v>
      </c>
      <c r="R6502" s="40" t="str">
        <f t="shared" si="552"/>
        <v>TODANGAI</v>
      </c>
      <c r="S6502" t="s">
        <v>13387</v>
      </c>
    </row>
    <row r="6503" spans="1:20" ht="27" customHeight="1" x14ac:dyDescent="0.25">
      <c r="A6503" t="s">
        <v>11939</v>
      </c>
      <c r="H6503" t="s">
        <v>13388</v>
      </c>
      <c r="I6503" s="33" t="s">
        <v>13389</v>
      </c>
      <c r="J6503" s="34" t="s">
        <v>26</v>
      </c>
      <c r="K6503" s="42">
        <v>38</v>
      </c>
      <c r="L6503" s="12">
        <f t="shared" si="554"/>
        <v>63.333333333333336</v>
      </c>
      <c r="M6503" s="8">
        <v>1</v>
      </c>
      <c r="N6503" s="8" t="s">
        <v>27</v>
      </c>
      <c r="O6503" s="13"/>
      <c r="P6503" s="14">
        <v>0</v>
      </c>
      <c r="Q6503" s="15">
        <v>0.4</v>
      </c>
      <c r="R6503" s="40" t="str">
        <f t="shared" si="552"/>
        <v>PHYSEN</v>
      </c>
      <c r="S6503" s="40" t="s">
        <v>13390</v>
      </c>
    </row>
    <row r="6504" spans="1:20" ht="27" customHeight="1" x14ac:dyDescent="0.25">
      <c r="A6504" t="s">
        <v>13391</v>
      </c>
      <c r="H6504" t="s">
        <v>13392</v>
      </c>
      <c r="I6504" s="33" t="s">
        <v>13393</v>
      </c>
      <c r="J6504" s="34" t="s">
        <v>33</v>
      </c>
      <c r="K6504" s="42">
        <f>107000*1.2</f>
        <v>128400</v>
      </c>
      <c r="L6504" s="12">
        <f t="shared" si="554"/>
        <v>214000</v>
      </c>
      <c r="M6504" s="8">
        <v>1</v>
      </c>
      <c r="N6504" s="8" t="s">
        <v>27</v>
      </c>
      <c r="O6504" s="13"/>
      <c r="P6504" s="14">
        <v>0</v>
      </c>
      <c r="Q6504" s="15">
        <v>0.4</v>
      </c>
      <c r="R6504" s="40" t="str">
        <f t="shared" si="552"/>
        <v>COLORS</v>
      </c>
    </row>
    <row r="6505" spans="1:20" ht="27" customHeight="1" x14ac:dyDescent="0.25">
      <c r="A6505" t="s">
        <v>3977</v>
      </c>
      <c r="H6505" t="s">
        <v>13394</v>
      </c>
      <c r="I6505" s="33" t="s">
        <v>13395</v>
      </c>
      <c r="J6505" s="34" t="s">
        <v>33</v>
      </c>
      <c r="K6505" s="42">
        <v>30000</v>
      </c>
      <c r="L6505" s="12">
        <f t="shared" si="554"/>
        <v>50000</v>
      </c>
      <c r="M6505" s="8">
        <v>1</v>
      </c>
      <c r="N6505" s="8" t="s">
        <v>27</v>
      </c>
      <c r="O6505" s="13"/>
      <c r="P6505" s="14">
        <v>0</v>
      </c>
      <c r="Q6505" s="15">
        <v>0.4</v>
      </c>
      <c r="R6505" s="40" t="str">
        <f t="shared" si="552"/>
        <v>KOMODO</v>
      </c>
    </row>
    <row r="6506" spans="1:20" ht="27" customHeight="1" x14ac:dyDescent="0.25">
      <c r="A6506" t="s">
        <v>2512</v>
      </c>
      <c r="H6506" t="s">
        <v>13396</v>
      </c>
      <c r="I6506" s="33" t="s">
        <v>13397</v>
      </c>
      <c r="J6506" s="34" t="s">
        <v>33</v>
      </c>
      <c r="K6506" s="42">
        <v>12000</v>
      </c>
      <c r="L6506" s="12">
        <f t="shared" si="554"/>
        <v>20000</v>
      </c>
      <c r="M6506" s="8">
        <v>1</v>
      </c>
      <c r="N6506" s="8" t="s">
        <v>27</v>
      </c>
      <c r="O6506" s="13"/>
      <c r="P6506" s="14">
        <v>0</v>
      </c>
      <c r="Q6506" s="15">
        <v>0.4</v>
      </c>
      <c r="R6506" s="40" t="str">
        <f t="shared" si="552"/>
        <v>GENERAL</v>
      </c>
    </row>
    <row r="6507" spans="1:20" ht="27" customHeight="1" x14ac:dyDescent="0.25">
      <c r="A6507" t="s">
        <v>3977</v>
      </c>
      <c r="H6507" t="s">
        <v>13398</v>
      </c>
      <c r="I6507" s="33" t="s">
        <v>13399</v>
      </c>
      <c r="J6507" s="34" t="s">
        <v>33</v>
      </c>
      <c r="K6507" s="42">
        <v>80000</v>
      </c>
      <c r="L6507" s="12">
        <f t="shared" si="554"/>
        <v>133400</v>
      </c>
      <c r="M6507" s="8">
        <v>1</v>
      </c>
      <c r="N6507" s="8" t="s">
        <v>27</v>
      </c>
      <c r="O6507" s="13"/>
      <c r="P6507" s="14">
        <v>0</v>
      </c>
      <c r="Q6507" s="15">
        <v>0.4</v>
      </c>
      <c r="R6507" s="40" t="str">
        <f t="shared" si="552"/>
        <v>KOMODO</v>
      </c>
    </row>
    <row r="6508" spans="1:20" ht="27" customHeight="1" x14ac:dyDescent="0.25">
      <c r="A6508" s="32" t="s">
        <v>11939</v>
      </c>
      <c r="H6508" s="8" t="s">
        <v>13400</v>
      </c>
      <c r="I6508" s="33" t="s">
        <v>13401</v>
      </c>
      <c r="J6508" s="34" t="s">
        <v>26</v>
      </c>
      <c r="K6508" s="42">
        <v>49.99</v>
      </c>
      <c r="L6508" s="12">
        <f t="shared" si="554"/>
        <v>119.976</v>
      </c>
      <c r="M6508" s="8">
        <v>1</v>
      </c>
      <c r="N6508" s="8" t="s">
        <v>27</v>
      </c>
      <c r="O6508" s="13"/>
      <c r="P6508" s="14">
        <v>0.2</v>
      </c>
      <c r="Q6508" s="15">
        <v>0.5</v>
      </c>
      <c r="R6508" s="40" t="str">
        <f t="shared" si="552"/>
        <v>PHYSEN</v>
      </c>
    </row>
    <row r="6509" spans="1:20" ht="27" customHeight="1" x14ac:dyDescent="0.25">
      <c r="A6509" t="s">
        <v>2512</v>
      </c>
      <c r="H6509" t="s">
        <v>13402</v>
      </c>
      <c r="I6509" s="33" t="s">
        <v>13403</v>
      </c>
      <c r="J6509" s="34" t="s">
        <v>33</v>
      </c>
      <c r="K6509" s="42">
        <v>176500</v>
      </c>
      <c r="L6509" s="12">
        <f t="shared" si="554"/>
        <v>294200</v>
      </c>
      <c r="M6509" s="8">
        <v>1</v>
      </c>
      <c r="N6509" s="8" t="s">
        <v>27</v>
      </c>
      <c r="O6509" s="13"/>
      <c r="P6509" s="14">
        <v>0</v>
      </c>
      <c r="Q6509" s="15">
        <v>0.4</v>
      </c>
      <c r="R6509" s="40" t="str">
        <f t="shared" si="552"/>
        <v>GENERAL</v>
      </c>
    </row>
    <row r="6510" spans="1:20" ht="27" customHeight="1" x14ac:dyDescent="0.25">
      <c r="A6510" t="s">
        <v>13404</v>
      </c>
      <c r="H6510" t="s">
        <v>13405</v>
      </c>
      <c r="I6510" s="33" t="s">
        <v>13406</v>
      </c>
      <c r="J6510" s="34" t="s">
        <v>26</v>
      </c>
      <c r="K6510" s="42">
        <f>2961.75*1.1</f>
        <v>3257.9250000000002</v>
      </c>
      <c r="L6510" s="12">
        <f t="shared" si="554"/>
        <v>4072.40625</v>
      </c>
      <c r="M6510" s="8">
        <v>1</v>
      </c>
      <c r="N6510" s="8" t="s">
        <v>27</v>
      </c>
      <c r="O6510" s="13"/>
      <c r="P6510" s="14">
        <v>0</v>
      </c>
      <c r="Q6510" s="15">
        <v>0.2</v>
      </c>
      <c r="R6510" s="40" t="str">
        <f t="shared" si="552"/>
        <v>ICONONE</v>
      </c>
    </row>
    <row r="6511" spans="1:20" ht="27" customHeight="1" x14ac:dyDescent="0.25">
      <c r="A6511" s="8" t="s">
        <v>5672</v>
      </c>
      <c r="B6511" s="9"/>
      <c r="C6511" s="9"/>
      <c r="D6511" s="8"/>
      <c r="E6511" s="8"/>
      <c r="F6511" s="8"/>
      <c r="G6511" s="10"/>
      <c r="H6511" s="8" t="s">
        <v>13407</v>
      </c>
      <c r="I6511" s="10" t="s">
        <v>6687</v>
      </c>
      <c r="J6511" s="11" t="s">
        <v>26</v>
      </c>
      <c r="K6511" s="57">
        <v>165</v>
      </c>
      <c r="L6511" s="12">
        <f>K6511*(1+P6511)/(1-Q6511)</f>
        <v>330</v>
      </c>
      <c r="M6511" s="8">
        <v>1</v>
      </c>
      <c r="N6511" s="8" t="s">
        <v>27</v>
      </c>
      <c r="O6511" s="13"/>
      <c r="P6511" s="14">
        <v>0.2</v>
      </c>
      <c r="Q6511" s="15">
        <v>0.4</v>
      </c>
      <c r="R6511" s="16" t="str">
        <f t="shared" si="552"/>
        <v>LUTRON</v>
      </c>
      <c r="S6511" s="17"/>
      <c r="T6511" s="10"/>
    </row>
    <row r="6512" spans="1:20" ht="27" customHeight="1" x14ac:dyDescent="0.25">
      <c r="A6512" s="8" t="s">
        <v>5672</v>
      </c>
      <c r="H6512" t="s">
        <v>13408</v>
      </c>
      <c r="I6512" s="33" t="s">
        <v>13409</v>
      </c>
      <c r="J6512" s="34" t="s">
        <v>26</v>
      </c>
      <c r="K6512" s="42">
        <v>505</v>
      </c>
      <c r="L6512" s="12">
        <f>K6512*(1+P6512)/(1-Q6512)</f>
        <v>1010</v>
      </c>
      <c r="M6512" s="8">
        <v>1</v>
      </c>
      <c r="N6512" s="8" t="s">
        <v>27</v>
      </c>
      <c r="O6512" s="13"/>
      <c r="P6512" s="14">
        <v>0.2</v>
      </c>
      <c r="Q6512" s="15">
        <v>0.4</v>
      </c>
      <c r="R6512" s="16" t="str">
        <f t="shared" si="552"/>
        <v>LUTRON</v>
      </c>
    </row>
    <row r="6513" spans="1:20" ht="27" customHeight="1" x14ac:dyDescent="0.25">
      <c r="A6513" s="51" t="s">
        <v>5672</v>
      </c>
      <c r="G6513" s="10" t="s">
        <v>6475</v>
      </c>
      <c r="H6513" s="8" t="s">
        <v>13410</v>
      </c>
      <c r="I6513" s="33" t="s">
        <v>11295</v>
      </c>
      <c r="J6513" s="34" t="s">
        <v>26</v>
      </c>
      <c r="K6513" s="57">
        <v>5.55</v>
      </c>
      <c r="L6513" s="12">
        <f>K6513*(1+P6513)/(1-Q6513)</f>
        <v>11.099994721327718</v>
      </c>
      <c r="M6513" s="8">
        <v>1</v>
      </c>
      <c r="N6513" s="8" t="s">
        <v>27</v>
      </c>
      <c r="O6513" s="13"/>
      <c r="P6513" s="14">
        <v>0.2</v>
      </c>
      <c r="Q6513" s="15">
        <v>0.39999971466622752</v>
      </c>
      <c r="R6513" s="16" t="str">
        <f t="shared" si="552"/>
        <v>LUTRON</v>
      </c>
    </row>
    <row r="6514" spans="1:20" ht="27" customHeight="1" x14ac:dyDescent="0.25">
      <c r="A6514" s="49" t="s">
        <v>5672</v>
      </c>
      <c r="B6514" s="19"/>
      <c r="C6514" s="19"/>
      <c r="D6514" s="19"/>
      <c r="E6514" s="19"/>
      <c r="F6514" s="19"/>
      <c r="G6514" s="19"/>
      <c r="H6514" s="8" t="s">
        <v>13411</v>
      </c>
      <c r="I6514" s="60" t="s">
        <v>11287</v>
      </c>
      <c r="J6514" s="25" t="s">
        <v>26</v>
      </c>
      <c r="K6514" s="59">
        <v>8.3000000000000007</v>
      </c>
      <c r="L6514" s="12">
        <f>K6514*(1+P6514)/(1-Q6514)</f>
        <v>16.599992105769385</v>
      </c>
      <c r="M6514" s="8">
        <v>1</v>
      </c>
      <c r="N6514" s="8" t="s">
        <v>27</v>
      </c>
      <c r="O6514" s="13"/>
      <c r="P6514" s="14">
        <v>0.2</v>
      </c>
      <c r="Q6514" s="15">
        <v>0.39999971466622752</v>
      </c>
      <c r="R6514" s="16" t="str">
        <f t="shared" si="552"/>
        <v>LUTRON</v>
      </c>
      <c r="S6514" s="17" t="str">
        <f>A6514</f>
        <v>LUTRON</v>
      </c>
      <c r="T6514" s="10">
        <f>G6514</f>
        <v>0</v>
      </c>
    </row>
    <row r="6515" spans="1:20" ht="27" customHeight="1" x14ac:dyDescent="0.25">
      <c r="A6515" s="32" t="s">
        <v>5672</v>
      </c>
      <c r="H6515" s="32" t="s">
        <v>13412</v>
      </c>
      <c r="I6515" s="33" t="s">
        <v>13413</v>
      </c>
      <c r="J6515" s="34" t="s">
        <v>26</v>
      </c>
      <c r="K6515" s="77">
        <v>7.2</v>
      </c>
      <c r="L6515" s="12">
        <f>(K6515*(1+P6515)/(1-Q6515))</f>
        <v>14.400000000000002</v>
      </c>
      <c r="M6515" s="8">
        <v>1</v>
      </c>
      <c r="N6515" s="8" t="s">
        <v>27</v>
      </c>
      <c r="O6515" s="13"/>
      <c r="P6515" s="14">
        <v>0.2</v>
      </c>
      <c r="Q6515" s="15">
        <v>0.4</v>
      </c>
      <c r="R6515" s="16" t="str">
        <f t="shared" si="552"/>
        <v>LUTRON</v>
      </c>
    </row>
    <row r="6516" spans="1:20" ht="27" customHeight="1" x14ac:dyDescent="0.25">
      <c r="A6516" s="32" t="s">
        <v>3977</v>
      </c>
      <c r="H6516" s="32" t="s">
        <v>13414</v>
      </c>
      <c r="I6516" s="33" t="s">
        <v>13415</v>
      </c>
      <c r="J6516" s="34" t="s">
        <v>33</v>
      </c>
      <c r="K6516" s="42">
        <v>40000</v>
      </c>
      <c r="L6516" s="12">
        <f>(K6516*(1+P6516)/(1-Q6516))</f>
        <v>66666.666666666672</v>
      </c>
      <c r="M6516" s="8">
        <v>1</v>
      </c>
      <c r="N6516" s="8" t="s">
        <v>27</v>
      </c>
      <c r="O6516" s="13"/>
      <c r="P6516" s="14">
        <v>0</v>
      </c>
      <c r="Q6516" s="15">
        <v>0.4</v>
      </c>
      <c r="R6516" s="16" t="str">
        <f t="shared" si="552"/>
        <v>KOMODO</v>
      </c>
    </row>
    <row r="6517" spans="1:20" ht="27" customHeight="1" x14ac:dyDescent="0.25">
      <c r="A6517" t="s">
        <v>7483</v>
      </c>
      <c r="H6517" s="70" t="s">
        <v>13416</v>
      </c>
      <c r="I6517" s="33" t="s">
        <v>13417</v>
      </c>
      <c r="J6517" s="34" t="s">
        <v>26</v>
      </c>
      <c r="K6517" s="42">
        <v>3000</v>
      </c>
      <c r="L6517" s="12">
        <f t="shared" ref="L6517:L6550" si="555">IF(J6517="P",ROUNDUP(K6517/(1-Q6517),-2),K6517*(1+P6517)/(1-Q6517))</f>
        <v>3333.333333333333</v>
      </c>
      <c r="M6517" s="8">
        <v>1</v>
      </c>
      <c r="N6517" s="8" t="s">
        <v>27</v>
      </c>
      <c r="O6517" s="13"/>
      <c r="P6517" s="14">
        <v>0</v>
      </c>
      <c r="Q6517" s="15">
        <v>0.1</v>
      </c>
      <c r="R6517" s="40" t="str">
        <f t="shared" si="552"/>
        <v>OPTOMA</v>
      </c>
    </row>
    <row r="6518" spans="1:20" ht="27" customHeight="1" x14ac:dyDescent="0.25">
      <c r="A6518" s="8" t="s">
        <v>8164</v>
      </c>
      <c r="B6518" s="9"/>
      <c r="C6518" s="9"/>
      <c r="D6518" s="8"/>
      <c r="E6518" s="8"/>
      <c r="F6518" s="8" t="s">
        <v>22</v>
      </c>
      <c r="G6518" s="10" t="s">
        <v>8165</v>
      </c>
      <c r="H6518" s="8" t="s">
        <v>13418</v>
      </c>
      <c r="I6518" s="10" t="s">
        <v>13419</v>
      </c>
      <c r="J6518" s="11" t="s">
        <v>26</v>
      </c>
      <c r="K6518" s="18">
        <v>190</v>
      </c>
      <c r="L6518" s="12">
        <f t="shared" si="555"/>
        <v>271.42857142857144</v>
      </c>
      <c r="M6518" s="8">
        <v>1</v>
      </c>
      <c r="N6518" s="8" t="s">
        <v>27</v>
      </c>
      <c r="O6518" s="13"/>
      <c r="P6518" s="14">
        <v>0</v>
      </c>
      <c r="Q6518" s="15">
        <v>0.3</v>
      </c>
      <c r="R6518" s="16" t="str">
        <f t="shared" si="552"/>
        <v>SCREEN_PAINT</v>
      </c>
      <c r="S6518" s="17"/>
      <c r="T6518" s="10" t="str">
        <f>G6518</f>
        <v>PINTURA ESTÁNDAR EN COLOR BLANCO PARA PROYECCIÓN DE IMAGEN.</v>
      </c>
    </row>
    <row r="6519" spans="1:20" ht="27" customHeight="1" x14ac:dyDescent="0.25">
      <c r="A6519" t="s">
        <v>7483</v>
      </c>
      <c r="H6519" s="70" t="s">
        <v>13420</v>
      </c>
      <c r="I6519" s="33" t="s">
        <v>13417</v>
      </c>
      <c r="J6519" s="34" t="s">
        <v>26</v>
      </c>
      <c r="K6519" s="42">
        <v>3000</v>
      </c>
      <c r="L6519" s="12">
        <f t="shared" si="555"/>
        <v>3333.333333333333</v>
      </c>
      <c r="M6519" s="8">
        <v>1</v>
      </c>
      <c r="N6519" s="8" t="s">
        <v>27</v>
      </c>
      <c r="O6519" s="13"/>
      <c r="P6519" s="14">
        <v>0</v>
      </c>
      <c r="Q6519" s="15">
        <v>0.1</v>
      </c>
      <c r="R6519" s="40" t="str">
        <f t="shared" si="552"/>
        <v>OPTOMA</v>
      </c>
    </row>
    <row r="6520" spans="1:20" ht="27" customHeight="1" x14ac:dyDescent="0.25">
      <c r="A6520" s="32" t="s">
        <v>8836</v>
      </c>
      <c r="H6520" s="32" t="s">
        <v>13421</v>
      </c>
      <c r="I6520" s="33" t="s">
        <v>13422</v>
      </c>
      <c r="J6520" s="34" t="s">
        <v>33</v>
      </c>
      <c r="K6520" s="42">
        <f>565000*0.9</f>
        <v>508500</v>
      </c>
      <c r="L6520" s="12">
        <f t="shared" si="555"/>
        <v>635700</v>
      </c>
      <c r="M6520" s="8">
        <v>1</v>
      </c>
      <c r="N6520" s="8" t="s">
        <v>27</v>
      </c>
      <c r="O6520" s="13"/>
      <c r="P6520" s="14">
        <v>0</v>
      </c>
      <c r="Q6520" s="15">
        <v>0.2</v>
      </c>
      <c r="R6520" s="40" t="str">
        <f t="shared" si="552"/>
        <v>TECNOLITE</v>
      </c>
    </row>
    <row r="6521" spans="1:20" ht="27" customHeight="1" x14ac:dyDescent="0.25">
      <c r="A6521" t="s">
        <v>2095</v>
      </c>
      <c r="H6521" s="70" t="s">
        <v>13423</v>
      </c>
      <c r="I6521" s="33" t="s">
        <v>13424</v>
      </c>
      <c r="J6521" s="34" t="s">
        <v>33</v>
      </c>
      <c r="K6521" s="42">
        <v>149000</v>
      </c>
      <c r="L6521" s="12">
        <f t="shared" si="555"/>
        <v>186300</v>
      </c>
      <c r="M6521" s="8">
        <v>1</v>
      </c>
      <c r="N6521" s="8" t="s">
        <v>27</v>
      </c>
      <c r="O6521" s="13"/>
      <c r="P6521" s="14">
        <v>0</v>
      </c>
      <c r="Q6521" s="15">
        <v>0.2</v>
      </c>
      <c r="R6521" s="40" t="str">
        <f t="shared" si="552"/>
        <v>ECOLITE</v>
      </c>
    </row>
    <row r="6522" spans="1:20" ht="27" customHeight="1" x14ac:dyDescent="0.25">
      <c r="A6522" t="s">
        <v>2095</v>
      </c>
      <c r="H6522" s="32" t="s">
        <v>13425</v>
      </c>
      <c r="I6522" s="33" t="s">
        <v>13426</v>
      </c>
      <c r="J6522" s="34" t="s">
        <v>33</v>
      </c>
      <c r="K6522" s="42">
        <v>41066</v>
      </c>
      <c r="L6522" s="12">
        <f t="shared" si="555"/>
        <v>51400</v>
      </c>
      <c r="M6522" s="8">
        <v>1</v>
      </c>
      <c r="N6522" s="8" t="s">
        <v>27</v>
      </c>
      <c r="O6522" s="13"/>
      <c r="P6522" s="14">
        <v>0</v>
      </c>
      <c r="Q6522" s="15">
        <v>0.2</v>
      </c>
      <c r="R6522" s="40" t="str">
        <f t="shared" si="552"/>
        <v>ECOLITE</v>
      </c>
    </row>
    <row r="6523" spans="1:20" ht="27" customHeight="1" x14ac:dyDescent="0.25">
      <c r="A6523" t="s">
        <v>2095</v>
      </c>
      <c r="H6523" s="70" t="s">
        <v>13427</v>
      </c>
      <c r="I6523" s="33" t="s">
        <v>13428</v>
      </c>
      <c r="J6523" s="34" t="s">
        <v>33</v>
      </c>
      <c r="K6523" s="42">
        <v>111000</v>
      </c>
      <c r="L6523" s="12">
        <f t="shared" si="555"/>
        <v>138800</v>
      </c>
      <c r="M6523" s="8">
        <v>1</v>
      </c>
      <c r="N6523" s="8" t="s">
        <v>27</v>
      </c>
      <c r="O6523" s="13"/>
      <c r="P6523" s="14">
        <v>0</v>
      </c>
      <c r="Q6523" s="15">
        <v>0.2</v>
      </c>
      <c r="R6523" s="40" t="str">
        <f t="shared" si="552"/>
        <v>ECOLITE</v>
      </c>
    </row>
    <row r="6524" spans="1:20" ht="27" customHeight="1" x14ac:dyDescent="0.25">
      <c r="A6524" t="s">
        <v>6990</v>
      </c>
      <c r="H6524" s="32" t="s">
        <v>7065</v>
      </c>
      <c r="I6524" s="33" t="s">
        <v>13429</v>
      </c>
      <c r="J6524" s="34" t="s">
        <v>26</v>
      </c>
      <c r="K6524" s="42">
        <v>949</v>
      </c>
      <c r="L6524" s="12">
        <f t="shared" si="555"/>
        <v>1626.8571428571429</v>
      </c>
      <c r="M6524" s="8">
        <v>1</v>
      </c>
      <c r="N6524" s="8" t="s">
        <v>27</v>
      </c>
      <c r="O6524" s="13"/>
      <c r="P6524" s="14">
        <v>0.2</v>
      </c>
      <c r="Q6524" s="15">
        <v>0.3</v>
      </c>
      <c r="R6524" s="40" t="str">
        <f t="shared" si="552"/>
        <v>NEC</v>
      </c>
    </row>
    <row r="6525" spans="1:20" ht="27" customHeight="1" x14ac:dyDescent="0.25">
      <c r="A6525" t="s">
        <v>6990</v>
      </c>
      <c r="H6525" s="70" t="s">
        <v>13430</v>
      </c>
      <c r="I6525" s="33" t="s">
        <v>13431</v>
      </c>
      <c r="J6525" s="34" t="s">
        <v>26</v>
      </c>
      <c r="K6525" s="42">
        <v>1889</v>
      </c>
      <c r="L6525" s="12">
        <f t="shared" si="555"/>
        <v>3238.2857142857142</v>
      </c>
      <c r="M6525" s="8">
        <v>1</v>
      </c>
      <c r="N6525" s="8" t="s">
        <v>27</v>
      </c>
      <c r="O6525" s="13"/>
      <c r="P6525" s="14">
        <v>0.2</v>
      </c>
      <c r="Q6525" s="15">
        <v>0.3</v>
      </c>
      <c r="R6525" s="40" t="str">
        <f t="shared" si="552"/>
        <v>NEC</v>
      </c>
    </row>
    <row r="6526" spans="1:20" ht="27" customHeight="1" x14ac:dyDescent="0.25">
      <c r="A6526" t="s">
        <v>9523</v>
      </c>
      <c r="H6526" s="32" t="s">
        <v>13432</v>
      </c>
      <c r="I6526" s="33" t="s">
        <v>13433</v>
      </c>
      <c r="J6526" s="34" t="s">
        <v>26</v>
      </c>
      <c r="K6526" s="42">
        <v>24</v>
      </c>
      <c r="L6526" s="12">
        <f t="shared" si="555"/>
        <v>34.285714285714285</v>
      </c>
      <c r="M6526" s="8">
        <v>1</v>
      </c>
      <c r="N6526" s="8" t="s">
        <v>27</v>
      </c>
      <c r="O6526" s="13"/>
      <c r="P6526" s="14">
        <v>0</v>
      </c>
      <c r="Q6526" s="15">
        <v>0.3</v>
      </c>
      <c r="R6526" s="40" t="str">
        <f t="shared" ref="R6526:R6589" si="556">A6526</f>
        <v>VIVO</v>
      </c>
    </row>
    <row r="6527" spans="1:20" ht="27" customHeight="1" x14ac:dyDescent="0.25">
      <c r="A6527" t="s">
        <v>7483</v>
      </c>
      <c r="H6527" s="70" t="s">
        <v>13434</v>
      </c>
      <c r="I6527" s="33" t="s">
        <v>13435</v>
      </c>
      <c r="J6527" s="34" t="s">
        <v>26</v>
      </c>
      <c r="K6527" s="42">
        <v>1984</v>
      </c>
      <c r="L6527" s="12">
        <f t="shared" si="555"/>
        <v>2645.333333333333</v>
      </c>
      <c r="M6527" s="8">
        <v>1</v>
      </c>
      <c r="N6527" s="8" t="s">
        <v>27</v>
      </c>
      <c r="O6527" s="13"/>
      <c r="P6527" s="14">
        <v>0.2</v>
      </c>
      <c r="Q6527" s="15">
        <v>0.1</v>
      </c>
      <c r="R6527" s="40" t="str">
        <f t="shared" si="556"/>
        <v>OPTOMA</v>
      </c>
    </row>
    <row r="6528" spans="1:20" ht="27" customHeight="1" x14ac:dyDescent="0.25">
      <c r="A6528" t="s">
        <v>5672</v>
      </c>
      <c r="H6528" s="32" t="s">
        <v>13436</v>
      </c>
      <c r="I6528" s="33" t="s">
        <v>13437</v>
      </c>
      <c r="J6528" s="34" t="s">
        <v>26</v>
      </c>
      <c r="K6528" s="42">
        <v>36</v>
      </c>
      <c r="L6528" s="12">
        <f t="shared" si="555"/>
        <v>59.999999999999993</v>
      </c>
      <c r="M6528" s="8">
        <v>1</v>
      </c>
      <c r="N6528" s="8" t="s">
        <v>27</v>
      </c>
      <c r="O6528" s="13"/>
      <c r="P6528" s="14">
        <v>0.2</v>
      </c>
      <c r="Q6528" s="15">
        <v>0.28000000000000003</v>
      </c>
      <c r="R6528" s="40" t="str">
        <f t="shared" si="556"/>
        <v>LUTRON</v>
      </c>
    </row>
    <row r="6529" spans="1:19" ht="27" customHeight="1" x14ac:dyDescent="0.25">
      <c r="A6529" t="s">
        <v>10249</v>
      </c>
      <c r="H6529" t="s">
        <v>13438</v>
      </c>
      <c r="I6529" s="33" t="s">
        <v>13439</v>
      </c>
      <c r="J6529" s="34" t="s">
        <v>33</v>
      </c>
      <c r="K6529" s="42">
        <v>76000</v>
      </c>
      <c r="L6529" s="12">
        <f t="shared" si="555"/>
        <v>108600</v>
      </c>
      <c r="M6529" s="8">
        <v>1</v>
      </c>
      <c r="N6529" s="8" t="s">
        <v>27</v>
      </c>
      <c r="O6529" s="13"/>
      <c r="P6529" s="14">
        <v>0.2</v>
      </c>
      <c r="Q6529" s="15">
        <v>0.3</v>
      </c>
      <c r="R6529" s="40" t="str">
        <f t="shared" si="556"/>
        <v>SKYDANCE</v>
      </c>
      <c r="S6529" t="s">
        <v>13440</v>
      </c>
    </row>
    <row r="6530" spans="1:19" ht="27" customHeight="1" x14ac:dyDescent="0.25">
      <c r="A6530" t="s">
        <v>10249</v>
      </c>
      <c r="H6530" t="s">
        <v>13441</v>
      </c>
      <c r="I6530" s="33" t="s">
        <v>13442</v>
      </c>
      <c r="J6530" s="34" t="s">
        <v>33</v>
      </c>
      <c r="K6530" s="42">
        <v>75000</v>
      </c>
      <c r="L6530" s="12">
        <f t="shared" si="555"/>
        <v>107200</v>
      </c>
      <c r="M6530" s="8">
        <v>1</v>
      </c>
      <c r="N6530" s="8" t="s">
        <v>27</v>
      </c>
      <c r="O6530" s="13"/>
      <c r="P6530" s="14">
        <v>0.2</v>
      </c>
      <c r="Q6530" s="15">
        <v>0.3</v>
      </c>
      <c r="R6530" s="40" t="str">
        <f t="shared" si="556"/>
        <v>SKYDANCE</v>
      </c>
      <c r="S6530" t="s">
        <v>13443</v>
      </c>
    </row>
    <row r="6531" spans="1:19" ht="27" customHeight="1" x14ac:dyDescent="0.25">
      <c r="A6531" t="s">
        <v>10249</v>
      </c>
      <c r="H6531" t="s">
        <v>13444</v>
      </c>
      <c r="I6531" s="33" t="s">
        <v>13445</v>
      </c>
      <c r="J6531" s="34" t="s">
        <v>33</v>
      </c>
      <c r="K6531" s="42">
        <v>94000</v>
      </c>
      <c r="L6531" s="12">
        <f t="shared" si="555"/>
        <v>134300</v>
      </c>
      <c r="M6531" s="8">
        <v>1</v>
      </c>
      <c r="N6531" s="8" t="s">
        <v>27</v>
      </c>
      <c r="O6531" s="13"/>
      <c r="P6531" s="14">
        <v>0.2</v>
      </c>
      <c r="Q6531" s="15">
        <v>0.3</v>
      </c>
      <c r="R6531" s="40" t="str">
        <f t="shared" si="556"/>
        <v>SKYDANCE</v>
      </c>
      <c r="S6531" t="s">
        <v>13446</v>
      </c>
    </row>
    <row r="6532" spans="1:19" ht="27" customHeight="1" x14ac:dyDescent="0.25">
      <c r="A6532" t="s">
        <v>5672</v>
      </c>
      <c r="H6532" t="s">
        <v>13447</v>
      </c>
      <c r="I6532" s="33" t="s">
        <v>13448</v>
      </c>
      <c r="J6532" s="34" t="s">
        <v>26</v>
      </c>
      <c r="K6532" s="42">
        <v>180</v>
      </c>
      <c r="L6532" s="12">
        <f t="shared" si="555"/>
        <v>308.57142857142861</v>
      </c>
      <c r="M6532" s="8">
        <v>1</v>
      </c>
      <c r="N6532" s="8" t="s">
        <v>27</v>
      </c>
      <c r="O6532" s="13"/>
      <c r="P6532" s="14">
        <v>0.2</v>
      </c>
      <c r="Q6532" s="15">
        <v>0.3</v>
      </c>
      <c r="R6532" s="40" t="str">
        <f t="shared" si="556"/>
        <v>LUTRON</v>
      </c>
      <c r="S6532" t="s">
        <v>13446</v>
      </c>
    </row>
    <row r="6533" spans="1:19" ht="27" customHeight="1" x14ac:dyDescent="0.25">
      <c r="A6533" t="s">
        <v>13449</v>
      </c>
      <c r="H6533" t="s">
        <v>13450</v>
      </c>
      <c r="I6533" s="33" t="s">
        <v>13451</v>
      </c>
      <c r="J6533" s="34" t="s">
        <v>33</v>
      </c>
      <c r="K6533" s="42">
        <v>3002</v>
      </c>
      <c r="L6533" s="12">
        <f t="shared" si="555"/>
        <v>4300</v>
      </c>
      <c r="M6533" s="8">
        <v>1</v>
      </c>
      <c r="N6533" s="8" t="s">
        <v>27</v>
      </c>
      <c r="O6533" s="13"/>
      <c r="P6533" s="14">
        <v>0.2</v>
      </c>
      <c r="Q6533" s="15">
        <v>0.3</v>
      </c>
      <c r="R6533" s="40" t="str">
        <f t="shared" si="556"/>
        <v>PROCABLES</v>
      </c>
    </row>
    <row r="6534" spans="1:19" ht="27" customHeight="1" x14ac:dyDescent="0.25">
      <c r="A6534" t="s">
        <v>13449</v>
      </c>
      <c r="H6534" t="s">
        <v>13452</v>
      </c>
      <c r="I6534" s="33" t="s">
        <v>13453</v>
      </c>
      <c r="J6534" s="34" t="s">
        <v>33</v>
      </c>
      <c r="K6534" s="42">
        <v>1921</v>
      </c>
      <c r="L6534" s="12">
        <f t="shared" si="555"/>
        <v>2800</v>
      </c>
      <c r="M6534" s="8">
        <v>1</v>
      </c>
      <c r="N6534" s="8" t="s">
        <v>27</v>
      </c>
      <c r="O6534" s="13"/>
      <c r="P6534" s="14">
        <v>0.2</v>
      </c>
      <c r="Q6534" s="15">
        <v>0.3</v>
      </c>
      <c r="R6534" s="40" t="str">
        <f t="shared" si="556"/>
        <v>PROCABLES</v>
      </c>
    </row>
    <row r="6535" spans="1:19" ht="27" customHeight="1" x14ac:dyDescent="0.25">
      <c r="A6535" t="s">
        <v>5066</v>
      </c>
      <c r="H6535" t="s">
        <v>13454</v>
      </c>
      <c r="I6535" s="33" t="s">
        <v>13455</v>
      </c>
      <c r="J6535" s="34" t="s">
        <v>33</v>
      </c>
      <c r="K6535" s="42">
        <v>46800</v>
      </c>
      <c r="L6535" s="12">
        <f t="shared" si="555"/>
        <v>66900</v>
      </c>
      <c r="M6535" s="8">
        <v>1</v>
      </c>
      <c r="N6535" s="8" t="s">
        <v>27</v>
      </c>
      <c r="O6535" s="13"/>
      <c r="P6535" s="14">
        <v>0.2</v>
      </c>
      <c r="Q6535" s="15">
        <v>0.3</v>
      </c>
      <c r="R6535" s="40" t="str">
        <f t="shared" si="556"/>
        <v>LEGRAND</v>
      </c>
    </row>
    <row r="6536" spans="1:19" ht="27" customHeight="1" x14ac:dyDescent="0.25">
      <c r="A6536" t="s">
        <v>5066</v>
      </c>
      <c r="H6536" t="s">
        <v>13456</v>
      </c>
      <c r="I6536" s="33" t="s">
        <v>13457</v>
      </c>
      <c r="J6536" s="34" t="s">
        <v>33</v>
      </c>
      <c r="K6536" s="42">
        <v>38900</v>
      </c>
      <c r="L6536" s="12">
        <f t="shared" si="555"/>
        <v>55600</v>
      </c>
      <c r="M6536" s="8">
        <v>1</v>
      </c>
      <c r="N6536" s="8" t="s">
        <v>27</v>
      </c>
      <c r="O6536" s="13"/>
      <c r="P6536" s="14">
        <v>0.2</v>
      </c>
      <c r="Q6536" s="15">
        <v>0.3</v>
      </c>
      <c r="R6536" s="40" t="str">
        <f t="shared" si="556"/>
        <v>LEGRAND</v>
      </c>
    </row>
    <row r="6537" spans="1:19" ht="27" customHeight="1" x14ac:dyDescent="0.25">
      <c r="A6537" t="s">
        <v>5066</v>
      </c>
      <c r="H6537" t="s">
        <v>13458</v>
      </c>
      <c r="I6537" s="33" t="s">
        <v>13459</v>
      </c>
      <c r="J6537" s="34" t="s">
        <v>33</v>
      </c>
      <c r="K6537" s="42">
        <v>39950</v>
      </c>
      <c r="L6537" s="12">
        <f t="shared" si="555"/>
        <v>57100</v>
      </c>
      <c r="M6537" s="8">
        <v>1</v>
      </c>
      <c r="N6537" s="8" t="s">
        <v>27</v>
      </c>
      <c r="O6537" s="13"/>
      <c r="P6537" s="14">
        <v>0.2</v>
      </c>
      <c r="Q6537" s="15">
        <v>0.3</v>
      </c>
      <c r="R6537" s="40" t="str">
        <f t="shared" si="556"/>
        <v>LEGRAND</v>
      </c>
    </row>
    <row r="6538" spans="1:19" ht="27" customHeight="1" x14ac:dyDescent="0.25">
      <c r="A6538" t="s">
        <v>9223</v>
      </c>
      <c r="H6538" t="s">
        <v>13460</v>
      </c>
      <c r="I6538" s="33" t="s">
        <v>13461</v>
      </c>
      <c r="J6538" s="34" t="s">
        <v>33</v>
      </c>
      <c r="K6538" s="42">
        <v>7291000</v>
      </c>
      <c r="L6538" s="12">
        <f t="shared" si="555"/>
        <v>9721400</v>
      </c>
      <c r="M6538" s="8">
        <v>1</v>
      </c>
      <c r="N6538" s="8" t="s">
        <v>27</v>
      </c>
      <c r="O6538" s="13">
        <f t="shared" ref="O6538:O6550" si="557">F6538</f>
        <v>0</v>
      </c>
      <c r="P6538" s="14">
        <v>0</v>
      </c>
      <c r="Q6538" s="15">
        <v>0.25</v>
      </c>
      <c r="R6538" s="40" t="str">
        <f t="shared" si="556"/>
        <v>TENSOFLEX</v>
      </c>
    </row>
    <row r="6539" spans="1:19" ht="27" customHeight="1" x14ac:dyDescent="0.25">
      <c r="A6539" t="s">
        <v>9223</v>
      </c>
      <c r="H6539" t="s">
        <v>13462</v>
      </c>
      <c r="I6539" s="33" t="s">
        <v>13463</v>
      </c>
      <c r="J6539" s="34" t="s">
        <v>33</v>
      </c>
      <c r="K6539" s="42">
        <v>2614000</v>
      </c>
      <c r="L6539" s="12">
        <f t="shared" si="555"/>
        <v>3485400</v>
      </c>
      <c r="M6539" s="8">
        <v>1</v>
      </c>
      <c r="N6539" s="8" t="s">
        <v>27</v>
      </c>
      <c r="O6539" s="13">
        <f t="shared" si="557"/>
        <v>0</v>
      </c>
      <c r="P6539" s="14">
        <v>0</v>
      </c>
      <c r="Q6539" s="15">
        <v>0.25</v>
      </c>
      <c r="R6539" s="40" t="str">
        <f t="shared" si="556"/>
        <v>TENSOFLEX</v>
      </c>
    </row>
    <row r="6540" spans="1:19" ht="27" customHeight="1" x14ac:dyDescent="0.25">
      <c r="A6540" t="s">
        <v>3977</v>
      </c>
      <c r="H6540" t="s">
        <v>13464</v>
      </c>
      <c r="I6540" s="33" t="s">
        <v>13465</v>
      </c>
      <c r="J6540" s="34" t="s">
        <v>33</v>
      </c>
      <c r="K6540" s="42">
        <v>250000</v>
      </c>
      <c r="L6540" s="12">
        <f t="shared" si="555"/>
        <v>333400</v>
      </c>
      <c r="M6540" s="8">
        <v>1</v>
      </c>
      <c r="N6540" s="8" t="s">
        <v>27</v>
      </c>
      <c r="O6540" s="13">
        <f t="shared" si="557"/>
        <v>0</v>
      </c>
      <c r="P6540" s="14">
        <v>0</v>
      </c>
      <c r="Q6540" s="15">
        <v>0.25</v>
      </c>
      <c r="R6540" s="40" t="str">
        <f t="shared" si="556"/>
        <v>KOMODO</v>
      </c>
    </row>
    <row r="6541" spans="1:19" ht="27" customHeight="1" x14ac:dyDescent="0.25">
      <c r="A6541" t="s">
        <v>7959</v>
      </c>
      <c r="H6541" t="s">
        <v>13466</v>
      </c>
      <c r="I6541" s="33" t="s">
        <v>13467</v>
      </c>
      <c r="J6541" s="34" t="s">
        <v>26</v>
      </c>
      <c r="K6541" s="42">
        <v>229</v>
      </c>
      <c r="L6541" s="12">
        <f t="shared" si="555"/>
        <v>305.33333333333331</v>
      </c>
      <c r="M6541" s="8">
        <v>1</v>
      </c>
      <c r="N6541" s="8" t="s">
        <v>27</v>
      </c>
      <c r="O6541" s="13">
        <f t="shared" si="557"/>
        <v>0</v>
      </c>
      <c r="P6541" s="14">
        <v>0</v>
      </c>
      <c r="Q6541" s="15">
        <v>0.25</v>
      </c>
      <c r="R6541" s="40" t="str">
        <f t="shared" si="556"/>
        <v>RING</v>
      </c>
      <c r="S6541" s="39" t="s">
        <v>13468</v>
      </c>
    </row>
    <row r="6542" spans="1:19" ht="27" customHeight="1" x14ac:dyDescent="0.25">
      <c r="A6542" t="s">
        <v>7959</v>
      </c>
      <c r="H6542" t="s">
        <v>13469</v>
      </c>
      <c r="I6542" s="33" t="s">
        <v>13470</v>
      </c>
      <c r="J6542" s="34" t="s">
        <v>26</v>
      </c>
      <c r="K6542" s="42">
        <v>15</v>
      </c>
      <c r="L6542" s="12">
        <f t="shared" si="555"/>
        <v>20</v>
      </c>
      <c r="M6542" s="8">
        <v>1</v>
      </c>
      <c r="N6542" s="8" t="s">
        <v>27</v>
      </c>
      <c r="O6542" s="13">
        <f t="shared" si="557"/>
        <v>0</v>
      </c>
      <c r="P6542" s="14">
        <v>0</v>
      </c>
      <c r="Q6542" s="15">
        <v>0.25</v>
      </c>
      <c r="R6542" s="40" t="str">
        <f t="shared" si="556"/>
        <v>RING</v>
      </c>
      <c r="S6542" t="s">
        <v>13471</v>
      </c>
    </row>
    <row r="6543" spans="1:19" ht="27" customHeight="1" x14ac:dyDescent="0.25">
      <c r="A6543" t="s">
        <v>11685</v>
      </c>
      <c r="H6543" t="s">
        <v>13472</v>
      </c>
      <c r="I6543" s="33" t="s">
        <v>13473</v>
      </c>
      <c r="J6543" s="34" t="s">
        <v>26</v>
      </c>
      <c r="K6543" s="42">
        <v>62</v>
      </c>
      <c r="L6543" s="12">
        <f t="shared" si="555"/>
        <v>88.571428571428584</v>
      </c>
      <c r="M6543" s="8">
        <v>1</v>
      </c>
      <c r="N6543" s="8" t="s">
        <v>27</v>
      </c>
      <c r="O6543" s="13">
        <f t="shared" si="557"/>
        <v>0</v>
      </c>
      <c r="P6543" s="14">
        <v>0</v>
      </c>
      <c r="Q6543" s="15">
        <v>0.3</v>
      </c>
      <c r="R6543" s="40" t="str">
        <f t="shared" si="556"/>
        <v>RUIJIE</v>
      </c>
    </row>
    <row r="6544" spans="1:19" ht="27" customHeight="1" x14ac:dyDescent="0.25">
      <c r="A6544" t="s">
        <v>2512</v>
      </c>
      <c r="H6544" t="s">
        <v>13474</v>
      </c>
      <c r="I6544" s="33" t="s">
        <v>13475</v>
      </c>
      <c r="J6544" s="34" t="s">
        <v>33</v>
      </c>
      <c r="K6544" s="42">
        <v>107000</v>
      </c>
      <c r="L6544" s="12">
        <f t="shared" si="555"/>
        <v>152900</v>
      </c>
      <c r="M6544" s="8">
        <v>1</v>
      </c>
      <c r="N6544" s="8" t="s">
        <v>27</v>
      </c>
      <c r="O6544" s="13">
        <f t="shared" si="557"/>
        <v>0</v>
      </c>
      <c r="P6544" s="14">
        <v>0</v>
      </c>
      <c r="Q6544" s="15">
        <v>0.3</v>
      </c>
      <c r="R6544" s="40" t="str">
        <f t="shared" si="556"/>
        <v>GENERAL</v>
      </c>
    </row>
    <row r="6545" spans="1:18" ht="27" customHeight="1" x14ac:dyDescent="0.25">
      <c r="A6545" t="s">
        <v>5449</v>
      </c>
      <c r="H6545" t="s">
        <v>13476</v>
      </c>
      <c r="I6545" s="33" t="s">
        <v>13477</v>
      </c>
      <c r="J6545" s="34" t="s">
        <v>33</v>
      </c>
      <c r="K6545" s="42">
        <v>574000</v>
      </c>
      <c r="L6545" s="12">
        <f t="shared" si="555"/>
        <v>956700</v>
      </c>
      <c r="M6545" s="8">
        <v>1</v>
      </c>
      <c r="N6545" s="8" t="s">
        <v>27</v>
      </c>
      <c r="O6545" s="13">
        <f t="shared" si="557"/>
        <v>0</v>
      </c>
      <c r="P6545" s="14">
        <v>0</v>
      </c>
      <c r="Q6545" s="15">
        <v>0.4</v>
      </c>
      <c r="R6545" s="40" t="str">
        <f t="shared" si="556"/>
        <v>LULOVA</v>
      </c>
    </row>
    <row r="6546" spans="1:18" ht="27" customHeight="1" x14ac:dyDescent="0.25">
      <c r="A6546" t="s">
        <v>5672</v>
      </c>
      <c r="H6546" t="s">
        <v>13478</v>
      </c>
      <c r="I6546" s="33" t="s">
        <v>13479</v>
      </c>
      <c r="J6546" s="34" t="s">
        <v>33</v>
      </c>
      <c r="K6546" s="42">
        <v>381000</v>
      </c>
      <c r="L6546" s="12">
        <f t="shared" si="555"/>
        <v>544300</v>
      </c>
      <c r="M6546" s="8">
        <v>1</v>
      </c>
      <c r="N6546" s="8" t="s">
        <v>27</v>
      </c>
      <c r="O6546" s="13">
        <f t="shared" si="557"/>
        <v>0</v>
      </c>
      <c r="P6546" s="14">
        <v>0</v>
      </c>
      <c r="Q6546" s="15">
        <v>0.3</v>
      </c>
      <c r="R6546" s="40" t="str">
        <f t="shared" si="556"/>
        <v>LUTRON</v>
      </c>
    </row>
    <row r="6547" spans="1:18" ht="27" customHeight="1" x14ac:dyDescent="0.25">
      <c r="A6547" t="s">
        <v>3977</v>
      </c>
      <c r="H6547" t="s">
        <v>13480</v>
      </c>
      <c r="I6547" s="33" t="s">
        <v>13481</v>
      </c>
      <c r="J6547" s="34" t="s">
        <v>33</v>
      </c>
      <c r="K6547" s="42">
        <v>450000</v>
      </c>
      <c r="L6547" s="12">
        <f t="shared" si="555"/>
        <v>562500</v>
      </c>
      <c r="M6547" s="8">
        <v>1</v>
      </c>
      <c r="N6547" s="8" t="s">
        <v>27</v>
      </c>
      <c r="O6547" s="13">
        <f t="shared" si="557"/>
        <v>0</v>
      </c>
      <c r="P6547" s="14">
        <v>0</v>
      </c>
      <c r="Q6547" s="15">
        <v>0.2</v>
      </c>
      <c r="R6547" s="40" t="str">
        <f t="shared" si="556"/>
        <v>KOMODO</v>
      </c>
    </row>
    <row r="6548" spans="1:18" ht="27" customHeight="1" x14ac:dyDescent="0.25">
      <c r="A6548" t="s">
        <v>3977</v>
      </c>
      <c r="H6548" t="s">
        <v>13482</v>
      </c>
      <c r="I6548" s="33" t="s">
        <v>13483</v>
      </c>
      <c r="J6548" s="34" t="s">
        <v>33</v>
      </c>
      <c r="K6548" s="42">
        <v>90000</v>
      </c>
      <c r="L6548" s="12">
        <f t="shared" si="555"/>
        <v>112500</v>
      </c>
      <c r="M6548" s="8">
        <v>1</v>
      </c>
      <c r="N6548" s="8" t="s">
        <v>27</v>
      </c>
      <c r="O6548" s="13">
        <f t="shared" si="557"/>
        <v>0</v>
      </c>
      <c r="P6548" s="14">
        <v>0</v>
      </c>
      <c r="Q6548" s="15">
        <v>0.2</v>
      </c>
      <c r="R6548" s="40" t="str">
        <f t="shared" si="556"/>
        <v>KOMODO</v>
      </c>
    </row>
    <row r="6549" spans="1:18" ht="27" customHeight="1" x14ac:dyDescent="0.25">
      <c r="A6549" t="s">
        <v>2413</v>
      </c>
      <c r="H6549" t="s">
        <v>13484</v>
      </c>
      <c r="I6549" s="33" t="s">
        <v>13485</v>
      </c>
      <c r="J6549" s="34" t="s">
        <v>26</v>
      </c>
      <c r="K6549" s="42">
        <f>7762*0.8</f>
        <v>6209.6</v>
      </c>
      <c r="L6549" s="12">
        <f t="shared" si="555"/>
        <v>7762</v>
      </c>
      <c r="M6549" s="8">
        <v>1</v>
      </c>
      <c r="N6549" s="8" t="s">
        <v>27</v>
      </c>
      <c r="O6549" s="13">
        <f t="shared" si="557"/>
        <v>0</v>
      </c>
      <c r="P6549" s="14">
        <v>0</v>
      </c>
      <c r="Q6549" s="15">
        <v>0.2</v>
      </c>
      <c r="R6549" s="40" t="str">
        <f t="shared" si="556"/>
        <v>FLOS</v>
      </c>
    </row>
    <row r="6550" spans="1:18" ht="27" customHeight="1" x14ac:dyDescent="0.25">
      <c r="A6550" t="s">
        <v>11808</v>
      </c>
      <c r="H6550" t="s">
        <v>13486</v>
      </c>
      <c r="I6550" s="33" t="s">
        <v>13487</v>
      </c>
      <c r="J6550" s="34" t="s">
        <v>26</v>
      </c>
      <c r="K6550" s="42">
        <v>100.05</v>
      </c>
      <c r="L6550" s="12">
        <f t="shared" si="555"/>
        <v>142.92857142857144</v>
      </c>
      <c r="M6550" s="8">
        <v>1</v>
      </c>
      <c r="N6550" s="8" t="s">
        <v>27</v>
      </c>
      <c r="O6550" s="13">
        <f t="shared" si="557"/>
        <v>0</v>
      </c>
      <c r="P6550" s="14">
        <v>0</v>
      </c>
      <c r="Q6550" s="15">
        <v>0.3</v>
      </c>
      <c r="R6550" s="40" t="str">
        <f t="shared" si="556"/>
        <v>POLK</v>
      </c>
    </row>
    <row r="6551" spans="1:18" ht="27" customHeight="1" x14ac:dyDescent="0.25">
      <c r="A6551" s="44" t="s">
        <v>13488</v>
      </c>
      <c r="H6551" s="32" t="s">
        <v>13489</v>
      </c>
      <c r="I6551" s="33" t="s">
        <v>13490</v>
      </c>
      <c r="J6551" s="34" t="s">
        <v>33</v>
      </c>
      <c r="K6551" s="42">
        <f>2725000/5</f>
        <v>545000</v>
      </c>
      <c r="L6551" s="12">
        <f>K6551*(1+P6551)/(1-Q6551)</f>
        <v>681250</v>
      </c>
      <c r="M6551" s="8">
        <v>1</v>
      </c>
      <c r="N6551" s="8" t="s">
        <v>27</v>
      </c>
      <c r="O6551" s="13"/>
      <c r="P6551" s="14">
        <v>0</v>
      </c>
      <c r="Q6551" s="15">
        <v>0.2</v>
      </c>
      <c r="R6551" s="40" t="str">
        <f t="shared" si="556"/>
        <v>ALTECA</v>
      </c>
    </row>
    <row r="6552" spans="1:18" ht="27" customHeight="1" x14ac:dyDescent="0.25">
      <c r="A6552" t="s">
        <v>8308</v>
      </c>
      <c r="H6552" t="s">
        <v>13491</v>
      </c>
      <c r="I6552" s="33" t="s">
        <v>13492</v>
      </c>
      <c r="J6552" s="34" t="s">
        <v>33</v>
      </c>
      <c r="K6552" s="42">
        <v>2517000</v>
      </c>
      <c r="L6552" s="12">
        <f>K6552*(1+P6552)/(1-Q6552)</f>
        <v>3146250</v>
      </c>
      <c r="M6552" s="8">
        <v>1</v>
      </c>
      <c r="N6552" s="8" t="s">
        <v>27</v>
      </c>
      <c r="O6552" s="13"/>
      <c r="P6552" s="14">
        <v>0</v>
      </c>
      <c r="Q6552" s="15">
        <v>0.2</v>
      </c>
      <c r="R6552" s="40" t="str">
        <f t="shared" si="556"/>
        <v>SOLIDVIEW</v>
      </c>
    </row>
    <row r="6553" spans="1:18" ht="27" customHeight="1" x14ac:dyDescent="0.25">
      <c r="A6553" s="8" t="s">
        <v>10258</v>
      </c>
      <c r="H6553" s="8" t="s">
        <v>13493</v>
      </c>
      <c r="I6553" s="10" t="s">
        <v>13494</v>
      </c>
      <c r="J6553" s="34" t="s">
        <v>26</v>
      </c>
      <c r="K6553" s="20">
        <v>22</v>
      </c>
      <c r="L6553" s="12">
        <f t="shared" ref="L6553:L6592" si="558">IF(J6553="P",ROUNDUP(K6553/(1-Q6553),-2),K6553*(1+P6553)/(1-Q6553))</f>
        <v>51.333333333333329</v>
      </c>
      <c r="M6553" s="8">
        <v>1</v>
      </c>
      <c r="N6553" s="8" t="s">
        <v>27</v>
      </c>
      <c r="O6553" s="13"/>
      <c r="P6553" s="14">
        <v>0.4</v>
      </c>
      <c r="Q6553" s="15">
        <v>0.4</v>
      </c>
      <c r="R6553" s="40" t="str">
        <f t="shared" si="556"/>
        <v>SC_POWER</v>
      </c>
    </row>
    <row r="6554" spans="1:18" ht="27" customHeight="1" x14ac:dyDescent="0.25">
      <c r="A6554" s="8" t="s">
        <v>10258</v>
      </c>
      <c r="H6554" s="8" t="s">
        <v>13495</v>
      </c>
      <c r="I6554" s="10" t="s">
        <v>13496</v>
      </c>
      <c r="J6554" s="34" t="s">
        <v>26</v>
      </c>
      <c r="K6554" s="20">
        <v>32</v>
      </c>
      <c r="L6554" s="12">
        <f t="shared" si="558"/>
        <v>74.666666666666671</v>
      </c>
      <c r="M6554" s="8">
        <v>1</v>
      </c>
      <c r="N6554" s="8" t="s">
        <v>27</v>
      </c>
      <c r="O6554" s="13"/>
      <c r="P6554" s="14">
        <v>0.4</v>
      </c>
      <c r="Q6554" s="15">
        <v>0.4</v>
      </c>
      <c r="R6554" s="40" t="str">
        <f t="shared" si="556"/>
        <v>SC_POWER</v>
      </c>
    </row>
    <row r="6555" spans="1:18" ht="27" customHeight="1" x14ac:dyDescent="0.25">
      <c r="A6555" s="32" t="s">
        <v>7977</v>
      </c>
      <c r="H6555" s="32" t="s">
        <v>13497</v>
      </c>
      <c r="I6555" s="33" t="s">
        <v>13498</v>
      </c>
      <c r="J6555" s="34" t="s">
        <v>26</v>
      </c>
      <c r="K6555" s="42">
        <v>126.91</v>
      </c>
      <c r="L6555" s="12">
        <f t="shared" si="558"/>
        <v>253.82000000000002</v>
      </c>
      <c r="M6555" s="8">
        <v>1</v>
      </c>
      <c r="N6555" s="8" t="s">
        <v>27</v>
      </c>
      <c r="O6555" s="13"/>
      <c r="P6555" s="14">
        <v>0.2</v>
      </c>
      <c r="Q6555" s="15">
        <v>0.4</v>
      </c>
      <c r="R6555" s="40" t="str">
        <f t="shared" si="556"/>
        <v>ROSSLARE</v>
      </c>
    </row>
    <row r="6556" spans="1:18" ht="27" customHeight="1" x14ac:dyDescent="0.25">
      <c r="A6556" s="32" t="s">
        <v>7977</v>
      </c>
      <c r="H6556" s="32" t="s">
        <v>13499</v>
      </c>
      <c r="I6556" s="33" t="s">
        <v>13500</v>
      </c>
      <c r="J6556" s="34" t="s">
        <v>26</v>
      </c>
      <c r="K6556" s="42">
        <v>25.63</v>
      </c>
      <c r="L6556" s="12">
        <f t="shared" si="558"/>
        <v>51.26</v>
      </c>
      <c r="M6556" s="8">
        <v>1</v>
      </c>
      <c r="N6556" s="8" t="s">
        <v>27</v>
      </c>
      <c r="O6556" s="13"/>
      <c r="P6556" s="14">
        <v>0.2</v>
      </c>
      <c r="Q6556" s="15">
        <v>0.4</v>
      </c>
      <c r="R6556" s="40" t="str">
        <f t="shared" si="556"/>
        <v>ROSSLARE</v>
      </c>
    </row>
    <row r="6557" spans="1:18" ht="27" customHeight="1" x14ac:dyDescent="0.25">
      <c r="A6557" s="32" t="s">
        <v>7977</v>
      </c>
      <c r="H6557" s="32" t="s">
        <v>13501</v>
      </c>
      <c r="I6557" s="33" t="s">
        <v>13502</v>
      </c>
      <c r="J6557" s="34" t="s">
        <v>26</v>
      </c>
      <c r="K6557" s="42">
        <v>36.479999999999997</v>
      </c>
      <c r="L6557" s="12">
        <f t="shared" si="558"/>
        <v>72.959999999999994</v>
      </c>
      <c r="M6557" s="8">
        <v>1</v>
      </c>
      <c r="N6557" s="8" t="s">
        <v>27</v>
      </c>
      <c r="O6557" s="13"/>
      <c r="P6557" s="14">
        <v>0.2</v>
      </c>
      <c r="Q6557" s="15">
        <v>0.4</v>
      </c>
      <c r="R6557" s="40" t="str">
        <f t="shared" si="556"/>
        <v>ROSSLARE</v>
      </c>
    </row>
    <row r="6558" spans="1:18" ht="27" customHeight="1" x14ac:dyDescent="0.25">
      <c r="A6558" s="32" t="s">
        <v>7977</v>
      </c>
      <c r="H6558" s="32" t="s">
        <v>13503</v>
      </c>
      <c r="I6558" s="33" t="s">
        <v>13504</v>
      </c>
      <c r="J6558" s="34" t="s">
        <v>26</v>
      </c>
      <c r="K6558" s="42">
        <v>368.24</v>
      </c>
      <c r="L6558" s="12">
        <f t="shared" si="558"/>
        <v>736.48</v>
      </c>
      <c r="M6558" s="8">
        <v>1</v>
      </c>
      <c r="N6558" s="8" t="s">
        <v>27</v>
      </c>
      <c r="O6558" s="13"/>
      <c r="P6558" s="14">
        <v>0.2</v>
      </c>
      <c r="Q6558" s="15">
        <v>0.4</v>
      </c>
      <c r="R6558" s="40" t="str">
        <f t="shared" si="556"/>
        <v>ROSSLARE</v>
      </c>
    </row>
    <row r="6559" spans="1:18" ht="27" customHeight="1" x14ac:dyDescent="0.25">
      <c r="A6559" s="32" t="s">
        <v>7977</v>
      </c>
      <c r="H6559" s="32" t="s">
        <v>13505</v>
      </c>
      <c r="I6559" s="33" t="s">
        <v>13506</v>
      </c>
      <c r="J6559" s="34" t="s">
        <v>26</v>
      </c>
      <c r="K6559" s="42">
        <v>690.22</v>
      </c>
      <c r="L6559" s="12">
        <f t="shared" si="558"/>
        <v>1380.44</v>
      </c>
      <c r="M6559" s="8">
        <v>1</v>
      </c>
      <c r="N6559" s="8" t="s">
        <v>27</v>
      </c>
      <c r="O6559" s="13"/>
      <c r="P6559" s="14">
        <v>0.2</v>
      </c>
      <c r="Q6559" s="15">
        <v>0.4</v>
      </c>
      <c r="R6559" s="40" t="str">
        <f t="shared" si="556"/>
        <v>ROSSLARE</v>
      </c>
    </row>
    <row r="6560" spans="1:18" ht="27" customHeight="1" x14ac:dyDescent="0.25">
      <c r="A6560" s="32" t="s">
        <v>3977</v>
      </c>
      <c r="H6560" s="32" t="s">
        <v>13507</v>
      </c>
      <c r="I6560" s="33" t="s">
        <v>13508</v>
      </c>
      <c r="J6560" s="34" t="s">
        <v>33</v>
      </c>
      <c r="K6560" s="42">
        <v>1710000</v>
      </c>
      <c r="L6560" s="12">
        <f t="shared" si="558"/>
        <v>2850000</v>
      </c>
      <c r="M6560" s="8">
        <v>1</v>
      </c>
      <c r="N6560" s="8" t="s">
        <v>27</v>
      </c>
      <c r="O6560" s="13"/>
      <c r="P6560" s="14">
        <v>0</v>
      </c>
      <c r="Q6560" s="15">
        <v>0.4</v>
      </c>
      <c r="R6560" s="40" t="str">
        <f t="shared" si="556"/>
        <v>KOMODO</v>
      </c>
    </row>
    <row r="6561" spans="1:19" ht="27" customHeight="1" x14ac:dyDescent="0.25">
      <c r="A6561" s="32" t="s">
        <v>3977</v>
      </c>
      <c r="H6561" s="32" t="s">
        <v>13509</v>
      </c>
      <c r="I6561" s="33" t="s">
        <v>13510</v>
      </c>
      <c r="J6561" s="34" t="s">
        <v>26</v>
      </c>
      <c r="K6561" s="42">
        <v>80</v>
      </c>
      <c r="L6561" s="12">
        <f t="shared" si="558"/>
        <v>133.33333333333334</v>
      </c>
      <c r="M6561" s="8">
        <v>1</v>
      </c>
      <c r="N6561" s="8" t="s">
        <v>27</v>
      </c>
      <c r="O6561" s="13"/>
      <c r="P6561" s="14">
        <v>0</v>
      </c>
      <c r="Q6561" s="15">
        <v>0.4</v>
      </c>
      <c r="R6561" s="40" t="str">
        <f t="shared" si="556"/>
        <v>KOMODO</v>
      </c>
    </row>
    <row r="6562" spans="1:19" ht="27" customHeight="1" x14ac:dyDescent="0.25">
      <c r="A6562" s="32" t="s">
        <v>3977</v>
      </c>
      <c r="H6562" s="32" t="s">
        <v>13511</v>
      </c>
      <c r="I6562" s="33" t="s">
        <v>13512</v>
      </c>
      <c r="J6562" s="34" t="s">
        <v>26</v>
      </c>
      <c r="K6562" s="42">
        <v>80</v>
      </c>
      <c r="L6562" s="12">
        <f t="shared" si="558"/>
        <v>133.33333333333334</v>
      </c>
      <c r="M6562" s="8">
        <v>1</v>
      </c>
      <c r="N6562" s="8" t="s">
        <v>27</v>
      </c>
      <c r="O6562" s="13"/>
      <c r="P6562" s="14">
        <v>0</v>
      </c>
      <c r="Q6562" s="15">
        <v>0.4</v>
      </c>
      <c r="R6562" s="40" t="str">
        <f t="shared" si="556"/>
        <v>KOMODO</v>
      </c>
    </row>
    <row r="6563" spans="1:19" ht="27" customHeight="1" x14ac:dyDescent="0.25">
      <c r="A6563" s="32" t="s">
        <v>3697</v>
      </c>
      <c r="H6563" s="32" t="s">
        <v>13513</v>
      </c>
      <c r="I6563" s="33" t="s">
        <v>13514</v>
      </c>
      <c r="J6563" s="34" t="s">
        <v>33</v>
      </c>
      <c r="K6563" s="42">
        <v>6302</v>
      </c>
      <c r="L6563" s="12">
        <f t="shared" si="558"/>
        <v>10600</v>
      </c>
      <c r="M6563" s="8">
        <v>1</v>
      </c>
      <c r="N6563" s="8" t="s">
        <v>27</v>
      </c>
      <c r="O6563" s="13"/>
      <c r="P6563" s="14">
        <v>0</v>
      </c>
      <c r="Q6563" s="15">
        <v>0.4</v>
      </c>
      <c r="R6563" s="40" t="str">
        <f t="shared" si="556"/>
        <v>INFINITE</v>
      </c>
    </row>
    <row r="6564" spans="1:19" ht="27" customHeight="1" x14ac:dyDescent="0.25">
      <c r="A6564" s="32" t="s">
        <v>3977</v>
      </c>
      <c r="H6564" s="32" t="s">
        <v>13515</v>
      </c>
      <c r="I6564" s="33" t="s">
        <v>13516</v>
      </c>
      <c r="J6564" s="34" t="s">
        <v>33</v>
      </c>
      <c r="K6564" s="42">
        <v>1000000</v>
      </c>
      <c r="L6564" s="12">
        <f t="shared" si="558"/>
        <v>1666700</v>
      </c>
      <c r="M6564" s="8">
        <v>1</v>
      </c>
      <c r="N6564" s="8" t="s">
        <v>27</v>
      </c>
      <c r="O6564" s="13"/>
      <c r="P6564" s="14">
        <v>0</v>
      </c>
      <c r="Q6564" s="15">
        <v>0.4</v>
      </c>
      <c r="R6564" s="40" t="str">
        <f t="shared" si="556"/>
        <v>KOMODO</v>
      </c>
    </row>
    <row r="6565" spans="1:19" ht="27" customHeight="1" x14ac:dyDescent="0.25">
      <c r="A6565" s="32" t="s">
        <v>9444</v>
      </c>
      <c r="H6565" s="32" t="s">
        <v>13517</v>
      </c>
      <c r="I6565" s="33" t="s">
        <v>13518</v>
      </c>
      <c r="J6565" s="34" t="s">
        <v>26</v>
      </c>
      <c r="K6565" s="42">
        <v>195</v>
      </c>
      <c r="L6565" s="12">
        <f t="shared" si="558"/>
        <v>325</v>
      </c>
      <c r="M6565" s="8">
        <v>1</v>
      </c>
      <c r="N6565" s="8" t="s">
        <v>27</v>
      </c>
      <c r="O6565" s="13"/>
      <c r="P6565" s="14">
        <v>0</v>
      </c>
      <c r="Q6565" s="15">
        <v>0.4</v>
      </c>
      <c r="R6565" s="40" t="str">
        <f t="shared" si="556"/>
        <v>VANCO</v>
      </c>
    </row>
    <row r="6566" spans="1:19" ht="27" customHeight="1" x14ac:dyDescent="0.25">
      <c r="A6566" s="32" t="s">
        <v>7989</v>
      </c>
      <c r="H6566" s="32" t="s">
        <v>13519</v>
      </c>
      <c r="I6566" s="33" t="s">
        <v>13520</v>
      </c>
      <c r="J6566" s="34" t="s">
        <v>26</v>
      </c>
      <c r="K6566" s="42">
        <v>27</v>
      </c>
      <c r="L6566" s="12">
        <f t="shared" si="558"/>
        <v>64.8</v>
      </c>
      <c r="M6566" s="8">
        <v>1</v>
      </c>
      <c r="N6566" s="8" t="s">
        <v>27</v>
      </c>
      <c r="O6566" s="13"/>
      <c r="P6566" s="14">
        <v>0.2</v>
      </c>
      <c r="Q6566" s="15">
        <v>0.5</v>
      </c>
      <c r="R6566" s="40" t="str">
        <f t="shared" si="556"/>
        <v>RUSSOUND</v>
      </c>
    </row>
    <row r="6567" spans="1:19" ht="27" customHeight="1" x14ac:dyDescent="0.25">
      <c r="A6567" s="32" t="s">
        <v>13521</v>
      </c>
      <c r="H6567" s="32" t="s">
        <v>13522</v>
      </c>
      <c r="I6567" s="33" t="s">
        <v>13523</v>
      </c>
      <c r="J6567" s="34" t="s">
        <v>26</v>
      </c>
      <c r="K6567" s="42">
        <v>68</v>
      </c>
      <c r="L6567" s="12">
        <f t="shared" si="558"/>
        <v>113.33333333333334</v>
      </c>
      <c r="M6567" s="8">
        <v>1</v>
      </c>
      <c r="N6567" s="8" t="s">
        <v>27</v>
      </c>
      <c r="O6567" s="13"/>
      <c r="P6567" s="14">
        <v>0</v>
      </c>
      <c r="Q6567" s="15">
        <v>0.4</v>
      </c>
      <c r="R6567" s="40" t="str">
        <f t="shared" si="556"/>
        <v>BOYA</v>
      </c>
      <c r="S6567" t="s">
        <v>13524</v>
      </c>
    </row>
    <row r="6568" spans="1:19" ht="27" customHeight="1" x14ac:dyDescent="0.25">
      <c r="A6568" s="32" t="s">
        <v>13525</v>
      </c>
      <c r="H6568" s="32" t="s">
        <v>13526</v>
      </c>
      <c r="I6568" s="33" t="s">
        <v>13527</v>
      </c>
      <c r="J6568" s="34" t="s">
        <v>26</v>
      </c>
      <c r="K6568" s="42">
        <v>44</v>
      </c>
      <c r="L6568" s="12">
        <f t="shared" si="558"/>
        <v>62.857142857142861</v>
      </c>
      <c r="M6568" s="8">
        <v>1</v>
      </c>
      <c r="N6568" s="8" t="s">
        <v>27</v>
      </c>
      <c r="O6568" s="13"/>
      <c r="P6568" s="14">
        <v>0</v>
      </c>
      <c r="Q6568" s="15">
        <v>0.3</v>
      </c>
      <c r="R6568" s="40" t="str">
        <f t="shared" si="556"/>
        <v>AES</v>
      </c>
      <c r="S6568" t="s">
        <v>13528</v>
      </c>
    </row>
    <row r="6569" spans="1:19" ht="27" customHeight="1" x14ac:dyDescent="0.25">
      <c r="A6569" s="32" t="s">
        <v>13529</v>
      </c>
      <c r="H6569" s="32" t="s">
        <v>13530</v>
      </c>
      <c r="I6569" s="33" t="s">
        <v>13531</v>
      </c>
      <c r="J6569" s="34" t="s">
        <v>26</v>
      </c>
      <c r="K6569" s="42">
        <v>15</v>
      </c>
      <c r="L6569" s="12">
        <f t="shared" si="558"/>
        <v>21.428571428571431</v>
      </c>
      <c r="M6569" s="8">
        <v>1</v>
      </c>
      <c r="N6569" s="8" t="s">
        <v>27</v>
      </c>
      <c r="O6569" s="13"/>
      <c r="P6569" s="14">
        <v>0</v>
      </c>
      <c r="Q6569" s="15">
        <v>0.3</v>
      </c>
      <c r="R6569" s="40" t="str">
        <f t="shared" si="556"/>
        <v>KEDEGA</v>
      </c>
      <c r="S6569" t="s">
        <v>13532</v>
      </c>
    </row>
    <row r="6570" spans="1:19" ht="27" customHeight="1" x14ac:dyDescent="0.25">
      <c r="A6570" s="32" t="s">
        <v>7931</v>
      </c>
      <c r="H6570" s="32" t="s">
        <v>13533</v>
      </c>
      <c r="I6570" s="33" t="s">
        <v>13534</v>
      </c>
      <c r="J6570" s="34" t="s">
        <v>33</v>
      </c>
      <c r="K6570" s="42">
        <v>4958</v>
      </c>
      <c r="L6570" s="12">
        <f t="shared" si="558"/>
        <v>7100</v>
      </c>
      <c r="M6570" s="8">
        <v>1</v>
      </c>
      <c r="N6570" s="8" t="s">
        <v>27</v>
      </c>
      <c r="O6570" s="13"/>
      <c r="P6570" s="14">
        <v>0</v>
      </c>
      <c r="Q6570" s="15">
        <v>0.3</v>
      </c>
      <c r="R6570" s="40" t="str">
        <f t="shared" si="556"/>
        <v>SYLVANIA</v>
      </c>
    </row>
    <row r="6571" spans="1:19" ht="27" customHeight="1" x14ac:dyDescent="0.25">
      <c r="A6571" s="32" t="s">
        <v>13535</v>
      </c>
      <c r="H6571" s="32" t="s">
        <v>13536</v>
      </c>
      <c r="I6571" s="33" t="s">
        <v>13537</v>
      </c>
      <c r="J6571" s="34" t="s">
        <v>26</v>
      </c>
      <c r="K6571" s="42">
        <v>165.78</v>
      </c>
      <c r="L6571" s="12">
        <f t="shared" si="558"/>
        <v>236.82857142857145</v>
      </c>
      <c r="M6571" s="8">
        <v>1</v>
      </c>
      <c r="N6571" s="8" t="s">
        <v>27</v>
      </c>
      <c r="O6571" s="13"/>
      <c r="P6571" s="14">
        <v>0</v>
      </c>
      <c r="Q6571" s="15">
        <v>0.3</v>
      </c>
      <c r="R6571" s="40" t="str">
        <f t="shared" si="556"/>
        <v>ABLOY</v>
      </c>
    </row>
    <row r="6572" spans="1:19" ht="27" customHeight="1" x14ac:dyDescent="0.25">
      <c r="A6572" s="32" t="s">
        <v>13535</v>
      </c>
      <c r="H6572" s="32" t="s">
        <v>13538</v>
      </c>
      <c r="I6572" s="33" t="s">
        <v>13539</v>
      </c>
      <c r="J6572" s="34" t="s">
        <v>26</v>
      </c>
      <c r="K6572" s="42">
        <v>45.04</v>
      </c>
      <c r="L6572" s="12">
        <f t="shared" si="558"/>
        <v>64.342857142857142</v>
      </c>
      <c r="M6572" s="8">
        <v>1</v>
      </c>
      <c r="N6572" s="8" t="s">
        <v>27</v>
      </c>
      <c r="O6572" s="13"/>
      <c r="P6572" s="14">
        <v>0</v>
      </c>
      <c r="Q6572" s="15">
        <v>0.3</v>
      </c>
      <c r="R6572" s="40" t="str">
        <f t="shared" si="556"/>
        <v>ABLOY</v>
      </c>
    </row>
    <row r="6573" spans="1:19" ht="27" customHeight="1" x14ac:dyDescent="0.25">
      <c r="A6573" s="32" t="s">
        <v>13540</v>
      </c>
      <c r="H6573" s="32" t="s">
        <v>13541</v>
      </c>
      <c r="I6573" s="33" t="s">
        <v>13542</v>
      </c>
      <c r="J6573" s="34" t="s">
        <v>26</v>
      </c>
      <c r="K6573" s="42">
        <v>1887</v>
      </c>
      <c r="L6573" s="12">
        <f t="shared" si="558"/>
        <v>2358.75</v>
      </c>
      <c r="M6573" s="8">
        <v>1</v>
      </c>
      <c r="N6573" s="8" t="s">
        <v>27</v>
      </c>
      <c r="O6573" s="13"/>
      <c r="P6573" s="14">
        <v>0</v>
      </c>
      <c r="Q6573" s="15">
        <v>0.2</v>
      </c>
      <c r="R6573" s="40" t="str">
        <f t="shared" si="556"/>
        <v>ACCURATE</v>
      </c>
    </row>
    <row r="6574" spans="1:19" ht="27" customHeight="1" x14ac:dyDescent="0.25">
      <c r="A6574" s="32" t="s">
        <v>13540</v>
      </c>
      <c r="H6574" s="32" t="s">
        <v>13543</v>
      </c>
      <c r="I6574" s="33" t="s">
        <v>13544</v>
      </c>
      <c r="J6574" s="34" t="s">
        <v>26</v>
      </c>
      <c r="K6574" s="42">
        <v>62</v>
      </c>
      <c r="L6574" s="12">
        <f t="shared" si="558"/>
        <v>77.5</v>
      </c>
      <c r="M6574" s="8">
        <v>1</v>
      </c>
      <c r="N6574" s="8" t="s">
        <v>27</v>
      </c>
      <c r="O6574" s="13"/>
      <c r="P6574" s="14">
        <v>0</v>
      </c>
      <c r="Q6574" s="15">
        <v>0.2</v>
      </c>
      <c r="R6574" s="40" t="str">
        <f t="shared" si="556"/>
        <v>ACCURATE</v>
      </c>
    </row>
    <row r="6575" spans="1:19" ht="27" customHeight="1" x14ac:dyDescent="0.25">
      <c r="A6575" s="32" t="s">
        <v>2512</v>
      </c>
      <c r="H6575" s="32" t="s">
        <v>13545</v>
      </c>
      <c r="I6575" s="33" t="s">
        <v>13546</v>
      </c>
      <c r="J6575" s="34" t="s">
        <v>26</v>
      </c>
      <c r="K6575" s="42">
        <v>100</v>
      </c>
      <c r="L6575" s="12">
        <f t="shared" si="558"/>
        <v>125</v>
      </c>
      <c r="M6575" s="8">
        <v>1</v>
      </c>
      <c r="N6575" s="8" t="s">
        <v>27</v>
      </c>
      <c r="O6575" s="13"/>
      <c r="P6575" s="14">
        <v>0</v>
      </c>
      <c r="Q6575" s="15">
        <v>0.2</v>
      </c>
      <c r="R6575" s="40" t="str">
        <f t="shared" si="556"/>
        <v>GENERAL</v>
      </c>
    </row>
    <row r="6576" spans="1:19" ht="27" customHeight="1" x14ac:dyDescent="0.25">
      <c r="A6576" s="32" t="s">
        <v>13547</v>
      </c>
      <c r="H6576" s="32" t="s">
        <v>13548</v>
      </c>
      <c r="I6576" s="33" t="s">
        <v>13549</v>
      </c>
      <c r="J6576" s="34" t="s">
        <v>26</v>
      </c>
      <c r="K6576" s="42">
        <v>558.66</v>
      </c>
      <c r="L6576" s="12">
        <f t="shared" si="558"/>
        <v>698.32499999999993</v>
      </c>
      <c r="M6576" s="8">
        <v>1</v>
      </c>
      <c r="N6576" s="8" t="s">
        <v>27</v>
      </c>
      <c r="O6576" s="13"/>
      <c r="P6576" s="14">
        <v>0</v>
      </c>
      <c r="Q6576" s="15">
        <v>0.2</v>
      </c>
      <c r="R6576" s="40" t="str">
        <f t="shared" si="556"/>
        <v>ASSA</v>
      </c>
    </row>
    <row r="6577" spans="1:18" ht="27" customHeight="1" x14ac:dyDescent="0.25">
      <c r="A6577" s="32" t="s">
        <v>13547</v>
      </c>
      <c r="H6577" s="32" t="s">
        <v>13550</v>
      </c>
      <c r="I6577" s="33" t="s">
        <v>13551</v>
      </c>
      <c r="J6577" s="34" t="s">
        <v>26</v>
      </c>
      <c r="K6577" s="42">
        <v>184.45</v>
      </c>
      <c r="L6577" s="12">
        <f t="shared" si="558"/>
        <v>230.56249999999997</v>
      </c>
      <c r="M6577" s="8">
        <v>1</v>
      </c>
      <c r="N6577" s="8" t="s">
        <v>27</v>
      </c>
      <c r="O6577" s="13"/>
      <c r="P6577" s="14">
        <v>0</v>
      </c>
      <c r="Q6577" s="15">
        <v>0.2</v>
      </c>
      <c r="R6577" s="40" t="str">
        <f t="shared" si="556"/>
        <v>ASSA</v>
      </c>
    </row>
    <row r="6578" spans="1:18" ht="27" customHeight="1" x14ac:dyDescent="0.25">
      <c r="A6578" s="32" t="s">
        <v>13547</v>
      </c>
      <c r="H6578" s="32" t="s">
        <v>13552</v>
      </c>
      <c r="I6578" s="33" t="s">
        <v>13553</v>
      </c>
      <c r="J6578" s="34" t="s">
        <v>26</v>
      </c>
      <c r="K6578" s="42">
        <v>83.94</v>
      </c>
      <c r="L6578" s="12">
        <f t="shared" si="558"/>
        <v>104.925</v>
      </c>
      <c r="M6578" s="8">
        <v>1</v>
      </c>
      <c r="N6578" s="8" t="s">
        <v>27</v>
      </c>
      <c r="O6578" s="13"/>
      <c r="P6578" s="14">
        <v>0</v>
      </c>
      <c r="Q6578" s="15">
        <v>0.2</v>
      </c>
      <c r="R6578" s="40" t="str">
        <f t="shared" si="556"/>
        <v>ASSA</v>
      </c>
    </row>
    <row r="6579" spans="1:18" ht="27" customHeight="1" x14ac:dyDescent="0.25">
      <c r="A6579" s="32" t="s">
        <v>13547</v>
      </c>
      <c r="H6579" s="32" t="s">
        <v>13554</v>
      </c>
      <c r="I6579" s="33" t="s">
        <v>13555</v>
      </c>
      <c r="J6579" s="34" t="s">
        <v>26</v>
      </c>
      <c r="K6579" s="42">
        <v>52.97</v>
      </c>
      <c r="L6579" s="12">
        <f t="shared" si="558"/>
        <v>66.212499999999991</v>
      </c>
      <c r="M6579" s="8">
        <v>1</v>
      </c>
      <c r="N6579" s="8" t="s">
        <v>27</v>
      </c>
      <c r="O6579" s="13"/>
      <c r="P6579" s="14">
        <v>0</v>
      </c>
      <c r="Q6579" s="15">
        <v>0.2</v>
      </c>
      <c r="R6579" s="40" t="str">
        <f t="shared" si="556"/>
        <v>ASSA</v>
      </c>
    </row>
    <row r="6580" spans="1:18" ht="27" customHeight="1" x14ac:dyDescent="0.25">
      <c r="A6580" s="32" t="s">
        <v>13547</v>
      </c>
      <c r="H6580" s="32" t="s">
        <v>13556</v>
      </c>
      <c r="I6580" s="33" t="s">
        <v>13557</v>
      </c>
      <c r="J6580" s="34" t="s">
        <v>26</v>
      </c>
      <c r="K6580" s="42">
        <v>71.02</v>
      </c>
      <c r="L6580" s="12">
        <f t="shared" si="558"/>
        <v>88.774999999999991</v>
      </c>
      <c r="M6580" s="8">
        <v>1</v>
      </c>
      <c r="N6580" s="8" t="s">
        <v>27</v>
      </c>
      <c r="O6580" s="13"/>
      <c r="P6580" s="14">
        <v>0</v>
      </c>
      <c r="Q6580" s="15">
        <v>0.2</v>
      </c>
      <c r="R6580" s="40" t="str">
        <f t="shared" si="556"/>
        <v>ASSA</v>
      </c>
    </row>
    <row r="6581" spans="1:18" ht="27" customHeight="1" x14ac:dyDescent="0.25">
      <c r="A6581" s="32" t="s">
        <v>13547</v>
      </c>
      <c r="H6581" s="32" t="s">
        <v>13558</v>
      </c>
      <c r="I6581" s="33" t="s">
        <v>13559</v>
      </c>
      <c r="J6581" s="34" t="s">
        <v>26</v>
      </c>
      <c r="K6581" s="42">
        <v>14.96</v>
      </c>
      <c r="L6581" s="12">
        <f t="shared" si="558"/>
        <v>18.7</v>
      </c>
      <c r="M6581" s="8">
        <v>1</v>
      </c>
      <c r="N6581" s="8" t="s">
        <v>27</v>
      </c>
      <c r="O6581" s="13"/>
      <c r="P6581" s="14">
        <v>0</v>
      </c>
      <c r="Q6581" s="15">
        <v>0.2</v>
      </c>
      <c r="R6581" s="40" t="str">
        <f t="shared" si="556"/>
        <v>ASSA</v>
      </c>
    </row>
    <row r="6582" spans="1:18" ht="27" customHeight="1" x14ac:dyDescent="0.25">
      <c r="A6582" s="32" t="s">
        <v>2512</v>
      </c>
      <c r="H6582" s="32" t="s">
        <v>13560</v>
      </c>
      <c r="I6582" s="33" t="s">
        <v>13561</v>
      </c>
      <c r="J6582" s="34" t="s">
        <v>33</v>
      </c>
      <c r="K6582" s="42">
        <v>100000</v>
      </c>
      <c r="L6582" s="12">
        <f t="shared" si="558"/>
        <v>125000</v>
      </c>
      <c r="M6582" s="8">
        <v>1</v>
      </c>
      <c r="N6582" s="8" t="s">
        <v>27</v>
      </c>
      <c r="O6582" s="13"/>
      <c r="P6582" s="14">
        <v>0</v>
      </c>
      <c r="Q6582" s="15">
        <v>0.2</v>
      </c>
      <c r="R6582" s="40" t="str">
        <f t="shared" si="556"/>
        <v>GENERAL</v>
      </c>
    </row>
    <row r="6583" spans="1:18" ht="27" customHeight="1" x14ac:dyDescent="0.25">
      <c r="A6583" s="32" t="s">
        <v>4988</v>
      </c>
      <c r="H6583" s="32" t="s">
        <v>13562</v>
      </c>
      <c r="I6583" s="33" t="s">
        <v>13563</v>
      </c>
      <c r="J6583" s="34" t="s">
        <v>26</v>
      </c>
      <c r="K6583" s="42">
        <v>30.4</v>
      </c>
      <c r="L6583" s="12">
        <f t="shared" si="558"/>
        <v>43.428571428571431</v>
      </c>
      <c r="M6583" s="8">
        <v>1</v>
      </c>
      <c r="N6583" s="8" t="s">
        <v>27</v>
      </c>
      <c r="O6583" s="13"/>
      <c r="P6583" s="14">
        <v>0</v>
      </c>
      <c r="Q6583" s="15">
        <v>0.3</v>
      </c>
      <c r="R6583" s="40" t="str">
        <f t="shared" si="556"/>
        <v>KRAMER</v>
      </c>
    </row>
    <row r="6584" spans="1:18" ht="27" customHeight="1" x14ac:dyDescent="0.25">
      <c r="A6584" s="32" t="s">
        <v>5672</v>
      </c>
      <c r="H6584" s="32" t="s">
        <v>13564</v>
      </c>
      <c r="I6584" s="33" t="s">
        <v>13565</v>
      </c>
      <c r="J6584" s="34" t="s">
        <v>33</v>
      </c>
      <c r="K6584" s="42">
        <v>24800</v>
      </c>
      <c r="L6584" s="12">
        <f t="shared" si="558"/>
        <v>35500</v>
      </c>
      <c r="M6584" s="8">
        <v>1</v>
      </c>
      <c r="N6584" s="8" t="s">
        <v>27</v>
      </c>
      <c r="O6584" s="13"/>
      <c r="P6584" s="14">
        <v>0</v>
      </c>
      <c r="Q6584" s="15">
        <v>0.3</v>
      </c>
      <c r="R6584" s="40" t="str">
        <f t="shared" si="556"/>
        <v>LUTRON</v>
      </c>
    </row>
    <row r="6585" spans="1:18" ht="27" customHeight="1" x14ac:dyDescent="0.25">
      <c r="A6585" s="32" t="s">
        <v>5170</v>
      </c>
      <c r="H6585" s="32" t="s">
        <v>13566</v>
      </c>
      <c r="I6585" s="33" t="s">
        <v>13567</v>
      </c>
      <c r="J6585" s="34" t="s">
        <v>33</v>
      </c>
      <c r="K6585" s="42">
        <v>32000</v>
      </c>
      <c r="L6585" s="12">
        <f t="shared" si="558"/>
        <v>45800</v>
      </c>
      <c r="M6585" s="8">
        <v>1</v>
      </c>
      <c r="N6585" s="8" t="s">
        <v>27</v>
      </c>
      <c r="O6585" s="13"/>
      <c r="P6585" s="14">
        <v>0</v>
      </c>
      <c r="Q6585" s="15">
        <v>0.3</v>
      </c>
      <c r="R6585" s="40" t="str">
        <f t="shared" si="556"/>
        <v>LEVITON</v>
      </c>
    </row>
    <row r="6586" spans="1:18" ht="27" customHeight="1" x14ac:dyDescent="0.25">
      <c r="A6586" s="32" t="s">
        <v>13568</v>
      </c>
      <c r="H6586" s="32" t="s">
        <v>13569</v>
      </c>
      <c r="I6586" s="33" t="s">
        <v>13570</v>
      </c>
      <c r="J6586" s="34" t="s">
        <v>33</v>
      </c>
      <c r="K6586" s="42">
        <v>1369000</v>
      </c>
      <c r="L6586" s="12">
        <f t="shared" si="558"/>
        <v>2281700</v>
      </c>
      <c r="M6586" s="8">
        <v>1</v>
      </c>
      <c r="N6586" s="8" t="s">
        <v>27</v>
      </c>
      <c r="O6586" s="13"/>
      <c r="P6586" s="14">
        <v>0</v>
      </c>
      <c r="Q6586" s="15">
        <v>0.4</v>
      </c>
      <c r="R6586" s="40" t="str">
        <f t="shared" si="556"/>
        <v>EPCOM</v>
      </c>
    </row>
    <row r="6587" spans="1:18" ht="27" customHeight="1" x14ac:dyDescent="0.25">
      <c r="A6587" s="32" t="s">
        <v>13571</v>
      </c>
      <c r="H6587" s="32" t="s">
        <v>13572</v>
      </c>
      <c r="I6587" s="33" t="s">
        <v>13573</v>
      </c>
      <c r="J6587" s="34" t="s">
        <v>33</v>
      </c>
      <c r="K6587" s="42">
        <v>26300</v>
      </c>
      <c r="L6587" s="12">
        <f t="shared" si="558"/>
        <v>37600</v>
      </c>
      <c r="M6587" s="8">
        <v>1</v>
      </c>
      <c r="N6587" s="8" t="s">
        <v>27</v>
      </c>
      <c r="O6587" s="13"/>
      <c r="P6587" s="14">
        <v>0</v>
      </c>
      <c r="Q6587" s="15">
        <v>0.3</v>
      </c>
      <c r="R6587" s="40" t="str">
        <f t="shared" si="556"/>
        <v>VESTA</v>
      </c>
    </row>
    <row r="6588" spans="1:18" ht="27" customHeight="1" x14ac:dyDescent="0.25">
      <c r="A6588" s="32" t="s">
        <v>2512</v>
      </c>
      <c r="H6588" s="32" t="s">
        <v>13574</v>
      </c>
      <c r="I6588" s="33" t="s">
        <v>13575</v>
      </c>
      <c r="J6588" s="34" t="s">
        <v>33</v>
      </c>
      <c r="K6588" s="42">
        <v>20000</v>
      </c>
      <c r="L6588" s="12">
        <f t="shared" si="558"/>
        <v>40000</v>
      </c>
      <c r="M6588" s="8">
        <v>1</v>
      </c>
      <c r="N6588" s="8" t="s">
        <v>27</v>
      </c>
      <c r="O6588" s="13"/>
      <c r="P6588" s="14">
        <v>0</v>
      </c>
      <c r="Q6588" s="15">
        <v>0.5</v>
      </c>
      <c r="R6588" s="40" t="str">
        <f t="shared" si="556"/>
        <v>GENERAL</v>
      </c>
    </row>
    <row r="6589" spans="1:18" ht="27" customHeight="1" x14ac:dyDescent="0.25">
      <c r="A6589" s="32" t="s">
        <v>5066</v>
      </c>
      <c r="H6589" s="32" t="s">
        <v>13576</v>
      </c>
      <c r="I6589" s="33" t="s">
        <v>13577</v>
      </c>
      <c r="J6589" s="34" t="s">
        <v>33</v>
      </c>
      <c r="K6589" s="42">
        <v>9349</v>
      </c>
      <c r="L6589" s="12">
        <f t="shared" si="558"/>
        <v>18700</v>
      </c>
      <c r="M6589" s="8">
        <v>1</v>
      </c>
      <c r="N6589" s="8" t="s">
        <v>27</v>
      </c>
      <c r="O6589" s="13"/>
      <c r="P6589" s="14">
        <v>0</v>
      </c>
      <c r="Q6589" s="15">
        <v>0.5</v>
      </c>
      <c r="R6589" s="40" t="str">
        <f t="shared" si="556"/>
        <v>LEGRAND</v>
      </c>
    </row>
    <row r="6590" spans="1:18" ht="27" customHeight="1" x14ac:dyDescent="0.25">
      <c r="A6590" s="32" t="s">
        <v>5066</v>
      </c>
      <c r="H6590" s="32" t="s">
        <v>13578</v>
      </c>
      <c r="I6590" s="33" t="s">
        <v>13579</v>
      </c>
      <c r="J6590" s="34" t="s">
        <v>33</v>
      </c>
      <c r="K6590" s="42">
        <v>19920</v>
      </c>
      <c r="L6590" s="12">
        <f t="shared" si="558"/>
        <v>33200</v>
      </c>
      <c r="M6590" s="8">
        <v>1</v>
      </c>
      <c r="N6590" s="8" t="s">
        <v>27</v>
      </c>
      <c r="O6590" s="13"/>
      <c r="P6590" s="14">
        <v>0</v>
      </c>
      <c r="Q6590" s="15">
        <v>0.4</v>
      </c>
      <c r="R6590" s="40" t="str">
        <f t="shared" ref="R6590:R6653" si="559">A6590</f>
        <v>LEGRAND</v>
      </c>
    </row>
    <row r="6591" spans="1:18" ht="27" customHeight="1" x14ac:dyDescent="0.25">
      <c r="A6591" s="32" t="s">
        <v>2095</v>
      </c>
      <c r="H6591" s="32" t="s">
        <v>13580</v>
      </c>
      <c r="I6591" s="33" t="s">
        <v>13581</v>
      </c>
      <c r="J6591" s="34" t="s">
        <v>33</v>
      </c>
      <c r="K6591" s="42">
        <v>43000</v>
      </c>
      <c r="L6591" s="12">
        <f t="shared" si="558"/>
        <v>61500</v>
      </c>
      <c r="M6591" s="8">
        <v>1</v>
      </c>
      <c r="N6591" s="8" t="s">
        <v>27</v>
      </c>
      <c r="O6591" s="13"/>
      <c r="P6591" s="14">
        <v>0</v>
      </c>
      <c r="Q6591" s="15">
        <v>0.3</v>
      </c>
      <c r="R6591" s="40" t="str">
        <f t="shared" si="559"/>
        <v>ECOLITE</v>
      </c>
    </row>
    <row r="6592" spans="1:18" ht="27" customHeight="1" x14ac:dyDescent="0.25">
      <c r="A6592" s="32" t="s">
        <v>5672</v>
      </c>
      <c r="H6592" s="32" t="s">
        <v>13582</v>
      </c>
      <c r="I6592" s="33" t="s">
        <v>13583</v>
      </c>
      <c r="J6592" s="34" t="s">
        <v>26</v>
      </c>
      <c r="K6592" s="42">
        <v>8.75</v>
      </c>
      <c r="L6592" s="12">
        <f t="shared" si="558"/>
        <v>17.5</v>
      </c>
      <c r="M6592" s="8">
        <v>1</v>
      </c>
      <c r="N6592" s="8" t="s">
        <v>27</v>
      </c>
      <c r="O6592" s="13"/>
      <c r="P6592" s="14">
        <v>0.2</v>
      </c>
      <c r="Q6592" s="15">
        <v>0.4</v>
      </c>
      <c r="R6592" s="40" t="str">
        <f t="shared" si="559"/>
        <v>LUTRON</v>
      </c>
    </row>
    <row r="6593" spans="1:22" ht="27" customHeight="1" x14ac:dyDescent="0.25">
      <c r="A6593" s="8" t="s">
        <v>5672</v>
      </c>
      <c r="B6593" s="9" t="s">
        <v>5666</v>
      </c>
      <c r="C6593" s="9"/>
      <c r="D6593" s="8" t="s">
        <v>6178</v>
      </c>
      <c r="E6593" s="8">
        <v>7</v>
      </c>
      <c r="F6593" s="8" t="s">
        <v>22</v>
      </c>
      <c r="G6593" s="10" t="s">
        <v>6192</v>
      </c>
      <c r="H6593" s="8" t="s">
        <v>13584</v>
      </c>
      <c r="I6593" s="10" t="s">
        <v>13585</v>
      </c>
      <c r="J6593" s="11" t="s">
        <v>26</v>
      </c>
      <c r="K6593" s="57">
        <v>107.4</v>
      </c>
      <c r="L6593" s="12">
        <f t="shared" ref="L6593:L6604" si="560">ROUNDUP(K6593*(1+P6593)/(1-Q6593),0)</f>
        <v>179</v>
      </c>
      <c r="M6593" s="8">
        <v>1</v>
      </c>
      <c r="N6593" s="8" t="s">
        <v>27</v>
      </c>
      <c r="O6593" s="13"/>
      <c r="P6593" s="14">
        <v>0.2</v>
      </c>
      <c r="Q6593" s="15">
        <v>0.28000000000000003</v>
      </c>
      <c r="R6593" s="16" t="str">
        <f t="shared" si="559"/>
        <v>LUTRON</v>
      </c>
      <c r="S6593" s="17" t="str">
        <f>A6593</f>
        <v>LUTRON</v>
      </c>
      <c r="T6593" s="10" t="str">
        <f>G6593</f>
        <v>INTERRUPTOR CON OPERACIÓN INALÁMBRICA PARA SISTEMA RADIO RA2.</v>
      </c>
    </row>
    <row r="6594" spans="1:22" ht="27" customHeight="1" x14ac:dyDescent="0.25">
      <c r="A6594" s="32" t="s">
        <v>1867</v>
      </c>
      <c r="H6594" s="32" t="s">
        <v>13586</v>
      </c>
      <c r="I6594" s="33" t="s">
        <v>13587</v>
      </c>
      <c r="J6594" s="34" t="s">
        <v>26</v>
      </c>
      <c r="K6594" s="57">
        <v>426</v>
      </c>
      <c r="L6594" s="12">
        <f t="shared" si="560"/>
        <v>592</v>
      </c>
      <c r="M6594" s="8">
        <v>1</v>
      </c>
      <c r="N6594" s="8" t="s">
        <v>27</v>
      </c>
      <c r="O6594" s="13"/>
      <c r="P6594" s="14">
        <v>0</v>
      </c>
      <c r="Q6594" s="15">
        <v>0.28000000000000003</v>
      </c>
      <c r="R6594" s="16" t="str">
        <f t="shared" si="559"/>
        <v>DENON</v>
      </c>
    </row>
    <row r="6595" spans="1:22" ht="27" customHeight="1" x14ac:dyDescent="0.25">
      <c r="A6595" s="32" t="s">
        <v>1867</v>
      </c>
      <c r="H6595" s="32" t="s">
        <v>13588</v>
      </c>
      <c r="I6595" s="33" t="s">
        <v>13589</v>
      </c>
      <c r="J6595" s="34" t="s">
        <v>26</v>
      </c>
      <c r="K6595" s="42">
        <v>397</v>
      </c>
      <c r="L6595" s="12">
        <f t="shared" si="560"/>
        <v>552</v>
      </c>
      <c r="M6595" s="8">
        <v>1</v>
      </c>
      <c r="N6595" s="8" t="s">
        <v>27</v>
      </c>
      <c r="O6595" s="13"/>
      <c r="P6595" s="14">
        <v>0</v>
      </c>
      <c r="Q6595" s="15">
        <v>0.28000000000000003</v>
      </c>
      <c r="R6595" s="16" t="str">
        <f t="shared" si="559"/>
        <v>DENON</v>
      </c>
    </row>
    <row r="6596" spans="1:22" ht="27" customHeight="1" x14ac:dyDescent="0.25">
      <c r="A6596" s="32" t="s">
        <v>10367</v>
      </c>
      <c r="H6596" s="32" t="s">
        <v>13590</v>
      </c>
      <c r="I6596" s="33" t="s">
        <v>13591</v>
      </c>
      <c r="J6596" s="34" t="s">
        <v>33</v>
      </c>
      <c r="K6596" s="42">
        <v>7600</v>
      </c>
      <c r="L6596" s="12">
        <f t="shared" si="560"/>
        <v>12667</v>
      </c>
      <c r="M6596" s="8">
        <v>1</v>
      </c>
      <c r="N6596" s="8" t="s">
        <v>27</v>
      </c>
      <c r="O6596" s="13"/>
      <c r="P6596" s="14">
        <v>0</v>
      </c>
      <c r="Q6596" s="15">
        <v>0.4</v>
      </c>
      <c r="R6596" s="40" t="str">
        <f t="shared" si="559"/>
        <v>COOPER</v>
      </c>
    </row>
    <row r="6597" spans="1:22" ht="27" customHeight="1" x14ac:dyDescent="0.25">
      <c r="A6597" s="32" t="s">
        <v>5066</v>
      </c>
      <c r="H6597" s="32" t="s">
        <v>13592</v>
      </c>
      <c r="I6597" s="33" t="s">
        <v>13593</v>
      </c>
      <c r="J6597" s="34" t="s">
        <v>33</v>
      </c>
      <c r="K6597" s="42">
        <v>9400</v>
      </c>
      <c r="L6597" s="12">
        <f t="shared" si="560"/>
        <v>15667</v>
      </c>
      <c r="M6597" s="8">
        <v>1</v>
      </c>
      <c r="N6597" s="8" t="s">
        <v>27</v>
      </c>
      <c r="O6597" s="13"/>
      <c r="P6597" s="14">
        <v>0</v>
      </c>
      <c r="Q6597" s="15">
        <v>0.4</v>
      </c>
      <c r="R6597" s="40" t="str">
        <f t="shared" si="559"/>
        <v>LEGRAND</v>
      </c>
    </row>
    <row r="6598" spans="1:22" ht="27" customHeight="1" x14ac:dyDescent="0.25">
      <c r="A6598" s="32" t="s">
        <v>5066</v>
      </c>
      <c r="H6598" s="32" t="s">
        <v>13594</v>
      </c>
      <c r="I6598" s="33" t="s">
        <v>13595</v>
      </c>
      <c r="J6598" s="34" t="s">
        <v>33</v>
      </c>
      <c r="K6598" s="42">
        <v>19920</v>
      </c>
      <c r="L6598" s="12">
        <f t="shared" si="560"/>
        <v>33200</v>
      </c>
      <c r="M6598" s="8">
        <v>1</v>
      </c>
      <c r="N6598" s="8" t="s">
        <v>27</v>
      </c>
      <c r="O6598" s="13"/>
      <c r="P6598" s="14">
        <v>0</v>
      </c>
      <c r="Q6598" s="15">
        <v>0.4</v>
      </c>
      <c r="R6598" s="40" t="str">
        <f t="shared" si="559"/>
        <v>LEGRAND</v>
      </c>
    </row>
    <row r="6599" spans="1:22" ht="27" customHeight="1" x14ac:dyDescent="0.25">
      <c r="A6599" s="32" t="s">
        <v>7931</v>
      </c>
      <c r="H6599" s="32" t="s">
        <v>13596</v>
      </c>
      <c r="I6599" s="33" t="s">
        <v>13597</v>
      </c>
      <c r="J6599" s="34" t="s">
        <v>33</v>
      </c>
      <c r="K6599" s="42">
        <v>30000</v>
      </c>
      <c r="L6599" s="12">
        <f t="shared" si="560"/>
        <v>42858</v>
      </c>
      <c r="M6599" s="8">
        <v>1</v>
      </c>
      <c r="N6599" s="8" t="s">
        <v>27</v>
      </c>
      <c r="O6599" s="13"/>
      <c r="P6599" s="14">
        <v>0</v>
      </c>
      <c r="Q6599" s="15">
        <v>0.3</v>
      </c>
      <c r="R6599" s="40" t="str">
        <f t="shared" si="559"/>
        <v>SYLVANIA</v>
      </c>
    </row>
    <row r="6600" spans="1:22" ht="27" customHeight="1" x14ac:dyDescent="0.25">
      <c r="A6600" s="32" t="s">
        <v>2095</v>
      </c>
      <c r="H6600" s="32" t="s">
        <v>13425</v>
      </c>
      <c r="I6600" s="33" t="s">
        <v>13598</v>
      </c>
      <c r="J6600" s="34" t="s">
        <v>33</v>
      </c>
      <c r="K6600" s="42">
        <v>41066</v>
      </c>
      <c r="L6600" s="12">
        <f t="shared" si="560"/>
        <v>51333</v>
      </c>
      <c r="M6600" s="8">
        <v>1</v>
      </c>
      <c r="N6600" s="8" t="s">
        <v>27</v>
      </c>
      <c r="O6600" s="13"/>
      <c r="P6600" s="14">
        <v>0</v>
      </c>
      <c r="Q6600" s="15">
        <v>0.2</v>
      </c>
      <c r="R6600" s="40" t="str">
        <f t="shared" si="559"/>
        <v>ECOLITE</v>
      </c>
    </row>
    <row r="6601" spans="1:22" ht="27" customHeight="1" x14ac:dyDescent="0.25">
      <c r="A6601" s="32" t="s">
        <v>13599</v>
      </c>
      <c r="H6601" s="32" t="s">
        <v>13600</v>
      </c>
      <c r="I6601" s="33" t="s">
        <v>13601</v>
      </c>
      <c r="J6601" s="34" t="s">
        <v>26</v>
      </c>
      <c r="K6601" s="42">
        <v>30</v>
      </c>
      <c r="L6601" s="12">
        <f t="shared" si="560"/>
        <v>60</v>
      </c>
      <c r="M6601" s="8">
        <v>1</v>
      </c>
      <c r="N6601" s="8" t="s">
        <v>27</v>
      </c>
      <c r="O6601" s="13"/>
      <c r="P6601" s="14">
        <v>0.2</v>
      </c>
      <c r="Q6601" s="15">
        <v>0.4</v>
      </c>
      <c r="R6601" s="40" t="str">
        <f t="shared" si="559"/>
        <v>CLEEFUN</v>
      </c>
      <c r="S6601" t="s">
        <v>13602</v>
      </c>
    </row>
    <row r="6602" spans="1:22" ht="27" customHeight="1" x14ac:dyDescent="0.25">
      <c r="A6602" s="32" t="s">
        <v>5646</v>
      </c>
      <c r="H6602" s="32" t="s">
        <v>13603</v>
      </c>
      <c r="I6602" s="33" t="s">
        <v>13604</v>
      </c>
      <c r="J6602" s="34" t="s">
        <v>33</v>
      </c>
      <c r="K6602" s="42">
        <v>45000</v>
      </c>
      <c r="L6602" s="12">
        <f t="shared" si="560"/>
        <v>64286</v>
      </c>
      <c r="M6602" s="8">
        <v>1</v>
      </c>
      <c r="N6602" s="8" t="s">
        <v>27</v>
      </c>
      <c r="O6602" s="13"/>
      <c r="P6602" s="14">
        <v>0</v>
      </c>
      <c r="Q6602" s="15">
        <v>0.3</v>
      </c>
      <c r="R6602" s="40" t="str">
        <f t="shared" si="559"/>
        <v>LUMINEX</v>
      </c>
      <c r="V6602">
        <f>142+57</f>
        <v>199</v>
      </c>
    </row>
    <row r="6603" spans="1:22" ht="27" customHeight="1" x14ac:dyDescent="0.25">
      <c r="A6603" s="32" t="s">
        <v>5672</v>
      </c>
      <c r="H6603" s="8" t="s">
        <v>13605</v>
      </c>
      <c r="I6603" s="33" t="s">
        <v>13606</v>
      </c>
      <c r="J6603" s="34" t="s">
        <v>26</v>
      </c>
      <c r="K6603" s="42">
        <v>4.7</v>
      </c>
      <c r="L6603" s="12">
        <f t="shared" si="560"/>
        <v>10</v>
      </c>
      <c r="M6603" s="8">
        <v>1</v>
      </c>
      <c r="N6603" s="8" t="s">
        <v>27</v>
      </c>
      <c r="O6603" s="13"/>
      <c r="P6603" s="14">
        <v>0.2</v>
      </c>
      <c r="Q6603" s="15">
        <v>0.4</v>
      </c>
      <c r="R6603" s="16" t="str">
        <f t="shared" si="559"/>
        <v>LUTRON</v>
      </c>
      <c r="S6603" s="17"/>
      <c r="T6603" s="10">
        <f>G6603</f>
        <v>0</v>
      </c>
    </row>
    <row r="6604" spans="1:22" ht="27" customHeight="1" x14ac:dyDescent="0.25">
      <c r="A6604" s="32" t="s">
        <v>5672</v>
      </c>
      <c r="H6604" s="32" t="s">
        <v>13607</v>
      </c>
      <c r="I6604" s="33" t="s">
        <v>13608</v>
      </c>
      <c r="J6604" s="34" t="s">
        <v>26</v>
      </c>
      <c r="K6604" s="42">
        <v>67.2</v>
      </c>
      <c r="L6604" s="12">
        <f t="shared" si="560"/>
        <v>135</v>
      </c>
      <c r="M6604" s="8">
        <v>1</v>
      </c>
      <c r="N6604" s="8" t="s">
        <v>27</v>
      </c>
      <c r="O6604" s="13"/>
      <c r="P6604" s="14">
        <v>0.2</v>
      </c>
      <c r="Q6604" s="15">
        <v>0.4</v>
      </c>
      <c r="R6604" s="16" t="str">
        <f t="shared" si="559"/>
        <v>LUTRON</v>
      </c>
    </row>
    <row r="6605" spans="1:22" ht="27" customHeight="1" x14ac:dyDescent="0.25">
      <c r="A6605" s="8" t="s">
        <v>5672</v>
      </c>
      <c r="B6605" s="9"/>
      <c r="C6605" s="9"/>
      <c r="D6605" s="8"/>
      <c r="E6605" s="8"/>
      <c r="F6605" s="8" t="s">
        <v>22</v>
      </c>
      <c r="G6605" s="10" t="s">
        <v>6387</v>
      </c>
      <c r="H6605" s="8" t="s">
        <v>13410</v>
      </c>
      <c r="I6605" s="10" t="s">
        <v>13609</v>
      </c>
      <c r="J6605" s="11" t="s">
        <v>26</v>
      </c>
      <c r="K6605" s="57">
        <v>5.55</v>
      </c>
      <c r="L6605" s="12">
        <f t="shared" ref="L6605:L6623" si="561">K6605*(1+P6605)/(1-Q6605)</f>
        <v>11.1</v>
      </c>
      <c r="M6605" s="8">
        <v>1</v>
      </c>
      <c r="N6605" s="8" t="s">
        <v>27</v>
      </c>
      <c r="O6605" s="13"/>
      <c r="P6605" s="14">
        <v>0.2</v>
      </c>
      <c r="Q6605" s="15">
        <v>0.4</v>
      </c>
      <c r="R6605" s="16" t="str">
        <f t="shared" si="559"/>
        <v>LUTRON</v>
      </c>
      <c r="S6605" s="17"/>
      <c r="T6605" s="10" t="str">
        <f>G6605</f>
        <v>TAPA DECORATIVA EN COLOR BLANCO MATE.</v>
      </c>
    </row>
    <row r="6606" spans="1:22" ht="27" customHeight="1" x14ac:dyDescent="0.25">
      <c r="A6606" s="32" t="s">
        <v>867</v>
      </c>
      <c r="H6606" s="32" t="s">
        <v>13610</v>
      </c>
      <c r="I6606" s="33" t="s">
        <v>13611</v>
      </c>
      <c r="J6606" s="34" t="s">
        <v>33</v>
      </c>
      <c r="K6606" s="42">
        <v>750000</v>
      </c>
      <c r="L6606" s="12">
        <f t="shared" si="561"/>
        <v>1250000</v>
      </c>
      <c r="M6606" s="8">
        <v>1</v>
      </c>
      <c r="N6606" s="8" t="s">
        <v>27</v>
      </c>
      <c r="O6606" s="13"/>
      <c r="P6606" s="14">
        <v>0</v>
      </c>
      <c r="Q6606" s="15">
        <v>0.4</v>
      </c>
      <c r="R6606" s="16" t="str">
        <f t="shared" si="559"/>
        <v>BOSE</v>
      </c>
    </row>
    <row r="6607" spans="1:22" ht="27" customHeight="1" x14ac:dyDescent="0.25">
      <c r="A6607" s="32" t="s">
        <v>7654</v>
      </c>
      <c r="H6607" s="32" t="s">
        <v>13612</v>
      </c>
      <c r="I6607" s="33" t="s">
        <v>13613</v>
      </c>
      <c r="J6607" s="34" t="s">
        <v>33</v>
      </c>
      <c r="K6607" s="42">
        <v>800</v>
      </c>
      <c r="L6607" s="12">
        <f t="shared" si="561"/>
        <v>1333.3333333333335</v>
      </c>
      <c r="M6607" s="8">
        <v>1</v>
      </c>
      <c r="N6607" s="8" t="s">
        <v>27</v>
      </c>
      <c r="O6607" s="13"/>
      <c r="P6607" s="14">
        <v>0</v>
      </c>
      <c r="Q6607" s="15">
        <v>0.4</v>
      </c>
      <c r="R6607" s="16" t="str">
        <f t="shared" si="559"/>
        <v>PAVCO</v>
      </c>
    </row>
    <row r="6608" spans="1:22" ht="27" customHeight="1" x14ac:dyDescent="0.25">
      <c r="A6608" s="32" t="s">
        <v>1983</v>
      </c>
      <c r="H6608" s="32" t="s">
        <v>13614</v>
      </c>
      <c r="I6608" s="33" t="s">
        <v>13615</v>
      </c>
      <c r="J6608" s="34" t="s">
        <v>33</v>
      </c>
      <c r="K6608" s="42">
        <v>16900</v>
      </c>
      <c r="L6608" s="12">
        <f t="shared" si="561"/>
        <v>28166.666666666668</v>
      </c>
      <c r="M6608" s="8">
        <v>1</v>
      </c>
      <c r="N6608" s="8" t="s">
        <v>27</v>
      </c>
      <c r="O6608" s="13"/>
      <c r="P6608" s="14">
        <v>0</v>
      </c>
      <c r="Q6608" s="15">
        <v>0.4</v>
      </c>
      <c r="R6608" s="16" t="str">
        <f t="shared" si="559"/>
        <v>DEXSON</v>
      </c>
    </row>
    <row r="6609" spans="1:20" ht="27" customHeight="1" x14ac:dyDescent="0.25">
      <c r="A6609" s="32" t="s">
        <v>5066</v>
      </c>
      <c r="H6609" s="32" t="s">
        <v>13616</v>
      </c>
      <c r="I6609" s="33" t="s">
        <v>13617</v>
      </c>
      <c r="J6609" s="34" t="s">
        <v>33</v>
      </c>
      <c r="K6609" s="42">
        <v>70600</v>
      </c>
      <c r="L6609" s="12">
        <f t="shared" si="561"/>
        <v>117666.66666666667</v>
      </c>
      <c r="M6609" s="8">
        <v>1</v>
      </c>
      <c r="N6609" s="8" t="s">
        <v>27</v>
      </c>
      <c r="O6609" s="13"/>
      <c r="P6609" s="14">
        <v>0</v>
      </c>
      <c r="Q6609" s="15">
        <v>0.4</v>
      </c>
      <c r="R6609" s="16" t="str">
        <f t="shared" si="559"/>
        <v>LEGRAND</v>
      </c>
    </row>
    <row r="6610" spans="1:20" ht="27" customHeight="1" x14ac:dyDescent="0.25">
      <c r="A6610" s="32" t="s">
        <v>5066</v>
      </c>
      <c r="H6610" s="32" t="s">
        <v>13618</v>
      </c>
      <c r="I6610" s="33" t="s">
        <v>13619</v>
      </c>
      <c r="J6610" s="34" t="s">
        <v>33</v>
      </c>
      <c r="K6610" s="42">
        <v>62000</v>
      </c>
      <c r="L6610" s="12">
        <f t="shared" si="561"/>
        <v>103333.33333333334</v>
      </c>
      <c r="M6610" s="8">
        <v>1</v>
      </c>
      <c r="N6610" s="8" t="s">
        <v>27</v>
      </c>
      <c r="O6610" s="13"/>
      <c r="P6610" s="14">
        <v>0</v>
      </c>
      <c r="Q6610" s="15">
        <v>0.4</v>
      </c>
      <c r="R6610" s="16" t="str">
        <f t="shared" si="559"/>
        <v>LEGRAND</v>
      </c>
    </row>
    <row r="6611" spans="1:20" ht="27" customHeight="1" x14ac:dyDescent="0.25">
      <c r="A6611" s="32" t="s">
        <v>13620</v>
      </c>
      <c r="H6611" s="32" t="s">
        <v>13621</v>
      </c>
      <c r="I6611" s="33" t="s">
        <v>13622</v>
      </c>
      <c r="J6611" s="34" t="s">
        <v>33</v>
      </c>
      <c r="K6611" s="42">
        <v>38000</v>
      </c>
      <c r="L6611" s="12">
        <f t="shared" si="561"/>
        <v>63333.333333333336</v>
      </c>
      <c r="M6611" s="8">
        <v>1</v>
      </c>
      <c r="N6611" s="8" t="s">
        <v>27</v>
      </c>
      <c r="O6611" s="13"/>
      <c r="P6611" s="14">
        <v>0</v>
      </c>
      <c r="Q6611" s="15">
        <v>0.4</v>
      </c>
      <c r="R6611" s="40" t="str">
        <f t="shared" si="559"/>
        <v>CHIN</v>
      </c>
    </row>
    <row r="6612" spans="1:20" ht="27" customHeight="1" x14ac:dyDescent="0.25">
      <c r="A6612" s="32" t="s">
        <v>2095</v>
      </c>
      <c r="H6612" s="32" t="s">
        <v>13623</v>
      </c>
      <c r="I6612" s="33" t="s">
        <v>13624</v>
      </c>
      <c r="J6612" s="34" t="s">
        <v>33</v>
      </c>
      <c r="K6612" s="42">
        <v>625400</v>
      </c>
      <c r="L6612" s="12">
        <f t="shared" si="561"/>
        <v>893428.57142857148</v>
      </c>
      <c r="M6612" s="8">
        <v>1</v>
      </c>
      <c r="N6612" s="8" t="s">
        <v>27</v>
      </c>
      <c r="O6612" s="13"/>
      <c r="P6612" s="14">
        <v>0</v>
      </c>
      <c r="Q6612" s="15">
        <v>0.3</v>
      </c>
      <c r="R6612" s="40" t="str">
        <f t="shared" si="559"/>
        <v>ECOLITE</v>
      </c>
    </row>
    <row r="6613" spans="1:20" ht="27" customHeight="1" x14ac:dyDescent="0.25">
      <c r="A6613" s="32" t="s">
        <v>2512</v>
      </c>
      <c r="H6613" s="32" t="s">
        <v>13625</v>
      </c>
      <c r="I6613" s="33" t="s">
        <v>13626</v>
      </c>
      <c r="J6613" s="34" t="s">
        <v>33</v>
      </c>
      <c r="K6613" s="42">
        <v>310000</v>
      </c>
      <c r="L6613" s="12">
        <f t="shared" si="561"/>
        <v>442857.1428571429</v>
      </c>
      <c r="M6613" s="8">
        <v>1</v>
      </c>
      <c r="N6613" s="8" t="s">
        <v>27</v>
      </c>
      <c r="O6613" s="13"/>
      <c r="P6613" s="14">
        <v>0</v>
      </c>
      <c r="Q6613" s="15">
        <v>0.3</v>
      </c>
      <c r="R6613" s="40" t="str">
        <f t="shared" si="559"/>
        <v>GENERAL</v>
      </c>
    </row>
    <row r="6614" spans="1:20" ht="27" customHeight="1" x14ac:dyDescent="0.25">
      <c r="A6614" s="32" t="s">
        <v>2095</v>
      </c>
      <c r="H6614" s="32" t="s">
        <v>13623</v>
      </c>
      <c r="I6614" s="33" t="s">
        <v>13624</v>
      </c>
      <c r="J6614" s="34" t="s">
        <v>33</v>
      </c>
      <c r="K6614" s="42">
        <v>625400</v>
      </c>
      <c r="L6614" s="12">
        <f t="shared" si="561"/>
        <v>893428.57142857148</v>
      </c>
      <c r="M6614" s="8">
        <v>1</v>
      </c>
      <c r="N6614" s="8" t="s">
        <v>27</v>
      </c>
      <c r="O6614" s="13"/>
      <c r="P6614" s="14">
        <v>0</v>
      </c>
      <c r="Q6614" s="15">
        <v>0.3</v>
      </c>
      <c r="R6614" s="40" t="str">
        <f t="shared" si="559"/>
        <v>ECOLITE</v>
      </c>
    </row>
    <row r="6615" spans="1:20" ht="27" customHeight="1" x14ac:dyDescent="0.25">
      <c r="A6615" s="32" t="s">
        <v>7931</v>
      </c>
      <c r="H6615" s="32" t="s">
        <v>13627</v>
      </c>
      <c r="I6615" s="33" t="s">
        <v>13628</v>
      </c>
      <c r="J6615" s="34" t="s">
        <v>33</v>
      </c>
      <c r="K6615" s="42">
        <f>1676000*0.7</f>
        <v>1173200</v>
      </c>
      <c r="L6615" s="12">
        <f t="shared" si="561"/>
        <v>1676000</v>
      </c>
      <c r="M6615" s="8">
        <v>1</v>
      </c>
      <c r="N6615" s="8" t="s">
        <v>27</v>
      </c>
      <c r="O6615" s="13"/>
      <c r="P6615" s="14">
        <v>0</v>
      </c>
      <c r="Q6615" s="15">
        <v>0.3</v>
      </c>
      <c r="R6615" s="40" t="str">
        <f t="shared" si="559"/>
        <v>SYLVANIA</v>
      </c>
    </row>
    <row r="6616" spans="1:20" ht="27" customHeight="1" x14ac:dyDescent="0.25">
      <c r="A6616" s="32" t="s">
        <v>5170</v>
      </c>
      <c r="H6616" s="32" t="s">
        <v>13629</v>
      </c>
      <c r="I6616" s="33" t="s">
        <v>13630</v>
      </c>
      <c r="J6616" s="34" t="s">
        <v>33</v>
      </c>
      <c r="K6616" s="42">
        <v>11000</v>
      </c>
      <c r="L6616" s="12">
        <f t="shared" si="561"/>
        <v>18333.333333333336</v>
      </c>
      <c r="M6616" s="8">
        <v>1</v>
      </c>
      <c r="N6616" s="8" t="s">
        <v>27</v>
      </c>
      <c r="O6616" s="13"/>
      <c r="P6616" s="14">
        <v>0</v>
      </c>
      <c r="Q6616" s="15">
        <v>0.4</v>
      </c>
      <c r="R6616" s="40" t="str">
        <f t="shared" si="559"/>
        <v>LEVITON</v>
      </c>
    </row>
    <row r="6617" spans="1:20" ht="27" customHeight="1" x14ac:dyDescent="0.25">
      <c r="A6617" s="32" t="s">
        <v>1321</v>
      </c>
      <c r="H6617" s="32" t="s">
        <v>13631</v>
      </c>
      <c r="I6617" s="33" t="s">
        <v>13632</v>
      </c>
      <c r="J6617" s="34" t="s">
        <v>33</v>
      </c>
      <c r="K6617" s="42">
        <v>20173</v>
      </c>
      <c r="L6617" s="12">
        <f t="shared" si="561"/>
        <v>33621.666666666672</v>
      </c>
      <c r="M6617" s="8">
        <v>1</v>
      </c>
      <c r="N6617" s="8" t="s">
        <v>27</v>
      </c>
      <c r="O6617" s="13"/>
      <c r="P6617" s="14">
        <v>0</v>
      </c>
      <c r="Q6617" s="15">
        <v>0.4</v>
      </c>
      <c r="R6617" s="40" t="str">
        <f t="shared" si="559"/>
        <v>CODELCA</v>
      </c>
    </row>
    <row r="6618" spans="1:20" ht="27" customHeight="1" x14ac:dyDescent="0.25">
      <c r="A6618" s="32" t="s">
        <v>13620</v>
      </c>
      <c r="H6618" s="32" t="s">
        <v>13633</v>
      </c>
      <c r="I6618" s="33" t="s">
        <v>13634</v>
      </c>
      <c r="J6618" s="34" t="s">
        <v>33</v>
      </c>
      <c r="K6618" s="42">
        <v>32000</v>
      </c>
      <c r="L6618" s="12">
        <f t="shared" si="561"/>
        <v>53333.333333333336</v>
      </c>
      <c r="M6618" s="8">
        <v>1</v>
      </c>
      <c r="N6618" s="8" t="s">
        <v>27</v>
      </c>
      <c r="O6618" s="13"/>
      <c r="P6618" s="14">
        <v>0</v>
      </c>
      <c r="Q6618" s="15">
        <v>0.4</v>
      </c>
      <c r="R6618" s="40" t="str">
        <f t="shared" si="559"/>
        <v>CHIN</v>
      </c>
    </row>
    <row r="6619" spans="1:20" ht="27" customHeight="1" x14ac:dyDescent="0.25">
      <c r="A6619" s="32" t="s">
        <v>13635</v>
      </c>
      <c r="H6619" s="32" t="s">
        <v>13636</v>
      </c>
      <c r="I6619" s="33" t="s">
        <v>13637</v>
      </c>
      <c r="J6619" s="34" t="s">
        <v>26</v>
      </c>
      <c r="K6619" s="42">
        <v>24</v>
      </c>
      <c r="L6619" s="12">
        <f t="shared" si="561"/>
        <v>41.142857142857139</v>
      </c>
      <c r="M6619" s="8">
        <v>1</v>
      </c>
      <c r="N6619" s="8" t="s">
        <v>27</v>
      </c>
      <c r="O6619" s="13"/>
      <c r="P6619" s="14">
        <v>0.2</v>
      </c>
      <c r="Q6619" s="15">
        <v>0.3</v>
      </c>
      <c r="R6619" s="40" t="str">
        <f t="shared" si="559"/>
        <v>BTF</v>
      </c>
      <c r="S6619" t="s">
        <v>13638</v>
      </c>
    </row>
    <row r="6620" spans="1:20" ht="27" customHeight="1" x14ac:dyDescent="0.25">
      <c r="A6620" s="32" t="s">
        <v>5027</v>
      </c>
      <c r="H6620" s="32" t="s">
        <v>13639</v>
      </c>
      <c r="I6620" s="33" t="s">
        <v>13640</v>
      </c>
      <c r="J6620" s="34" t="s">
        <v>26</v>
      </c>
      <c r="K6620" s="42">
        <v>6.708333333333333</v>
      </c>
      <c r="L6620" s="12">
        <f t="shared" si="561"/>
        <v>11.5</v>
      </c>
      <c r="M6620" s="8">
        <v>1</v>
      </c>
      <c r="N6620" s="8" t="s">
        <v>27</v>
      </c>
      <c r="O6620" s="13"/>
      <c r="P6620" s="14">
        <v>0.2</v>
      </c>
      <c r="Q6620" s="15">
        <v>0.3</v>
      </c>
      <c r="R6620" s="40" t="str">
        <f t="shared" si="559"/>
        <v>LEDS_C4</v>
      </c>
    </row>
    <row r="6621" spans="1:20" ht="27" customHeight="1" x14ac:dyDescent="0.25">
      <c r="A6621" s="32" t="s">
        <v>5027</v>
      </c>
      <c r="H6621" s="32" t="s">
        <v>13641</v>
      </c>
      <c r="I6621" s="33" t="s">
        <v>13642</v>
      </c>
      <c r="J6621" s="34" t="s">
        <v>26</v>
      </c>
      <c r="K6621" s="42">
        <v>94.5</v>
      </c>
      <c r="L6621" s="12">
        <f t="shared" si="561"/>
        <v>162</v>
      </c>
      <c r="M6621" s="8">
        <v>1</v>
      </c>
      <c r="N6621" s="8" t="s">
        <v>27</v>
      </c>
      <c r="O6621" s="13"/>
      <c r="P6621" s="14">
        <v>0.2</v>
      </c>
      <c r="Q6621" s="15">
        <v>0.3</v>
      </c>
      <c r="R6621" s="40" t="str">
        <f t="shared" si="559"/>
        <v>LEDS_C4</v>
      </c>
    </row>
    <row r="6622" spans="1:20" ht="27" customHeight="1" x14ac:dyDescent="0.25">
      <c r="A6622" s="32" t="s">
        <v>8836</v>
      </c>
      <c r="H6622" s="32" t="s">
        <v>13643</v>
      </c>
      <c r="I6622" s="33" t="s">
        <v>13644</v>
      </c>
      <c r="J6622" s="34" t="s">
        <v>33</v>
      </c>
      <c r="K6622" s="42">
        <v>33030</v>
      </c>
      <c r="L6622" s="12">
        <f t="shared" si="561"/>
        <v>36700</v>
      </c>
      <c r="M6622" s="8">
        <v>1</v>
      </c>
      <c r="N6622" s="8" t="s">
        <v>27</v>
      </c>
      <c r="O6622" s="13"/>
      <c r="P6622" s="14">
        <v>0</v>
      </c>
      <c r="Q6622" s="15">
        <v>0.1</v>
      </c>
      <c r="R6622" s="40" t="str">
        <f t="shared" si="559"/>
        <v>TECNOLITE</v>
      </c>
    </row>
    <row r="6623" spans="1:20" ht="27" customHeight="1" x14ac:dyDescent="0.25">
      <c r="A6623" s="32" t="s">
        <v>8836</v>
      </c>
      <c r="H6623" s="32" t="s">
        <v>13645</v>
      </c>
      <c r="I6623" s="33" t="s">
        <v>13646</v>
      </c>
      <c r="J6623" s="34" t="s">
        <v>33</v>
      </c>
      <c r="K6623" s="42">
        <v>199980</v>
      </c>
      <c r="L6623" s="12">
        <f t="shared" si="561"/>
        <v>222200</v>
      </c>
      <c r="M6623" s="8">
        <v>1</v>
      </c>
      <c r="N6623" s="8" t="s">
        <v>27</v>
      </c>
      <c r="O6623" s="13"/>
      <c r="P6623" s="14">
        <v>0</v>
      </c>
      <c r="Q6623" s="15">
        <v>0.1</v>
      </c>
      <c r="R6623" s="40" t="str">
        <f t="shared" si="559"/>
        <v>TECNOLITE</v>
      </c>
    </row>
    <row r="6624" spans="1:20" ht="27" customHeight="1" x14ac:dyDescent="0.25">
      <c r="A6624" s="8" t="s">
        <v>5672</v>
      </c>
      <c r="B6624" s="9"/>
      <c r="C6624" s="9"/>
      <c r="D6624" s="8"/>
      <c r="E6624" s="8"/>
      <c r="F6624" s="8" t="s">
        <v>22</v>
      </c>
      <c r="G6624" s="10" t="s">
        <v>6459</v>
      </c>
      <c r="H6624" s="8" t="s">
        <v>13647</v>
      </c>
      <c r="I6624" s="10" t="s">
        <v>13648</v>
      </c>
      <c r="J6624" s="11" t="s">
        <v>26</v>
      </c>
      <c r="K6624" s="57">
        <v>107.4</v>
      </c>
      <c r="L6624" s="12">
        <f>ROUNDUP(K6624*(1+P6624)/(1-Q6624),0)</f>
        <v>179</v>
      </c>
      <c r="M6624" s="8">
        <v>1</v>
      </c>
      <c r="N6624" s="8" t="s">
        <v>27</v>
      </c>
      <c r="O6624" s="13"/>
      <c r="P6624" s="14">
        <v>0.2</v>
      </c>
      <c r="Q6624" s="15">
        <v>0.27831428571428568</v>
      </c>
      <c r="R6624" s="40" t="str">
        <f t="shared" si="559"/>
        <v>LUTRON</v>
      </c>
      <c r="S6624" s="17"/>
      <c r="T6624" s="10" t="str">
        <f>G6624</f>
        <v>DIMMER DE 150 WATIOS CON CARGA Y NEUTRO.</v>
      </c>
    </row>
    <row r="6625" spans="1:20" ht="27" customHeight="1" x14ac:dyDescent="0.25">
      <c r="A6625" s="8" t="s">
        <v>5672</v>
      </c>
      <c r="H6625" s="32" t="s">
        <v>13649</v>
      </c>
      <c r="I6625" s="33" t="s">
        <v>13650</v>
      </c>
      <c r="J6625" s="11" t="s">
        <v>26</v>
      </c>
      <c r="K6625" s="57">
        <v>8.25</v>
      </c>
      <c r="L6625" s="12">
        <f>(K6625*(1+P6625)/(1-Q6625))</f>
        <v>16.499749219089413</v>
      </c>
      <c r="M6625" s="8">
        <v>1</v>
      </c>
      <c r="N6625" s="8" t="s">
        <v>27</v>
      </c>
      <c r="O6625" s="13"/>
      <c r="P6625" s="14">
        <v>0.2</v>
      </c>
      <c r="Q6625" s="15">
        <v>0.39999088055555548</v>
      </c>
      <c r="R6625" s="40" t="str">
        <f t="shared" si="559"/>
        <v>LUTRON</v>
      </c>
    </row>
    <row r="6626" spans="1:20" customFormat="1" ht="27" customHeight="1" x14ac:dyDescent="0.25">
      <c r="A6626" s="8" t="s">
        <v>5672</v>
      </c>
      <c r="B6626" s="9" t="s">
        <v>5666</v>
      </c>
      <c r="C6626" s="9"/>
      <c r="D6626" s="8" t="s">
        <v>5909</v>
      </c>
      <c r="E6626" s="8">
        <v>1</v>
      </c>
      <c r="F6626" s="8" t="s">
        <v>22</v>
      </c>
      <c r="G6626" s="10" t="s">
        <v>6279</v>
      </c>
      <c r="H6626" s="8" t="s">
        <v>13651</v>
      </c>
      <c r="I6626" s="10" t="s">
        <v>13652</v>
      </c>
      <c r="J6626" s="11" t="s">
        <v>26</v>
      </c>
      <c r="K6626" s="57">
        <v>22.5</v>
      </c>
      <c r="L6626" s="12">
        <f t="shared" ref="L6626:L6632" si="562">ROUNDUP(K6626*(1+P6626)/(1-Q6626),0)</f>
        <v>45</v>
      </c>
      <c r="M6626" s="8">
        <v>1</v>
      </c>
      <c r="N6626" s="8" t="s">
        <v>27</v>
      </c>
      <c r="O6626" s="13"/>
      <c r="P6626" s="14">
        <v>0.2</v>
      </c>
      <c r="Q6626" s="15">
        <v>0.4</v>
      </c>
      <c r="R6626" s="40" t="str">
        <f t="shared" si="559"/>
        <v>LUTRON</v>
      </c>
      <c r="S6626" s="17"/>
      <c r="T6626" s="10" t="str">
        <f>G6626</f>
        <v>TECLADO PICO DE 4 BOTONES</v>
      </c>
    </row>
    <row r="6627" spans="1:20" customFormat="1" ht="27" customHeight="1" x14ac:dyDescent="0.25">
      <c r="A6627" s="8" t="s">
        <v>5672</v>
      </c>
      <c r="B6627" s="9" t="s">
        <v>5666</v>
      </c>
      <c r="C6627" s="9"/>
      <c r="D6627" s="8" t="s">
        <v>408</v>
      </c>
      <c r="E6627" s="8">
        <v>7</v>
      </c>
      <c r="F6627" s="8" t="s">
        <v>22</v>
      </c>
      <c r="G6627" s="10" t="s">
        <v>6034</v>
      </c>
      <c r="H6627" s="8" t="s">
        <v>15659</v>
      </c>
      <c r="I6627" s="10" t="s">
        <v>6036</v>
      </c>
      <c r="J6627" s="11" t="s">
        <v>26</v>
      </c>
      <c r="K6627" s="57">
        <v>418</v>
      </c>
      <c r="L6627" s="12">
        <f t="shared" ref="L6627" si="563">ROUNDUP(K6627*(1+P6627)/(1-Q6627),0)</f>
        <v>836</v>
      </c>
      <c r="M6627" s="8">
        <v>1</v>
      </c>
      <c r="N6627" s="8" t="s">
        <v>27</v>
      </c>
      <c r="O6627" s="13"/>
      <c r="P6627" s="14">
        <v>0.2</v>
      </c>
      <c r="Q6627" s="15">
        <v>0.4</v>
      </c>
      <c r="R6627" s="40" t="str">
        <f t="shared" ref="R6627" si="564">A6627</f>
        <v>LUTRON</v>
      </c>
      <c r="S6627" s="17" t="s">
        <v>5672</v>
      </c>
      <c r="T6627" s="10" t="s">
        <v>6034</v>
      </c>
    </row>
    <row r="6628" spans="1:20" customFormat="1" ht="27" customHeight="1" x14ac:dyDescent="0.25">
      <c r="A6628" s="8" t="s">
        <v>5672</v>
      </c>
      <c r="B6628" s="9" t="s">
        <v>5666</v>
      </c>
      <c r="C6628" s="9"/>
      <c r="D6628" s="8" t="s">
        <v>408</v>
      </c>
      <c r="E6628" s="8">
        <v>7</v>
      </c>
      <c r="F6628" s="8" t="s">
        <v>22</v>
      </c>
      <c r="G6628" s="10" t="s">
        <v>6034</v>
      </c>
      <c r="H6628" s="8" t="s">
        <v>13653</v>
      </c>
      <c r="I6628" s="10" t="s">
        <v>6036</v>
      </c>
      <c r="J6628" s="11" t="s">
        <v>26</v>
      </c>
      <c r="K6628" s="57">
        <v>320</v>
      </c>
      <c r="L6628" s="12">
        <f t="shared" si="562"/>
        <v>640</v>
      </c>
      <c r="M6628" s="8">
        <v>1</v>
      </c>
      <c r="N6628" s="8" t="s">
        <v>27</v>
      </c>
      <c r="O6628" s="13"/>
      <c r="P6628" s="14">
        <v>0.2</v>
      </c>
      <c r="Q6628" s="15">
        <v>0.4</v>
      </c>
      <c r="R6628" s="40" t="str">
        <f t="shared" si="559"/>
        <v>LUTRON</v>
      </c>
      <c r="S6628" s="17" t="s">
        <v>5672</v>
      </c>
      <c r="T6628" s="10" t="s">
        <v>6034</v>
      </c>
    </row>
    <row r="6629" spans="1:20" customFormat="1" ht="27" customHeight="1" x14ac:dyDescent="0.25">
      <c r="A6629" s="8" t="s">
        <v>5672</v>
      </c>
      <c r="B6629" s="9" t="s">
        <v>5666</v>
      </c>
      <c r="C6629" s="9"/>
      <c r="D6629" s="8" t="s">
        <v>408</v>
      </c>
      <c r="E6629" s="8">
        <v>11</v>
      </c>
      <c r="F6629" s="8" t="s">
        <v>22</v>
      </c>
      <c r="G6629" s="10" t="s">
        <v>6046</v>
      </c>
      <c r="H6629" s="8" t="s">
        <v>13654</v>
      </c>
      <c r="I6629" s="10" t="s">
        <v>6046</v>
      </c>
      <c r="J6629" s="11" t="s">
        <v>26</v>
      </c>
      <c r="K6629" s="57">
        <v>379.68749999999989</v>
      </c>
      <c r="L6629" s="12">
        <f t="shared" si="562"/>
        <v>760</v>
      </c>
      <c r="M6629" s="8">
        <v>1</v>
      </c>
      <c r="N6629" s="8" t="s">
        <v>27</v>
      </c>
      <c r="O6629" s="13"/>
      <c r="P6629" s="14">
        <v>0.2</v>
      </c>
      <c r="Q6629" s="15">
        <v>0.4</v>
      </c>
      <c r="R6629" s="40" t="str">
        <f t="shared" si="559"/>
        <v>LUTRON</v>
      </c>
      <c r="S6629" s="17" t="s">
        <v>5672</v>
      </c>
      <c r="T6629" s="10" t="s">
        <v>6046</v>
      </c>
    </row>
    <row r="6630" spans="1:20" customFormat="1" ht="27" customHeight="1" x14ac:dyDescent="0.25">
      <c r="A6630" s="44" t="s">
        <v>2512</v>
      </c>
      <c r="H6630" s="32" t="s">
        <v>13655</v>
      </c>
      <c r="I6630" s="33" t="s">
        <v>13656</v>
      </c>
      <c r="J6630" s="34" t="s">
        <v>33</v>
      </c>
      <c r="K6630" s="42">
        <v>7000</v>
      </c>
      <c r="L6630" s="12">
        <f t="shared" si="562"/>
        <v>16800</v>
      </c>
      <c r="M6630" s="8">
        <v>1</v>
      </c>
      <c r="N6630" s="8" t="s">
        <v>27</v>
      </c>
      <c r="O6630" s="13"/>
      <c r="P6630" s="14">
        <v>0.2</v>
      </c>
      <c r="Q6630" s="15">
        <v>0.5</v>
      </c>
      <c r="R6630" s="40" t="str">
        <f t="shared" si="559"/>
        <v>GENERAL</v>
      </c>
      <c r="S6630" t="s">
        <v>13657</v>
      </c>
    </row>
    <row r="6631" spans="1:20" customFormat="1" ht="27" customHeight="1" x14ac:dyDescent="0.25">
      <c r="A6631" s="44" t="s">
        <v>9452</v>
      </c>
      <c r="H6631" s="70" t="s">
        <v>13658</v>
      </c>
      <c r="I6631" s="33" t="s">
        <v>13659</v>
      </c>
      <c r="J6631" s="34" t="s">
        <v>26</v>
      </c>
      <c r="K6631" s="42">
        <f>651.601628664495*1.17</f>
        <v>762.37390553745911</v>
      </c>
      <c r="L6631" s="12">
        <f t="shared" si="562"/>
        <v>1830</v>
      </c>
      <c r="M6631" s="8">
        <v>1</v>
      </c>
      <c r="N6631" s="8" t="s">
        <v>27</v>
      </c>
      <c r="O6631" s="13"/>
      <c r="P6631" s="14">
        <v>0.2</v>
      </c>
      <c r="Q6631" s="15">
        <v>0.5</v>
      </c>
      <c r="R6631" s="40" t="str">
        <f t="shared" si="559"/>
        <v>VIBIA</v>
      </c>
    </row>
    <row r="6632" spans="1:20" customFormat="1" ht="27" customHeight="1" x14ac:dyDescent="0.25">
      <c r="A6632" s="44" t="s">
        <v>9452</v>
      </c>
      <c r="H6632" s="32" t="s">
        <v>13660</v>
      </c>
      <c r="I6632" s="33" t="s">
        <v>13661</v>
      </c>
      <c r="J6632" s="34" t="s">
        <v>26</v>
      </c>
      <c r="K6632" s="42">
        <f>574.530022012905*1.17</f>
        <v>672.20012575509872</v>
      </c>
      <c r="L6632" s="12">
        <f t="shared" si="562"/>
        <v>1614</v>
      </c>
      <c r="M6632" s="8">
        <v>1</v>
      </c>
      <c r="N6632" s="8" t="s">
        <v>27</v>
      </c>
      <c r="O6632" s="13"/>
      <c r="P6632" s="14">
        <v>0.2</v>
      </c>
      <c r="Q6632" s="15">
        <v>0.5</v>
      </c>
      <c r="R6632" s="40" t="str">
        <f t="shared" si="559"/>
        <v>VIBIA</v>
      </c>
    </row>
    <row r="6633" spans="1:20" customFormat="1" ht="27" customHeight="1" x14ac:dyDescent="0.25">
      <c r="A6633" s="44" t="s">
        <v>11685</v>
      </c>
      <c r="H6633" s="32" t="s">
        <v>12753</v>
      </c>
      <c r="I6633" s="33" t="s">
        <v>13663</v>
      </c>
      <c r="J6633" s="34" t="s">
        <v>26</v>
      </c>
      <c r="K6633" s="42">
        <v>45</v>
      </c>
      <c r="L6633" s="12">
        <f>K6633*(1+P6633)/(1-Q6633)</f>
        <v>64.285714285714292</v>
      </c>
      <c r="M6633" s="8">
        <v>1</v>
      </c>
      <c r="N6633" s="8" t="s">
        <v>27</v>
      </c>
      <c r="O6633" s="13"/>
      <c r="P6633" s="14">
        <v>0</v>
      </c>
      <c r="Q6633" s="15">
        <v>0.3</v>
      </c>
      <c r="R6633" s="40" t="str">
        <f t="shared" si="559"/>
        <v>RUIJIE</v>
      </c>
    </row>
    <row r="6634" spans="1:20" customFormat="1" ht="27" customHeight="1" x14ac:dyDescent="0.25">
      <c r="A6634" s="8" t="s">
        <v>6853</v>
      </c>
      <c r="B6634" s="9"/>
      <c r="C6634" s="9"/>
      <c r="D6634" s="8"/>
      <c r="E6634" s="8"/>
      <c r="F6634" s="8"/>
      <c r="G6634" s="10"/>
      <c r="H6634" s="8" t="s">
        <v>13664</v>
      </c>
      <c r="I6634" s="10" t="s">
        <v>3306</v>
      </c>
      <c r="J6634" s="11" t="s">
        <v>33</v>
      </c>
      <c r="K6634" s="18">
        <v>1399000</v>
      </c>
      <c r="L6634" s="12">
        <f>K6634*(1+P6634)/(1-Q6634)</f>
        <v>1998571.4285714286</v>
      </c>
      <c r="M6634" s="8">
        <v>1</v>
      </c>
      <c r="N6634" s="8" t="s">
        <v>27</v>
      </c>
      <c r="O6634" s="13"/>
      <c r="P6634" s="14">
        <v>0</v>
      </c>
      <c r="Q6634" s="15">
        <v>0.3</v>
      </c>
      <c r="R6634" s="16" t="str">
        <f t="shared" si="559"/>
        <v>MAXHUB</v>
      </c>
    </row>
    <row r="6635" spans="1:20" customFormat="1" ht="27" customHeight="1" x14ac:dyDescent="0.25">
      <c r="A6635" s="44" t="s">
        <v>5380</v>
      </c>
      <c r="H6635" s="32" t="s">
        <v>13665</v>
      </c>
      <c r="I6635" s="33" t="s">
        <v>13666</v>
      </c>
      <c r="J6635" s="34" t="s">
        <v>33</v>
      </c>
      <c r="K6635" s="42">
        <v>110000</v>
      </c>
      <c r="L6635" s="12">
        <f>K6635*(1+P6635)/(1-Q6635)</f>
        <v>157142.85714285716</v>
      </c>
      <c r="M6635" s="8">
        <v>1</v>
      </c>
      <c r="N6635" s="8" t="s">
        <v>27</v>
      </c>
      <c r="O6635" s="13"/>
      <c r="P6635" s="14">
        <v>0</v>
      </c>
      <c r="Q6635" s="15">
        <v>0.3</v>
      </c>
      <c r="R6635" s="16" t="str">
        <f t="shared" si="559"/>
        <v>LINDY</v>
      </c>
    </row>
    <row r="6636" spans="1:20" customFormat="1" ht="27" customHeight="1" x14ac:dyDescent="0.25">
      <c r="A6636" s="44" t="s">
        <v>3977</v>
      </c>
      <c r="H6636" s="32" t="s">
        <v>13667</v>
      </c>
      <c r="I6636" s="33" t="s">
        <v>13668</v>
      </c>
      <c r="J6636" s="34" t="s">
        <v>33</v>
      </c>
      <c r="K6636" s="42">
        <v>13141497.6</v>
      </c>
      <c r="L6636" s="12">
        <f>K6636*(1+P6636)/(1-Q6636)</f>
        <v>18773568</v>
      </c>
      <c r="M6636" s="8">
        <v>1</v>
      </c>
      <c r="N6636" s="8" t="s">
        <v>27</v>
      </c>
      <c r="O6636" s="13"/>
      <c r="P6636" s="14">
        <v>0</v>
      </c>
      <c r="Q6636" s="15">
        <v>0.3</v>
      </c>
      <c r="R6636" s="16" t="str">
        <f t="shared" si="559"/>
        <v>KOMODO</v>
      </c>
    </row>
    <row r="6637" spans="1:20" customFormat="1" ht="27" customHeight="1" x14ac:dyDescent="0.25">
      <c r="A6637" s="8" t="s">
        <v>5672</v>
      </c>
      <c r="B6637" s="9"/>
      <c r="C6637" s="9"/>
      <c r="D6637" s="8"/>
      <c r="E6637" s="8"/>
      <c r="F6637" s="8" t="s">
        <v>22</v>
      </c>
      <c r="G6637" s="10" t="s">
        <v>6418</v>
      </c>
      <c r="H6637" s="8" t="s">
        <v>13669</v>
      </c>
      <c r="I6637" s="10" t="s">
        <v>13670</v>
      </c>
      <c r="J6637" s="11" t="s">
        <v>26</v>
      </c>
      <c r="K6637" s="57">
        <v>302.39999999999998</v>
      </c>
      <c r="L6637" s="12">
        <f t="shared" ref="L6637:L6654" si="565">ROUNDUP(K6637*(1+P6637)/(1-Q6637),0)</f>
        <v>540</v>
      </c>
      <c r="M6637" s="8">
        <v>1</v>
      </c>
      <c r="N6637" s="8" t="s">
        <v>27</v>
      </c>
      <c r="O6637" s="13"/>
      <c r="P6637" s="14">
        <v>0.2</v>
      </c>
      <c r="Q6637" s="15">
        <v>0.32785636031649429</v>
      </c>
      <c r="R6637" s="16" t="str">
        <f t="shared" si="559"/>
        <v>LUTRON</v>
      </c>
      <c r="S6637" s="17"/>
      <c r="T6637" s="10" t="str">
        <f>G6637</f>
        <v>TECLADO HIBRIDO DE 6 BOTONES DE COLOR NEGRO. LÍNEA SEETOUCH.</v>
      </c>
    </row>
    <row r="6638" spans="1:20" customFormat="1" ht="27" customHeight="1" x14ac:dyDescent="0.25">
      <c r="A6638" s="44" t="s">
        <v>3977</v>
      </c>
      <c r="H6638" s="32" t="s">
        <v>13671</v>
      </c>
      <c r="I6638" s="33" t="s">
        <v>13672</v>
      </c>
      <c r="J6638" s="34" t="s">
        <v>33</v>
      </c>
      <c r="K6638" s="57">
        <v>1000000</v>
      </c>
      <c r="L6638" s="12">
        <f t="shared" si="565"/>
        <v>1666667</v>
      </c>
      <c r="M6638" s="8">
        <v>1</v>
      </c>
      <c r="N6638" s="8" t="s">
        <v>27</v>
      </c>
      <c r="O6638" s="13"/>
      <c r="P6638" s="14">
        <v>0</v>
      </c>
      <c r="Q6638" s="15">
        <v>0.4</v>
      </c>
      <c r="R6638" s="16" t="str">
        <f t="shared" si="559"/>
        <v>KOMODO</v>
      </c>
    </row>
    <row r="6639" spans="1:20" customFormat="1" ht="27" customHeight="1" x14ac:dyDescent="0.25">
      <c r="A6639" s="44" t="s">
        <v>657</v>
      </c>
      <c r="H6639" s="32" t="s">
        <v>13673</v>
      </c>
      <c r="I6639" s="33" t="s">
        <v>13674</v>
      </c>
      <c r="J6639" s="34" t="s">
        <v>33</v>
      </c>
      <c r="K6639" s="42">
        <v>2825260.87</v>
      </c>
      <c r="L6639" s="12">
        <f t="shared" si="565"/>
        <v>4036087</v>
      </c>
      <c r="M6639" s="8">
        <v>1</v>
      </c>
      <c r="N6639" s="8" t="s">
        <v>27</v>
      </c>
      <c r="O6639" s="13"/>
      <c r="P6639" s="14">
        <v>0</v>
      </c>
      <c r="Q6639" s="15">
        <v>0.3</v>
      </c>
      <c r="R6639" s="16" t="str">
        <f t="shared" si="559"/>
        <v>ATLONA</v>
      </c>
    </row>
    <row r="6640" spans="1:20" customFormat="1" ht="27" customHeight="1" x14ac:dyDescent="0.25">
      <c r="A6640" s="44" t="s">
        <v>4988</v>
      </c>
      <c r="H6640" s="32" t="s">
        <v>13675</v>
      </c>
      <c r="I6640" s="33" t="s">
        <v>13676</v>
      </c>
      <c r="J6640" s="34" t="s">
        <v>26</v>
      </c>
      <c r="K6640" s="42">
        <v>268</v>
      </c>
      <c r="L6640" s="12">
        <f t="shared" si="565"/>
        <v>413</v>
      </c>
      <c r="M6640" s="8">
        <v>1</v>
      </c>
      <c r="N6640" s="8" t="s">
        <v>27</v>
      </c>
      <c r="O6640" s="13"/>
      <c r="P6640" s="14">
        <v>0</v>
      </c>
      <c r="Q6640" s="15">
        <v>0.35</v>
      </c>
      <c r="R6640" s="16" t="str">
        <f t="shared" si="559"/>
        <v>KRAMER</v>
      </c>
    </row>
    <row r="6641" spans="1:23" customFormat="1" ht="27" customHeight="1" x14ac:dyDescent="0.25">
      <c r="A6641" s="44" t="s">
        <v>4988</v>
      </c>
      <c r="H6641" s="32" t="s">
        <v>13677</v>
      </c>
      <c r="I6641" s="33" t="s">
        <v>13678</v>
      </c>
      <c r="J6641" s="34" t="s">
        <v>26</v>
      </c>
      <c r="K6641" s="42">
        <v>268</v>
      </c>
      <c r="L6641" s="12">
        <f t="shared" si="565"/>
        <v>413</v>
      </c>
      <c r="M6641" s="8">
        <v>1</v>
      </c>
      <c r="N6641" s="8" t="s">
        <v>27</v>
      </c>
      <c r="O6641" s="13"/>
      <c r="P6641" s="14">
        <v>0</v>
      </c>
      <c r="Q6641" s="15">
        <v>0.35</v>
      </c>
      <c r="R6641" s="16" t="str">
        <f t="shared" si="559"/>
        <v>KRAMER</v>
      </c>
    </row>
    <row r="6642" spans="1:23" customFormat="1" ht="27" customHeight="1" x14ac:dyDescent="0.25">
      <c r="A6642" s="44" t="s">
        <v>8308</v>
      </c>
      <c r="H6642" s="32" t="s">
        <v>13679</v>
      </c>
      <c r="I6642" s="33" t="s">
        <v>13680</v>
      </c>
      <c r="J6642" s="34" t="s">
        <v>33</v>
      </c>
      <c r="K6642" s="42">
        <v>998700</v>
      </c>
      <c r="L6642" s="12">
        <f t="shared" si="565"/>
        <v>1536462</v>
      </c>
      <c r="M6642" s="8">
        <v>1</v>
      </c>
      <c r="N6642" s="8" t="s">
        <v>27</v>
      </c>
      <c r="O6642" s="13"/>
      <c r="P6642" s="14">
        <v>0</v>
      </c>
      <c r="Q6642" s="15">
        <v>0.35</v>
      </c>
      <c r="R6642" s="40" t="str">
        <f t="shared" si="559"/>
        <v>SOLIDVIEW</v>
      </c>
    </row>
    <row r="6643" spans="1:23" customFormat="1" ht="27" customHeight="1" x14ac:dyDescent="0.25">
      <c r="A6643" s="44" t="s">
        <v>1867</v>
      </c>
      <c r="H6643" s="32" t="s">
        <v>13681</v>
      </c>
      <c r="I6643" s="33" t="s">
        <v>13682</v>
      </c>
      <c r="J6643" s="34" t="s">
        <v>26</v>
      </c>
      <c r="K6643" s="42">
        <f>478+10</f>
        <v>488</v>
      </c>
      <c r="L6643" s="12">
        <f t="shared" si="565"/>
        <v>751</v>
      </c>
      <c r="M6643" s="8">
        <v>1</v>
      </c>
      <c r="N6643" s="8" t="s">
        <v>27</v>
      </c>
      <c r="O6643" s="13"/>
      <c r="P6643" s="14">
        <v>0</v>
      </c>
      <c r="Q6643" s="15">
        <v>0.35</v>
      </c>
      <c r="R6643" s="40" t="str">
        <f t="shared" si="559"/>
        <v>DENON</v>
      </c>
    </row>
    <row r="6644" spans="1:23" customFormat="1" ht="27" customHeight="1" x14ac:dyDescent="0.25">
      <c r="A6644" s="44" t="s">
        <v>13683</v>
      </c>
      <c r="H6644" s="32" t="s">
        <v>13684</v>
      </c>
      <c r="I6644" s="33" t="s">
        <v>13685</v>
      </c>
      <c r="J6644" s="34" t="s">
        <v>26</v>
      </c>
      <c r="K6644" s="42">
        <v>142.5</v>
      </c>
      <c r="L6644" s="12">
        <f t="shared" si="565"/>
        <v>238</v>
      </c>
      <c r="M6644" s="8">
        <v>1</v>
      </c>
      <c r="N6644" s="8" t="s">
        <v>27</v>
      </c>
      <c r="O6644" s="13"/>
      <c r="P6644" s="14">
        <v>0</v>
      </c>
      <c r="Q6644" s="15">
        <v>0.4</v>
      </c>
      <c r="R6644" s="40" t="str">
        <f t="shared" si="559"/>
        <v>&lt;</v>
      </c>
    </row>
    <row r="6645" spans="1:23" customFormat="1" ht="27" customHeight="1" x14ac:dyDescent="0.25">
      <c r="A6645" s="44" t="s">
        <v>6990</v>
      </c>
      <c r="H6645" s="38" t="s">
        <v>13686</v>
      </c>
      <c r="I6645" s="33" t="s">
        <v>13687</v>
      </c>
      <c r="J6645" s="34" t="s">
        <v>26</v>
      </c>
      <c r="K6645" s="42">
        <v>26039</v>
      </c>
      <c r="L6645" s="12">
        <f t="shared" si="565"/>
        <v>44639</v>
      </c>
      <c r="M6645" s="8">
        <v>1</v>
      </c>
      <c r="N6645" s="8" t="s">
        <v>27</v>
      </c>
      <c r="O6645" s="13"/>
      <c r="P6645" s="14">
        <v>0.2</v>
      </c>
      <c r="Q6645" s="15">
        <v>0.3</v>
      </c>
      <c r="R6645" s="40" t="str">
        <f t="shared" si="559"/>
        <v>NEC</v>
      </c>
    </row>
    <row r="6646" spans="1:23" customFormat="1" ht="41.25" customHeight="1" x14ac:dyDescent="0.25">
      <c r="A6646" s="44" t="s">
        <v>13688</v>
      </c>
      <c r="H6646" s="32" t="s">
        <v>13689</v>
      </c>
      <c r="I6646" s="33" t="s">
        <v>13690</v>
      </c>
      <c r="J6646" s="34" t="s">
        <v>33</v>
      </c>
      <c r="K6646" s="42">
        <f>1540000/3</f>
        <v>513333.33333333331</v>
      </c>
      <c r="L6646" s="12">
        <f t="shared" si="565"/>
        <v>733334</v>
      </c>
      <c r="M6646" s="8">
        <v>1</v>
      </c>
      <c r="N6646" s="8" t="s">
        <v>27</v>
      </c>
      <c r="O6646" s="13"/>
      <c r="P6646" s="14">
        <v>0</v>
      </c>
      <c r="Q6646" s="15">
        <v>0.3</v>
      </c>
      <c r="R6646" s="40" t="str">
        <f t="shared" si="559"/>
        <v>RUMAT</v>
      </c>
    </row>
    <row r="6647" spans="1:23" customFormat="1" ht="27" customHeight="1" x14ac:dyDescent="0.25">
      <c r="A6647" s="44" t="s">
        <v>13691</v>
      </c>
      <c r="H6647" s="32" t="s">
        <v>13692</v>
      </c>
      <c r="I6647" s="33" t="s">
        <v>13693</v>
      </c>
      <c r="J6647" s="34" t="s">
        <v>33</v>
      </c>
      <c r="K6647" s="42">
        <v>131000</v>
      </c>
      <c r="L6647" s="12">
        <f t="shared" si="565"/>
        <v>272917</v>
      </c>
      <c r="M6647" s="8">
        <v>1</v>
      </c>
      <c r="N6647" s="8" t="s">
        <v>27</v>
      </c>
      <c r="O6647" s="13"/>
      <c r="P6647" s="14">
        <v>0.25</v>
      </c>
      <c r="Q6647" s="15">
        <v>0.4</v>
      </c>
      <c r="R6647" s="40" t="str">
        <f t="shared" si="559"/>
        <v>RAYZEEK</v>
      </c>
      <c r="W6647">
        <f>+(23*10+62)/10*4500</f>
        <v>131400</v>
      </c>
    </row>
    <row r="6648" spans="1:23" customFormat="1" ht="27" customHeight="1" x14ac:dyDescent="0.25">
      <c r="A6648" s="44" t="s">
        <v>10524</v>
      </c>
      <c r="H6648" s="32" t="s">
        <v>13694</v>
      </c>
      <c r="I6648" s="33" t="s">
        <v>13695</v>
      </c>
      <c r="J6648" s="34" t="s">
        <v>33</v>
      </c>
      <c r="K6648" s="42">
        <v>155000</v>
      </c>
      <c r="L6648" s="12">
        <f t="shared" si="565"/>
        <v>182353</v>
      </c>
      <c r="M6648" s="8">
        <v>1</v>
      </c>
      <c r="N6648" s="8" t="s">
        <v>27</v>
      </c>
      <c r="O6648" s="13"/>
      <c r="P6648" s="14">
        <v>0</v>
      </c>
      <c r="Q6648" s="15">
        <v>0.15</v>
      </c>
      <c r="R6648" s="40" t="str">
        <f t="shared" si="559"/>
        <v>AMAZON</v>
      </c>
    </row>
    <row r="6649" spans="1:23" customFormat="1" ht="27" customHeight="1" x14ac:dyDescent="0.25">
      <c r="A6649" s="44" t="s">
        <v>1821</v>
      </c>
      <c r="H6649" s="32" t="s">
        <v>13696</v>
      </c>
      <c r="I6649" s="33" t="s">
        <v>13697</v>
      </c>
      <c r="J6649" s="34" t="s">
        <v>26</v>
      </c>
      <c r="K6649" s="42">
        <v>100</v>
      </c>
      <c r="L6649" s="12">
        <f t="shared" si="565"/>
        <v>200</v>
      </c>
      <c r="M6649" s="8">
        <v>1</v>
      </c>
      <c r="N6649" s="8" t="s">
        <v>27</v>
      </c>
      <c r="O6649" s="13"/>
      <c r="P6649" s="14">
        <v>0.2</v>
      </c>
      <c r="Q6649" s="15">
        <v>0.4</v>
      </c>
      <c r="R6649" s="40" t="str">
        <f t="shared" si="559"/>
        <v>DAYTON</v>
      </c>
    </row>
    <row r="6650" spans="1:23" customFormat="1" ht="27" customHeight="1" x14ac:dyDescent="0.25">
      <c r="A6650" s="44" t="s">
        <v>2512</v>
      </c>
      <c r="H6650" s="32" t="s">
        <v>13698</v>
      </c>
      <c r="I6650" s="33" t="s">
        <v>13699</v>
      </c>
      <c r="J6650" s="34" t="s">
        <v>33</v>
      </c>
      <c r="K6650" s="42">
        <f>62500/50</f>
        <v>1250</v>
      </c>
      <c r="L6650" s="12">
        <f t="shared" si="565"/>
        <v>3000</v>
      </c>
      <c r="M6650" s="8">
        <v>1</v>
      </c>
      <c r="N6650" s="8" t="s">
        <v>27</v>
      </c>
      <c r="O6650" s="13"/>
      <c r="P6650" s="14">
        <v>0.2</v>
      </c>
      <c r="Q6650" s="15">
        <v>0.5</v>
      </c>
      <c r="R6650" s="40" t="str">
        <f t="shared" si="559"/>
        <v>GENERAL</v>
      </c>
      <c r="S6650" s="39" t="s">
        <v>13700</v>
      </c>
    </row>
    <row r="6651" spans="1:23" customFormat="1" ht="27" customHeight="1" x14ac:dyDescent="0.25">
      <c r="A6651" s="44" t="s">
        <v>13701</v>
      </c>
      <c r="H6651" s="32" t="s">
        <v>13702</v>
      </c>
      <c r="I6651" s="33" t="s">
        <v>13703</v>
      </c>
      <c r="J6651" s="34" t="s">
        <v>26</v>
      </c>
      <c r="K6651" s="42">
        <v>114</v>
      </c>
      <c r="L6651" s="12">
        <f t="shared" si="565"/>
        <v>196</v>
      </c>
      <c r="M6651" s="8">
        <v>1</v>
      </c>
      <c r="N6651" s="8" t="s">
        <v>27</v>
      </c>
      <c r="O6651" s="13"/>
      <c r="P6651" s="14">
        <v>0.2</v>
      </c>
      <c r="Q6651" s="15">
        <v>0.3</v>
      </c>
      <c r="R6651" s="40" t="str">
        <f t="shared" si="559"/>
        <v>ZQYCM</v>
      </c>
      <c r="S6651" s="39" t="s">
        <v>13704</v>
      </c>
    </row>
    <row r="6652" spans="1:23" customFormat="1" ht="27" customHeight="1" x14ac:dyDescent="0.25">
      <c r="A6652" s="44" t="s">
        <v>5672</v>
      </c>
      <c r="H6652" s="32" t="s">
        <v>13705</v>
      </c>
      <c r="I6652" s="33" t="s">
        <v>13706</v>
      </c>
      <c r="J6652" s="34" t="s">
        <v>26</v>
      </c>
      <c r="K6652" s="42">
        <f>1619*0.5</f>
        <v>809.5</v>
      </c>
      <c r="L6652" s="12">
        <f t="shared" si="565"/>
        <v>1619</v>
      </c>
      <c r="M6652" s="8">
        <v>1</v>
      </c>
      <c r="N6652" s="8" t="s">
        <v>27</v>
      </c>
      <c r="O6652" s="13"/>
      <c r="P6652" s="14">
        <v>0.2</v>
      </c>
      <c r="Q6652" s="15">
        <v>0.4</v>
      </c>
      <c r="R6652" s="40" t="str">
        <f t="shared" si="559"/>
        <v>LUTRON</v>
      </c>
    </row>
    <row r="6653" spans="1:23" customFormat="1" ht="27" customHeight="1" x14ac:dyDescent="0.25">
      <c r="A6653" s="44" t="s">
        <v>13707</v>
      </c>
      <c r="H6653" s="32" t="s">
        <v>13708</v>
      </c>
      <c r="I6653" s="33" t="s">
        <v>13709</v>
      </c>
      <c r="J6653" s="34" t="s">
        <v>26</v>
      </c>
      <c r="K6653" s="42">
        <v>27</v>
      </c>
      <c r="L6653" s="12">
        <f t="shared" si="565"/>
        <v>54</v>
      </c>
      <c r="M6653" s="8">
        <v>1</v>
      </c>
      <c r="N6653" s="8" t="s">
        <v>27</v>
      </c>
      <c r="O6653" s="13"/>
      <c r="P6653" s="14">
        <v>0.2</v>
      </c>
      <c r="Q6653" s="15">
        <v>0.4</v>
      </c>
      <c r="R6653" s="40" t="str">
        <f t="shared" si="559"/>
        <v>FACMOGU</v>
      </c>
    </row>
    <row r="6654" spans="1:23" customFormat="1" ht="27" customHeight="1" x14ac:dyDescent="0.25">
      <c r="A6654" s="44" t="s">
        <v>2270</v>
      </c>
      <c r="H6654" s="32" t="s">
        <v>13710</v>
      </c>
      <c r="I6654" s="33" t="s">
        <v>13711</v>
      </c>
      <c r="J6654" s="34" t="s">
        <v>26</v>
      </c>
      <c r="K6654" s="42">
        <v>3343</v>
      </c>
      <c r="L6654" s="12">
        <f t="shared" si="565"/>
        <v>5970</v>
      </c>
      <c r="M6654" s="8">
        <v>1</v>
      </c>
      <c r="N6654" s="8" t="s">
        <v>27</v>
      </c>
      <c r="O6654" s="13"/>
      <c r="P6654" s="14">
        <v>0.25</v>
      </c>
      <c r="Q6654" s="15">
        <v>0.3</v>
      </c>
      <c r="R6654" s="40" t="str">
        <f t="shared" ref="R6654:R6717" si="566">A6654</f>
        <v>ELITE</v>
      </c>
    </row>
    <row r="6655" spans="1:23" customFormat="1" ht="27" customHeight="1" x14ac:dyDescent="0.25">
      <c r="A6655" s="32" t="s">
        <v>13712</v>
      </c>
      <c r="H6655" s="44" t="s">
        <v>13713</v>
      </c>
      <c r="I6655" s="33" t="s">
        <v>13714</v>
      </c>
      <c r="J6655" s="34" t="s">
        <v>26</v>
      </c>
      <c r="K6655" s="42">
        <v>49</v>
      </c>
      <c r="L6655" s="12">
        <f>K6655*(1+P6655)/(1-Q6655)</f>
        <v>98</v>
      </c>
      <c r="M6655" s="8">
        <v>1</v>
      </c>
      <c r="N6655" s="8" t="s">
        <v>27</v>
      </c>
      <c r="O6655" s="13"/>
      <c r="P6655" s="14">
        <v>0</v>
      </c>
      <c r="Q6655" s="15">
        <v>0.5</v>
      </c>
      <c r="R6655" s="40" t="str">
        <f t="shared" si="566"/>
        <v>PIVI</v>
      </c>
      <c r="U6655" t="s">
        <v>13715</v>
      </c>
    </row>
    <row r="6656" spans="1:23" customFormat="1" ht="27" customHeight="1" x14ac:dyDescent="0.25">
      <c r="A6656" s="44" t="s">
        <v>7989</v>
      </c>
      <c r="H6656" s="32" t="s">
        <v>13716</v>
      </c>
      <c r="I6656" s="33" t="s">
        <v>13717</v>
      </c>
      <c r="J6656" s="34" t="s">
        <v>26</v>
      </c>
      <c r="K6656" s="42">
        <v>280</v>
      </c>
      <c r="L6656" s="12">
        <f t="shared" ref="L6656:L6664" si="567">ROUNDUP(K6656*(1+P6656)/(1-Q6656),0)</f>
        <v>467</v>
      </c>
      <c r="M6656" s="8">
        <v>1</v>
      </c>
      <c r="N6656" s="8" t="s">
        <v>27</v>
      </c>
      <c r="O6656" s="13"/>
      <c r="P6656" s="14">
        <v>0</v>
      </c>
      <c r="Q6656" s="15">
        <v>0.4</v>
      </c>
      <c r="R6656" s="40" t="str">
        <f t="shared" si="566"/>
        <v>RUSSOUND</v>
      </c>
    </row>
    <row r="6657" spans="1:19" customFormat="1" ht="27" customHeight="1" x14ac:dyDescent="0.25">
      <c r="A6657" s="32" t="s">
        <v>1821</v>
      </c>
      <c r="H6657" s="32" t="s">
        <v>13718</v>
      </c>
      <c r="I6657" s="33" t="s">
        <v>13719</v>
      </c>
      <c r="J6657" s="34" t="s">
        <v>26</v>
      </c>
      <c r="K6657" s="42">
        <v>180</v>
      </c>
      <c r="L6657" s="12">
        <f t="shared" si="567"/>
        <v>300</v>
      </c>
      <c r="M6657" s="8">
        <v>1</v>
      </c>
      <c r="N6657" s="8" t="s">
        <v>27</v>
      </c>
      <c r="O6657" s="13"/>
      <c r="P6657" s="14">
        <v>0</v>
      </c>
      <c r="Q6657" s="15">
        <v>0.4</v>
      </c>
      <c r="R6657" s="40" t="str">
        <f t="shared" si="566"/>
        <v>DAYTON</v>
      </c>
    </row>
    <row r="6658" spans="1:19" customFormat="1" ht="27" customHeight="1" x14ac:dyDescent="0.25">
      <c r="A6658" s="32" t="s">
        <v>13720</v>
      </c>
      <c r="H6658" s="32" t="s">
        <v>13721</v>
      </c>
      <c r="I6658" s="33" t="s">
        <v>13722</v>
      </c>
      <c r="J6658" s="34" t="s">
        <v>26</v>
      </c>
      <c r="K6658" s="42">
        <v>25</v>
      </c>
      <c r="L6658" s="12">
        <f t="shared" si="567"/>
        <v>42</v>
      </c>
      <c r="M6658" s="8">
        <v>1</v>
      </c>
      <c r="N6658" s="8" t="s">
        <v>27</v>
      </c>
      <c r="O6658" s="13"/>
      <c r="P6658" s="14">
        <v>0</v>
      </c>
      <c r="Q6658" s="15">
        <v>0.4</v>
      </c>
      <c r="R6658" s="40" t="str">
        <f t="shared" si="566"/>
        <v>CUBILUX</v>
      </c>
      <c r="S6658" t="s">
        <v>13723</v>
      </c>
    </row>
    <row r="6659" spans="1:19" customFormat="1" ht="27" customHeight="1" x14ac:dyDescent="0.25">
      <c r="A6659" s="32" t="s">
        <v>1821</v>
      </c>
      <c r="H6659" s="32" t="s">
        <v>13724</v>
      </c>
      <c r="I6659" s="33" t="s">
        <v>13725</v>
      </c>
      <c r="J6659" s="34" t="s">
        <v>26</v>
      </c>
      <c r="K6659" s="42">
        <v>85</v>
      </c>
      <c r="L6659" s="12">
        <f t="shared" si="567"/>
        <v>170</v>
      </c>
      <c r="M6659" s="8">
        <v>1</v>
      </c>
      <c r="N6659" s="8" t="s">
        <v>27</v>
      </c>
      <c r="O6659" s="13"/>
      <c r="P6659" s="14">
        <v>0.2</v>
      </c>
      <c r="Q6659" s="15">
        <v>0.4</v>
      </c>
      <c r="R6659" s="40" t="str">
        <f t="shared" si="566"/>
        <v>DAYTON</v>
      </c>
    </row>
    <row r="6660" spans="1:19" customFormat="1" ht="27" customHeight="1" x14ac:dyDescent="0.25">
      <c r="A6660" s="32" t="s">
        <v>2512</v>
      </c>
      <c r="H6660" s="32" t="s">
        <v>13726</v>
      </c>
      <c r="I6660" s="33" t="s">
        <v>13727</v>
      </c>
      <c r="J6660" s="34" t="s">
        <v>26</v>
      </c>
      <c r="K6660" s="42">
        <v>40</v>
      </c>
      <c r="L6660" s="12">
        <f t="shared" si="567"/>
        <v>80</v>
      </c>
      <c r="M6660" s="8">
        <v>1</v>
      </c>
      <c r="N6660" s="8" t="s">
        <v>27</v>
      </c>
      <c r="O6660" s="13"/>
      <c r="P6660" s="14">
        <v>0.2</v>
      </c>
      <c r="Q6660" s="15">
        <v>0.4</v>
      </c>
      <c r="R6660" s="40" t="str">
        <f t="shared" si="566"/>
        <v>GENERAL</v>
      </c>
    </row>
    <row r="6661" spans="1:19" customFormat="1" ht="27" customHeight="1" x14ac:dyDescent="0.25">
      <c r="A6661" s="32" t="s">
        <v>1561</v>
      </c>
      <c r="H6661" s="32" t="s">
        <v>13728</v>
      </c>
      <c r="I6661" s="33" t="s">
        <v>13729</v>
      </c>
      <c r="J6661" s="34" t="s">
        <v>33</v>
      </c>
      <c r="K6661" s="42">
        <v>707136</v>
      </c>
      <c r="L6661" s="12">
        <f t="shared" si="567"/>
        <v>1178560</v>
      </c>
      <c r="M6661" s="8">
        <v>1</v>
      </c>
      <c r="N6661" s="8" t="s">
        <v>27</v>
      </c>
      <c r="O6661" s="13"/>
      <c r="P6661" s="14">
        <v>0</v>
      </c>
      <c r="Q6661" s="15">
        <v>0.4</v>
      </c>
      <c r="R6661" s="40" t="str">
        <f t="shared" si="566"/>
        <v>DAHUA</v>
      </c>
    </row>
    <row r="6662" spans="1:19" customFormat="1" ht="27" customHeight="1" x14ac:dyDescent="0.25">
      <c r="A6662" s="32" t="s">
        <v>1561</v>
      </c>
      <c r="H6662" t="s">
        <v>13730</v>
      </c>
      <c r="I6662" s="33" t="s">
        <v>13731</v>
      </c>
      <c r="J6662" s="34" t="s">
        <v>33</v>
      </c>
      <c r="K6662" s="42">
        <v>157700</v>
      </c>
      <c r="L6662" s="12">
        <f t="shared" si="567"/>
        <v>262834</v>
      </c>
      <c r="M6662" s="8">
        <v>1</v>
      </c>
      <c r="N6662" s="8" t="s">
        <v>27</v>
      </c>
      <c r="O6662" s="13"/>
      <c r="P6662" s="14">
        <v>0</v>
      </c>
      <c r="Q6662" s="15">
        <v>0.4</v>
      </c>
      <c r="R6662" s="40" t="str">
        <f t="shared" si="566"/>
        <v>DAHUA</v>
      </c>
    </row>
    <row r="6663" spans="1:19" customFormat="1" ht="27" customHeight="1" x14ac:dyDescent="0.25">
      <c r="A6663" s="32" t="s">
        <v>1561</v>
      </c>
      <c r="H6663" t="s">
        <v>13732</v>
      </c>
      <c r="I6663" s="33" t="s">
        <v>13733</v>
      </c>
      <c r="J6663" s="34" t="s">
        <v>33</v>
      </c>
      <c r="K6663" s="42">
        <v>198801</v>
      </c>
      <c r="L6663" s="12">
        <f t="shared" si="567"/>
        <v>331335</v>
      </c>
      <c r="M6663" s="8">
        <v>1</v>
      </c>
      <c r="N6663" s="8" t="s">
        <v>27</v>
      </c>
      <c r="O6663" s="13"/>
      <c r="P6663" s="14">
        <v>0</v>
      </c>
      <c r="Q6663" s="15">
        <v>0.4</v>
      </c>
      <c r="R6663" s="40" t="str">
        <f t="shared" si="566"/>
        <v>DAHUA</v>
      </c>
    </row>
    <row r="6664" spans="1:19" customFormat="1" ht="27" customHeight="1" x14ac:dyDescent="0.25">
      <c r="A6664" s="32" t="s">
        <v>9568</v>
      </c>
      <c r="H6664" s="32" t="s">
        <v>13734</v>
      </c>
      <c r="I6664" s="33" t="s">
        <v>13735</v>
      </c>
      <c r="J6664" s="34" t="s">
        <v>33</v>
      </c>
      <c r="K6664" s="42">
        <v>870400</v>
      </c>
      <c r="L6664" s="12">
        <f t="shared" si="567"/>
        <v>1450667</v>
      </c>
      <c r="M6664" s="8">
        <v>1</v>
      </c>
      <c r="N6664" s="8" t="s">
        <v>27</v>
      </c>
      <c r="O6664" s="13"/>
      <c r="P6664" s="14">
        <v>0</v>
      </c>
      <c r="Q6664" s="15">
        <v>0.4</v>
      </c>
      <c r="R6664" s="40" t="str">
        <f t="shared" si="566"/>
        <v>WESTERN DIGITAL</v>
      </c>
    </row>
    <row r="6665" spans="1:19" customFormat="1" ht="27" customHeight="1" x14ac:dyDescent="0.25">
      <c r="A6665" s="32" t="s">
        <v>3533</v>
      </c>
      <c r="H6665" s="32" t="s">
        <v>13736</v>
      </c>
      <c r="I6665" s="33" t="s">
        <v>13737</v>
      </c>
      <c r="J6665" s="34" t="s">
        <v>33</v>
      </c>
      <c r="K6665" s="42">
        <v>550000</v>
      </c>
      <c r="L6665" s="12">
        <f t="shared" ref="L6665:L6681" si="568">K6665*(1+P6665)/(1-Q6665)</f>
        <v>785714.2857142858</v>
      </c>
      <c r="M6665" s="8">
        <v>1</v>
      </c>
      <c r="N6665" s="8" t="s">
        <v>27</v>
      </c>
      <c r="O6665" s="13"/>
      <c r="P6665" s="14">
        <v>0</v>
      </c>
      <c r="Q6665" s="15">
        <v>0.3</v>
      </c>
      <c r="R6665" s="64" t="str">
        <f t="shared" si="566"/>
        <v>HP</v>
      </c>
      <c r="S6665" t="s">
        <v>13738</v>
      </c>
    </row>
    <row r="6666" spans="1:19" customFormat="1" ht="27" customHeight="1" x14ac:dyDescent="0.25">
      <c r="A6666" s="32" t="s">
        <v>13739</v>
      </c>
      <c r="H6666" s="32" t="s">
        <v>13739</v>
      </c>
      <c r="I6666" s="38" t="s">
        <v>13740</v>
      </c>
      <c r="J6666" s="34" t="s">
        <v>33</v>
      </c>
      <c r="K6666" s="42">
        <v>4326900</v>
      </c>
      <c r="L6666" s="12">
        <f t="shared" si="568"/>
        <v>6181285.7142857146</v>
      </c>
      <c r="M6666" s="8">
        <v>1</v>
      </c>
      <c r="N6666" s="8" t="s">
        <v>27</v>
      </c>
      <c r="O6666" s="13"/>
      <c r="P6666" s="14">
        <v>0</v>
      </c>
      <c r="Q6666" s="15">
        <v>0.3</v>
      </c>
      <c r="R6666" s="64" t="str">
        <f t="shared" si="566"/>
        <v>TL_198</v>
      </c>
    </row>
    <row r="6667" spans="1:19" customFormat="1" ht="27" customHeight="1" x14ac:dyDescent="0.25">
      <c r="A6667" s="32" t="s">
        <v>8308</v>
      </c>
      <c r="H6667" s="32" t="s">
        <v>13741</v>
      </c>
      <c r="I6667" s="33" t="s">
        <v>13742</v>
      </c>
      <c r="J6667" s="34" t="s">
        <v>26</v>
      </c>
      <c r="K6667" s="42">
        <v>34</v>
      </c>
      <c r="L6667" s="12">
        <f t="shared" si="568"/>
        <v>48.571428571428577</v>
      </c>
      <c r="M6667" s="8">
        <v>1</v>
      </c>
      <c r="N6667" s="8" t="s">
        <v>27</v>
      </c>
      <c r="O6667" s="13"/>
      <c r="P6667" s="14">
        <v>0</v>
      </c>
      <c r="Q6667" s="15">
        <v>0.3</v>
      </c>
      <c r="R6667" s="64" t="str">
        <f t="shared" si="566"/>
        <v>SOLIDVIEW</v>
      </c>
    </row>
    <row r="6668" spans="1:19" customFormat="1" ht="27" customHeight="1" x14ac:dyDescent="0.25">
      <c r="A6668" s="32" t="s">
        <v>2512</v>
      </c>
      <c r="H6668" s="32" t="s">
        <v>13743</v>
      </c>
      <c r="I6668" s="33" t="s">
        <v>13744</v>
      </c>
      <c r="J6668" s="34" t="s">
        <v>26</v>
      </c>
      <c r="K6668" s="42">
        <v>99</v>
      </c>
      <c r="L6668" s="12">
        <f t="shared" si="568"/>
        <v>141.42857142857144</v>
      </c>
      <c r="M6668" s="8">
        <v>1</v>
      </c>
      <c r="N6668" s="8" t="s">
        <v>27</v>
      </c>
      <c r="O6668" s="13"/>
      <c r="P6668" s="14">
        <v>0</v>
      </c>
      <c r="Q6668" s="15">
        <v>0.3</v>
      </c>
      <c r="R6668" s="64" t="str">
        <f t="shared" si="566"/>
        <v>GENERAL</v>
      </c>
      <c r="S6668" t="s">
        <v>13745</v>
      </c>
    </row>
    <row r="6669" spans="1:19" customFormat="1" ht="27" customHeight="1" x14ac:dyDescent="0.25">
      <c r="A6669" s="32" t="s">
        <v>9465</v>
      </c>
      <c r="H6669" s="32" t="s">
        <v>13746</v>
      </c>
      <c r="I6669" s="33" t="s">
        <v>13747</v>
      </c>
      <c r="J6669" s="34" t="s">
        <v>33</v>
      </c>
      <c r="K6669" s="42">
        <v>476100</v>
      </c>
      <c r="L6669" s="12">
        <f t="shared" si="568"/>
        <v>529000</v>
      </c>
      <c r="M6669" s="8">
        <v>1</v>
      </c>
      <c r="N6669" s="8" t="s">
        <v>27</v>
      </c>
      <c r="O6669" s="13"/>
      <c r="P6669" s="14">
        <v>0</v>
      </c>
      <c r="Q6669" s="15">
        <v>0.1</v>
      </c>
      <c r="R6669" s="64" t="str">
        <f t="shared" si="566"/>
        <v>VIDA_UTIL</v>
      </c>
    </row>
    <row r="6670" spans="1:19" customFormat="1" ht="27" customHeight="1" x14ac:dyDescent="0.25">
      <c r="A6670" s="32" t="s">
        <v>3694</v>
      </c>
      <c r="H6670" s="32" t="s">
        <v>13748</v>
      </c>
      <c r="I6670" s="33" t="s">
        <v>13749</v>
      </c>
      <c r="J6670" s="34" t="s">
        <v>33</v>
      </c>
      <c r="K6670" s="42">
        <v>193540</v>
      </c>
      <c r="L6670" s="12">
        <f t="shared" si="568"/>
        <v>276485.71428571432</v>
      </c>
      <c r="M6670" s="8">
        <v>1</v>
      </c>
      <c r="N6670" s="8" t="s">
        <v>27</v>
      </c>
      <c r="O6670" s="13"/>
      <c r="P6670" s="14">
        <v>0</v>
      </c>
      <c r="Q6670" s="15">
        <v>0.3</v>
      </c>
      <c r="R6670" s="64" t="str">
        <f t="shared" si="566"/>
        <v>IMOU</v>
      </c>
    </row>
    <row r="6671" spans="1:19" customFormat="1" ht="27" customHeight="1" x14ac:dyDescent="0.25">
      <c r="A6671" t="s">
        <v>8836</v>
      </c>
      <c r="H6671" t="s">
        <v>13750</v>
      </c>
      <c r="I6671" t="s">
        <v>12432</v>
      </c>
      <c r="J6671" t="s">
        <v>33</v>
      </c>
      <c r="K6671" s="42">
        <f>455000*0.9</f>
        <v>409500</v>
      </c>
      <c r="L6671" s="12">
        <f t="shared" si="568"/>
        <v>585000</v>
      </c>
      <c r="M6671" s="8">
        <v>1</v>
      </c>
      <c r="N6671" s="8" t="s">
        <v>27</v>
      </c>
      <c r="O6671" s="13"/>
      <c r="P6671" s="14">
        <v>0</v>
      </c>
      <c r="Q6671" s="15">
        <v>0.3</v>
      </c>
      <c r="R6671" s="16" t="str">
        <f t="shared" si="566"/>
        <v>TECNOLITE</v>
      </c>
    </row>
    <row r="6672" spans="1:19" customFormat="1" ht="27" customHeight="1" x14ac:dyDescent="0.25">
      <c r="A6672" s="32" t="s">
        <v>2095</v>
      </c>
      <c r="H6672" s="32" t="s">
        <v>13751</v>
      </c>
      <c r="I6672" s="33" t="s">
        <v>13752</v>
      </c>
      <c r="J6672" s="34" t="s">
        <v>33</v>
      </c>
      <c r="K6672" s="42">
        <f>46500*0.9</f>
        <v>41850</v>
      </c>
      <c r="L6672" s="12">
        <f t="shared" si="568"/>
        <v>59785.71428571429</v>
      </c>
      <c r="M6672" s="8">
        <v>1</v>
      </c>
      <c r="N6672" s="8" t="s">
        <v>27</v>
      </c>
      <c r="O6672" s="13"/>
      <c r="P6672" s="14">
        <v>0</v>
      </c>
      <c r="Q6672" s="15">
        <v>0.3</v>
      </c>
      <c r="R6672" s="16" t="str">
        <f t="shared" si="566"/>
        <v>ECOLITE</v>
      </c>
    </row>
    <row r="6673" spans="1:20" customFormat="1" ht="27" customHeight="1" x14ac:dyDescent="0.25">
      <c r="A6673" s="32" t="s">
        <v>2095</v>
      </c>
      <c r="H6673" s="32" t="s">
        <v>13753</v>
      </c>
      <c r="I6673" s="33" t="s">
        <v>13754</v>
      </c>
      <c r="J6673" s="34" t="s">
        <v>33</v>
      </c>
      <c r="K6673" s="42">
        <f>39200*0.9</f>
        <v>35280</v>
      </c>
      <c r="L6673" s="12">
        <f t="shared" si="568"/>
        <v>50400</v>
      </c>
      <c r="M6673" s="8">
        <v>1</v>
      </c>
      <c r="N6673" s="8" t="s">
        <v>27</v>
      </c>
      <c r="O6673" s="13"/>
      <c r="P6673" s="14">
        <v>0</v>
      </c>
      <c r="Q6673" s="15">
        <v>0.3</v>
      </c>
      <c r="R6673" s="16" t="str">
        <f t="shared" si="566"/>
        <v>ECOLITE</v>
      </c>
    </row>
    <row r="6674" spans="1:20" customFormat="1" ht="27" customHeight="1" x14ac:dyDescent="0.25">
      <c r="A6674" s="32" t="s">
        <v>5672</v>
      </c>
      <c r="H6674" s="103" t="s">
        <v>13755</v>
      </c>
      <c r="I6674" s="33" t="s">
        <v>13756</v>
      </c>
      <c r="J6674" s="34" t="s">
        <v>26</v>
      </c>
      <c r="K6674" s="42">
        <v>41.25</v>
      </c>
      <c r="L6674" s="12">
        <f t="shared" si="568"/>
        <v>82.5</v>
      </c>
      <c r="M6674" s="8">
        <v>1</v>
      </c>
      <c r="N6674" s="8" t="s">
        <v>27</v>
      </c>
      <c r="O6674" s="13"/>
      <c r="P6674" s="14">
        <v>0.2</v>
      </c>
      <c r="Q6674" s="15">
        <v>0.4</v>
      </c>
      <c r="R6674" s="40" t="str">
        <f t="shared" si="566"/>
        <v>LUTRON</v>
      </c>
    </row>
    <row r="6675" spans="1:20" customFormat="1" ht="27" customHeight="1" x14ac:dyDescent="0.25">
      <c r="A6675" s="32" t="s">
        <v>2512</v>
      </c>
      <c r="H6675" s="103" t="s">
        <v>13757</v>
      </c>
      <c r="I6675" s="33" t="s">
        <v>13758</v>
      </c>
      <c r="J6675" s="34" t="s">
        <v>33</v>
      </c>
      <c r="K6675" s="42">
        <v>9500</v>
      </c>
      <c r="L6675" s="12">
        <f t="shared" si="568"/>
        <v>15833.333333333334</v>
      </c>
      <c r="M6675" s="8">
        <v>1</v>
      </c>
      <c r="N6675" s="8" t="s">
        <v>27</v>
      </c>
      <c r="O6675" s="13"/>
      <c r="P6675" s="14">
        <v>0</v>
      </c>
      <c r="Q6675" s="15">
        <v>0.4</v>
      </c>
      <c r="R6675" s="40" t="str">
        <f t="shared" si="566"/>
        <v>GENERAL</v>
      </c>
    </row>
    <row r="6676" spans="1:20" customFormat="1" ht="27" customHeight="1" x14ac:dyDescent="0.25">
      <c r="A6676" s="32" t="s">
        <v>13620</v>
      </c>
      <c r="H6676" s="103" t="s">
        <v>13759</v>
      </c>
      <c r="I6676" s="33" t="s">
        <v>13760</v>
      </c>
      <c r="J6676" s="34" t="s">
        <v>33</v>
      </c>
      <c r="K6676" s="42">
        <v>57000</v>
      </c>
      <c r="L6676" s="12">
        <f t="shared" si="568"/>
        <v>95000</v>
      </c>
      <c r="M6676" s="8">
        <v>1</v>
      </c>
      <c r="N6676" s="8" t="s">
        <v>27</v>
      </c>
      <c r="O6676" s="13"/>
      <c r="P6676" s="14">
        <v>0</v>
      </c>
      <c r="Q6676" s="15">
        <v>0.4</v>
      </c>
      <c r="R6676" s="40" t="str">
        <f t="shared" si="566"/>
        <v>CHIN</v>
      </c>
    </row>
    <row r="6677" spans="1:20" customFormat="1" ht="27" customHeight="1" x14ac:dyDescent="0.25">
      <c r="A6677" s="32" t="s">
        <v>9223</v>
      </c>
      <c r="H6677" s="103" t="s">
        <v>13761</v>
      </c>
      <c r="I6677" s="33" t="s">
        <v>13762</v>
      </c>
      <c r="J6677" s="34" t="s">
        <v>33</v>
      </c>
      <c r="K6677" s="42">
        <v>410000</v>
      </c>
      <c r="L6677" s="12">
        <f t="shared" si="568"/>
        <v>683333.33333333337</v>
      </c>
      <c r="M6677" s="8">
        <v>1</v>
      </c>
      <c r="N6677" s="8" t="s">
        <v>27</v>
      </c>
      <c r="O6677" s="13"/>
      <c r="P6677" s="14">
        <v>0</v>
      </c>
      <c r="Q6677" s="15">
        <v>0.4</v>
      </c>
      <c r="R6677" s="40" t="str">
        <f t="shared" si="566"/>
        <v>TENSOFLEX</v>
      </c>
    </row>
    <row r="6678" spans="1:20" customFormat="1" ht="27" customHeight="1" x14ac:dyDescent="0.25">
      <c r="A6678" s="32" t="s">
        <v>3977</v>
      </c>
      <c r="H6678" s="103" t="s">
        <v>13763</v>
      </c>
      <c r="I6678" s="33" t="s">
        <v>13764</v>
      </c>
      <c r="J6678" s="34" t="s">
        <v>33</v>
      </c>
      <c r="K6678" s="42">
        <v>75000</v>
      </c>
      <c r="L6678" s="12">
        <f t="shared" si="568"/>
        <v>125000</v>
      </c>
      <c r="M6678" s="8">
        <v>1</v>
      </c>
      <c r="N6678" s="8" t="s">
        <v>27</v>
      </c>
      <c r="O6678" s="13"/>
      <c r="P6678" s="14">
        <v>0</v>
      </c>
      <c r="Q6678" s="15">
        <v>0.4</v>
      </c>
      <c r="R6678" s="40" t="str">
        <f t="shared" si="566"/>
        <v>KOMODO</v>
      </c>
    </row>
    <row r="6679" spans="1:20" customFormat="1" ht="27" customHeight="1" x14ac:dyDescent="0.25">
      <c r="A6679" s="32" t="s">
        <v>2297</v>
      </c>
      <c r="H6679" s="32" t="s">
        <v>13765</v>
      </c>
      <c r="I6679" s="33" t="s">
        <v>13766</v>
      </c>
      <c r="J6679" s="34" t="s">
        <v>33</v>
      </c>
      <c r="K6679" s="42">
        <v>600000</v>
      </c>
      <c r="L6679" s="12">
        <f t="shared" si="568"/>
        <v>1000000</v>
      </c>
      <c r="M6679" s="8">
        <v>1</v>
      </c>
      <c r="N6679" s="8" t="s">
        <v>27</v>
      </c>
      <c r="O6679" s="13"/>
      <c r="P6679" s="14">
        <v>0</v>
      </c>
      <c r="Q6679" s="15">
        <v>0.4</v>
      </c>
      <c r="R6679" s="40" t="str">
        <f t="shared" si="566"/>
        <v>EPSON</v>
      </c>
    </row>
    <row r="6680" spans="1:20" customFormat="1" ht="27" customHeight="1" x14ac:dyDescent="0.25">
      <c r="A6680" s="32" t="s">
        <v>8836</v>
      </c>
      <c r="H6680" s="32" t="s">
        <v>13767</v>
      </c>
      <c r="I6680" s="33" t="s">
        <v>13768</v>
      </c>
      <c r="J6680" s="34" t="s">
        <v>33</v>
      </c>
      <c r="K6680" s="42">
        <v>41172</v>
      </c>
      <c r="L6680" s="12">
        <f t="shared" si="568"/>
        <v>68620</v>
      </c>
      <c r="M6680" s="8">
        <v>1</v>
      </c>
      <c r="N6680" s="8" t="s">
        <v>27</v>
      </c>
      <c r="O6680" s="13"/>
      <c r="P6680" s="14">
        <v>0</v>
      </c>
      <c r="Q6680" s="15">
        <v>0.4</v>
      </c>
      <c r="R6680" s="40" t="str">
        <f t="shared" si="566"/>
        <v>TECNOLITE</v>
      </c>
    </row>
    <row r="6681" spans="1:20" customFormat="1" ht="27" customHeight="1" x14ac:dyDescent="0.25">
      <c r="A6681" s="32" t="s">
        <v>3977</v>
      </c>
      <c r="H6681" s="32" t="s">
        <v>13769</v>
      </c>
      <c r="I6681" s="33" t="s">
        <v>13770</v>
      </c>
      <c r="J6681" s="34" t="s">
        <v>33</v>
      </c>
      <c r="K6681" s="42">
        <v>7000</v>
      </c>
      <c r="L6681" s="12">
        <f t="shared" si="568"/>
        <v>11666.666666666668</v>
      </c>
      <c r="M6681" s="8">
        <v>1</v>
      </c>
      <c r="N6681" s="8" t="s">
        <v>27</v>
      </c>
      <c r="O6681" s="13"/>
      <c r="P6681" s="14">
        <v>0</v>
      </c>
      <c r="Q6681" s="15">
        <v>0.4</v>
      </c>
      <c r="R6681" s="40" t="str">
        <f t="shared" si="566"/>
        <v>KOMODO</v>
      </c>
    </row>
    <row r="6682" spans="1:20" customFormat="1" ht="27" customHeight="1" x14ac:dyDescent="0.25">
      <c r="A6682" s="23" t="s">
        <v>7977</v>
      </c>
      <c r="B6682" s="24"/>
      <c r="C6682" s="24"/>
      <c r="D6682" s="24"/>
      <c r="E6682" s="24"/>
      <c r="F6682" s="24"/>
      <c r="G6682" s="24"/>
      <c r="H6682" s="32" t="s">
        <v>13771</v>
      </c>
      <c r="I6682" s="10" t="s">
        <v>13772</v>
      </c>
      <c r="J6682" s="11" t="s">
        <v>26</v>
      </c>
      <c r="K6682" s="42">
        <f>368.24*1.8</f>
        <v>662.83199999999999</v>
      </c>
      <c r="L6682" s="12">
        <f>IF(J6682="P",ROUNDUP(K6682/(1-Q6682),-2),K6682*(1+P6682)/(1-Q6682))</f>
        <v>1325.664</v>
      </c>
      <c r="M6682" s="8">
        <v>1</v>
      </c>
      <c r="N6682" s="8" t="s">
        <v>27</v>
      </c>
      <c r="O6682" s="13"/>
      <c r="P6682" s="14">
        <v>0.2</v>
      </c>
      <c r="Q6682" s="15">
        <v>0.4</v>
      </c>
      <c r="R6682" s="16" t="str">
        <f t="shared" si="566"/>
        <v>ROSSLARE</v>
      </c>
    </row>
    <row r="6683" spans="1:20" customFormat="1" ht="27" customHeight="1" x14ac:dyDescent="0.25">
      <c r="A6683" s="32" t="s">
        <v>5672</v>
      </c>
      <c r="H6683" s="32" t="s">
        <v>6447</v>
      </c>
      <c r="I6683" s="33" t="s">
        <v>13773</v>
      </c>
      <c r="J6683" s="34" t="s">
        <v>26</v>
      </c>
      <c r="K6683" s="42">
        <v>151.19999999999999</v>
      </c>
      <c r="L6683" s="12">
        <f>IF(J6683="P",ROUNDUP(K6683/(1-Q6683),-2),K6683*(1+P6683)/(1-Q6683))</f>
        <v>251.99999999999997</v>
      </c>
      <c r="M6683" s="8">
        <v>1</v>
      </c>
      <c r="N6683" s="8" t="s">
        <v>27</v>
      </c>
      <c r="O6683" s="13"/>
      <c r="P6683" s="14">
        <v>0.2</v>
      </c>
      <c r="Q6683" s="15">
        <v>0.28000000000000003</v>
      </c>
      <c r="R6683" s="16" t="str">
        <f t="shared" si="566"/>
        <v>LUTRON</v>
      </c>
    </row>
    <row r="6684" spans="1:20" customFormat="1" ht="27" customHeight="1" x14ac:dyDescent="0.25">
      <c r="A6684" s="32" t="s">
        <v>8836</v>
      </c>
      <c r="H6684" s="32" t="s">
        <v>13774</v>
      </c>
      <c r="I6684" s="33" t="s">
        <v>13775</v>
      </c>
      <c r="J6684" s="34" t="s">
        <v>33</v>
      </c>
      <c r="K6684" s="42">
        <f>205820*0.9</f>
        <v>185238</v>
      </c>
      <c r="L6684" s="12">
        <f>IF(J6684="P",ROUNDUP(K6684/(1-Q6684),-2),K6684*(1+P6684)/(1-Q6684))</f>
        <v>264700</v>
      </c>
      <c r="M6684" s="8">
        <v>1</v>
      </c>
      <c r="N6684" s="8" t="s">
        <v>27</v>
      </c>
      <c r="O6684" s="13"/>
      <c r="P6684" s="14">
        <v>0</v>
      </c>
      <c r="Q6684" s="15">
        <v>0.3</v>
      </c>
      <c r="R6684" s="16" t="str">
        <f t="shared" si="566"/>
        <v>TECNOLITE</v>
      </c>
    </row>
    <row r="6685" spans="1:20" customFormat="1" ht="27" customHeight="1" x14ac:dyDescent="0.25">
      <c r="A6685" s="8" t="s">
        <v>10308</v>
      </c>
      <c r="B6685" s="9"/>
      <c r="C6685" s="9"/>
      <c r="D6685" s="8"/>
      <c r="E6685" s="8"/>
      <c r="F6685" s="8"/>
      <c r="G6685" s="10"/>
      <c r="H6685" s="8" t="s">
        <v>13776</v>
      </c>
      <c r="I6685" s="10" t="s">
        <v>13777</v>
      </c>
      <c r="J6685" s="11" t="s">
        <v>33</v>
      </c>
      <c r="K6685" s="18">
        <v>129000</v>
      </c>
      <c r="L6685" s="12">
        <f>IF(J6685="P",ROUNDUP(K6685/(1-Q6685),-2),K6685*(1+P6685)/(1-Q6685))</f>
        <v>184300</v>
      </c>
      <c r="M6685" s="8">
        <v>1</v>
      </c>
      <c r="N6685" s="8" t="s">
        <v>27</v>
      </c>
      <c r="O6685" s="13"/>
      <c r="P6685" s="14">
        <v>0</v>
      </c>
      <c r="Q6685" s="15">
        <v>0.3</v>
      </c>
      <c r="R6685" s="16" t="str">
        <f t="shared" si="566"/>
        <v>ROKU</v>
      </c>
      <c r="S6685" s="17"/>
      <c r="T6685" s="10"/>
    </row>
    <row r="6686" spans="1:20" customFormat="1" ht="27" customHeight="1" x14ac:dyDescent="0.25">
      <c r="A6686" s="32" t="s">
        <v>7870</v>
      </c>
      <c r="H6686" s="32" t="s">
        <v>13778</v>
      </c>
      <c r="I6686" s="33" t="s">
        <v>13779</v>
      </c>
      <c r="J6686" s="34" t="s">
        <v>33</v>
      </c>
      <c r="K6686" s="42">
        <v>1175000</v>
      </c>
      <c r="L6686" s="12">
        <f>IF(J6686="P",ROUNDUP(K6686/(1-Q6686),-2),K6686*(1+P6686)/(1-Q6686))</f>
        <v>1678600</v>
      </c>
      <c r="M6686" s="8">
        <v>1</v>
      </c>
      <c r="N6686" s="8" t="s">
        <v>27</v>
      </c>
      <c r="O6686" s="13"/>
      <c r="P6686" s="14">
        <v>0</v>
      </c>
      <c r="Q6686" s="15">
        <v>0.3</v>
      </c>
      <c r="R6686" s="16" t="str">
        <f t="shared" si="566"/>
        <v>QUEST</v>
      </c>
    </row>
    <row r="6687" spans="1:20" customFormat="1" ht="27" customHeight="1" x14ac:dyDescent="0.25">
      <c r="A6687" s="44" t="s">
        <v>11685</v>
      </c>
      <c r="H6687" s="32" t="s">
        <v>13780</v>
      </c>
      <c r="I6687" s="33" t="s">
        <v>13781</v>
      </c>
      <c r="J6687" s="34" t="s">
        <v>26</v>
      </c>
      <c r="K6687" s="42">
        <v>170</v>
      </c>
      <c r="L6687" s="12">
        <f>K6687*(1+P6687)/(1-Q6687)</f>
        <v>242.85714285714286</v>
      </c>
      <c r="M6687" s="8">
        <v>1</v>
      </c>
      <c r="N6687" s="8" t="s">
        <v>27</v>
      </c>
      <c r="O6687" s="13"/>
      <c r="P6687" s="14">
        <v>0</v>
      </c>
      <c r="Q6687" s="15">
        <v>0.3</v>
      </c>
      <c r="R6687" s="40" t="str">
        <f t="shared" si="566"/>
        <v>RUIJIE</v>
      </c>
    </row>
    <row r="6688" spans="1:20" customFormat="1" ht="27" customHeight="1" x14ac:dyDescent="0.25">
      <c r="A6688" s="32" t="s">
        <v>11934</v>
      </c>
      <c r="H6688" s="32" t="s">
        <v>13782</v>
      </c>
      <c r="I6688" s="33" t="s">
        <v>13783</v>
      </c>
      <c r="J6688" s="34" t="s">
        <v>33</v>
      </c>
      <c r="K6688" s="42">
        <v>119000</v>
      </c>
      <c r="L6688" s="12">
        <f>K6688*(1+P6688)/(1-Q6688)</f>
        <v>198333.33333333334</v>
      </c>
      <c r="M6688" s="8">
        <v>1</v>
      </c>
      <c r="N6688" s="8" t="s">
        <v>27</v>
      </c>
      <c r="O6688" s="13"/>
      <c r="P6688" s="14">
        <v>0</v>
      </c>
      <c r="Q6688" s="15">
        <v>0.4</v>
      </c>
      <c r="R6688" s="40" t="str">
        <f t="shared" si="566"/>
        <v>ALCATEL</v>
      </c>
    </row>
    <row r="6689" spans="1:19" customFormat="1" ht="27" customHeight="1" x14ac:dyDescent="0.25">
      <c r="A6689" s="32" t="s">
        <v>38</v>
      </c>
      <c r="H6689" s="32" t="s">
        <v>13784</v>
      </c>
      <c r="I6689" s="33" t="s">
        <v>13785</v>
      </c>
      <c r="J6689" s="34" t="s">
        <v>26</v>
      </c>
      <c r="K6689" s="42">
        <v>247</v>
      </c>
      <c r="L6689" s="12">
        <f>K6689*(1+P6689)/(1-Q6689)</f>
        <v>352.85714285714289</v>
      </c>
      <c r="M6689" s="8">
        <v>1</v>
      </c>
      <c r="N6689" s="8" t="s">
        <v>27</v>
      </c>
      <c r="P6689" s="14">
        <v>0</v>
      </c>
      <c r="Q6689" s="15">
        <v>0.3</v>
      </c>
      <c r="R6689" s="40" t="str">
        <f t="shared" si="566"/>
        <v>CONTROL4</v>
      </c>
    </row>
    <row r="6690" spans="1:19" customFormat="1" ht="27" customHeight="1" x14ac:dyDescent="0.25">
      <c r="A6690" s="32" t="s">
        <v>13021</v>
      </c>
      <c r="H6690" s="32" t="s">
        <v>13786</v>
      </c>
      <c r="I6690" s="33" t="s">
        <v>13787</v>
      </c>
      <c r="J6690" s="34" t="s">
        <v>26</v>
      </c>
      <c r="K6690" s="42">
        <v>218</v>
      </c>
      <c r="L6690" s="12">
        <f>K6690*(1+P6690)/(1-Q6690)</f>
        <v>373.71428571428567</v>
      </c>
      <c r="M6690" s="8">
        <v>1</v>
      </c>
      <c r="N6690" s="8" t="s">
        <v>27</v>
      </c>
      <c r="P6690" s="14">
        <v>0.2</v>
      </c>
      <c r="Q6690" s="15">
        <v>0.3</v>
      </c>
      <c r="R6690" s="40" t="str">
        <f t="shared" si="566"/>
        <v>IADEA</v>
      </c>
    </row>
    <row r="6691" spans="1:19" customFormat="1" ht="27" customHeight="1" x14ac:dyDescent="0.25">
      <c r="A6691" s="43" t="s">
        <v>7989</v>
      </c>
      <c r="B6691" s="19"/>
      <c r="C6691" s="19"/>
      <c r="D6691" s="19"/>
      <c r="E6691" s="19"/>
      <c r="F6691" s="19"/>
      <c r="G6691" s="19"/>
      <c r="H6691" s="19" t="s">
        <v>13788</v>
      </c>
      <c r="I6691" s="19" t="s">
        <v>13789</v>
      </c>
      <c r="J6691" s="34" t="s">
        <v>26</v>
      </c>
      <c r="K6691" s="42">
        <v>1091</v>
      </c>
      <c r="L6691" s="12">
        <f>K6691*(1+P6691)/(1-Q6691)</f>
        <v>1818.3333333333335</v>
      </c>
      <c r="M6691" s="8">
        <v>1</v>
      </c>
      <c r="N6691" s="8" t="s">
        <v>27</v>
      </c>
      <c r="P6691" s="14">
        <v>0</v>
      </c>
      <c r="Q6691" s="15">
        <v>0.4</v>
      </c>
      <c r="R6691" s="40" t="str">
        <f t="shared" si="566"/>
        <v>RUSSOUND</v>
      </c>
    </row>
    <row r="6692" spans="1:19" customFormat="1" ht="27" customHeight="1" x14ac:dyDescent="0.25">
      <c r="A6692" s="32" t="s">
        <v>7977</v>
      </c>
      <c r="H6692" s="32" t="s">
        <v>13503</v>
      </c>
      <c r="I6692" s="33" t="s">
        <v>13790</v>
      </c>
      <c r="J6692" s="34" t="s">
        <v>33</v>
      </c>
      <c r="K6692" s="42">
        <v>1568000</v>
      </c>
      <c r="L6692" s="12">
        <f t="shared" ref="L6692:L6703" si="569">IF(J6692="P",ROUNDUP(K6692/(1-Q6692),-2),K6692*(1+P6692)/(1-Q6692))</f>
        <v>2240000</v>
      </c>
      <c r="M6692" s="8">
        <v>1</v>
      </c>
      <c r="N6692" s="8" t="s">
        <v>27</v>
      </c>
      <c r="O6692" s="13"/>
      <c r="P6692" s="14">
        <v>0</v>
      </c>
      <c r="Q6692" s="15">
        <v>0.3</v>
      </c>
      <c r="R6692" s="16" t="str">
        <f t="shared" si="566"/>
        <v>ROSSLARE</v>
      </c>
    </row>
    <row r="6693" spans="1:19" customFormat="1" ht="27" customHeight="1" x14ac:dyDescent="0.25">
      <c r="A6693" s="32" t="s">
        <v>7761</v>
      </c>
      <c r="H6693" s="32" t="s">
        <v>13791</v>
      </c>
      <c r="I6693" s="33" t="s">
        <v>13792</v>
      </c>
      <c r="J6693" s="34" t="s">
        <v>33</v>
      </c>
      <c r="K6693" s="42">
        <v>180000</v>
      </c>
      <c r="L6693" s="12">
        <f t="shared" si="569"/>
        <v>300000</v>
      </c>
      <c r="M6693" s="8">
        <v>1</v>
      </c>
      <c r="N6693" s="8" t="s">
        <v>27</v>
      </c>
      <c r="O6693" s="13"/>
      <c r="P6693" s="14">
        <v>0</v>
      </c>
      <c r="Q6693" s="15">
        <v>0.4</v>
      </c>
      <c r="R6693" s="16" t="str">
        <f t="shared" si="566"/>
        <v>POWEST</v>
      </c>
    </row>
    <row r="6694" spans="1:19" customFormat="1" ht="27" customHeight="1" x14ac:dyDescent="0.25">
      <c r="A6694" s="32" t="s">
        <v>2512</v>
      </c>
      <c r="H6694" s="32" t="s">
        <v>13793</v>
      </c>
      <c r="I6694" s="33" t="s">
        <v>13794</v>
      </c>
      <c r="J6694" s="34" t="s">
        <v>33</v>
      </c>
      <c r="K6694" s="42">
        <v>7143</v>
      </c>
      <c r="L6694" s="12">
        <f t="shared" si="569"/>
        <v>12000</v>
      </c>
      <c r="M6694" s="8">
        <v>1</v>
      </c>
      <c r="N6694" s="8" t="s">
        <v>27</v>
      </c>
      <c r="O6694" s="13"/>
      <c r="P6694" s="14">
        <v>0</v>
      </c>
      <c r="Q6694" s="15">
        <v>0.4</v>
      </c>
      <c r="R6694" s="16" t="str">
        <f t="shared" si="566"/>
        <v>GENERAL</v>
      </c>
    </row>
    <row r="6695" spans="1:19" customFormat="1" ht="27" customHeight="1" x14ac:dyDescent="0.25">
      <c r="A6695" s="32" t="s">
        <v>11685</v>
      </c>
      <c r="H6695" s="32" t="s">
        <v>13795</v>
      </c>
      <c r="I6695" s="33" t="s">
        <v>13796</v>
      </c>
      <c r="J6695" s="34" t="s">
        <v>33</v>
      </c>
      <c r="K6695" s="42">
        <v>249500</v>
      </c>
      <c r="L6695" s="12">
        <f t="shared" si="569"/>
        <v>415900</v>
      </c>
      <c r="M6695" s="8">
        <v>1</v>
      </c>
      <c r="N6695" s="8" t="s">
        <v>27</v>
      </c>
      <c r="O6695" s="13"/>
      <c r="P6695" s="14">
        <v>0</v>
      </c>
      <c r="Q6695" s="15">
        <v>0.4</v>
      </c>
      <c r="R6695" s="16" t="str">
        <f t="shared" si="566"/>
        <v>RUIJIE</v>
      </c>
    </row>
    <row r="6696" spans="1:19" customFormat="1" ht="27" customHeight="1" x14ac:dyDescent="0.25">
      <c r="A6696" s="32" t="s">
        <v>1561</v>
      </c>
      <c r="H6696" s="32" t="s">
        <v>13797</v>
      </c>
      <c r="I6696" s="38" t="s">
        <v>13798</v>
      </c>
      <c r="J6696" s="34" t="s">
        <v>33</v>
      </c>
      <c r="K6696" s="42">
        <f>242783</f>
        <v>242783</v>
      </c>
      <c r="L6696" s="12">
        <f t="shared" si="569"/>
        <v>346900</v>
      </c>
      <c r="M6696" s="8">
        <v>1</v>
      </c>
      <c r="N6696" s="8" t="s">
        <v>27</v>
      </c>
      <c r="O6696" s="13"/>
      <c r="P6696" s="14">
        <v>0</v>
      </c>
      <c r="Q6696" s="15">
        <v>0.3</v>
      </c>
      <c r="R6696" s="16" t="str">
        <f t="shared" si="566"/>
        <v>DAHUA</v>
      </c>
    </row>
    <row r="6697" spans="1:19" customFormat="1" ht="27" customHeight="1" x14ac:dyDescent="0.25">
      <c r="A6697" s="32" t="s">
        <v>13799</v>
      </c>
      <c r="H6697" s="32" t="s">
        <v>13800</v>
      </c>
      <c r="I6697" s="33" t="s">
        <v>13801</v>
      </c>
      <c r="J6697" s="34" t="s">
        <v>33</v>
      </c>
      <c r="K6697" s="42">
        <v>307196</v>
      </c>
      <c r="L6697" s="12">
        <f t="shared" si="569"/>
        <v>512000</v>
      </c>
      <c r="M6697" s="8">
        <v>1</v>
      </c>
      <c r="N6697" s="8" t="s">
        <v>27</v>
      </c>
      <c r="O6697" s="13"/>
      <c r="P6697" s="14">
        <v>0</v>
      </c>
      <c r="Q6697" s="15">
        <v>0.4</v>
      </c>
      <c r="R6697" s="16" t="str">
        <f t="shared" si="566"/>
        <v>LPS</v>
      </c>
    </row>
    <row r="6698" spans="1:19" customFormat="1" ht="27" customHeight="1" x14ac:dyDescent="0.25">
      <c r="A6698" s="32" t="s">
        <v>764</v>
      </c>
      <c r="H6698" s="32" t="s">
        <v>13802</v>
      </c>
      <c r="I6698" s="33" t="s">
        <v>13803</v>
      </c>
      <c r="J6698" s="34" t="s">
        <v>26</v>
      </c>
      <c r="K6698" s="42">
        <v>149</v>
      </c>
      <c r="L6698" s="12">
        <f t="shared" si="569"/>
        <v>212.85714285714286</v>
      </c>
      <c r="M6698" s="8">
        <v>1</v>
      </c>
      <c r="N6698" s="8" t="s">
        <v>27</v>
      </c>
      <c r="O6698" s="13"/>
      <c r="P6698" s="14">
        <v>0</v>
      </c>
      <c r="Q6698" s="15">
        <v>0.3</v>
      </c>
      <c r="R6698" s="16" t="str">
        <f t="shared" si="566"/>
        <v>BEHRINGER</v>
      </c>
      <c r="S6698" t="s">
        <v>13804</v>
      </c>
    </row>
    <row r="6699" spans="1:19" customFormat="1" ht="27" customHeight="1" x14ac:dyDescent="0.25">
      <c r="A6699" s="32" t="s">
        <v>13805</v>
      </c>
      <c r="H6699" s="32" t="s">
        <v>13806</v>
      </c>
      <c r="I6699" s="33" t="s">
        <v>13807</v>
      </c>
      <c r="J6699" s="34" t="s">
        <v>26</v>
      </c>
      <c r="K6699" s="42">
        <v>37</v>
      </c>
      <c r="L6699" s="12">
        <f t="shared" si="569"/>
        <v>63.428571428571431</v>
      </c>
      <c r="M6699" s="8">
        <v>1</v>
      </c>
      <c r="N6699" s="8" t="s">
        <v>27</v>
      </c>
      <c r="O6699" s="13"/>
      <c r="P6699" s="14">
        <v>0.2</v>
      </c>
      <c r="Q6699" s="15">
        <v>0.3</v>
      </c>
      <c r="R6699" s="16" t="str">
        <f t="shared" si="566"/>
        <v>IARK</v>
      </c>
      <c r="S6699">
        <v>4</v>
      </c>
    </row>
    <row r="6700" spans="1:19" customFormat="1" ht="27" customHeight="1" x14ac:dyDescent="0.25">
      <c r="A6700" s="32" t="s">
        <v>2512</v>
      </c>
      <c r="H6700" s="32" t="s">
        <v>13808</v>
      </c>
      <c r="I6700" s="33" t="s">
        <v>13809</v>
      </c>
      <c r="J6700" s="34" t="s">
        <v>33</v>
      </c>
      <c r="K6700" s="42">
        <v>125000</v>
      </c>
      <c r="L6700" s="12">
        <f t="shared" si="569"/>
        <v>178600</v>
      </c>
      <c r="M6700" s="8">
        <v>1</v>
      </c>
      <c r="N6700" s="8" t="s">
        <v>27</v>
      </c>
      <c r="O6700" s="13"/>
      <c r="P6700" s="14">
        <v>0</v>
      </c>
      <c r="Q6700" s="15">
        <v>0.3</v>
      </c>
      <c r="R6700" s="16" t="str">
        <f t="shared" si="566"/>
        <v>GENERAL</v>
      </c>
    </row>
    <row r="6701" spans="1:19" customFormat="1" ht="27" customHeight="1" x14ac:dyDescent="0.25">
      <c r="A6701" s="32" t="s">
        <v>13535</v>
      </c>
      <c r="H6701" s="32" t="s">
        <v>13810</v>
      </c>
      <c r="I6701" s="33" t="s">
        <v>13811</v>
      </c>
      <c r="J6701" s="34" t="s">
        <v>33</v>
      </c>
      <c r="K6701" s="42">
        <f>8230470/2</f>
        <v>4115235</v>
      </c>
      <c r="L6701" s="12">
        <f t="shared" si="569"/>
        <v>5879000</v>
      </c>
      <c r="M6701" s="8">
        <v>1</v>
      </c>
      <c r="N6701" s="8" t="s">
        <v>27</v>
      </c>
      <c r="O6701" s="13"/>
      <c r="P6701" s="14">
        <v>0</v>
      </c>
      <c r="Q6701" s="15">
        <v>0.3</v>
      </c>
      <c r="R6701" s="16" t="str">
        <f t="shared" si="566"/>
        <v>ABLOY</v>
      </c>
    </row>
    <row r="6702" spans="1:19" customFormat="1" ht="27" customHeight="1" x14ac:dyDescent="0.25">
      <c r="A6702" s="32" t="s">
        <v>13535</v>
      </c>
      <c r="H6702" s="32" t="s">
        <v>13812</v>
      </c>
      <c r="I6702" s="33" t="s">
        <v>13813</v>
      </c>
      <c r="J6702" s="34" t="s">
        <v>33</v>
      </c>
      <c r="K6702" s="42">
        <f>77*4400</f>
        <v>338800</v>
      </c>
      <c r="L6702" s="12">
        <f t="shared" si="569"/>
        <v>484000</v>
      </c>
      <c r="M6702" s="8">
        <v>2</v>
      </c>
      <c r="N6702" s="8" t="s">
        <v>27</v>
      </c>
      <c r="O6702" s="13"/>
      <c r="P6702" s="14">
        <v>0</v>
      </c>
      <c r="Q6702" s="15">
        <v>0.3</v>
      </c>
      <c r="R6702" s="16" t="str">
        <f t="shared" si="566"/>
        <v>ABLOY</v>
      </c>
    </row>
    <row r="6703" spans="1:19" customFormat="1" ht="27" customHeight="1" x14ac:dyDescent="0.25">
      <c r="A6703" s="32" t="s">
        <v>13535</v>
      </c>
      <c r="H6703" s="32" t="s">
        <v>13814</v>
      </c>
      <c r="I6703" s="33" t="s">
        <v>13815</v>
      </c>
      <c r="J6703" s="34" t="s">
        <v>33</v>
      </c>
      <c r="K6703" s="42">
        <f>258*4400</f>
        <v>1135200</v>
      </c>
      <c r="L6703" s="12">
        <f t="shared" si="569"/>
        <v>1621800</v>
      </c>
      <c r="M6703" s="8">
        <v>3</v>
      </c>
      <c r="N6703" s="8" t="s">
        <v>27</v>
      </c>
      <c r="O6703" s="13"/>
      <c r="P6703" s="14">
        <v>0</v>
      </c>
      <c r="Q6703" s="15">
        <v>0.3</v>
      </c>
      <c r="R6703" s="16" t="str">
        <f t="shared" si="566"/>
        <v>ABLOY</v>
      </c>
    </row>
    <row r="6704" spans="1:19" customFormat="1" ht="27" customHeight="1" x14ac:dyDescent="0.25">
      <c r="A6704" s="32" t="s">
        <v>1561</v>
      </c>
      <c r="H6704" t="s">
        <v>13816</v>
      </c>
      <c r="I6704" s="33" t="s">
        <v>13817</v>
      </c>
      <c r="J6704" s="34" t="s">
        <v>33</v>
      </c>
      <c r="K6704" s="42">
        <v>747000</v>
      </c>
      <c r="L6704" s="12">
        <f>(K6704*(1+P6704)/(1-Q6704))</f>
        <v>1067142.8571428573</v>
      </c>
      <c r="M6704" s="8">
        <v>1</v>
      </c>
      <c r="N6704" s="8" t="s">
        <v>27</v>
      </c>
      <c r="O6704" s="13"/>
      <c r="P6704" s="14">
        <v>0</v>
      </c>
      <c r="Q6704" s="15">
        <v>0.3</v>
      </c>
      <c r="R6704" s="64" t="str">
        <f t="shared" si="566"/>
        <v>DAHUA</v>
      </c>
    </row>
    <row r="6705" spans="1:28" customFormat="1" ht="27" customHeight="1" x14ac:dyDescent="0.25">
      <c r="A6705" s="32" t="s">
        <v>7870</v>
      </c>
      <c r="H6705" s="32" t="s">
        <v>13818</v>
      </c>
      <c r="I6705" s="33" t="s">
        <v>13819</v>
      </c>
      <c r="J6705" s="34" t="s">
        <v>33</v>
      </c>
      <c r="K6705" s="42">
        <v>926000</v>
      </c>
      <c r="L6705" s="12">
        <f t="shared" ref="L6705:L6710" si="570">K6705*(1+P6705)/(1-Q6705)</f>
        <v>1322857.142857143</v>
      </c>
      <c r="M6705" s="8">
        <v>1</v>
      </c>
      <c r="N6705" s="8" t="s">
        <v>27</v>
      </c>
      <c r="O6705" s="13"/>
      <c r="P6705" s="14">
        <v>0</v>
      </c>
      <c r="Q6705" s="15">
        <v>0.3</v>
      </c>
      <c r="R6705" s="64" t="str">
        <f t="shared" si="566"/>
        <v>QUEST</v>
      </c>
      <c r="AB6705" s="112"/>
    </row>
    <row r="6706" spans="1:28" customFormat="1" ht="27" customHeight="1" x14ac:dyDescent="0.25">
      <c r="A6706" s="32" t="s">
        <v>2512</v>
      </c>
      <c r="H6706" s="32" t="s">
        <v>13820</v>
      </c>
      <c r="I6706" s="33" t="s">
        <v>13821</v>
      </c>
      <c r="J6706" s="34" t="s">
        <v>33</v>
      </c>
      <c r="K6706" s="42">
        <v>33000</v>
      </c>
      <c r="L6706" s="12">
        <f t="shared" si="570"/>
        <v>47142.857142857145</v>
      </c>
      <c r="M6706" s="8">
        <v>1</v>
      </c>
      <c r="N6706" s="8" t="s">
        <v>27</v>
      </c>
      <c r="O6706" s="13"/>
      <c r="P6706" s="14">
        <v>0</v>
      </c>
      <c r="Q6706" s="15">
        <v>0.3</v>
      </c>
      <c r="R6706" s="64" t="str">
        <f t="shared" si="566"/>
        <v>GENERAL</v>
      </c>
      <c r="AB6706" s="112"/>
    </row>
    <row r="6707" spans="1:28" customFormat="1" ht="27" customHeight="1" x14ac:dyDescent="0.25">
      <c r="A6707" s="32" t="s">
        <v>2512</v>
      </c>
      <c r="H6707" s="32" t="s">
        <v>13822</v>
      </c>
      <c r="I6707" s="33" t="s">
        <v>13823</v>
      </c>
      <c r="J6707" s="34" t="s">
        <v>33</v>
      </c>
      <c r="K6707" s="42">
        <v>26000</v>
      </c>
      <c r="L6707" s="12">
        <f t="shared" si="570"/>
        <v>37142.857142857145</v>
      </c>
      <c r="M6707" s="8">
        <v>1</v>
      </c>
      <c r="N6707" s="8" t="s">
        <v>27</v>
      </c>
      <c r="O6707" s="13"/>
      <c r="P6707" s="14">
        <v>0</v>
      </c>
      <c r="Q6707" s="15">
        <v>0.3</v>
      </c>
      <c r="R6707" s="64" t="str">
        <f t="shared" si="566"/>
        <v>GENERAL</v>
      </c>
      <c r="AB6707" s="112"/>
    </row>
    <row r="6708" spans="1:28" customFormat="1" ht="27" customHeight="1" x14ac:dyDescent="0.25">
      <c r="A6708" s="32" t="s">
        <v>2512</v>
      </c>
      <c r="H6708" s="32" t="s">
        <v>13824</v>
      </c>
      <c r="I6708" s="33" t="s">
        <v>13825</v>
      </c>
      <c r="J6708" s="34" t="s">
        <v>33</v>
      </c>
      <c r="K6708" s="42">
        <v>15000</v>
      </c>
      <c r="L6708" s="12">
        <f t="shared" si="570"/>
        <v>21428.571428571431</v>
      </c>
      <c r="M6708" s="8">
        <v>1</v>
      </c>
      <c r="N6708" s="8" t="s">
        <v>27</v>
      </c>
      <c r="O6708" s="13"/>
      <c r="P6708" s="14">
        <v>0</v>
      </c>
      <c r="Q6708" s="15">
        <v>0.3</v>
      </c>
      <c r="R6708" s="64" t="str">
        <f t="shared" si="566"/>
        <v>GENERAL</v>
      </c>
      <c r="AB6708" s="112"/>
    </row>
    <row r="6709" spans="1:28" customFormat="1" ht="27" customHeight="1" x14ac:dyDescent="0.25">
      <c r="A6709" s="32" t="s">
        <v>11685</v>
      </c>
      <c r="H6709" s="32" t="s">
        <v>13826</v>
      </c>
      <c r="I6709" s="38" t="s">
        <v>13827</v>
      </c>
      <c r="J6709" s="34" t="s">
        <v>33</v>
      </c>
      <c r="K6709" s="42">
        <v>739000</v>
      </c>
      <c r="L6709" s="12">
        <f t="shared" si="570"/>
        <v>1055714.2857142857</v>
      </c>
      <c r="M6709" s="8">
        <v>1</v>
      </c>
      <c r="N6709" s="8" t="s">
        <v>27</v>
      </c>
      <c r="O6709" s="13"/>
      <c r="P6709" s="14">
        <v>0</v>
      </c>
      <c r="Q6709" s="15">
        <v>0.3</v>
      </c>
      <c r="R6709" s="64" t="str">
        <f t="shared" si="566"/>
        <v>RUIJIE</v>
      </c>
      <c r="AB6709" s="112"/>
    </row>
    <row r="6710" spans="1:28" customFormat="1" ht="27" customHeight="1" x14ac:dyDescent="0.25">
      <c r="A6710" s="32" t="s">
        <v>10249</v>
      </c>
      <c r="H6710" s="32" t="s">
        <v>13828</v>
      </c>
      <c r="I6710" s="33" t="s">
        <v>13829</v>
      </c>
      <c r="J6710" s="34" t="s">
        <v>26</v>
      </c>
      <c r="K6710" s="42">
        <v>15</v>
      </c>
      <c r="L6710" s="12">
        <f t="shared" si="570"/>
        <v>32.5</v>
      </c>
      <c r="M6710" s="8">
        <v>1</v>
      </c>
      <c r="N6710" s="8" t="s">
        <v>27</v>
      </c>
      <c r="O6710" s="13"/>
      <c r="P6710" s="14">
        <v>0.3</v>
      </c>
      <c r="Q6710" s="15">
        <v>0.4</v>
      </c>
      <c r="R6710" s="64" t="str">
        <f t="shared" si="566"/>
        <v>SKYDANCE</v>
      </c>
      <c r="AB6710" s="112"/>
    </row>
    <row r="6711" spans="1:28" customFormat="1" ht="27" customHeight="1" x14ac:dyDescent="0.25">
      <c r="A6711" s="8" t="s">
        <v>6886</v>
      </c>
      <c r="B6711" s="9"/>
      <c r="C6711" s="9"/>
      <c r="D6711" s="8"/>
      <c r="E6711" s="8"/>
      <c r="F6711" s="8"/>
      <c r="G6711" s="10"/>
      <c r="H6711" s="8" t="s">
        <v>13830</v>
      </c>
      <c r="I6711" s="10" t="s">
        <v>13831</v>
      </c>
      <c r="J6711" s="11" t="s">
        <v>33</v>
      </c>
      <c r="K6711" s="18">
        <f>116000/1.19</f>
        <v>97478.991596638662</v>
      </c>
      <c r="L6711" s="12">
        <f>IF(J6711="P",ROUNDUP(K6711/(1-Q6711),-2),K6711*(1+P6711)/(1-Q6711))</f>
        <v>162500</v>
      </c>
      <c r="M6711" s="8">
        <v>1</v>
      </c>
      <c r="N6711" s="8" t="s">
        <v>27</v>
      </c>
      <c r="O6711" s="13">
        <f>F6711</f>
        <v>0</v>
      </c>
      <c r="P6711" s="14">
        <v>0</v>
      </c>
      <c r="Q6711" s="15">
        <v>0.4</v>
      </c>
      <c r="R6711" s="16" t="str">
        <f t="shared" si="566"/>
        <v>MEANWELL</v>
      </c>
      <c r="S6711" s="17"/>
      <c r="T6711" s="10"/>
      <c r="U6711">
        <f>36872*0.2</f>
        <v>7374.4000000000005</v>
      </c>
      <c r="AB6711" s="112"/>
    </row>
    <row r="6712" spans="1:28" customFormat="1" ht="27" customHeight="1" x14ac:dyDescent="0.25">
      <c r="A6712" t="s">
        <v>5672</v>
      </c>
      <c r="H6712" s="104" t="s">
        <v>12015</v>
      </c>
      <c r="I6712" t="s">
        <v>13832</v>
      </c>
      <c r="J6712" t="s">
        <v>26</v>
      </c>
      <c r="K6712" s="42">
        <v>22.5</v>
      </c>
      <c r="L6712" s="12">
        <f t="shared" ref="L6712:L6741" si="571">K6712*(1+P6712)/(1-Q6712)</f>
        <v>44.99999908427904</v>
      </c>
      <c r="M6712" s="8">
        <v>1</v>
      </c>
      <c r="N6712" s="8" t="s">
        <v>27</v>
      </c>
      <c r="O6712" s="13"/>
      <c r="P6712" s="14">
        <v>0.2</v>
      </c>
      <c r="Q6712" s="15">
        <v>0.39999998779038692</v>
      </c>
      <c r="R6712" s="16" t="str">
        <f t="shared" si="566"/>
        <v>LUTRON</v>
      </c>
      <c r="AB6712" s="112"/>
    </row>
    <row r="6713" spans="1:28" customFormat="1" ht="27" customHeight="1" x14ac:dyDescent="0.25">
      <c r="A6713" s="32" t="s">
        <v>5672</v>
      </c>
      <c r="H6713" s="32" t="s">
        <v>6409</v>
      </c>
      <c r="I6713" s="33" t="s">
        <v>13833</v>
      </c>
      <c r="J6713" s="34" t="s">
        <v>26</v>
      </c>
      <c r="K6713" s="42">
        <v>170</v>
      </c>
      <c r="L6713" s="12">
        <f t="shared" si="571"/>
        <v>339.99999308121937</v>
      </c>
      <c r="M6713" s="8">
        <v>1</v>
      </c>
      <c r="N6713" s="8" t="s">
        <v>27</v>
      </c>
      <c r="O6713" s="13"/>
      <c r="P6713" s="14">
        <v>0.2</v>
      </c>
      <c r="Q6713" s="15">
        <v>0.39999998779038692</v>
      </c>
      <c r="R6713" s="16" t="str">
        <f t="shared" si="566"/>
        <v>LUTRON</v>
      </c>
      <c r="AB6713" s="112"/>
    </row>
    <row r="6714" spans="1:28" customFormat="1" ht="27" customHeight="1" x14ac:dyDescent="0.25">
      <c r="A6714" s="32" t="s">
        <v>5672</v>
      </c>
      <c r="H6714" s="32" t="s">
        <v>13834</v>
      </c>
      <c r="I6714" s="33" t="s">
        <v>13835</v>
      </c>
      <c r="J6714" s="34" t="s">
        <v>26</v>
      </c>
      <c r="K6714" s="42">
        <v>1000</v>
      </c>
      <c r="L6714" s="12">
        <f t="shared" si="571"/>
        <v>1999.9999593012906</v>
      </c>
      <c r="M6714" s="8">
        <v>1</v>
      </c>
      <c r="N6714" s="8" t="s">
        <v>27</v>
      </c>
      <c r="O6714" s="13"/>
      <c r="P6714" s="14">
        <v>0.2</v>
      </c>
      <c r="Q6714" s="15">
        <v>0.39999998779038692</v>
      </c>
      <c r="R6714" s="16" t="str">
        <f t="shared" si="566"/>
        <v>LUTRON</v>
      </c>
      <c r="AB6714" s="112"/>
    </row>
    <row r="6715" spans="1:28" customFormat="1" ht="27" customHeight="1" x14ac:dyDescent="0.25">
      <c r="A6715" s="32" t="s">
        <v>13535</v>
      </c>
      <c r="H6715" s="32" t="s">
        <v>13836</v>
      </c>
      <c r="I6715" s="33" t="s">
        <v>13837</v>
      </c>
      <c r="J6715" s="34" t="s">
        <v>26</v>
      </c>
      <c r="K6715" s="42">
        <v>1000</v>
      </c>
      <c r="L6715" s="12">
        <f t="shared" si="571"/>
        <v>1999.9999593012906</v>
      </c>
      <c r="M6715" s="8">
        <v>1</v>
      </c>
      <c r="N6715" s="8" t="s">
        <v>27</v>
      </c>
      <c r="O6715" s="13"/>
      <c r="P6715" s="14">
        <v>0.2</v>
      </c>
      <c r="Q6715" s="15">
        <v>0.39999998779038692</v>
      </c>
      <c r="R6715" s="16" t="str">
        <f t="shared" si="566"/>
        <v>ABLOY</v>
      </c>
      <c r="AB6715" s="112"/>
    </row>
    <row r="6716" spans="1:28" s="76" customFormat="1" ht="22.5" customHeight="1" x14ac:dyDescent="0.25">
      <c r="A6716" s="105" t="s">
        <v>7977</v>
      </c>
      <c r="H6716" s="76" t="s">
        <v>13838</v>
      </c>
      <c r="I6716" s="33" t="s">
        <v>13839</v>
      </c>
      <c r="J6716" s="34" t="s">
        <v>26</v>
      </c>
      <c r="K6716" s="77">
        <v>396.5</v>
      </c>
      <c r="L6716" s="12">
        <f t="shared" si="571"/>
        <v>792.99998386296159</v>
      </c>
      <c r="M6716" s="106">
        <v>1</v>
      </c>
      <c r="N6716" s="106" t="s">
        <v>27</v>
      </c>
      <c r="O6716" s="78"/>
      <c r="P6716" s="107">
        <v>0.2</v>
      </c>
      <c r="Q6716" s="108">
        <v>0.39999998779038692</v>
      </c>
      <c r="R6716" s="10" t="str">
        <f t="shared" si="566"/>
        <v>ROSSLARE</v>
      </c>
      <c r="AB6716" s="112"/>
    </row>
    <row r="6717" spans="1:28" s="76" customFormat="1" ht="45" customHeight="1" x14ac:dyDescent="0.25">
      <c r="A6717" s="105" t="s">
        <v>7977</v>
      </c>
      <c r="H6717" s="76" t="s">
        <v>13840</v>
      </c>
      <c r="I6717" s="33" t="s">
        <v>13841</v>
      </c>
      <c r="J6717" s="76" t="s">
        <v>26</v>
      </c>
      <c r="K6717" s="77">
        <v>118.5000024113986</v>
      </c>
      <c r="L6717" s="12">
        <f t="shared" si="571"/>
        <v>237.00000000000003</v>
      </c>
      <c r="M6717" s="106">
        <v>1</v>
      </c>
      <c r="N6717" s="106" t="s">
        <v>27</v>
      </c>
      <c r="O6717" s="78"/>
      <c r="P6717" s="107">
        <v>0.2</v>
      </c>
      <c r="Q6717" s="108">
        <v>0.39999998779038692</v>
      </c>
      <c r="R6717" s="10" t="str">
        <f t="shared" si="566"/>
        <v>ROSSLARE</v>
      </c>
      <c r="AB6717" s="112"/>
    </row>
    <row r="6718" spans="1:28" s="76" customFormat="1" ht="33.75" customHeight="1" x14ac:dyDescent="0.25">
      <c r="A6718" s="105" t="s">
        <v>7977</v>
      </c>
      <c r="H6718" s="76" t="s">
        <v>13842</v>
      </c>
      <c r="I6718" s="33" t="s">
        <v>13843</v>
      </c>
      <c r="J6718" s="76" t="s">
        <v>26</v>
      </c>
      <c r="K6718" s="77">
        <v>106.3</v>
      </c>
      <c r="L6718" s="12">
        <f t="shared" si="571"/>
        <v>200.99999922763112</v>
      </c>
      <c r="M6718" s="106">
        <v>1</v>
      </c>
      <c r="N6718" s="106" t="s">
        <v>27</v>
      </c>
      <c r="O6718" s="78"/>
      <c r="P6718" s="107">
        <v>0.2</v>
      </c>
      <c r="Q6718" s="108">
        <v>0.3653731318897212</v>
      </c>
      <c r="R6718" s="10" t="str">
        <f t="shared" ref="R6718:R6781" si="572">A6718</f>
        <v>ROSSLARE</v>
      </c>
      <c r="AB6718" s="112"/>
    </row>
    <row r="6719" spans="1:28" s="76" customFormat="1" ht="27" customHeight="1" x14ac:dyDescent="0.25">
      <c r="A6719" s="76" t="s">
        <v>11095</v>
      </c>
      <c r="H6719" s="76" t="s">
        <v>13844</v>
      </c>
      <c r="I6719" s="76" t="s">
        <v>13845</v>
      </c>
      <c r="J6719" s="76" t="s">
        <v>26</v>
      </c>
      <c r="K6719" s="77">
        <v>3.4934210526315792</v>
      </c>
      <c r="L6719" s="12">
        <f t="shared" si="571"/>
        <v>5.1380889772887155</v>
      </c>
      <c r="M6719" s="106">
        <v>1</v>
      </c>
      <c r="N6719" s="106" t="s">
        <v>27</v>
      </c>
      <c r="O6719" s="78"/>
      <c r="P6719" s="107">
        <v>0.2</v>
      </c>
      <c r="Q6719" s="108">
        <v>0.18411197593351139</v>
      </c>
      <c r="R6719" s="10" t="str">
        <f t="shared" si="572"/>
        <v>SCP</v>
      </c>
      <c r="AB6719" s="112"/>
    </row>
    <row r="6720" spans="1:28" s="76" customFormat="1" ht="27" customHeight="1" x14ac:dyDescent="0.25">
      <c r="A6720" s="76" t="s">
        <v>11685</v>
      </c>
      <c r="H6720" s="76" t="s">
        <v>12753</v>
      </c>
      <c r="I6720" s="76" t="s">
        <v>13846</v>
      </c>
      <c r="J6720" s="76" t="s">
        <v>26</v>
      </c>
      <c r="K6720" s="77">
        <v>45</v>
      </c>
      <c r="L6720" s="12">
        <f t="shared" si="571"/>
        <v>68.999232006391907</v>
      </c>
      <c r="M6720" s="106">
        <v>1</v>
      </c>
      <c r="N6720" s="106" t="s">
        <v>27</v>
      </c>
      <c r="O6720" s="78"/>
      <c r="P6720" s="107">
        <v>0.2</v>
      </c>
      <c r="Q6720" s="108">
        <v>0.21738259354832271</v>
      </c>
      <c r="R6720" s="10" t="str">
        <f t="shared" si="572"/>
        <v>RUIJIE</v>
      </c>
      <c r="AB6720" s="112"/>
    </row>
    <row r="6721" spans="1:28" s="76" customFormat="1" ht="27" customHeight="1" x14ac:dyDescent="0.25">
      <c r="A6721" s="76" t="s">
        <v>13847</v>
      </c>
      <c r="H6721" s="76" t="s">
        <v>13848</v>
      </c>
      <c r="I6721" s="33" t="s">
        <v>13849</v>
      </c>
      <c r="J6721" s="76" t="s">
        <v>26</v>
      </c>
      <c r="K6721" s="77">
        <v>199</v>
      </c>
      <c r="L6721" s="12">
        <f t="shared" si="571"/>
        <v>304.00000098581353</v>
      </c>
      <c r="M6721" s="106">
        <v>1</v>
      </c>
      <c r="N6721" s="106" t="s">
        <v>27</v>
      </c>
      <c r="O6721" s="78"/>
      <c r="P6721" s="107">
        <v>0.2</v>
      </c>
      <c r="Q6721" s="108">
        <v>0.21447368675783721</v>
      </c>
      <c r="R6721" s="10" t="str">
        <f t="shared" si="572"/>
        <v>GMK</v>
      </c>
      <c r="AB6721" s="112"/>
    </row>
    <row r="6722" spans="1:28" s="76" customFormat="1" ht="27" customHeight="1" x14ac:dyDescent="0.25">
      <c r="A6722" s="76" t="s">
        <v>7845</v>
      </c>
      <c r="H6722" s="76" t="s">
        <v>13850</v>
      </c>
      <c r="I6722" s="76" t="s">
        <v>13851</v>
      </c>
      <c r="J6722" s="76" t="s">
        <v>26</v>
      </c>
      <c r="K6722" s="77">
        <v>6.29</v>
      </c>
      <c r="L6722" s="12">
        <f t="shared" si="571"/>
        <v>9.6088442522651629</v>
      </c>
      <c r="M6722" s="106">
        <v>1</v>
      </c>
      <c r="N6722" s="106" t="s">
        <v>27</v>
      </c>
      <c r="O6722" s="78"/>
      <c r="P6722" s="107">
        <v>0.2</v>
      </c>
      <c r="Q6722" s="108">
        <v>0.21447368675783721</v>
      </c>
      <c r="R6722" s="10" t="str">
        <f t="shared" si="572"/>
        <v>QPCOM</v>
      </c>
      <c r="AB6722" s="112"/>
    </row>
    <row r="6723" spans="1:28" s="76" customFormat="1" ht="27" customHeight="1" x14ac:dyDescent="0.25">
      <c r="A6723" s="76" t="s">
        <v>2086</v>
      </c>
      <c r="H6723" s="76" t="s">
        <v>13852</v>
      </c>
      <c r="I6723" s="76" t="s">
        <v>13853</v>
      </c>
      <c r="J6723" s="76" t="s">
        <v>26</v>
      </c>
      <c r="K6723" s="77">
        <v>158</v>
      </c>
      <c r="L6723" s="12">
        <f t="shared" si="571"/>
        <v>240.99955814374027</v>
      </c>
      <c r="M6723" s="106">
        <v>1</v>
      </c>
      <c r="N6723" s="106" t="s">
        <v>27</v>
      </c>
      <c r="O6723" s="78"/>
      <c r="P6723" s="107">
        <v>0.2</v>
      </c>
      <c r="Q6723" s="108">
        <v>0.21327656589761809</v>
      </c>
      <c r="R6723" s="10" t="str">
        <f t="shared" si="572"/>
        <v>EATON</v>
      </c>
      <c r="AB6723" s="112"/>
    </row>
    <row r="6724" spans="1:28" customFormat="1" ht="27" customHeight="1" x14ac:dyDescent="0.25">
      <c r="A6724" s="76" t="s">
        <v>13535</v>
      </c>
      <c r="H6724" s="76" t="s">
        <v>13854</v>
      </c>
      <c r="I6724" t="s">
        <v>13855</v>
      </c>
      <c r="J6724" s="76" t="s">
        <v>26</v>
      </c>
      <c r="K6724" s="42">
        <v>327.64</v>
      </c>
      <c r="L6724" s="12">
        <f t="shared" si="571"/>
        <v>564.88999341942747</v>
      </c>
      <c r="M6724" s="106">
        <v>1</v>
      </c>
      <c r="N6724" s="106" t="s">
        <v>27</v>
      </c>
      <c r="O6724" s="78"/>
      <c r="P6724" s="107">
        <v>0.2</v>
      </c>
      <c r="Q6724" s="108">
        <v>0.30399191952392213</v>
      </c>
      <c r="R6724" s="10" t="str">
        <f t="shared" si="572"/>
        <v>ABLOY</v>
      </c>
      <c r="AB6724" s="112"/>
    </row>
    <row r="6725" spans="1:28" customFormat="1" ht="27" customHeight="1" x14ac:dyDescent="0.25">
      <c r="A6725" s="76" t="s">
        <v>13535</v>
      </c>
      <c r="H6725" s="76" t="s">
        <v>13856</v>
      </c>
      <c r="I6725" t="s">
        <v>13857</v>
      </c>
      <c r="J6725" s="76" t="s">
        <v>26</v>
      </c>
      <c r="K6725" s="42">
        <v>15.02</v>
      </c>
      <c r="L6725" s="12">
        <f t="shared" si="571"/>
        <v>25.896251071785496</v>
      </c>
      <c r="M6725" s="106">
        <v>1</v>
      </c>
      <c r="N6725" s="106" t="s">
        <v>27</v>
      </c>
      <c r="O6725" s="78"/>
      <c r="P6725" s="107">
        <v>0.2</v>
      </c>
      <c r="Q6725" s="108">
        <v>0.30399191952392213</v>
      </c>
      <c r="R6725" s="10" t="str">
        <f t="shared" si="572"/>
        <v>ABLOY</v>
      </c>
      <c r="AB6725" s="112"/>
    </row>
    <row r="6726" spans="1:28" customFormat="1" ht="27" customHeight="1" x14ac:dyDescent="0.25">
      <c r="A6726" s="76" t="s">
        <v>13535</v>
      </c>
      <c r="H6726" s="76" t="s">
        <v>13554</v>
      </c>
      <c r="I6726" t="s">
        <v>13555</v>
      </c>
      <c r="J6726" s="76" t="s">
        <v>26</v>
      </c>
      <c r="K6726" s="42">
        <v>24.58</v>
      </c>
      <c r="L6726" s="12">
        <f t="shared" si="571"/>
        <v>42.378818331856692</v>
      </c>
      <c r="M6726" s="106">
        <v>1</v>
      </c>
      <c r="N6726" s="106" t="s">
        <v>27</v>
      </c>
      <c r="O6726" s="78"/>
      <c r="P6726" s="107">
        <v>0.2</v>
      </c>
      <c r="Q6726" s="108">
        <v>0.30399191952392213</v>
      </c>
      <c r="R6726" s="10" t="str">
        <f t="shared" si="572"/>
        <v>ABLOY</v>
      </c>
      <c r="AB6726" s="112"/>
    </row>
    <row r="6727" spans="1:28" customFormat="1" ht="27" customHeight="1" x14ac:dyDescent="0.25">
      <c r="A6727" s="76" t="s">
        <v>13535</v>
      </c>
      <c r="H6727" s="76" t="s">
        <v>13556</v>
      </c>
      <c r="I6727" t="s">
        <v>13557</v>
      </c>
      <c r="J6727" s="76" t="s">
        <v>26</v>
      </c>
      <c r="K6727" s="42">
        <v>32.96</v>
      </c>
      <c r="L6727" s="12">
        <f t="shared" si="571"/>
        <v>56.826926453132494</v>
      </c>
      <c r="M6727" s="106">
        <v>1</v>
      </c>
      <c r="N6727" s="106" t="s">
        <v>27</v>
      </c>
      <c r="O6727" s="78"/>
      <c r="P6727" s="107">
        <v>0.2</v>
      </c>
      <c r="Q6727" s="108">
        <v>0.30399191952392213</v>
      </c>
      <c r="R6727" s="10" t="str">
        <f t="shared" si="572"/>
        <v>ABLOY</v>
      </c>
      <c r="AB6727" s="112"/>
    </row>
    <row r="6728" spans="1:28" customFormat="1" ht="27" customHeight="1" x14ac:dyDescent="0.25">
      <c r="A6728" s="76" t="s">
        <v>13535</v>
      </c>
      <c r="H6728" s="76" t="s">
        <v>13858</v>
      </c>
      <c r="I6728" t="s">
        <v>13859</v>
      </c>
      <c r="J6728" s="76" t="s">
        <v>26</v>
      </c>
      <c r="K6728" s="42">
        <v>11.26</v>
      </c>
      <c r="L6728" s="12">
        <f t="shared" si="571"/>
        <v>19.413567714267955</v>
      </c>
      <c r="M6728" s="106">
        <v>1</v>
      </c>
      <c r="N6728" s="106" t="s">
        <v>27</v>
      </c>
      <c r="O6728" s="78"/>
      <c r="P6728" s="107">
        <v>0.2</v>
      </c>
      <c r="Q6728" s="108">
        <v>0.30399191952392213</v>
      </c>
      <c r="R6728" s="10" t="str">
        <f t="shared" si="572"/>
        <v>ABLOY</v>
      </c>
      <c r="AB6728" s="112"/>
    </row>
    <row r="6729" spans="1:28" customFormat="1" ht="27" customHeight="1" x14ac:dyDescent="0.25">
      <c r="A6729" s="76" t="s">
        <v>13535</v>
      </c>
      <c r="H6729" s="76" t="s">
        <v>13860</v>
      </c>
      <c r="I6729" t="s">
        <v>13551</v>
      </c>
      <c r="J6729" s="76" t="s">
        <v>26</v>
      </c>
      <c r="K6729" s="42">
        <v>71.510000000000005</v>
      </c>
      <c r="L6729" s="12">
        <f t="shared" si="571"/>
        <v>123.29167204682963</v>
      </c>
      <c r="M6729" s="106">
        <v>1</v>
      </c>
      <c r="N6729" s="106" t="s">
        <v>27</v>
      </c>
      <c r="O6729" s="78"/>
      <c r="P6729" s="107">
        <v>0.2</v>
      </c>
      <c r="Q6729" s="108">
        <v>0.30399191952392213</v>
      </c>
      <c r="R6729" s="10" t="str">
        <f t="shared" si="572"/>
        <v>ABLOY</v>
      </c>
      <c r="AB6729" s="112"/>
    </row>
    <row r="6730" spans="1:28" customFormat="1" ht="27" customHeight="1" x14ac:dyDescent="0.25">
      <c r="A6730" s="76" t="s">
        <v>13535</v>
      </c>
      <c r="H6730" s="76" t="s">
        <v>13536</v>
      </c>
      <c r="I6730" t="s">
        <v>13861</v>
      </c>
      <c r="J6730" s="76" t="s">
        <v>26</v>
      </c>
      <c r="K6730" s="42">
        <v>174.82</v>
      </c>
      <c r="L6730" s="12">
        <f t="shared" si="571"/>
        <v>301.41029376628103</v>
      </c>
      <c r="M6730" s="106">
        <v>1</v>
      </c>
      <c r="N6730" s="106" t="s">
        <v>27</v>
      </c>
      <c r="O6730" s="78"/>
      <c r="P6730" s="107">
        <v>0.2</v>
      </c>
      <c r="Q6730" s="108">
        <v>0.30399191952392213</v>
      </c>
      <c r="R6730" s="10" t="str">
        <f t="shared" si="572"/>
        <v>ABLOY</v>
      </c>
      <c r="AB6730" s="112"/>
    </row>
    <row r="6731" spans="1:28" customFormat="1" ht="27" customHeight="1" x14ac:dyDescent="0.25">
      <c r="A6731" s="76" t="s">
        <v>13535</v>
      </c>
      <c r="H6731" s="76" t="s">
        <v>13538</v>
      </c>
      <c r="I6731" t="s">
        <v>13862</v>
      </c>
      <c r="J6731" s="76" t="s">
        <v>26</v>
      </c>
      <c r="K6731" s="42">
        <v>45.5</v>
      </c>
      <c r="L6731" s="12">
        <f t="shared" si="571"/>
        <v>78.447365097619198</v>
      </c>
      <c r="M6731" s="106">
        <v>1</v>
      </c>
      <c r="N6731" s="106" t="s">
        <v>27</v>
      </c>
      <c r="O6731" s="78"/>
      <c r="P6731" s="107">
        <v>0.2</v>
      </c>
      <c r="Q6731" s="108">
        <v>0.30399191952392213</v>
      </c>
      <c r="R6731" s="10" t="str">
        <f t="shared" si="572"/>
        <v>ABLOY</v>
      </c>
      <c r="AB6731" s="112"/>
    </row>
    <row r="6732" spans="1:28" customFormat="1" ht="27" customHeight="1" x14ac:dyDescent="0.25">
      <c r="A6732" s="76" t="s">
        <v>13535</v>
      </c>
      <c r="H6732" s="76" t="s">
        <v>13863</v>
      </c>
      <c r="I6732" t="s">
        <v>13864</v>
      </c>
      <c r="J6732" s="76" t="s">
        <v>26</v>
      </c>
      <c r="K6732" s="42">
        <v>185.69</v>
      </c>
      <c r="L6732" s="12">
        <f t="shared" si="571"/>
        <v>320.15145549399796</v>
      </c>
      <c r="M6732" s="106">
        <v>1</v>
      </c>
      <c r="N6732" s="106" t="s">
        <v>27</v>
      </c>
      <c r="O6732" s="78"/>
      <c r="P6732" s="107">
        <v>0.2</v>
      </c>
      <c r="Q6732" s="108">
        <v>0.30399191952392213</v>
      </c>
      <c r="R6732" s="10" t="str">
        <f t="shared" si="572"/>
        <v>ABLOY</v>
      </c>
      <c r="AB6732" s="112"/>
    </row>
    <row r="6733" spans="1:28" customFormat="1" ht="27" customHeight="1" x14ac:dyDescent="0.25">
      <c r="A6733" s="76" t="s">
        <v>13535</v>
      </c>
      <c r="H6733" s="87" t="s">
        <v>13856</v>
      </c>
      <c r="I6733" s="109" t="s">
        <v>13857</v>
      </c>
      <c r="J6733" s="76" t="s">
        <v>26</v>
      </c>
      <c r="K6733" s="42">
        <v>15.02</v>
      </c>
      <c r="L6733" s="12">
        <f t="shared" si="571"/>
        <v>25.896251071785496</v>
      </c>
      <c r="M6733" s="106">
        <v>1</v>
      </c>
      <c r="N6733" s="106" t="s">
        <v>27</v>
      </c>
      <c r="O6733" s="78"/>
      <c r="P6733" s="107">
        <v>0.2</v>
      </c>
      <c r="Q6733" s="108">
        <v>0.30399191952392213</v>
      </c>
      <c r="R6733" s="10" t="str">
        <f t="shared" si="572"/>
        <v>ABLOY</v>
      </c>
      <c r="AB6733" s="112"/>
    </row>
    <row r="6734" spans="1:28" customFormat="1" ht="27" customHeight="1" x14ac:dyDescent="0.25">
      <c r="A6734" s="76" t="s">
        <v>13535</v>
      </c>
      <c r="H6734" s="76" t="s">
        <v>13554</v>
      </c>
      <c r="I6734" t="s">
        <v>13555</v>
      </c>
      <c r="J6734" s="76" t="s">
        <v>26</v>
      </c>
      <c r="K6734" s="42">
        <v>24.58</v>
      </c>
      <c r="L6734" s="12">
        <f t="shared" si="571"/>
        <v>42.378818331856692</v>
      </c>
      <c r="M6734" s="106">
        <v>1</v>
      </c>
      <c r="N6734" s="106" t="s">
        <v>27</v>
      </c>
      <c r="O6734" s="78"/>
      <c r="P6734" s="107">
        <v>0.2</v>
      </c>
      <c r="Q6734" s="108">
        <v>0.30399191952392213</v>
      </c>
      <c r="R6734" s="10" t="str">
        <f t="shared" si="572"/>
        <v>ABLOY</v>
      </c>
      <c r="AB6734" s="112"/>
    </row>
    <row r="6735" spans="1:28" customFormat="1" ht="27" customHeight="1" x14ac:dyDescent="0.25">
      <c r="A6735" s="76" t="s">
        <v>13535</v>
      </c>
      <c r="H6735" s="76" t="s">
        <v>13556</v>
      </c>
      <c r="I6735" t="s">
        <v>13557</v>
      </c>
      <c r="J6735" s="76" t="s">
        <v>26</v>
      </c>
      <c r="K6735" s="42">
        <v>32.96</v>
      </c>
      <c r="L6735" s="12">
        <f t="shared" si="571"/>
        <v>56.826926453132494</v>
      </c>
      <c r="M6735" s="106">
        <v>1</v>
      </c>
      <c r="N6735" s="106" t="s">
        <v>27</v>
      </c>
      <c r="O6735" s="78"/>
      <c r="P6735" s="107">
        <v>0.2</v>
      </c>
      <c r="Q6735" s="108">
        <v>0.30399191952392213</v>
      </c>
      <c r="R6735" s="10" t="str">
        <f t="shared" si="572"/>
        <v>ABLOY</v>
      </c>
      <c r="AB6735" s="112"/>
    </row>
    <row r="6736" spans="1:28" customFormat="1" ht="27" customHeight="1" x14ac:dyDescent="0.25">
      <c r="A6736" s="76" t="s">
        <v>13535</v>
      </c>
      <c r="H6736" s="76" t="s">
        <v>13858</v>
      </c>
      <c r="I6736" t="s">
        <v>13865</v>
      </c>
      <c r="J6736" s="76" t="s">
        <v>26</v>
      </c>
      <c r="K6736" s="42">
        <v>11.26</v>
      </c>
      <c r="L6736" s="12">
        <f t="shared" si="571"/>
        <v>19.413567714267955</v>
      </c>
      <c r="M6736" s="106">
        <v>1</v>
      </c>
      <c r="N6736" s="106" t="s">
        <v>27</v>
      </c>
      <c r="O6736" s="78"/>
      <c r="P6736" s="107">
        <v>0.2</v>
      </c>
      <c r="Q6736" s="108">
        <v>0.30399191952392213</v>
      </c>
      <c r="R6736" s="10" t="str">
        <f t="shared" si="572"/>
        <v>ABLOY</v>
      </c>
      <c r="AB6736" s="112"/>
    </row>
    <row r="6737" spans="1:18" customFormat="1" ht="27" customHeight="1" x14ac:dyDescent="0.25">
      <c r="A6737" s="76" t="s">
        <v>13535</v>
      </c>
      <c r="H6737" s="76" t="s">
        <v>13860</v>
      </c>
      <c r="I6737" t="s">
        <v>13551</v>
      </c>
      <c r="J6737" s="76" t="s">
        <v>26</v>
      </c>
      <c r="K6737" s="42">
        <v>71.510000000000005</v>
      </c>
      <c r="L6737" s="12">
        <f t="shared" si="571"/>
        <v>123.29167204682963</v>
      </c>
      <c r="M6737" s="106">
        <v>1</v>
      </c>
      <c r="N6737" s="106" t="s">
        <v>27</v>
      </c>
      <c r="O6737" s="78"/>
      <c r="P6737" s="107">
        <v>0.2</v>
      </c>
      <c r="Q6737" s="108">
        <v>0.30399191952392213</v>
      </c>
      <c r="R6737" s="10" t="str">
        <f t="shared" si="572"/>
        <v>ABLOY</v>
      </c>
    </row>
    <row r="6738" spans="1:18" customFormat="1" ht="27" customHeight="1" x14ac:dyDescent="0.25">
      <c r="A6738" s="76" t="s">
        <v>13535</v>
      </c>
      <c r="H6738" s="76" t="s">
        <v>13536</v>
      </c>
      <c r="I6738" t="s">
        <v>13861</v>
      </c>
      <c r="J6738" s="76" t="s">
        <v>26</v>
      </c>
      <c r="K6738" s="42">
        <v>174.82</v>
      </c>
      <c r="L6738" s="12">
        <f t="shared" si="571"/>
        <v>301.41029376628103</v>
      </c>
      <c r="M6738" s="106">
        <v>1</v>
      </c>
      <c r="N6738" s="106" t="s">
        <v>27</v>
      </c>
      <c r="O6738" s="78"/>
      <c r="P6738" s="107">
        <v>0.2</v>
      </c>
      <c r="Q6738" s="108">
        <v>0.30399191952392213</v>
      </c>
      <c r="R6738" s="10" t="str">
        <f t="shared" si="572"/>
        <v>ABLOY</v>
      </c>
    </row>
    <row r="6739" spans="1:18" customFormat="1" ht="27" customHeight="1" x14ac:dyDescent="0.25">
      <c r="A6739" s="76" t="s">
        <v>13535</v>
      </c>
      <c r="H6739" s="76" t="s">
        <v>13538</v>
      </c>
      <c r="I6739" t="s">
        <v>13866</v>
      </c>
      <c r="J6739" s="76" t="s">
        <v>26</v>
      </c>
      <c r="K6739" s="42">
        <v>45.5</v>
      </c>
      <c r="L6739" s="12">
        <f t="shared" si="571"/>
        <v>78.447365097619198</v>
      </c>
      <c r="M6739" s="106">
        <v>1</v>
      </c>
      <c r="N6739" s="106" t="s">
        <v>27</v>
      </c>
      <c r="O6739" s="78"/>
      <c r="P6739" s="107">
        <v>0.2</v>
      </c>
      <c r="Q6739" s="108">
        <v>0.30399191952392213</v>
      </c>
      <c r="R6739" s="10" t="str">
        <f t="shared" si="572"/>
        <v>ABLOY</v>
      </c>
    </row>
    <row r="6740" spans="1:18" customFormat="1" ht="27" customHeight="1" x14ac:dyDescent="0.25">
      <c r="A6740" s="76" t="s">
        <v>13535</v>
      </c>
      <c r="H6740" s="76" t="s">
        <v>13867</v>
      </c>
      <c r="I6740" t="s">
        <v>13868</v>
      </c>
      <c r="J6740" s="76" t="s">
        <v>26</v>
      </c>
      <c r="K6740" s="42">
        <v>374.25</v>
      </c>
      <c r="L6740" s="12">
        <f t="shared" si="571"/>
        <v>613.5203373943209</v>
      </c>
      <c r="M6740" s="106">
        <v>1</v>
      </c>
      <c r="N6740" s="106" t="s">
        <v>27</v>
      </c>
      <c r="O6740" s="78"/>
      <c r="P6740" s="107">
        <v>0.2</v>
      </c>
      <c r="Q6740" s="108">
        <v>0.26799492595898239</v>
      </c>
      <c r="R6740" s="10" t="str">
        <f t="shared" si="572"/>
        <v>ABLOY</v>
      </c>
    </row>
    <row r="6741" spans="1:18" customFormat="1" ht="27" customHeight="1" x14ac:dyDescent="0.25">
      <c r="A6741" s="76" t="s">
        <v>13535</v>
      </c>
      <c r="H6741" s="76" t="s">
        <v>13869</v>
      </c>
      <c r="I6741" t="s">
        <v>13870</v>
      </c>
      <c r="J6741" s="76" t="s">
        <v>26</v>
      </c>
      <c r="K6741" s="42">
        <v>162.26</v>
      </c>
      <c r="L6741" s="12">
        <f t="shared" si="571"/>
        <v>265.9981561672746</v>
      </c>
      <c r="M6741" s="106">
        <v>1</v>
      </c>
      <c r="N6741" s="106" t="s">
        <v>27</v>
      </c>
      <c r="O6741" s="78"/>
      <c r="P6741" s="107">
        <v>0.2</v>
      </c>
      <c r="Q6741" s="108">
        <v>0.26799492595898239</v>
      </c>
      <c r="R6741" s="10" t="str">
        <f t="shared" si="572"/>
        <v>ABLOY</v>
      </c>
    </row>
    <row r="6742" spans="1:18" customFormat="1" ht="27" customHeight="1" x14ac:dyDescent="0.25">
      <c r="A6742" s="32" t="s">
        <v>2512</v>
      </c>
      <c r="H6742" s="32" t="s">
        <v>13871</v>
      </c>
      <c r="I6742" s="33" t="s">
        <v>13872</v>
      </c>
      <c r="J6742" s="34" t="s">
        <v>26</v>
      </c>
      <c r="K6742" s="20">
        <v>30</v>
      </c>
      <c r="L6742" s="12">
        <f t="shared" ref="L6742:L6761" si="573">IF(J6742="P",ROUNDUP(K6742/(1-Q6742),-2),K6742*(1+P6742)/(1-Q6742))</f>
        <v>50</v>
      </c>
      <c r="M6742" s="8">
        <v>1</v>
      </c>
      <c r="N6742" s="8" t="s">
        <v>27</v>
      </c>
      <c r="O6742" s="13"/>
      <c r="P6742" s="14">
        <v>0</v>
      </c>
      <c r="Q6742" s="15">
        <v>0.4</v>
      </c>
      <c r="R6742" s="16" t="str">
        <f t="shared" si="572"/>
        <v>GENERAL</v>
      </c>
    </row>
    <row r="6743" spans="1:18" customFormat="1" ht="27" customHeight="1" x14ac:dyDescent="0.25">
      <c r="A6743" s="76" t="s">
        <v>3977</v>
      </c>
      <c r="H6743" s="76" t="s">
        <v>13873</v>
      </c>
      <c r="I6743" s="48" t="s">
        <v>13874</v>
      </c>
      <c r="J6743" s="76" t="s">
        <v>26</v>
      </c>
      <c r="K6743" s="42">
        <v>1000</v>
      </c>
      <c r="L6743" s="12">
        <f t="shared" si="573"/>
        <v>1666.6666666666667</v>
      </c>
      <c r="M6743" s="8">
        <v>1</v>
      </c>
      <c r="N6743" s="8" t="s">
        <v>27</v>
      </c>
      <c r="O6743" s="13"/>
      <c r="P6743" s="14">
        <v>0</v>
      </c>
      <c r="Q6743" s="15">
        <v>0.4</v>
      </c>
      <c r="R6743" s="16" t="str">
        <f t="shared" si="572"/>
        <v>KOMODO</v>
      </c>
    </row>
    <row r="6744" spans="1:18" customFormat="1" ht="27" customHeight="1" x14ac:dyDescent="0.25">
      <c r="A6744" s="76" t="s">
        <v>3977</v>
      </c>
      <c r="H6744" s="76" t="s">
        <v>13875</v>
      </c>
      <c r="I6744" t="s">
        <v>13876</v>
      </c>
      <c r="J6744" s="76" t="s">
        <v>26</v>
      </c>
      <c r="K6744" s="42">
        <v>1000</v>
      </c>
      <c r="L6744" s="12">
        <f t="shared" si="573"/>
        <v>1666.6666666666667</v>
      </c>
      <c r="M6744" s="8">
        <v>1</v>
      </c>
      <c r="N6744" s="8" t="s">
        <v>27</v>
      </c>
      <c r="O6744" s="13"/>
      <c r="P6744" s="14">
        <v>0</v>
      </c>
      <c r="Q6744" s="15">
        <v>0.4</v>
      </c>
      <c r="R6744" s="16" t="str">
        <f t="shared" si="572"/>
        <v>KOMODO</v>
      </c>
    </row>
    <row r="6745" spans="1:18" customFormat="1" ht="27" customHeight="1" x14ac:dyDescent="0.25">
      <c r="A6745" s="76" t="s">
        <v>13535</v>
      </c>
      <c r="H6745" s="76" t="s">
        <v>13877</v>
      </c>
      <c r="I6745" t="s">
        <v>13878</v>
      </c>
      <c r="J6745" s="76" t="s">
        <v>26</v>
      </c>
      <c r="K6745" s="42">
        <v>869</v>
      </c>
      <c r="L6745" s="12">
        <f t="shared" si="573"/>
        <v>1498.2758620689654</v>
      </c>
      <c r="M6745" s="8">
        <v>1</v>
      </c>
      <c r="N6745" s="8" t="s">
        <v>27</v>
      </c>
      <c r="O6745" s="13"/>
      <c r="P6745" s="14">
        <v>0</v>
      </c>
      <c r="Q6745" s="15">
        <v>0.42</v>
      </c>
      <c r="R6745" s="16" t="str">
        <f t="shared" si="572"/>
        <v>ABLOY</v>
      </c>
    </row>
    <row r="6746" spans="1:18" customFormat="1" ht="27" customHeight="1" x14ac:dyDescent="0.25">
      <c r="A6746" s="76" t="s">
        <v>13535</v>
      </c>
      <c r="H6746" s="76" t="s">
        <v>13879</v>
      </c>
      <c r="I6746" t="s">
        <v>13880</v>
      </c>
      <c r="J6746" s="76" t="s">
        <v>26</v>
      </c>
      <c r="K6746" s="42">
        <v>11.26</v>
      </c>
      <c r="L6746" s="12">
        <f t="shared" si="573"/>
        <v>19.413793103448274</v>
      </c>
      <c r="M6746" s="8">
        <v>1</v>
      </c>
      <c r="N6746" s="8" t="s">
        <v>27</v>
      </c>
      <c r="O6746" s="13"/>
      <c r="P6746" s="14">
        <v>0</v>
      </c>
      <c r="Q6746" s="15">
        <v>0.42</v>
      </c>
      <c r="R6746" s="16" t="str">
        <f t="shared" si="572"/>
        <v>ABLOY</v>
      </c>
    </row>
    <row r="6747" spans="1:18" customFormat="1" ht="27" customHeight="1" x14ac:dyDescent="0.25">
      <c r="A6747" s="76" t="s">
        <v>13535</v>
      </c>
      <c r="H6747" t="s">
        <v>13881</v>
      </c>
      <c r="I6747" t="s">
        <v>13882</v>
      </c>
      <c r="J6747" s="76" t="s">
        <v>26</v>
      </c>
      <c r="K6747" s="42">
        <v>174.82</v>
      </c>
      <c r="L6747" s="12">
        <f t="shared" si="573"/>
        <v>301.4137931034482</v>
      </c>
      <c r="M6747" s="8">
        <v>1</v>
      </c>
      <c r="N6747" s="8" t="s">
        <v>27</v>
      </c>
      <c r="O6747" s="13"/>
      <c r="P6747" s="14">
        <v>0</v>
      </c>
      <c r="Q6747" s="15">
        <v>0.42</v>
      </c>
      <c r="R6747" s="16" t="str">
        <f t="shared" si="572"/>
        <v>ABLOY</v>
      </c>
    </row>
    <row r="6748" spans="1:18" customFormat="1" ht="27" customHeight="1" x14ac:dyDescent="0.25">
      <c r="A6748" s="76" t="s">
        <v>13535</v>
      </c>
      <c r="H6748" t="s">
        <v>13883</v>
      </c>
      <c r="I6748" s="38" t="s">
        <v>13884</v>
      </c>
      <c r="J6748" s="76" t="s">
        <v>26</v>
      </c>
      <c r="K6748" s="42">
        <v>45.5</v>
      </c>
      <c r="L6748" s="12">
        <f t="shared" si="573"/>
        <v>78.448275862068954</v>
      </c>
      <c r="M6748" s="8">
        <v>1</v>
      </c>
      <c r="N6748" s="8" t="s">
        <v>27</v>
      </c>
      <c r="O6748" s="13"/>
      <c r="P6748" s="14">
        <v>0</v>
      </c>
      <c r="Q6748" s="15">
        <v>0.42</v>
      </c>
      <c r="R6748" s="16" t="str">
        <f t="shared" si="572"/>
        <v>ABLOY</v>
      </c>
    </row>
    <row r="6749" spans="1:18" customFormat="1" ht="27" customHeight="1" x14ac:dyDescent="0.25">
      <c r="A6749" s="76" t="s">
        <v>13535</v>
      </c>
      <c r="H6749" s="76" t="s">
        <v>13885</v>
      </c>
      <c r="I6749" t="s">
        <v>13886</v>
      </c>
      <c r="J6749" s="76" t="s">
        <v>26</v>
      </c>
      <c r="K6749" s="42">
        <v>33.159999999999997</v>
      </c>
      <c r="L6749" s="12">
        <f t="shared" si="573"/>
        <v>57.172413793103438</v>
      </c>
      <c r="M6749" s="8">
        <v>1</v>
      </c>
      <c r="N6749" s="8" t="s">
        <v>27</v>
      </c>
      <c r="O6749" s="13"/>
      <c r="P6749" s="14">
        <v>0</v>
      </c>
      <c r="Q6749" s="15">
        <v>0.42</v>
      </c>
      <c r="R6749" s="16" t="str">
        <f t="shared" si="572"/>
        <v>ABLOY</v>
      </c>
    </row>
    <row r="6750" spans="1:18" customFormat="1" ht="27" customHeight="1" x14ac:dyDescent="0.25">
      <c r="A6750" s="76" t="s">
        <v>13535</v>
      </c>
      <c r="H6750" s="76" t="s">
        <v>13887</v>
      </c>
      <c r="I6750" t="s">
        <v>13888</v>
      </c>
      <c r="J6750" s="76" t="s">
        <v>26</v>
      </c>
      <c r="K6750" s="42">
        <v>174</v>
      </c>
      <c r="L6750" s="12">
        <f t="shared" si="573"/>
        <v>299.99999999999994</v>
      </c>
      <c r="M6750" s="8">
        <v>1</v>
      </c>
      <c r="N6750" s="8" t="s">
        <v>27</v>
      </c>
      <c r="O6750" s="13"/>
      <c r="P6750" s="14">
        <v>0</v>
      </c>
      <c r="Q6750" s="15">
        <v>0.42</v>
      </c>
      <c r="R6750" s="16" t="str">
        <f t="shared" si="572"/>
        <v>ABLOY</v>
      </c>
    </row>
    <row r="6751" spans="1:18" customFormat="1" ht="27" customHeight="1" x14ac:dyDescent="0.25">
      <c r="A6751" s="76" t="s">
        <v>13535</v>
      </c>
      <c r="H6751" s="76" t="s">
        <v>13889</v>
      </c>
      <c r="I6751" t="s">
        <v>13890</v>
      </c>
      <c r="J6751" s="76" t="s">
        <v>26</v>
      </c>
      <c r="K6751" s="42">
        <v>39.1</v>
      </c>
      <c r="L6751" s="12">
        <f t="shared" si="573"/>
        <v>67.41379310344827</v>
      </c>
      <c r="M6751" s="8">
        <v>1</v>
      </c>
      <c r="N6751" s="8" t="s">
        <v>27</v>
      </c>
      <c r="O6751" s="13"/>
      <c r="P6751" s="14">
        <v>0</v>
      </c>
      <c r="Q6751" s="15">
        <v>0.42</v>
      </c>
      <c r="R6751" s="16" t="str">
        <f t="shared" si="572"/>
        <v>ABLOY</v>
      </c>
    </row>
    <row r="6752" spans="1:18" customFormat="1" ht="27" customHeight="1" x14ac:dyDescent="0.25">
      <c r="A6752" s="76" t="s">
        <v>13535</v>
      </c>
      <c r="H6752" s="76" t="s">
        <v>13891</v>
      </c>
      <c r="I6752" t="s">
        <v>13892</v>
      </c>
      <c r="J6752" s="76" t="s">
        <v>26</v>
      </c>
      <c r="K6752" s="42">
        <v>259.35000000000002</v>
      </c>
      <c r="L6752" s="12">
        <f t="shared" si="573"/>
        <v>447.15517241379308</v>
      </c>
      <c r="M6752" s="8">
        <v>1</v>
      </c>
      <c r="N6752" s="8" t="s">
        <v>27</v>
      </c>
      <c r="O6752" s="13"/>
      <c r="P6752" s="14">
        <v>0</v>
      </c>
      <c r="Q6752" s="15">
        <v>0.42</v>
      </c>
      <c r="R6752" s="16" t="str">
        <f t="shared" si="572"/>
        <v>ABLOY</v>
      </c>
    </row>
    <row r="6753" spans="1:18" customFormat="1" ht="27" customHeight="1" x14ac:dyDescent="0.25">
      <c r="A6753" s="76" t="s">
        <v>13535</v>
      </c>
      <c r="H6753" s="76" t="s">
        <v>13893</v>
      </c>
      <c r="I6753" t="s">
        <v>13894</v>
      </c>
      <c r="J6753" s="76" t="s">
        <v>26</v>
      </c>
      <c r="K6753" s="42">
        <v>241</v>
      </c>
      <c r="L6753" s="12">
        <f t="shared" si="573"/>
        <v>415.51724137931029</v>
      </c>
      <c r="M6753" s="8">
        <v>1</v>
      </c>
      <c r="N6753" s="8" t="s">
        <v>27</v>
      </c>
      <c r="O6753" s="13"/>
      <c r="P6753" s="14">
        <v>0</v>
      </c>
      <c r="Q6753" s="15">
        <v>0.42</v>
      </c>
      <c r="R6753" s="16" t="str">
        <f t="shared" si="572"/>
        <v>ABLOY</v>
      </c>
    </row>
    <row r="6754" spans="1:18" customFormat="1" ht="27" customHeight="1" x14ac:dyDescent="0.25">
      <c r="A6754" s="76" t="s">
        <v>13535</v>
      </c>
      <c r="H6754" s="76" t="s">
        <v>13895</v>
      </c>
      <c r="I6754" t="s">
        <v>13896</v>
      </c>
      <c r="J6754" s="76" t="s">
        <v>26</v>
      </c>
      <c r="K6754" s="42">
        <v>85.48</v>
      </c>
      <c r="L6754" s="12">
        <f t="shared" si="573"/>
        <v>147.37931034482759</v>
      </c>
      <c r="M6754" s="8">
        <v>1</v>
      </c>
      <c r="N6754" s="8" t="s">
        <v>27</v>
      </c>
      <c r="O6754" s="13"/>
      <c r="P6754" s="14">
        <v>0</v>
      </c>
      <c r="Q6754" s="15">
        <v>0.42</v>
      </c>
      <c r="R6754" s="16" t="str">
        <f t="shared" si="572"/>
        <v>ABLOY</v>
      </c>
    </row>
    <row r="6755" spans="1:18" customFormat="1" ht="27" customHeight="1" x14ac:dyDescent="0.25">
      <c r="A6755" s="76" t="s">
        <v>13535</v>
      </c>
      <c r="H6755" s="76" t="s">
        <v>13897</v>
      </c>
      <c r="I6755" t="s">
        <v>13898</v>
      </c>
      <c r="J6755" s="76" t="s">
        <v>26</v>
      </c>
      <c r="K6755" s="42">
        <v>51.15</v>
      </c>
      <c r="L6755" s="12">
        <f t="shared" si="573"/>
        <v>88.189655172413779</v>
      </c>
      <c r="M6755" s="8">
        <v>1</v>
      </c>
      <c r="N6755" s="8" t="s">
        <v>27</v>
      </c>
      <c r="O6755" s="13"/>
      <c r="P6755" s="14">
        <v>0</v>
      </c>
      <c r="Q6755" s="15">
        <v>0.42</v>
      </c>
      <c r="R6755" s="16" t="str">
        <f t="shared" si="572"/>
        <v>ABLOY</v>
      </c>
    </row>
    <row r="6756" spans="1:18" customFormat="1" ht="27" customHeight="1" x14ac:dyDescent="0.25">
      <c r="A6756" s="76" t="s">
        <v>13535</v>
      </c>
      <c r="H6756" s="76" t="s">
        <v>13899</v>
      </c>
      <c r="I6756" t="s">
        <v>13900</v>
      </c>
      <c r="J6756" s="76" t="s">
        <v>26</v>
      </c>
      <c r="K6756" s="42">
        <v>355.84</v>
      </c>
      <c r="L6756" s="12">
        <f t="shared" si="573"/>
        <v>613.51724137931024</v>
      </c>
      <c r="M6756" s="8">
        <v>1</v>
      </c>
      <c r="N6756" s="8" t="s">
        <v>27</v>
      </c>
      <c r="O6756" s="13"/>
      <c r="P6756" s="14">
        <v>0</v>
      </c>
      <c r="Q6756" s="15">
        <v>0.42</v>
      </c>
      <c r="R6756" s="16" t="str">
        <f t="shared" si="572"/>
        <v>ABLOY</v>
      </c>
    </row>
    <row r="6757" spans="1:18" customFormat="1" ht="27" customHeight="1" x14ac:dyDescent="0.25">
      <c r="A6757" s="76" t="s">
        <v>13535</v>
      </c>
      <c r="H6757" s="76" t="s">
        <v>13901</v>
      </c>
      <c r="I6757" t="s">
        <v>13902</v>
      </c>
      <c r="J6757" s="76" t="s">
        <v>26</v>
      </c>
      <c r="K6757" s="42">
        <v>496.55</v>
      </c>
      <c r="L6757" s="12">
        <f t="shared" si="573"/>
        <v>856.12068965517233</v>
      </c>
      <c r="M6757" s="8">
        <v>1</v>
      </c>
      <c r="N6757" s="8" t="s">
        <v>27</v>
      </c>
      <c r="O6757" s="13"/>
      <c r="P6757" s="14">
        <v>0</v>
      </c>
      <c r="Q6757" s="15">
        <v>0.42</v>
      </c>
      <c r="R6757" s="16" t="str">
        <f t="shared" si="572"/>
        <v>ABLOY</v>
      </c>
    </row>
    <row r="6758" spans="1:18" customFormat="1" ht="27" customHeight="1" x14ac:dyDescent="0.25">
      <c r="A6758" s="76" t="s">
        <v>13535</v>
      </c>
      <c r="H6758" s="76" t="s">
        <v>13903</v>
      </c>
      <c r="I6758" t="s">
        <v>13904</v>
      </c>
      <c r="J6758" s="76" t="s">
        <v>26</v>
      </c>
      <c r="K6758" s="42">
        <v>15.25</v>
      </c>
      <c r="L6758" s="12">
        <f t="shared" si="573"/>
        <v>26.293103448275858</v>
      </c>
      <c r="M6758" s="8">
        <v>1</v>
      </c>
      <c r="N6758" s="8" t="s">
        <v>27</v>
      </c>
      <c r="O6758" s="13"/>
      <c r="P6758" s="14">
        <v>0</v>
      </c>
      <c r="Q6758" s="15">
        <v>0.42</v>
      </c>
      <c r="R6758" s="16" t="str">
        <f t="shared" si="572"/>
        <v>ABLOY</v>
      </c>
    </row>
    <row r="6759" spans="1:18" customFormat="1" ht="27" customHeight="1" x14ac:dyDescent="0.25">
      <c r="A6759" s="76" t="s">
        <v>13535</v>
      </c>
      <c r="H6759" t="s">
        <v>13905</v>
      </c>
      <c r="I6759" t="s">
        <v>13906</v>
      </c>
      <c r="J6759" s="76" t="s">
        <v>26</v>
      </c>
      <c r="K6759" s="42">
        <v>352.45</v>
      </c>
      <c r="L6759" s="12">
        <f t="shared" si="573"/>
        <v>607.67241379310337</v>
      </c>
      <c r="M6759" s="8">
        <v>1</v>
      </c>
      <c r="N6759" s="8" t="s">
        <v>27</v>
      </c>
      <c r="O6759" s="13"/>
      <c r="P6759" s="14">
        <v>0</v>
      </c>
      <c r="Q6759" s="15">
        <v>0.42</v>
      </c>
      <c r="R6759" s="16" t="str">
        <f t="shared" si="572"/>
        <v>ABLOY</v>
      </c>
    </row>
    <row r="6760" spans="1:18" customFormat="1" ht="27" customHeight="1" x14ac:dyDescent="0.25">
      <c r="A6760" s="76" t="s">
        <v>13535</v>
      </c>
      <c r="H6760" t="s">
        <v>13907</v>
      </c>
      <c r="I6760" s="38" t="s">
        <v>13908</v>
      </c>
      <c r="J6760" s="76" t="s">
        <v>26</v>
      </c>
      <c r="K6760" s="42">
        <v>120.51</v>
      </c>
      <c r="L6760" s="12">
        <f t="shared" si="573"/>
        <v>207.77586206896549</v>
      </c>
      <c r="M6760" s="8">
        <v>1</v>
      </c>
      <c r="N6760" s="8" t="s">
        <v>27</v>
      </c>
      <c r="O6760" s="13"/>
      <c r="P6760" s="14">
        <v>0</v>
      </c>
      <c r="Q6760" s="15">
        <v>0.42</v>
      </c>
      <c r="R6760" s="16" t="str">
        <f t="shared" si="572"/>
        <v>ABLOY</v>
      </c>
    </row>
    <row r="6761" spans="1:18" customFormat="1" ht="27" customHeight="1" x14ac:dyDescent="0.25">
      <c r="A6761" s="76" t="s">
        <v>11685</v>
      </c>
      <c r="H6761" s="76" t="s">
        <v>13909</v>
      </c>
      <c r="I6761" s="76" t="s">
        <v>13910</v>
      </c>
      <c r="J6761" s="76" t="s">
        <v>33</v>
      </c>
      <c r="K6761" s="42">
        <v>234000</v>
      </c>
      <c r="L6761" s="12">
        <f t="shared" si="573"/>
        <v>390000</v>
      </c>
      <c r="M6761" s="8">
        <v>1</v>
      </c>
      <c r="N6761" s="8" t="s">
        <v>27</v>
      </c>
      <c r="O6761" s="13"/>
      <c r="P6761" s="14">
        <v>0</v>
      </c>
      <c r="Q6761" s="15">
        <v>0.4</v>
      </c>
      <c r="R6761" s="16" t="str">
        <f t="shared" si="572"/>
        <v>RUIJIE</v>
      </c>
    </row>
    <row r="6762" spans="1:18" customFormat="1" ht="27" customHeight="1" x14ac:dyDescent="0.25">
      <c r="A6762" s="32" t="s">
        <v>6802</v>
      </c>
      <c r="H6762" s="32" t="s">
        <v>13911</v>
      </c>
      <c r="I6762" s="33" t="s">
        <v>13912</v>
      </c>
      <c r="J6762" s="34" t="s">
        <v>26</v>
      </c>
      <c r="K6762" s="42">
        <v>766</v>
      </c>
      <c r="L6762" s="12">
        <f t="shared" ref="L6762:L6825" si="574">K6762*(1+P6762)/(1-Q6762)</f>
        <v>1094.2857142857144</v>
      </c>
      <c r="M6762" s="8">
        <v>1</v>
      </c>
      <c r="N6762" s="8" t="s">
        <v>27</v>
      </c>
      <c r="O6762" s="13"/>
      <c r="P6762" s="14">
        <v>0</v>
      </c>
      <c r="Q6762" s="15">
        <v>0.3</v>
      </c>
      <c r="R6762" s="40" t="str">
        <f t="shared" si="572"/>
        <v>MARANTZ</v>
      </c>
    </row>
    <row r="6763" spans="1:18" customFormat="1" ht="27" customHeight="1" x14ac:dyDescent="0.25">
      <c r="A6763" s="32" t="s">
        <v>11685</v>
      </c>
      <c r="H6763" s="32" t="s">
        <v>13913</v>
      </c>
      <c r="I6763" s="33" t="s">
        <v>13914</v>
      </c>
      <c r="J6763" s="34" t="s">
        <v>26</v>
      </c>
      <c r="K6763" s="42">
        <v>158000</v>
      </c>
      <c r="L6763" s="12">
        <f t="shared" si="574"/>
        <v>225714.28571428574</v>
      </c>
      <c r="M6763" s="8">
        <v>1</v>
      </c>
      <c r="N6763" s="8" t="s">
        <v>27</v>
      </c>
      <c r="O6763" s="13"/>
      <c r="P6763" s="14">
        <v>0</v>
      </c>
      <c r="Q6763" s="15">
        <v>0.3</v>
      </c>
      <c r="R6763" s="40" t="str">
        <f t="shared" si="572"/>
        <v>RUIJIE</v>
      </c>
    </row>
    <row r="6764" spans="1:18" customFormat="1" ht="27" customHeight="1" x14ac:dyDescent="0.25">
      <c r="A6764" s="32" t="s">
        <v>11685</v>
      </c>
      <c r="H6764" s="32" t="s">
        <v>13915</v>
      </c>
      <c r="I6764" s="33" t="s">
        <v>13916</v>
      </c>
      <c r="J6764" s="34" t="s">
        <v>33</v>
      </c>
      <c r="K6764" s="42">
        <v>224000</v>
      </c>
      <c r="L6764" s="12">
        <f t="shared" si="574"/>
        <v>320000</v>
      </c>
      <c r="M6764" s="8">
        <v>1</v>
      </c>
      <c r="N6764" s="8" t="s">
        <v>27</v>
      </c>
      <c r="O6764" s="13"/>
      <c r="P6764" s="14">
        <v>0</v>
      </c>
      <c r="Q6764" s="15">
        <v>0.3</v>
      </c>
      <c r="R6764" s="40" t="str">
        <f t="shared" si="572"/>
        <v>RUIJIE</v>
      </c>
    </row>
    <row r="6765" spans="1:18" customFormat="1" ht="27" customHeight="1" x14ac:dyDescent="0.25">
      <c r="A6765" s="32" t="s">
        <v>861</v>
      </c>
      <c r="H6765" s="32" t="s">
        <v>13917</v>
      </c>
      <c r="I6765" s="33" t="s">
        <v>13918</v>
      </c>
      <c r="J6765" s="34" t="s">
        <v>33</v>
      </c>
      <c r="K6765" s="42">
        <v>1857142.8571428561</v>
      </c>
      <c r="L6765" s="12">
        <f t="shared" si="574"/>
        <v>2184873.9495798307</v>
      </c>
      <c r="M6765" s="8">
        <v>1</v>
      </c>
      <c r="N6765" s="8" t="s">
        <v>27</v>
      </c>
      <c r="O6765" s="13"/>
      <c r="P6765" s="14">
        <v>0</v>
      </c>
      <c r="Q6765" s="15">
        <v>0.15</v>
      </c>
      <c r="R6765" s="40" t="str">
        <f t="shared" si="572"/>
        <v>BLUOS</v>
      </c>
    </row>
    <row r="6766" spans="1:18" customFormat="1" ht="27" customHeight="1" x14ac:dyDescent="0.25">
      <c r="A6766" s="32" t="s">
        <v>13919</v>
      </c>
      <c r="H6766" s="32" t="s">
        <v>13920</v>
      </c>
      <c r="I6766" s="33" t="s">
        <v>13921</v>
      </c>
      <c r="J6766" s="34" t="s">
        <v>26</v>
      </c>
      <c r="K6766" s="42">
        <v>157</v>
      </c>
      <c r="L6766" s="12">
        <f t="shared" si="574"/>
        <v>261.66666666666669</v>
      </c>
      <c r="M6766" s="8">
        <v>1</v>
      </c>
      <c r="N6766" s="8" t="s">
        <v>27</v>
      </c>
      <c r="P6766" s="14">
        <v>0</v>
      </c>
      <c r="Q6766" s="15">
        <v>0.4</v>
      </c>
      <c r="R6766" s="40" t="str">
        <f t="shared" si="572"/>
        <v>ICE</v>
      </c>
    </row>
    <row r="6767" spans="1:18" customFormat="1" ht="27" customHeight="1" x14ac:dyDescent="0.25">
      <c r="A6767" s="32" t="s">
        <v>13922</v>
      </c>
      <c r="H6767" s="32" t="s">
        <v>13923</v>
      </c>
      <c r="I6767" s="33" t="s">
        <v>13924</v>
      </c>
      <c r="J6767" s="34" t="s">
        <v>26</v>
      </c>
      <c r="K6767" s="42">
        <v>2030</v>
      </c>
      <c r="L6767" s="12">
        <f t="shared" si="574"/>
        <v>2900</v>
      </c>
      <c r="M6767" s="8">
        <v>1</v>
      </c>
      <c r="N6767" s="8" t="s">
        <v>27</v>
      </c>
      <c r="P6767" s="14">
        <v>0</v>
      </c>
      <c r="Q6767" s="15">
        <v>0.3</v>
      </c>
      <c r="R6767" s="40" t="str">
        <f t="shared" si="572"/>
        <v>ANTHEM</v>
      </c>
    </row>
    <row r="6768" spans="1:18" customFormat="1" ht="27" customHeight="1" x14ac:dyDescent="0.25">
      <c r="A6768" s="32" t="s">
        <v>7989</v>
      </c>
      <c r="H6768" s="8" t="s">
        <v>13925</v>
      </c>
      <c r="I6768" s="33" t="s">
        <v>13926</v>
      </c>
      <c r="J6768" s="34" t="s">
        <v>26</v>
      </c>
      <c r="K6768" s="42">
        <v>81.5</v>
      </c>
      <c r="L6768" s="12">
        <f t="shared" si="574"/>
        <v>125.38461538461539</v>
      </c>
      <c r="M6768" s="8">
        <v>1</v>
      </c>
      <c r="N6768" s="8" t="s">
        <v>27</v>
      </c>
      <c r="O6768" s="13"/>
      <c r="P6768" s="14">
        <v>0</v>
      </c>
      <c r="Q6768" s="15">
        <v>0.35</v>
      </c>
      <c r="R6768" s="16" t="str">
        <f t="shared" si="572"/>
        <v>RUSSOUND</v>
      </c>
    </row>
    <row r="6769" spans="1:21" customFormat="1" ht="27" customHeight="1" x14ac:dyDescent="0.25">
      <c r="A6769" s="32" t="s">
        <v>904</v>
      </c>
      <c r="H6769" s="32" t="s">
        <v>13927</v>
      </c>
      <c r="I6769" s="33" t="s">
        <v>13928</v>
      </c>
      <c r="J6769" s="34" t="s">
        <v>26</v>
      </c>
      <c r="K6769" s="42">
        <v>1154</v>
      </c>
      <c r="L6769" s="12">
        <f t="shared" si="574"/>
        <v>1648.5714285714287</v>
      </c>
      <c r="M6769" s="8">
        <v>1</v>
      </c>
      <c r="N6769" s="8" t="s">
        <v>27</v>
      </c>
      <c r="O6769" s="13"/>
      <c r="P6769" s="14">
        <v>0</v>
      </c>
      <c r="Q6769" s="15">
        <v>0.3</v>
      </c>
      <c r="R6769" s="16" t="str">
        <f t="shared" si="572"/>
        <v>BOWER AND WILKINS</v>
      </c>
    </row>
    <row r="6770" spans="1:21" customFormat="1" ht="27" customHeight="1" x14ac:dyDescent="0.25">
      <c r="A6770" s="32" t="s">
        <v>10677</v>
      </c>
      <c r="H6770" s="32" t="s">
        <v>13929</v>
      </c>
      <c r="I6770" s="33" t="s">
        <v>13930</v>
      </c>
      <c r="J6770" s="34" t="s">
        <v>26</v>
      </c>
      <c r="K6770" s="42">
        <v>589</v>
      </c>
      <c r="L6770" s="12">
        <f t="shared" si="574"/>
        <v>1009.7142857142857</v>
      </c>
      <c r="M6770" s="8">
        <v>1</v>
      </c>
      <c r="N6770" s="8" t="s">
        <v>27</v>
      </c>
      <c r="O6770" s="13"/>
      <c r="P6770" s="14">
        <v>0.2</v>
      </c>
      <c r="Q6770" s="15">
        <v>0.3</v>
      </c>
      <c r="R6770" s="16" t="str">
        <f t="shared" si="572"/>
        <v>SONANCE</v>
      </c>
    </row>
    <row r="6771" spans="1:21" customFormat="1" ht="27" customHeight="1" x14ac:dyDescent="0.25">
      <c r="A6771" s="32" t="s">
        <v>10677</v>
      </c>
      <c r="H6771" s="32" t="s">
        <v>13931</v>
      </c>
      <c r="I6771" s="33" t="s">
        <v>13932</v>
      </c>
      <c r="J6771" s="34" t="s">
        <v>26</v>
      </c>
      <c r="K6771" s="42">
        <v>132.5</v>
      </c>
      <c r="L6771" s="12">
        <f t="shared" si="574"/>
        <v>227.14285714285717</v>
      </c>
      <c r="M6771" s="8">
        <v>1</v>
      </c>
      <c r="N6771" s="8" t="s">
        <v>27</v>
      </c>
      <c r="O6771" s="13"/>
      <c r="P6771" s="14">
        <v>0.2</v>
      </c>
      <c r="Q6771" s="15">
        <v>0.3</v>
      </c>
      <c r="R6771" s="16" t="str">
        <f t="shared" si="572"/>
        <v>SONANCE</v>
      </c>
    </row>
    <row r="6772" spans="1:21" customFormat="1" ht="27" customHeight="1" x14ac:dyDescent="0.25">
      <c r="A6772" s="32" t="s">
        <v>6983</v>
      </c>
      <c r="H6772" s="32" t="s">
        <v>13933</v>
      </c>
      <c r="I6772" s="33" t="s">
        <v>13934</v>
      </c>
      <c r="J6772" s="34" t="s">
        <v>26</v>
      </c>
      <c r="K6772" s="42">
        <v>1275</v>
      </c>
      <c r="L6772" s="12">
        <f t="shared" si="574"/>
        <v>1700</v>
      </c>
      <c r="M6772" s="8">
        <v>1</v>
      </c>
      <c r="N6772" s="8" t="s">
        <v>27</v>
      </c>
      <c r="O6772" s="13"/>
      <c r="P6772" s="14">
        <v>0</v>
      </c>
      <c r="Q6772" s="15">
        <v>0.25</v>
      </c>
      <c r="R6772" s="16" t="str">
        <f t="shared" si="572"/>
        <v>NAD</v>
      </c>
    </row>
    <row r="6773" spans="1:21" customFormat="1" ht="27" customHeight="1" x14ac:dyDescent="0.25">
      <c r="A6773" s="32" t="s">
        <v>13935</v>
      </c>
      <c r="H6773" s="32" t="s">
        <v>13936</v>
      </c>
      <c r="I6773" s="33" t="s">
        <v>13937</v>
      </c>
      <c r="J6773" s="34" t="s">
        <v>26</v>
      </c>
      <c r="K6773" s="42">
        <v>20</v>
      </c>
      <c r="L6773" s="12">
        <f t="shared" si="574"/>
        <v>34.285714285714285</v>
      </c>
      <c r="M6773" s="8">
        <v>1</v>
      </c>
      <c r="N6773" s="8" t="s">
        <v>27</v>
      </c>
      <c r="O6773" s="13"/>
      <c r="P6773" s="14">
        <v>0.2</v>
      </c>
      <c r="Q6773" s="15">
        <v>0.3</v>
      </c>
      <c r="R6773" s="16" t="str">
        <f t="shared" si="572"/>
        <v>ELEGRP</v>
      </c>
    </row>
    <row r="6774" spans="1:21" customFormat="1" ht="27" customHeight="1" x14ac:dyDescent="0.25">
      <c r="A6774" s="32" t="s">
        <v>5672</v>
      </c>
      <c r="H6774" s="32" t="s">
        <v>13938</v>
      </c>
      <c r="I6774" s="33" t="s">
        <v>13939</v>
      </c>
      <c r="J6774" s="34" t="s">
        <v>26</v>
      </c>
      <c r="K6774" s="42">
        <v>40.92</v>
      </c>
      <c r="L6774" s="12">
        <f t="shared" si="574"/>
        <v>68.201056139897574</v>
      </c>
      <c r="M6774" s="8">
        <v>1</v>
      </c>
      <c r="N6774" s="8" t="s">
        <v>27</v>
      </c>
      <c r="O6774" s="13"/>
      <c r="P6774" s="14">
        <v>0.2</v>
      </c>
      <c r="Q6774" s="15">
        <v>0.2800111496913581</v>
      </c>
      <c r="R6774" s="16" t="str">
        <f t="shared" si="572"/>
        <v>LUTRON</v>
      </c>
    </row>
    <row r="6775" spans="1:21" customFormat="1" ht="27" customHeight="1" x14ac:dyDescent="0.25">
      <c r="A6775" s="32" t="s">
        <v>5672</v>
      </c>
      <c r="H6775" s="32" t="s">
        <v>13940</v>
      </c>
      <c r="I6775" s="33" t="s">
        <v>13941</v>
      </c>
      <c r="J6775" s="34" t="s">
        <v>26</v>
      </c>
      <c r="K6775" s="42">
        <v>114.5</v>
      </c>
      <c r="L6775" s="12">
        <f t="shared" si="574"/>
        <v>228.99999546556745</v>
      </c>
      <c r="M6775" s="8">
        <v>1</v>
      </c>
      <c r="N6775" s="8" t="s">
        <v>27</v>
      </c>
      <c r="O6775" s="13"/>
      <c r="P6775" s="14">
        <v>0.2</v>
      </c>
      <c r="Q6775" s="15">
        <v>0.39999998811939041</v>
      </c>
      <c r="R6775" s="16" t="str">
        <f t="shared" si="572"/>
        <v>LUTRON</v>
      </c>
    </row>
    <row r="6776" spans="1:21" customFormat="1" ht="27" customHeight="1" x14ac:dyDescent="0.25">
      <c r="A6776" s="32" t="s">
        <v>5672</v>
      </c>
      <c r="H6776" s="32" t="s">
        <v>13942</v>
      </c>
      <c r="I6776" s="33" t="s">
        <v>13943</v>
      </c>
      <c r="J6776" s="34" t="s">
        <v>26</v>
      </c>
      <c r="K6776" s="42">
        <v>139.5</v>
      </c>
      <c r="L6776" s="12">
        <f t="shared" si="574"/>
        <v>278.99999447551664</v>
      </c>
      <c r="M6776" s="8">
        <v>1</v>
      </c>
      <c r="N6776" s="8" t="s">
        <v>27</v>
      </c>
      <c r="O6776" s="13"/>
      <c r="P6776" s="14">
        <v>0.2</v>
      </c>
      <c r="Q6776" s="15">
        <v>0.39999998811939041</v>
      </c>
      <c r="R6776" s="16" t="str">
        <f t="shared" si="572"/>
        <v>LUTRON</v>
      </c>
    </row>
    <row r="6777" spans="1:21" customFormat="1" ht="27" customHeight="1" x14ac:dyDescent="0.25">
      <c r="A6777" s="32" t="s">
        <v>5672</v>
      </c>
      <c r="H6777" s="32" t="s">
        <v>13944</v>
      </c>
      <c r="I6777" s="33" t="s">
        <v>13945</v>
      </c>
      <c r="J6777" s="34" t="s">
        <v>26</v>
      </c>
      <c r="K6777" s="42">
        <v>305</v>
      </c>
      <c r="L6777" s="12">
        <f t="shared" si="574"/>
        <v>609.99998792138047</v>
      </c>
      <c r="M6777" s="8">
        <v>1</v>
      </c>
      <c r="N6777" s="8" t="s">
        <v>27</v>
      </c>
      <c r="O6777" s="13"/>
      <c r="P6777" s="14">
        <v>0.2</v>
      </c>
      <c r="Q6777" s="15">
        <v>0.39999998811939041</v>
      </c>
      <c r="R6777" s="16" t="str">
        <f t="shared" si="572"/>
        <v>LUTRON</v>
      </c>
    </row>
    <row r="6778" spans="1:21" customFormat="1" ht="27" customHeight="1" x14ac:dyDescent="0.25">
      <c r="A6778" s="32" t="s">
        <v>3694</v>
      </c>
      <c r="H6778" s="32" t="s">
        <v>13946</v>
      </c>
      <c r="I6778" s="33" t="s">
        <v>13947</v>
      </c>
      <c r="J6778" s="34" t="s">
        <v>33</v>
      </c>
      <c r="K6778" s="42">
        <v>270020</v>
      </c>
      <c r="L6778" s="12">
        <f t="shared" si="574"/>
        <v>450033.33333333337</v>
      </c>
      <c r="M6778" s="8">
        <v>1</v>
      </c>
      <c r="N6778" s="8" t="s">
        <v>27</v>
      </c>
      <c r="O6778" s="13"/>
      <c r="P6778" s="14">
        <v>0</v>
      </c>
      <c r="Q6778" s="15">
        <v>0.4</v>
      </c>
      <c r="R6778" s="40" t="str">
        <f t="shared" si="572"/>
        <v>IMOU</v>
      </c>
    </row>
    <row r="6779" spans="1:21" customFormat="1" ht="27" customHeight="1" x14ac:dyDescent="0.25">
      <c r="A6779" s="76" t="s">
        <v>2086</v>
      </c>
      <c r="B6779" s="76"/>
      <c r="C6779" s="76"/>
      <c r="D6779" s="76"/>
      <c r="E6779" s="76"/>
      <c r="F6779" s="76"/>
      <c r="G6779" s="76"/>
      <c r="H6779" s="76" t="s">
        <v>13948</v>
      </c>
      <c r="I6779" s="76" t="s">
        <v>13949</v>
      </c>
      <c r="J6779" s="76" t="s">
        <v>26</v>
      </c>
      <c r="K6779" s="77">
        <v>121.67</v>
      </c>
      <c r="L6779" s="12">
        <f t="shared" si="574"/>
        <v>185.58491290727136</v>
      </c>
      <c r="M6779" s="106">
        <v>1</v>
      </c>
      <c r="N6779" s="106" t="s">
        <v>27</v>
      </c>
      <c r="O6779" s="78"/>
      <c r="P6779" s="107">
        <v>0.2</v>
      </c>
      <c r="Q6779" s="108">
        <v>0.21327656589761809</v>
      </c>
      <c r="R6779" s="10" t="str">
        <f t="shared" si="572"/>
        <v>EATON</v>
      </c>
      <c r="S6779" s="76"/>
      <c r="T6779" s="76"/>
      <c r="U6779" s="76"/>
    </row>
    <row r="6780" spans="1:21" customFormat="1" ht="27" customHeight="1" x14ac:dyDescent="0.25">
      <c r="A6780" t="s">
        <v>3694</v>
      </c>
      <c r="H6780" t="s">
        <v>13950</v>
      </c>
      <c r="I6780" t="s">
        <v>13951</v>
      </c>
      <c r="J6780" t="s">
        <v>33</v>
      </c>
      <c r="K6780" s="42">
        <v>88000</v>
      </c>
      <c r="L6780" s="12">
        <f t="shared" si="574"/>
        <v>134227.60200410851</v>
      </c>
      <c r="M6780" s="106">
        <v>1</v>
      </c>
      <c r="N6780" s="106" t="s">
        <v>27</v>
      </c>
      <c r="O6780" s="78"/>
      <c r="P6780" s="107">
        <v>0.2</v>
      </c>
      <c r="Q6780" s="108">
        <v>0.21327656589761809</v>
      </c>
      <c r="R6780" s="10" t="str">
        <f t="shared" si="572"/>
        <v>IMOU</v>
      </c>
      <c r="S6780" s="76"/>
    </row>
    <row r="6781" spans="1:21" customFormat="1" ht="27" customHeight="1" x14ac:dyDescent="0.25">
      <c r="A6781" t="s">
        <v>5001</v>
      </c>
      <c r="H6781" t="s">
        <v>13952</v>
      </c>
      <c r="I6781" t="s">
        <v>13953</v>
      </c>
      <c r="J6781" t="s">
        <v>33</v>
      </c>
      <c r="K6781" s="42">
        <v>26000</v>
      </c>
      <c r="L6781" s="12">
        <f t="shared" si="574"/>
        <v>43333.333333333336</v>
      </c>
      <c r="M6781" s="106">
        <v>1</v>
      </c>
      <c r="N6781" s="106" t="s">
        <v>27</v>
      </c>
      <c r="O6781" s="78"/>
      <c r="P6781" s="107">
        <v>0</v>
      </c>
      <c r="Q6781" s="108">
        <v>0.4</v>
      </c>
      <c r="R6781" s="10" t="str">
        <f t="shared" si="572"/>
        <v>LANPRO</v>
      </c>
    </row>
    <row r="6782" spans="1:21" customFormat="1" ht="27" customHeight="1" x14ac:dyDescent="0.25">
      <c r="A6782" t="s">
        <v>11685</v>
      </c>
      <c r="H6782" t="s">
        <v>13954</v>
      </c>
      <c r="I6782" t="s">
        <v>13955</v>
      </c>
      <c r="J6782" t="s">
        <v>26</v>
      </c>
      <c r="K6782" s="42">
        <v>92</v>
      </c>
      <c r="L6782" s="12">
        <f t="shared" si="574"/>
        <v>131.42857142857144</v>
      </c>
      <c r="M6782" s="106">
        <v>1</v>
      </c>
      <c r="N6782" s="106" t="s">
        <v>27</v>
      </c>
      <c r="O6782" s="78"/>
      <c r="P6782" s="107">
        <v>0</v>
      </c>
      <c r="Q6782" s="108">
        <v>0.3</v>
      </c>
      <c r="R6782" s="10" t="str">
        <f t="shared" ref="R6782:R6845" si="575">A6782</f>
        <v>RUIJIE</v>
      </c>
    </row>
    <row r="6783" spans="1:21" customFormat="1" ht="27" customHeight="1" x14ac:dyDescent="0.25">
      <c r="A6783" t="s">
        <v>3977</v>
      </c>
      <c r="H6783" t="s">
        <v>13956</v>
      </c>
      <c r="I6783" t="s">
        <v>13957</v>
      </c>
      <c r="J6783" t="s">
        <v>33</v>
      </c>
      <c r="K6783" s="42">
        <v>10000</v>
      </c>
      <c r="L6783" s="12">
        <f t="shared" si="574"/>
        <v>14285.714285714286</v>
      </c>
      <c r="M6783" s="106">
        <v>1</v>
      </c>
      <c r="N6783" s="106" t="s">
        <v>27</v>
      </c>
      <c r="O6783" s="78"/>
      <c r="P6783" s="107">
        <v>0</v>
      </c>
      <c r="Q6783" s="108">
        <v>0.3</v>
      </c>
      <c r="R6783" s="10" t="str">
        <f t="shared" si="575"/>
        <v>KOMODO</v>
      </c>
    </row>
    <row r="6784" spans="1:21" customFormat="1" ht="27" customHeight="1" x14ac:dyDescent="0.25">
      <c r="A6784" t="s">
        <v>13958</v>
      </c>
      <c r="H6784" t="s">
        <v>13959</v>
      </c>
      <c r="I6784" t="s">
        <v>13960</v>
      </c>
      <c r="J6784" t="s">
        <v>26</v>
      </c>
      <c r="K6784" s="42">
        <v>25</v>
      </c>
      <c r="L6784" s="12">
        <f t="shared" si="574"/>
        <v>41.666666666666671</v>
      </c>
      <c r="M6784" s="106">
        <v>1</v>
      </c>
      <c r="N6784" s="106" t="s">
        <v>27</v>
      </c>
      <c r="O6784" s="78"/>
      <c r="P6784" s="107">
        <v>0</v>
      </c>
      <c r="Q6784" s="108">
        <v>0.4</v>
      </c>
      <c r="R6784" s="10" t="str">
        <f t="shared" si="575"/>
        <v>COMP</v>
      </c>
    </row>
    <row r="6785" spans="1:28" customFormat="1" ht="27" customHeight="1" x14ac:dyDescent="0.25">
      <c r="A6785" t="s">
        <v>1561</v>
      </c>
      <c r="H6785" t="s">
        <v>13961</v>
      </c>
      <c r="I6785" t="s">
        <v>13962</v>
      </c>
      <c r="J6785" t="s">
        <v>33</v>
      </c>
      <c r="K6785" s="42">
        <v>191000</v>
      </c>
      <c r="L6785" s="12">
        <f t="shared" si="574"/>
        <v>272857.1428571429</v>
      </c>
      <c r="M6785" s="106">
        <v>1</v>
      </c>
      <c r="N6785" s="106" t="s">
        <v>27</v>
      </c>
      <c r="O6785" s="78"/>
      <c r="P6785" s="107">
        <v>0</v>
      </c>
      <c r="Q6785" s="108">
        <v>0.3</v>
      </c>
      <c r="R6785" s="10" t="str">
        <f t="shared" si="575"/>
        <v>DAHUA</v>
      </c>
      <c r="AB6785" s="112"/>
    </row>
    <row r="6786" spans="1:28" customFormat="1" ht="27" customHeight="1" x14ac:dyDescent="0.25">
      <c r="A6786" t="s">
        <v>9568</v>
      </c>
      <c r="H6786" t="s">
        <v>13963</v>
      </c>
      <c r="I6786" t="s">
        <v>13964</v>
      </c>
      <c r="J6786" t="s">
        <v>33</v>
      </c>
      <c r="K6786" s="42">
        <v>204000</v>
      </c>
      <c r="L6786" s="12">
        <f t="shared" si="574"/>
        <v>291428.57142857142</v>
      </c>
      <c r="M6786" s="106">
        <v>1</v>
      </c>
      <c r="N6786" s="106" t="s">
        <v>27</v>
      </c>
      <c r="O6786" s="78"/>
      <c r="P6786" s="107">
        <v>0</v>
      </c>
      <c r="Q6786" s="108">
        <v>0.3</v>
      </c>
      <c r="R6786" s="10" t="str">
        <f t="shared" si="575"/>
        <v>WESTERN DIGITAL</v>
      </c>
      <c r="AB6786" s="112"/>
    </row>
    <row r="6787" spans="1:28" customFormat="1" ht="27" customHeight="1" x14ac:dyDescent="0.25">
      <c r="A6787" s="32" t="s">
        <v>2512</v>
      </c>
      <c r="H6787" t="s">
        <v>13965</v>
      </c>
      <c r="I6787" s="33" t="s">
        <v>13966</v>
      </c>
      <c r="J6787" s="34" t="s">
        <v>33</v>
      </c>
      <c r="K6787" s="42">
        <v>7500000</v>
      </c>
      <c r="L6787" s="12">
        <f t="shared" si="574"/>
        <v>12500000</v>
      </c>
      <c r="M6787" s="8">
        <v>1</v>
      </c>
      <c r="N6787" s="8" t="s">
        <v>27</v>
      </c>
      <c r="O6787" s="13"/>
      <c r="P6787" s="14">
        <v>0</v>
      </c>
      <c r="Q6787" s="15">
        <v>0.4</v>
      </c>
      <c r="R6787" s="40" t="str">
        <f t="shared" si="575"/>
        <v>GENERAL</v>
      </c>
      <c r="AB6787" s="112"/>
    </row>
    <row r="6788" spans="1:28" customFormat="1" ht="27" customHeight="1" x14ac:dyDescent="0.25">
      <c r="A6788" s="32" t="s">
        <v>9731</v>
      </c>
      <c r="H6788" t="s">
        <v>13967</v>
      </c>
      <c r="I6788" s="38" t="s">
        <v>13968</v>
      </c>
      <c r="J6788" s="34" t="s">
        <v>33</v>
      </c>
      <c r="K6788" s="42">
        <v>1700000</v>
      </c>
      <c r="L6788" s="12">
        <f t="shared" si="574"/>
        <v>2833333.3333333335</v>
      </c>
      <c r="M6788" s="8">
        <v>1</v>
      </c>
      <c r="N6788" s="8" t="s">
        <v>27</v>
      </c>
      <c r="O6788" s="13"/>
      <c r="P6788" s="14">
        <v>0</v>
      </c>
      <c r="Q6788" s="15">
        <v>0.4</v>
      </c>
      <c r="R6788" s="40" t="str">
        <f t="shared" si="575"/>
        <v>SOMFY</v>
      </c>
      <c r="AB6788" s="112"/>
    </row>
    <row r="6789" spans="1:28" s="76" customFormat="1" ht="27" customHeight="1" x14ac:dyDescent="0.25">
      <c r="A6789" s="105" t="s">
        <v>13969</v>
      </c>
      <c r="H6789" s="76" t="s">
        <v>13970</v>
      </c>
      <c r="I6789" s="33" t="s">
        <v>13971</v>
      </c>
      <c r="J6789" s="34" t="s">
        <v>33</v>
      </c>
      <c r="K6789" s="77">
        <v>95000</v>
      </c>
      <c r="L6789" s="12">
        <f t="shared" si="574"/>
        <v>135714.28571428571</v>
      </c>
      <c r="M6789" s="106">
        <v>1</v>
      </c>
      <c r="N6789" s="106" t="s">
        <v>27</v>
      </c>
      <c r="O6789" s="78"/>
      <c r="P6789" s="107">
        <v>0</v>
      </c>
      <c r="Q6789" s="108">
        <v>0.3</v>
      </c>
      <c r="R6789" s="45" t="str">
        <f t="shared" si="575"/>
        <v>LEOCH</v>
      </c>
      <c r="AB6789" s="112"/>
    </row>
    <row r="6790" spans="1:28" s="76" customFormat="1" ht="27" customHeight="1" x14ac:dyDescent="0.25">
      <c r="A6790" s="105" t="s">
        <v>2124</v>
      </c>
      <c r="H6790" s="76" t="s">
        <v>13972</v>
      </c>
      <c r="I6790" s="33" t="s">
        <v>13973</v>
      </c>
      <c r="J6790" s="34" t="s">
        <v>33</v>
      </c>
      <c r="K6790" s="77">
        <v>95000</v>
      </c>
      <c r="L6790" s="12">
        <f t="shared" si="574"/>
        <v>135714.28571428571</v>
      </c>
      <c r="M6790" s="106">
        <v>1</v>
      </c>
      <c r="N6790" s="106" t="s">
        <v>27</v>
      </c>
      <c r="O6790" s="78"/>
      <c r="P6790" s="107">
        <v>0</v>
      </c>
      <c r="Q6790" s="108">
        <v>0.3</v>
      </c>
      <c r="R6790" s="45" t="str">
        <f t="shared" si="575"/>
        <v>ECOLUZ</v>
      </c>
      <c r="AB6790" s="112"/>
    </row>
    <row r="6791" spans="1:28" s="76" customFormat="1" ht="27" customHeight="1" x14ac:dyDescent="0.25">
      <c r="A6791" s="105" t="s">
        <v>13974</v>
      </c>
      <c r="H6791" s="76" t="s">
        <v>13975</v>
      </c>
      <c r="I6791" s="33" t="s">
        <v>13976</v>
      </c>
      <c r="J6791" s="34" t="s">
        <v>33</v>
      </c>
      <c r="K6791" s="77">
        <f>21715389.7058824*0.8</f>
        <v>17372311.764705922</v>
      </c>
      <c r="L6791" s="12">
        <f t="shared" si="574"/>
        <v>24817588.235294178</v>
      </c>
      <c r="M6791" s="106">
        <v>1</v>
      </c>
      <c r="N6791" s="106" t="s">
        <v>27</v>
      </c>
      <c r="O6791" s="78"/>
      <c r="P6791" s="107">
        <v>0</v>
      </c>
      <c r="Q6791" s="108">
        <v>0.3</v>
      </c>
      <c r="R6791" s="45" t="str">
        <f t="shared" si="575"/>
        <v>ARTEMIDE</v>
      </c>
      <c r="AB6791" s="112"/>
    </row>
    <row r="6792" spans="1:28" s="76" customFormat="1" ht="27" customHeight="1" x14ac:dyDescent="0.25">
      <c r="A6792" s="105" t="s">
        <v>2512</v>
      </c>
      <c r="H6792" s="76" t="s">
        <v>13977</v>
      </c>
      <c r="I6792" s="33" t="s">
        <v>13978</v>
      </c>
      <c r="J6792" s="34" t="s">
        <v>33</v>
      </c>
      <c r="K6792" s="77">
        <v>4000000</v>
      </c>
      <c r="L6792" s="12">
        <f t="shared" si="574"/>
        <v>5714285.7142857146</v>
      </c>
      <c r="M6792" s="106">
        <v>1</v>
      </c>
      <c r="N6792" s="106" t="s">
        <v>27</v>
      </c>
      <c r="O6792" s="78"/>
      <c r="P6792" s="107">
        <v>0</v>
      </c>
      <c r="Q6792" s="108">
        <v>0.3</v>
      </c>
      <c r="R6792" s="45" t="str">
        <f t="shared" si="575"/>
        <v>GENERAL</v>
      </c>
      <c r="AB6792" s="112"/>
    </row>
    <row r="6793" spans="1:28" s="76" customFormat="1" ht="27" customHeight="1" x14ac:dyDescent="0.25">
      <c r="A6793" s="105" t="s">
        <v>13391</v>
      </c>
      <c r="H6793" s="76" t="s">
        <v>13979</v>
      </c>
      <c r="I6793" s="33" t="s">
        <v>13980</v>
      </c>
      <c r="J6793" s="34" t="s">
        <v>33</v>
      </c>
      <c r="K6793" s="77">
        <f>1150000/1.19</f>
        <v>966386.55462184874</v>
      </c>
      <c r="L6793" s="12">
        <f t="shared" si="574"/>
        <v>1380552.2208883555</v>
      </c>
      <c r="M6793" s="106">
        <v>1</v>
      </c>
      <c r="N6793" s="106" t="s">
        <v>27</v>
      </c>
      <c r="O6793" s="78"/>
      <c r="P6793" s="107">
        <v>0</v>
      </c>
      <c r="Q6793" s="108">
        <v>0.3</v>
      </c>
      <c r="R6793" s="45" t="str">
        <f t="shared" si="575"/>
        <v>COLORS</v>
      </c>
      <c r="AB6793" s="112"/>
    </row>
    <row r="6794" spans="1:28" customFormat="1" ht="27" customHeight="1" x14ac:dyDescent="0.25">
      <c r="A6794" s="105" t="s">
        <v>13391</v>
      </c>
      <c r="H6794" s="76" t="s">
        <v>13981</v>
      </c>
      <c r="I6794" s="33" t="s">
        <v>13982</v>
      </c>
      <c r="J6794" s="34" t="s">
        <v>33</v>
      </c>
      <c r="K6794" s="42">
        <v>14500</v>
      </c>
      <c r="L6794" s="12">
        <f t="shared" si="574"/>
        <v>20714.285714285717</v>
      </c>
      <c r="M6794" s="106">
        <v>1</v>
      </c>
      <c r="N6794" s="106" t="s">
        <v>27</v>
      </c>
      <c r="O6794" s="78"/>
      <c r="P6794" s="107">
        <v>0</v>
      </c>
      <c r="Q6794" s="108">
        <v>0.3</v>
      </c>
      <c r="R6794" s="45" t="str">
        <f t="shared" si="575"/>
        <v>COLORS</v>
      </c>
      <c r="AB6794" s="112"/>
    </row>
    <row r="6795" spans="1:28" customFormat="1" ht="27" customHeight="1" x14ac:dyDescent="0.25">
      <c r="A6795" s="105" t="s">
        <v>13983</v>
      </c>
      <c r="H6795" s="76" t="s">
        <v>13984</v>
      </c>
      <c r="I6795" s="76" t="s">
        <v>13985</v>
      </c>
      <c r="J6795" s="34" t="s">
        <v>26</v>
      </c>
      <c r="K6795" s="77">
        <v>25.88625</v>
      </c>
      <c r="L6795" s="12">
        <f t="shared" si="574"/>
        <v>56.086875000000013</v>
      </c>
      <c r="M6795" s="106">
        <v>1</v>
      </c>
      <c r="N6795" s="106" t="s">
        <v>27</v>
      </c>
      <c r="O6795" s="78"/>
      <c r="P6795" s="107">
        <v>0.3</v>
      </c>
      <c r="Q6795" s="108">
        <v>0.4</v>
      </c>
      <c r="R6795" s="45" t="str">
        <f t="shared" si="575"/>
        <v>HOFFLIGHTS</v>
      </c>
      <c r="AB6795" s="112"/>
    </row>
    <row r="6796" spans="1:28" customFormat="1" ht="27" customHeight="1" x14ac:dyDescent="0.25">
      <c r="A6796" s="105" t="s">
        <v>13983</v>
      </c>
      <c r="H6796" t="s">
        <v>13986</v>
      </c>
      <c r="I6796" t="s">
        <v>13987</v>
      </c>
      <c r="J6796" s="34" t="s">
        <v>26</v>
      </c>
      <c r="K6796" s="77">
        <v>25.88625</v>
      </c>
      <c r="L6796" s="12">
        <f t="shared" si="574"/>
        <v>56.086875000000013</v>
      </c>
      <c r="M6796" s="106">
        <v>1</v>
      </c>
      <c r="N6796" s="106" t="s">
        <v>27</v>
      </c>
      <c r="O6796" s="78"/>
      <c r="P6796" s="107">
        <v>0.3</v>
      </c>
      <c r="Q6796" s="108">
        <v>0.4</v>
      </c>
      <c r="R6796" s="45" t="str">
        <f t="shared" si="575"/>
        <v>HOFFLIGHTS</v>
      </c>
      <c r="AB6796" s="112"/>
    </row>
    <row r="6797" spans="1:28" customFormat="1" ht="27" customHeight="1" x14ac:dyDescent="0.25">
      <c r="A6797" s="105" t="s">
        <v>13983</v>
      </c>
      <c r="H6797" t="s">
        <v>13988</v>
      </c>
      <c r="I6797" t="s">
        <v>13989</v>
      </c>
      <c r="J6797" s="34" t="s">
        <v>26</v>
      </c>
      <c r="K6797" s="77">
        <v>25.88625</v>
      </c>
      <c r="L6797" s="12">
        <f t="shared" si="574"/>
        <v>56.086875000000013</v>
      </c>
      <c r="M6797" s="106">
        <v>1</v>
      </c>
      <c r="N6797" s="106" t="s">
        <v>27</v>
      </c>
      <c r="O6797" s="78"/>
      <c r="P6797" s="107">
        <v>0.3</v>
      </c>
      <c r="Q6797" s="108">
        <v>0.4</v>
      </c>
      <c r="R6797" s="45" t="str">
        <f t="shared" si="575"/>
        <v>HOFFLIGHTS</v>
      </c>
      <c r="AB6797" s="112"/>
    </row>
    <row r="6798" spans="1:28" customFormat="1" ht="27" customHeight="1" x14ac:dyDescent="0.25">
      <c r="A6798" s="105" t="s">
        <v>13983</v>
      </c>
      <c r="H6798" t="s">
        <v>13990</v>
      </c>
      <c r="I6798" t="s">
        <v>13991</v>
      </c>
      <c r="J6798" s="34" t="s">
        <v>26</v>
      </c>
      <c r="K6798" s="77">
        <v>25.88625</v>
      </c>
      <c r="L6798" s="12">
        <f t="shared" si="574"/>
        <v>56.086875000000013</v>
      </c>
      <c r="M6798" s="106">
        <v>1</v>
      </c>
      <c r="N6798" s="106" t="s">
        <v>27</v>
      </c>
      <c r="O6798" s="78"/>
      <c r="P6798" s="107">
        <v>0.3</v>
      </c>
      <c r="Q6798" s="108">
        <v>0.4</v>
      </c>
      <c r="R6798" s="45" t="str">
        <f t="shared" si="575"/>
        <v>HOFFLIGHTS</v>
      </c>
      <c r="AB6798" s="112"/>
    </row>
    <row r="6799" spans="1:28" customFormat="1" ht="27" customHeight="1" x14ac:dyDescent="0.25">
      <c r="A6799" s="105" t="s">
        <v>13983</v>
      </c>
      <c r="H6799" t="s">
        <v>13992</v>
      </c>
      <c r="I6799" t="s">
        <v>13993</v>
      </c>
      <c r="J6799" s="34" t="s">
        <v>26</v>
      </c>
      <c r="K6799" s="77">
        <v>28.372499999999999</v>
      </c>
      <c r="L6799" s="12">
        <f t="shared" si="574"/>
        <v>61.473750000000003</v>
      </c>
      <c r="M6799" s="106">
        <v>1</v>
      </c>
      <c r="N6799" s="106" t="s">
        <v>27</v>
      </c>
      <c r="O6799" s="78"/>
      <c r="P6799" s="107">
        <v>0.3</v>
      </c>
      <c r="Q6799" s="108">
        <v>0.4</v>
      </c>
      <c r="R6799" s="45" t="str">
        <f t="shared" si="575"/>
        <v>HOFFLIGHTS</v>
      </c>
      <c r="AB6799" s="112"/>
    </row>
    <row r="6800" spans="1:28" customFormat="1" ht="27" customHeight="1" x14ac:dyDescent="0.25">
      <c r="A6800" s="105" t="s">
        <v>13983</v>
      </c>
      <c r="H6800" t="s">
        <v>13994</v>
      </c>
      <c r="I6800" t="s">
        <v>13995</v>
      </c>
      <c r="J6800" s="34" t="s">
        <v>26</v>
      </c>
      <c r="K6800" s="77">
        <v>28.372499999999999</v>
      </c>
      <c r="L6800" s="12">
        <f t="shared" si="574"/>
        <v>61.473750000000003</v>
      </c>
      <c r="M6800" s="106">
        <v>1</v>
      </c>
      <c r="N6800" s="106" t="s">
        <v>27</v>
      </c>
      <c r="O6800" s="78"/>
      <c r="P6800" s="107">
        <v>0.3</v>
      </c>
      <c r="Q6800" s="108">
        <v>0.4</v>
      </c>
      <c r="R6800" s="45" t="str">
        <f t="shared" si="575"/>
        <v>HOFFLIGHTS</v>
      </c>
      <c r="AB6800" s="112"/>
    </row>
    <row r="6801" spans="1:18" customFormat="1" ht="27" customHeight="1" x14ac:dyDescent="0.25">
      <c r="A6801" s="105" t="s">
        <v>13983</v>
      </c>
      <c r="H6801" t="s">
        <v>13996</v>
      </c>
      <c r="I6801" t="s">
        <v>13997</v>
      </c>
      <c r="J6801" s="34" t="s">
        <v>26</v>
      </c>
      <c r="K6801" s="77">
        <v>28.372499999999999</v>
      </c>
      <c r="L6801" s="12">
        <f t="shared" si="574"/>
        <v>61.473750000000003</v>
      </c>
      <c r="M6801" s="106">
        <v>1</v>
      </c>
      <c r="N6801" s="106" t="s">
        <v>27</v>
      </c>
      <c r="O6801" s="78"/>
      <c r="P6801" s="107">
        <v>0.3</v>
      </c>
      <c r="Q6801" s="108">
        <v>0.4</v>
      </c>
      <c r="R6801" s="45" t="str">
        <f t="shared" si="575"/>
        <v>HOFFLIGHTS</v>
      </c>
    </row>
    <row r="6802" spans="1:18" customFormat="1" ht="27" customHeight="1" x14ac:dyDescent="0.25">
      <c r="A6802" s="105" t="s">
        <v>13983</v>
      </c>
      <c r="H6802" t="s">
        <v>13998</v>
      </c>
      <c r="I6802" t="s">
        <v>13999</v>
      </c>
      <c r="J6802" s="34" t="s">
        <v>26</v>
      </c>
      <c r="K6802" s="77">
        <v>28.372499999999999</v>
      </c>
      <c r="L6802" s="12">
        <f t="shared" si="574"/>
        <v>61.473750000000003</v>
      </c>
      <c r="M6802" s="106">
        <v>1</v>
      </c>
      <c r="N6802" s="106" t="s">
        <v>27</v>
      </c>
      <c r="O6802" s="78"/>
      <c r="P6802" s="107">
        <v>0.3</v>
      </c>
      <c r="Q6802" s="108">
        <v>0.4</v>
      </c>
      <c r="R6802" s="45" t="str">
        <f t="shared" si="575"/>
        <v>HOFFLIGHTS</v>
      </c>
    </row>
    <row r="6803" spans="1:18" customFormat="1" ht="27" customHeight="1" x14ac:dyDescent="0.25">
      <c r="A6803" s="105" t="s">
        <v>13983</v>
      </c>
      <c r="H6803" t="s">
        <v>14000</v>
      </c>
      <c r="I6803" t="s">
        <v>14001</v>
      </c>
      <c r="J6803" s="34" t="s">
        <v>26</v>
      </c>
      <c r="K6803" s="77">
        <v>51.1875</v>
      </c>
      <c r="L6803" s="12">
        <f t="shared" si="574"/>
        <v>110.90625000000001</v>
      </c>
      <c r="M6803" s="106">
        <v>1</v>
      </c>
      <c r="N6803" s="106" t="s">
        <v>27</v>
      </c>
      <c r="O6803" s="78"/>
      <c r="P6803" s="107">
        <v>0.3</v>
      </c>
      <c r="Q6803" s="108">
        <v>0.4</v>
      </c>
      <c r="R6803" s="45" t="str">
        <f t="shared" si="575"/>
        <v>HOFFLIGHTS</v>
      </c>
    </row>
    <row r="6804" spans="1:18" customFormat="1" ht="27" customHeight="1" x14ac:dyDescent="0.25">
      <c r="A6804" s="105" t="s">
        <v>13983</v>
      </c>
      <c r="H6804" t="s">
        <v>14002</v>
      </c>
      <c r="I6804" t="s">
        <v>14003</v>
      </c>
      <c r="J6804" s="34" t="s">
        <v>26</v>
      </c>
      <c r="K6804" s="77">
        <v>51.1875</v>
      </c>
      <c r="L6804" s="12">
        <f t="shared" si="574"/>
        <v>110.90625000000001</v>
      </c>
      <c r="M6804" s="106">
        <v>1</v>
      </c>
      <c r="N6804" s="106" t="s">
        <v>27</v>
      </c>
      <c r="O6804" s="78"/>
      <c r="P6804" s="107">
        <v>0.3</v>
      </c>
      <c r="Q6804" s="108">
        <v>0.4</v>
      </c>
      <c r="R6804" s="45" t="str">
        <f t="shared" si="575"/>
        <v>HOFFLIGHTS</v>
      </c>
    </row>
    <row r="6805" spans="1:18" customFormat="1" ht="27" customHeight="1" x14ac:dyDescent="0.25">
      <c r="A6805" s="105" t="s">
        <v>13983</v>
      </c>
      <c r="H6805" t="s">
        <v>14004</v>
      </c>
      <c r="I6805" t="s">
        <v>14005</v>
      </c>
      <c r="J6805" s="34" t="s">
        <v>26</v>
      </c>
      <c r="K6805" s="77">
        <v>51.1875</v>
      </c>
      <c r="L6805" s="12">
        <f t="shared" si="574"/>
        <v>110.90625000000001</v>
      </c>
      <c r="M6805" s="106">
        <v>1</v>
      </c>
      <c r="N6805" s="106" t="s">
        <v>27</v>
      </c>
      <c r="O6805" s="78"/>
      <c r="P6805" s="107">
        <v>0.3</v>
      </c>
      <c r="Q6805" s="108">
        <v>0.4</v>
      </c>
      <c r="R6805" s="45" t="str">
        <f t="shared" si="575"/>
        <v>HOFFLIGHTS</v>
      </c>
    </row>
    <row r="6806" spans="1:18" customFormat="1" ht="27" customHeight="1" x14ac:dyDescent="0.25">
      <c r="A6806" s="105" t="s">
        <v>13983</v>
      </c>
      <c r="H6806" t="s">
        <v>14006</v>
      </c>
      <c r="I6806" t="s">
        <v>14007</v>
      </c>
      <c r="J6806" s="34" t="s">
        <v>26</v>
      </c>
      <c r="K6806" s="77">
        <v>51.1875</v>
      </c>
      <c r="L6806" s="12">
        <f t="shared" si="574"/>
        <v>110.90625000000001</v>
      </c>
      <c r="M6806" s="106">
        <v>1</v>
      </c>
      <c r="N6806" s="106" t="s">
        <v>27</v>
      </c>
      <c r="O6806" s="78"/>
      <c r="P6806" s="107">
        <v>0.3</v>
      </c>
      <c r="Q6806" s="108">
        <v>0.4</v>
      </c>
      <c r="R6806" s="45" t="str">
        <f t="shared" si="575"/>
        <v>HOFFLIGHTS</v>
      </c>
    </row>
    <row r="6807" spans="1:18" customFormat="1" ht="27" customHeight="1" x14ac:dyDescent="0.25">
      <c r="A6807" s="105" t="s">
        <v>13983</v>
      </c>
      <c r="H6807" t="s">
        <v>14008</v>
      </c>
      <c r="I6807" t="s">
        <v>14009</v>
      </c>
      <c r="J6807" s="34" t="s">
        <v>26</v>
      </c>
      <c r="K6807" s="77">
        <v>27.348749999999999</v>
      </c>
      <c r="L6807" s="12">
        <f t="shared" si="574"/>
        <v>59.255625000000009</v>
      </c>
      <c r="M6807" s="106">
        <v>1</v>
      </c>
      <c r="N6807" s="106" t="s">
        <v>27</v>
      </c>
      <c r="O6807" s="78"/>
      <c r="P6807" s="107">
        <v>0.3</v>
      </c>
      <c r="Q6807" s="108">
        <v>0.4</v>
      </c>
      <c r="R6807" s="45" t="str">
        <f t="shared" si="575"/>
        <v>HOFFLIGHTS</v>
      </c>
    </row>
    <row r="6808" spans="1:18" customFormat="1" ht="27" customHeight="1" x14ac:dyDescent="0.25">
      <c r="A6808" s="105" t="s">
        <v>13983</v>
      </c>
      <c r="H6808" t="s">
        <v>14010</v>
      </c>
      <c r="I6808" t="s">
        <v>14011</v>
      </c>
      <c r="J6808" s="34" t="s">
        <v>26</v>
      </c>
      <c r="K6808" s="77">
        <v>27.348749999999999</v>
      </c>
      <c r="L6808" s="12">
        <f t="shared" si="574"/>
        <v>59.255625000000009</v>
      </c>
      <c r="M6808" s="106">
        <v>1</v>
      </c>
      <c r="N6808" s="106" t="s">
        <v>27</v>
      </c>
      <c r="O6808" s="78"/>
      <c r="P6808" s="107">
        <v>0.3</v>
      </c>
      <c r="Q6808" s="108">
        <v>0.4</v>
      </c>
      <c r="R6808" s="45" t="str">
        <f t="shared" si="575"/>
        <v>HOFFLIGHTS</v>
      </c>
    </row>
    <row r="6809" spans="1:18" customFormat="1" ht="27" customHeight="1" x14ac:dyDescent="0.25">
      <c r="A6809" s="105" t="s">
        <v>13983</v>
      </c>
      <c r="H6809" t="s">
        <v>14012</v>
      </c>
      <c r="I6809" t="s">
        <v>14013</v>
      </c>
      <c r="J6809" s="34" t="s">
        <v>26</v>
      </c>
      <c r="K6809" s="77">
        <v>31.8825</v>
      </c>
      <c r="L6809" s="12">
        <f t="shared" si="574"/>
        <v>69.078750000000014</v>
      </c>
      <c r="M6809" s="106">
        <v>1</v>
      </c>
      <c r="N6809" s="106" t="s">
        <v>27</v>
      </c>
      <c r="O6809" s="78"/>
      <c r="P6809" s="107">
        <v>0.3</v>
      </c>
      <c r="Q6809" s="108">
        <v>0.4</v>
      </c>
      <c r="R6809" s="45" t="str">
        <f t="shared" si="575"/>
        <v>HOFFLIGHTS</v>
      </c>
    </row>
    <row r="6810" spans="1:18" customFormat="1" ht="27" customHeight="1" x14ac:dyDescent="0.25">
      <c r="A6810" s="105" t="s">
        <v>13983</v>
      </c>
      <c r="H6810" t="s">
        <v>14014</v>
      </c>
      <c r="I6810" t="s">
        <v>14015</v>
      </c>
      <c r="J6810" s="34" t="s">
        <v>26</v>
      </c>
      <c r="K6810" s="77">
        <v>31.8825</v>
      </c>
      <c r="L6810" s="12">
        <f t="shared" si="574"/>
        <v>69.078750000000014</v>
      </c>
      <c r="M6810" s="106">
        <v>1</v>
      </c>
      <c r="N6810" s="106" t="s">
        <v>27</v>
      </c>
      <c r="O6810" s="78"/>
      <c r="P6810" s="107">
        <v>0.3</v>
      </c>
      <c r="Q6810" s="108">
        <v>0.4</v>
      </c>
      <c r="R6810" s="45" t="str">
        <f t="shared" si="575"/>
        <v>HOFFLIGHTS</v>
      </c>
    </row>
    <row r="6811" spans="1:18" customFormat="1" ht="27" customHeight="1" x14ac:dyDescent="0.25">
      <c r="A6811" s="105" t="s">
        <v>13983</v>
      </c>
      <c r="H6811" t="s">
        <v>14016</v>
      </c>
      <c r="I6811" t="s">
        <v>14017</v>
      </c>
      <c r="J6811" s="34" t="s">
        <v>26</v>
      </c>
      <c r="K6811" s="77">
        <v>42.704999999999998</v>
      </c>
      <c r="L6811" s="12">
        <f t="shared" si="574"/>
        <v>92.527500000000003</v>
      </c>
      <c r="M6811" s="106">
        <v>1</v>
      </c>
      <c r="N6811" s="106" t="s">
        <v>27</v>
      </c>
      <c r="O6811" s="78"/>
      <c r="P6811" s="107">
        <v>0.3</v>
      </c>
      <c r="Q6811" s="108">
        <v>0.4</v>
      </c>
      <c r="R6811" s="45" t="str">
        <f t="shared" si="575"/>
        <v>HOFFLIGHTS</v>
      </c>
    </row>
    <row r="6812" spans="1:18" customFormat="1" ht="27" customHeight="1" x14ac:dyDescent="0.25">
      <c r="A6812" s="105" t="s">
        <v>13983</v>
      </c>
      <c r="H6812" t="s">
        <v>14018</v>
      </c>
      <c r="I6812" t="s">
        <v>14019</v>
      </c>
      <c r="J6812" s="34" t="s">
        <v>26</v>
      </c>
      <c r="K6812" s="77">
        <v>42.704999999999998</v>
      </c>
      <c r="L6812" s="12">
        <f t="shared" si="574"/>
        <v>92.527500000000003</v>
      </c>
      <c r="M6812" s="106">
        <v>1</v>
      </c>
      <c r="N6812" s="106" t="s">
        <v>27</v>
      </c>
      <c r="O6812" s="78"/>
      <c r="P6812" s="107">
        <v>0.3</v>
      </c>
      <c r="Q6812" s="108">
        <v>0.4</v>
      </c>
      <c r="R6812" s="45" t="str">
        <f t="shared" si="575"/>
        <v>HOFFLIGHTS</v>
      </c>
    </row>
    <row r="6813" spans="1:18" customFormat="1" ht="27" customHeight="1" x14ac:dyDescent="0.25">
      <c r="A6813" s="105" t="s">
        <v>13983</v>
      </c>
      <c r="H6813" t="s">
        <v>14020</v>
      </c>
      <c r="I6813" t="s">
        <v>14021</v>
      </c>
      <c r="J6813" s="34" t="s">
        <v>26</v>
      </c>
      <c r="K6813" s="77">
        <v>62.01</v>
      </c>
      <c r="L6813" s="12">
        <f t="shared" si="574"/>
        <v>134.35500000000002</v>
      </c>
      <c r="M6813" s="106">
        <v>1</v>
      </c>
      <c r="N6813" s="106" t="s">
        <v>27</v>
      </c>
      <c r="O6813" s="78"/>
      <c r="P6813" s="107">
        <v>0.3</v>
      </c>
      <c r="Q6813" s="108">
        <v>0.4</v>
      </c>
      <c r="R6813" s="45" t="str">
        <f t="shared" si="575"/>
        <v>HOFFLIGHTS</v>
      </c>
    </row>
    <row r="6814" spans="1:18" customFormat="1" ht="27" customHeight="1" x14ac:dyDescent="0.25">
      <c r="A6814" s="105" t="s">
        <v>13983</v>
      </c>
      <c r="H6814" t="s">
        <v>14022</v>
      </c>
      <c r="I6814" t="s">
        <v>14023</v>
      </c>
      <c r="J6814" s="34" t="s">
        <v>26</v>
      </c>
      <c r="K6814" s="77">
        <v>62.01</v>
      </c>
      <c r="L6814" s="12">
        <f t="shared" si="574"/>
        <v>134.35500000000002</v>
      </c>
      <c r="M6814" s="106">
        <v>1</v>
      </c>
      <c r="N6814" s="106" t="s">
        <v>27</v>
      </c>
      <c r="O6814" s="78"/>
      <c r="P6814" s="107">
        <v>0.3</v>
      </c>
      <c r="Q6814" s="108">
        <v>0.4</v>
      </c>
      <c r="R6814" s="45" t="str">
        <f t="shared" si="575"/>
        <v>HOFFLIGHTS</v>
      </c>
    </row>
    <row r="6815" spans="1:18" customFormat="1" ht="27" customHeight="1" x14ac:dyDescent="0.25">
      <c r="A6815" s="105" t="s">
        <v>13983</v>
      </c>
      <c r="H6815" t="s">
        <v>14024</v>
      </c>
      <c r="I6815" t="s">
        <v>14025</v>
      </c>
      <c r="J6815" s="34" t="s">
        <v>26</v>
      </c>
      <c r="K6815" s="77">
        <v>12.13875</v>
      </c>
      <c r="L6815" s="12">
        <f t="shared" si="574"/>
        <v>26.300625000000004</v>
      </c>
      <c r="M6815" s="106">
        <v>1</v>
      </c>
      <c r="N6815" s="106" t="s">
        <v>27</v>
      </c>
      <c r="O6815" s="78"/>
      <c r="P6815" s="107">
        <v>0.3</v>
      </c>
      <c r="Q6815" s="108">
        <v>0.4</v>
      </c>
      <c r="R6815" s="45" t="str">
        <f t="shared" si="575"/>
        <v>HOFFLIGHTS</v>
      </c>
    </row>
    <row r="6816" spans="1:18" customFormat="1" ht="27" customHeight="1" x14ac:dyDescent="0.25">
      <c r="A6816" s="105" t="s">
        <v>13983</v>
      </c>
      <c r="H6816" t="s">
        <v>14026</v>
      </c>
      <c r="I6816" t="s">
        <v>14027</v>
      </c>
      <c r="J6816" s="34" t="s">
        <v>26</v>
      </c>
      <c r="K6816" s="77">
        <v>12.13875</v>
      </c>
      <c r="L6816" s="12">
        <f t="shared" si="574"/>
        <v>26.300625000000004</v>
      </c>
      <c r="M6816" s="106">
        <v>1</v>
      </c>
      <c r="N6816" s="106" t="s">
        <v>27</v>
      </c>
      <c r="O6816" s="78"/>
      <c r="P6816" s="107">
        <v>0.3</v>
      </c>
      <c r="Q6816" s="108">
        <v>0.4</v>
      </c>
      <c r="R6816" s="45" t="str">
        <f t="shared" si="575"/>
        <v>HOFFLIGHTS</v>
      </c>
    </row>
    <row r="6817" spans="1:18" customFormat="1" ht="27" customHeight="1" x14ac:dyDescent="0.25">
      <c r="A6817" s="105" t="s">
        <v>13983</v>
      </c>
      <c r="H6817" t="s">
        <v>14028</v>
      </c>
      <c r="I6817" t="s">
        <v>14029</v>
      </c>
      <c r="J6817" s="34" t="s">
        <v>26</v>
      </c>
      <c r="K6817" s="77">
        <v>14.9175</v>
      </c>
      <c r="L6817" s="12">
        <f t="shared" si="574"/>
        <v>32.321249999999999</v>
      </c>
      <c r="M6817" s="106">
        <v>1</v>
      </c>
      <c r="N6817" s="106" t="s">
        <v>27</v>
      </c>
      <c r="O6817" s="78"/>
      <c r="P6817" s="107">
        <v>0.3</v>
      </c>
      <c r="Q6817" s="108">
        <v>0.4</v>
      </c>
      <c r="R6817" s="45" t="str">
        <f t="shared" si="575"/>
        <v>HOFFLIGHTS</v>
      </c>
    </row>
    <row r="6818" spans="1:18" customFormat="1" ht="27" customHeight="1" x14ac:dyDescent="0.25">
      <c r="A6818" s="105" t="s">
        <v>13983</v>
      </c>
      <c r="H6818" t="s">
        <v>14030</v>
      </c>
      <c r="I6818" t="s">
        <v>14031</v>
      </c>
      <c r="J6818" s="34" t="s">
        <v>26</v>
      </c>
      <c r="K6818" s="77">
        <v>14.9175</v>
      </c>
      <c r="L6818" s="12">
        <f t="shared" si="574"/>
        <v>32.321249999999999</v>
      </c>
      <c r="M6818" s="106">
        <v>1</v>
      </c>
      <c r="N6818" s="106" t="s">
        <v>27</v>
      </c>
      <c r="O6818" s="78"/>
      <c r="P6818" s="107">
        <v>0.3</v>
      </c>
      <c r="Q6818" s="108">
        <v>0.4</v>
      </c>
      <c r="R6818" s="45" t="str">
        <f t="shared" si="575"/>
        <v>HOFFLIGHTS</v>
      </c>
    </row>
    <row r="6819" spans="1:18" customFormat="1" ht="27" customHeight="1" x14ac:dyDescent="0.25">
      <c r="A6819" s="105" t="s">
        <v>13983</v>
      </c>
      <c r="H6819" t="s">
        <v>14032</v>
      </c>
      <c r="I6819" t="s">
        <v>14033</v>
      </c>
      <c r="J6819" s="34" t="s">
        <v>26</v>
      </c>
      <c r="K6819" s="77">
        <v>20.328749999999999</v>
      </c>
      <c r="L6819" s="12">
        <f t="shared" si="574"/>
        <v>44.045625000000001</v>
      </c>
      <c r="M6819" s="106">
        <v>1</v>
      </c>
      <c r="N6819" s="106" t="s">
        <v>27</v>
      </c>
      <c r="O6819" s="78"/>
      <c r="P6819" s="107">
        <v>0.3</v>
      </c>
      <c r="Q6819" s="108">
        <v>0.4</v>
      </c>
      <c r="R6819" s="45" t="str">
        <f t="shared" si="575"/>
        <v>HOFFLIGHTS</v>
      </c>
    </row>
    <row r="6820" spans="1:18" customFormat="1" ht="27" customHeight="1" x14ac:dyDescent="0.25">
      <c r="A6820" s="105" t="s">
        <v>13983</v>
      </c>
      <c r="H6820" t="s">
        <v>14034</v>
      </c>
      <c r="I6820" t="s">
        <v>14035</v>
      </c>
      <c r="J6820" s="34" t="s">
        <v>26</v>
      </c>
      <c r="K6820" s="77">
        <v>20.328749999999999</v>
      </c>
      <c r="L6820" s="12">
        <f t="shared" si="574"/>
        <v>44.045625000000001</v>
      </c>
      <c r="M6820" s="106">
        <v>1</v>
      </c>
      <c r="N6820" s="106" t="s">
        <v>27</v>
      </c>
      <c r="O6820" s="78"/>
      <c r="P6820" s="107">
        <v>0.3</v>
      </c>
      <c r="Q6820" s="108">
        <v>0.4</v>
      </c>
      <c r="R6820" s="45" t="str">
        <f t="shared" si="575"/>
        <v>HOFFLIGHTS</v>
      </c>
    </row>
    <row r="6821" spans="1:18" customFormat="1" ht="27" customHeight="1" x14ac:dyDescent="0.25">
      <c r="A6821" s="105" t="s">
        <v>13983</v>
      </c>
      <c r="H6821" t="s">
        <v>14036</v>
      </c>
      <c r="I6821" t="s">
        <v>14037</v>
      </c>
      <c r="J6821" s="34" t="s">
        <v>26</v>
      </c>
      <c r="K6821" s="77">
        <v>21.06</v>
      </c>
      <c r="L6821" s="12">
        <f t="shared" si="574"/>
        <v>45.63</v>
      </c>
      <c r="M6821" s="106">
        <v>1</v>
      </c>
      <c r="N6821" s="106" t="s">
        <v>27</v>
      </c>
      <c r="O6821" s="78"/>
      <c r="P6821" s="107">
        <v>0.3</v>
      </c>
      <c r="Q6821" s="108">
        <v>0.4</v>
      </c>
      <c r="R6821" s="45" t="str">
        <f t="shared" si="575"/>
        <v>HOFFLIGHTS</v>
      </c>
    </row>
    <row r="6822" spans="1:18" customFormat="1" ht="27" customHeight="1" x14ac:dyDescent="0.25">
      <c r="A6822" s="105" t="s">
        <v>13983</v>
      </c>
      <c r="H6822" t="s">
        <v>14038</v>
      </c>
      <c r="I6822" t="s">
        <v>14039</v>
      </c>
      <c r="J6822" s="34" t="s">
        <v>26</v>
      </c>
      <c r="K6822" s="77">
        <v>2.6032500000000001</v>
      </c>
      <c r="L6822" s="12">
        <f t="shared" si="574"/>
        <v>5.6403750000000006</v>
      </c>
      <c r="M6822" s="106">
        <v>1</v>
      </c>
      <c r="N6822" s="106" t="s">
        <v>27</v>
      </c>
      <c r="O6822" s="78"/>
      <c r="P6822" s="107">
        <v>0.3</v>
      </c>
      <c r="Q6822" s="108">
        <v>0.4</v>
      </c>
      <c r="R6822" s="45" t="str">
        <f t="shared" si="575"/>
        <v>HOFFLIGHTS</v>
      </c>
    </row>
    <row r="6823" spans="1:18" customFormat="1" ht="27" customHeight="1" x14ac:dyDescent="0.25">
      <c r="A6823" s="105" t="s">
        <v>13983</v>
      </c>
      <c r="H6823" t="s">
        <v>14040</v>
      </c>
      <c r="I6823" t="s">
        <v>14041</v>
      </c>
      <c r="J6823" s="34" t="s">
        <v>26</v>
      </c>
      <c r="K6823" s="77">
        <v>3.51</v>
      </c>
      <c r="L6823" s="12">
        <f t="shared" si="574"/>
        <v>7.6049999999999995</v>
      </c>
      <c r="M6823" s="106">
        <v>1</v>
      </c>
      <c r="N6823" s="106" t="s">
        <v>27</v>
      </c>
      <c r="O6823" s="78"/>
      <c r="P6823" s="107">
        <v>0.3</v>
      </c>
      <c r="Q6823" s="108">
        <v>0.4</v>
      </c>
      <c r="R6823" s="45" t="str">
        <f t="shared" si="575"/>
        <v>HOFFLIGHTS</v>
      </c>
    </row>
    <row r="6824" spans="1:18" customFormat="1" ht="27" customHeight="1" x14ac:dyDescent="0.25">
      <c r="A6824" s="105" t="s">
        <v>13983</v>
      </c>
      <c r="H6824" t="s">
        <v>14042</v>
      </c>
      <c r="I6824" t="s">
        <v>14043</v>
      </c>
      <c r="J6824" s="34" t="s">
        <v>26</v>
      </c>
      <c r="K6824" s="77">
        <v>23.692499999999999</v>
      </c>
      <c r="L6824" s="12">
        <f t="shared" si="574"/>
        <v>51.333750000000002</v>
      </c>
      <c r="M6824" s="106">
        <v>1</v>
      </c>
      <c r="N6824" s="106" t="s">
        <v>27</v>
      </c>
      <c r="O6824" s="78"/>
      <c r="P6824" s="107">
        <v>0.3</v>
      </c>
      <c r="Q6824" s="108">
        <v>0.4</v>
      </c>
      <c r="R6824" s="45" t="str">
        <f t="shared" si="575"/>
        <v>HOFFLIGHTS</v>
      </c>
    </row>
    <row r="6825" spans="1:18" customFormat="1" ht="27" customHeight="1" x14ac:dyDescent="0.25">
      <c r="A6825" s="105" t="s">
        <v>13983</v>
      </c>
      <c r="H6825" t="s">
        <v>14044</v>
      </c>
      <c r="I6825" t="s">
        <v>14045</v>
      </c>
      <c r="J6825" s="34" t="s">
        <v>26</v>
      </c>
      <c r="K6825" s="77">
        <v>23.692499999999999</v>
      </c>
      <c r="L6825" s="12">
        <f t="shared" si="574"/>
        <v>51.333750000000002</v>
      </c>
      <c r="M6825" s="106">
        <v>1</v>
      </c>
      <c r="N6825" s="106" t="s">
        <v>27</v>
      </c>
      <c r="O6825" s="78"/>
      <c r="P6825" s="107">
        <v>0.3</v>
      </c>
      <c r="Q6825" s="108">
        <v>0.4</v>
      </c>
      <c r="R6825" s="45" t="str">
        <f t="shared" si="575"/>
        <v>HOFFLIGHTS</v>
      </c>
    </row>
    <row r="6826" spans="1:18" customFormat="1" ht="27" customHeight="1" x14ac:dyDescent="0.25">
      <c r="A6826" s="105" t="s">
        <v>13983</v>
      </c>
      <c r="H6826" t="s">
        <v>14046</v>
      </c>
      <c r="I6826" t="s">
        <v>14047</v>
      </c>
      <c r="J6826" s="34" t="s">
        <v>26</v>
      </c>
      <c r="K6826" s="77">
        <v>16.672499999999999</v>
      </c>
      <c r="L6826" s="12">
        <f t="shared" ref="L6826:L6889" si="576">K6826*(1+P6826)/(1-Q6826)</f>
        <v>36.123750000000001</v>
      </c>
      <c r="M6826" s="106">
        <v>1</v>
      </c>
      <c r="N6826" s="106" t="s">
        <v>27</v>
      </c>
      <c r="O6826" s="78"/>
      <c r="P6826" s="107">
        <v>0.3</v>
      </c>
      <c r="Q6826" s="108">
        <v>0.4</v>
      </c>
      <c r="R6826" s="45" t="str">
        <f t="shared" si="575"/>
        <v>HOFFLIGHTS</v>
      </c>
    </row>
    <row r="6827" spans="1:18" customFormat="1" ht="27" customHeight="1" x14ac:dyDescent="0.25">
      <c r="A6827" s="105" t="s">
        <v>13983</v>
      </c>
      <c r="H6827" t="s">
        <v>14048</v>
      </c>
      <c r="I6827" t="s">
        <v>14049</v>
      </c>
      <c r="J6827" s="34" t="s">
        <v>26</v>
      </c>
      <c r="K6827" s="77">
        <v>16.672499999999999</v>
      </c>
      <c r="L6827" s="12">
        <f t="shared" si="576"/>
        <v>36.123750000000001</v>
      </c>
      <c r="M6827" s="106">
        <v>1</v>
      </c>
      <c r="N6827" s="106" t="s">
        <v>27</v>
      </c>
      <c r="O6827" s="78"/>
      <c r="P6827" s="107">
        <v>0.3</v>
      </c>
      <c r="Q6827" s="108">
        <v>0.4</v>
      </c>
      <c r="R6827" s="45" t="str">
        <f t="shared" si="575"/>
        <v>HOFFLIGHTS</v>
      </c>
    </row>
    <row r="6828" spans="1:18" customFormat="1" ht="27" customHeight="1" x14ac:dyDescent="0.25">
      <c r="A6828" s="105" t="s">
        <v>13983</v>
      </c>
      <c r="H6828" t="s">
        <v>14050</v>
      </c>
      <c r="I6828" t="s">
        <v>14051</v>
      </c>
      <c r="J6828" s="34" t="s">
        <v>26</v>
      </c>
      <c r="K6828" s="77">
        <v>16.672499999999999</v>
      </c>
      <c r="L6828" s="12">
        <f t="shared" si="576"/>
        <v>36.123750000000001</v>
      </c>
      <c r="M6828" s="106">
        <v>1</v>
      </c>
      <c r="N6828" s="106" t="s">
        <v>27</v>
      </c>
      <c r="O6828" s="78"/>
      <c r="P6828" s="107">
        <v>0.3</v>
      </c>
      <c r="Q6828" s="108">
        <v>0.4</v>
      </c>
      <c r="R6828" s="45" t="str">
        <f t="shared" si="575"/>
        <v>HOFFLIGHTS</v>
      </c>
    </row>
    <row r="6829" spans="1:18" customFormat="1" ht="27" customHeight="1" x14ac:dyDescent="0.25">
      <c r="A6829" s="105" t="s">
        <v>13983</v>
      </c>
      <c r="H6829" t="s">
        <v>14052</v>
      </c>
      <c r="I6829" t="s">
        <v>14053</v>
      </c>
      <c r="J6829" s="34" t="s">
        <v>26</v>
      </c>
      <c r="K6829" s="77">
        <v>16.672499999999999</v>
      </c>
      <c r="L6829" s="12">
        <f t="shared" si="576"/>
        <v>36.123750000000001</v>
      </c>
      <c r="M6829" s="106">
        <v>1</v>
      </c>
      <c r="N6829" s="106" t="s">
        <v>27</v>
      </c>
      <c r="O6829" s="78"/>
      <c r="P6829" s="107">
        <v>0.3</v>
      </c>
      <c r="Q6829" s="108">
        <v>0.4</v>
      </c>
      <c r="R6829" s="45" t="str">
        <f t="shared" si="575"/>
        <v>HOFFLIGHTS</v>
      </c>
    </row>
    <row r="6830" spans="1:18" customFormat="1" ht="27" customHeight="1" x14ac:dyDescent="0.25">
      <c r="A6830" s="105" t="s">
        <v>13983</v>
      </c>
      <c r="H6830" t="s">
        <v>14054</v>
      </c>
      <c r="I6830" t="s">
        <v>14055</v>
      </c>
      <c r="J6830" s="34" t="s">
        <v>26</v>
      </c>
      <c r="K6830" s="77">
        <v>16.672499999999999</v>
      </c>
      <c r="L6830" s="12">
        <f t="shared" si="576"/>
        <v>36.123750000000001</v>
      </c>
      <c r="M6830" s="106">
        <v>1</v>
      </c>
      <c r="N6830" s="106" t="s">
        <v>27</v>
      </c>
      <c r="O6830" s="78"/>
      <c r="P6830" s="107">
        <v>0.3</v>
      </c>
      <c r="Q6830" s="108">
        <v>0.4</v>
      </c>
      <c r="R6830" s="45" t="str">
        <f t="shared" si="575"/>
        <v>HOFFLIGHTS</v>
      </c>
    </row>
    <row r="6831" spans="1:18" customFormat="1" ht="27" customHeight="1" x14ac:dyDescent="0.25">
      <c r="A6831" s="105" t="s">
        <v>13983</v>
      </c>
      <c r="H6831" t="s">
        <v>14056</v>
      </c>
      <c r="I6831" t="s">
        <v>14057</v>
      </c>
      <c r="J6831" s="34" t="s">
        <v>26</v>
      </c>
      <c r="K6831" s="77">
        <v>16.672499999999999</v>
      </c>
      <c r="L6831" s="12">
        <f t="shared" si="576"/>
        <v>36.123750000000001</v>
      </c>
      <c r="M6831" s="106">
        <v>1</v>
      </c>
      <c r="N6831" s="106" t="s">
        <v>27</v>
      </c>
      <c r="O6831" s="78"/>
      <c r="P6831" s="107">
        <v>0.3</v>
      </c>
      <c r="Q6831" s="108">
        <v>0.4</v>
      </c>
      <c r="R6831" s="45" t="str">
        <f t="shared" si="575"/>
        <v>HOFFLIGHTS</v>
      </c>
    </row>
    <row r="6832" spans="1:18" customFormat="1" ht="27" customHeight="1" x14ac:dyDescent="0.25">
      <c r="A6832" s="105" t="s">
        <v>13983</v>
      </c>
      <c r="H6832" t="s">
        <v>14058</v>
      </c>
      <c r="I6832" t="s">
        <v>14059</v>
      </c>
      <c r="J6832" s="34" t="s">
        <v>26</v>
      </c>
      <c r="K6832" s="77">
        <v>19.89</v>
      </c>
      <c r="L6832" s="12">
        <f t="shared" si="576"/>
        <v>43.095000000000006</v>
      </c>
      <c r="M6832" s="106">
        <v>1</v>
      </c>
      <c r="N6832" s="106" t="s">
        <v>27</v>
      </c>
      <c r="O6832" s="78"/>
      <c r="P6832" s="107">
        <v>0.3</v>
      </c>
      <c r="Q6832" s="108">
        <v>0.4</v>
      </c>
      <c r="R6832" s="45" t="str">
        <f t="shared" si="575"/>
        <v>HOFFLIGHTS</v>
      </c>
    </row>
    <row r="6833" spans="1:18" customFormat="1" ht="27" customHeight="1" x14ac:dyDescent="0.25">
      <c r="A6833" s="105" t="s">
        <v>13983</v>
      </c>
      <c r="H6833" t="s">
        <v>14060</v>
      </c>
      <c r="I6833" t="s">
        <v>14061</v>
      </c>
      <c r="J6833" s="34" t="s">
        <v>26</v>
      </c>
      <c r="K6833" s="77">
        <v>19.89</v>
      </c>
      <c r="L6833" s="12">
        <f t="shared" si="576"/>
        <v>43.095000000000006</v>
      </c>
      <c r="M6833" s="106">
        <v>1</v>
      </c>
      <c r="N6833" s="106" t="s">
        <v>27</v>
      </c>
      <c r="O6833" s="78"/>
      <c r="P6833" s="107">
        <v>0.3</v>
      </c>
      <c r="Q6833" s="108">
        <v>0.4</v>
      </c>
      <c r="R6833" s="45" t="str">
        <f t="shared" si="575"/>
        <v>HOFFLIGHTS</v>
      </c>
    </row>
    <row r="6834" spans="1:18" customFormat="1" ht="27" customHeight="1" x14ac:dyDescent="0.25">
      <c r="A6834" s="105" t="s">
        <v>13983</v>
      </c>
      <c r="H6834" t="s">
        <v>14062</v>
      </c>
      <c r="I6834" t="s">
        <v>14063</v>
      </c>
      <c r="J6834" s="34" t="s">
        <v>26</v>
      </c>
      <c r="K6834" s="77">
        <v>19.89</v>
      </c>
      <c r="L6834" s="12">
        <f t="shared" si="576"/>
        <v>43.095000000000006</v>
      </c>
      <c r="M6834" s="106">
        <v>1</v>
      </c>
      <c r="N6834" s="106" t="s">
        <v>27</v>
      </c>
      <c r="O6834" s="78"/>
      <c r="P6834" s="107">
        <v>0.3</v>
      </c>
      <c r="Q6834" s="108">
        <v>0.4</v>
      </c>
      <c r="R6834" s="45" t="str">
        <f t="shared" si="575"/>
        <v>HOFFLIGHTS</v>
      </c>
    </row>
    <row r="6835" spans="1:18" customFormat="1" ht="27" customHeight="1" x14ac:dyDescent="0.25">
      <c r="A6835" s="105" t="s">
        <v>13983</v>
      </c>
      <c r="H6835" t="s">
        <v>14064</v>
      </c>
      <c r="I6835" t="s">
        <v>14065</v>
      </c>
      <c r="J6835" s="34" t="s">
        <v>26</v>
      </c>
      <c r="K6835" s="77">
        <v>19.89</v>
      </c>
      <c r="L6835" s="12">
        <f t="shared" si="576"/>
        <v>43.095000000000006</v>
      </c>
      <c r="M6835" s="106">
        <v>1</v>
      </c>
      <c r="N6835" s="106" t="s">
        <v>27</v>
      </c>
      <c r="O6835" s="78"/>
      <c r="P6835" s="107">
        <v>0.3</v>
      </c>
      <c r="Q6835" s="108">
        <v>0.4</v>
      </c>
      <c r="R6835" s="45" t="str">
        <f t="shared" si="575"/>
        <v>HOFFLIGHTS</v>
      </c>
    </row>
    <row r="6836" spans="1:18" customFormat="1" ht="27" customHeight="1" x14ac:dyDescent="0.25">
      <c r="A6836" s="105" t="s">
        <v>13983</v>
      </c>
      <c r="H6836" t="s">
        <v>14066</v>
      </c>
      <c r="I6836" t="s">
        <v>14067</v>
      </c>
      <c r="J6836" s="34" t="s">
        <v>26</v>
      </c>
      <c r="K6836" s="77">
        <v>19.89</v>
      </c>
      <c r="L6836" s="12">
        <f t="shared" si="576"/>
        <v>43.095000000000006</v>
      </c>
      <c r="M6836" s="106">
        <v>1</v>
      </c>
      <c r="N6836" s="106" t="s">
        <v>27</v>
      </c>
      <c r="O6836" s="78"/>
      <c r="P6836" s="107">
        <v>0.3</v>
      </c>
      <c r="Q6836" s="108">
        <v>0.4</v>
      </c>
      <c r="R6836" s="45" t="str">
        <f t="shared" si="575"/>
        <v>HOFFLIGHTS</v>
      </c>
    </row>
    <row r="6837" spans="1:18" customFormat="1" ht="27" customHeight="1" x14ac:dyDescent="0.25">
      <c r="A6837" s="105" t="s">
        <v>13983</v>
      </c>
      <c r="H6837" t="s">
        <v>14068</v>
      </c>
      <c r="I6837" t="s">
        <v>14069</v>
      </c>
      <c r="J6837" s="34" t="s">
        <v>26</v>
      </c>
      <c r="K6837" s="77">
        <v>19.89</v>
      </c>
      <c r="L6837" s="12">
        <f t="shared" si="576"/>
        <v>43.095000000000006</v>
      </c>
      <c r="M6837" s="106">
        <v>1</v>
      </c>
      <c r="N6837" s="106" t="s">
        <v>27</v>
      </c>
      <c r="O6837" s="78"/>
      <c r="P6837" s="107">
        <v>0.3</v>
      </c>
      <c r="Q6837" s="108">
        <v>0.4</v>
      </c>
      <c r="R6837" s="45" t="str">
        <f t="shared" si="575"/>
        <v>HOFFLIGHTS</v>
      </c>
    </row>
    <row r="6838" spans="1:18" customFormat="1" ht="27" customHeight="1" x14ac:dyDescent="0.25">
      <c r="A6838" s="105" t="s">
        <v>13983</v>
      </c>
      <c r="H6838" t="s">
        <v>14070</v>
      </c>
      <c r="I6838" t="s">
        <v>14071</v>
      </c>
      <c r="J6838" s="34" t="s">
        <v>26</v>
      </c>
      <c r="K6838" s="77">
        <v>28.08</v>
      </c>
      <c r="L6838" s="12">
        <f t="shared" si="576"/>
        <v>60.839999999999996</v>
      </c>
      <c r="M6838" s="106">
        <v>1</v>
      </c>
      <c r="N6838" s="106" t="s">
        <v>27</v>
      </c>
      <c r="O6838" s="78"/>
      <c r="P6838" s="107">
        <v>0.3</v>
      </c>
      <c r="Q6838" s="108">
        <v>0.4</v>
      </c>
      <c r="R6838" s="45" t="str">
        <f t="shared" si="575"/>
        <v>HOFFLIGHTS</v>
      </c>
    </row>
    <row r="6839" spans="1:18" customFormat="1" ht="27" customHeight="1" x14ac:dyDescent="0.25">
      <c r="A6839" s="105" t="s">
        <v>13983</v>
      </c>
      <c r="H6839" t="s">
        <v>14072</v>
      </c>
      <c r="I6839" t="s">
        <v>14073</v>
      </c>
      <c r="J6839" s="34" t="s">
        <v>26</v>
      </c>
      <c r="K6839" s="77">
        <v>28.08</v>
      </c>
      <c r="L6839" s="12">
        <f t="shared" si="576"/>
        <v>60.839999999999996</v>
      </c>
      <c r="M6839" s="106">
        <v>1</v>
      </c>
      <c r="N6839" s="106" t="s">
        <v>27</v>
      </c>
      <c r="O6839" s="78"/>
      <c r="P6839" s="107">
        <v>0.3</v>
      </c>
      <c r="Q6839" s="108">
        <v>0.4</v>
      </c>
      <c r="R6839" s="45" t="str">
        <f t="shared" si="575"/>
        <v>HOFFLIGHTS</v>
      </c>
    </row>
    <row r="6840" spans="1:18" customFormat="1" ht="27" customHeight="1" x14ac:dyDescent="0.25">
      <c r="A6840" s="105" t="s">
        <v>13983</v>
      </c>
      <c r="H6840" t="s">
        <v>14074</v>
      </c>
      <c r="I6840" t="s">
        <v>14075</v>
      </c>
      <c r="J6840" s="34" t="s">
        <v>26</v>
      </c>
      <c r="K6840" s="77">
        <v>28.08</v>
      </c>
      <c r="L6840" s="12">
        <f t="shared" si="576"/>
        <v>60.839999999999996</v>
      </c>
      <c r="M6840" s="106">
        <v>1</v>
      </c>
      <c r="N6840" s="106" t="s">
        <v>27</v>
      </c>
      <c r="O6840" s="78"/>
      <c r="P6840" s="107">
        <v>0.3</v>
      </c>
      <c r="Q6840" s="108">
        <v>0.4</v>
      </c>
      <c r="R6840" s="45" t="str">
        <f t="shared" si="575"/>
        <v>HOFFLIGHTS</v>
      </c>
    </row>
    <row r="6841" spans="1:18" customFormat="1" ht="27" customHeight="1" x14ac:dyDescent="0.25">
      <c r="A6841" s="105" t="s">
        <v>13983</v>
      </c>
      <c r="H6841" t="s">
        <v>14076</v>
      </c>
      <c r="I6841" t="s">
        <v>14077</v>
      </c>
      <c r="J6841" s="34" t="s">
        <v>26</v>
      </c>
      <c r="K6841" s="77">
        <v>28.08</v>
      </c>
      <c r="L6841" s="12">
        <f t="shared" si="576"/>
        <v>60.839999999999996</v>
      </c>
      <c r="M6841" s="106">
        <v>1</v>
      </c>
      <c r="N6841" s="106" t="s">
        <v>27</v>
      </c>
      <c r="O6841" s="78"/>
      <c r="P6841" s="107">
        <v>0.3</v>
      </c>
      <c r="Q6841" s="108">
        <v>0.4</v>
      </c>
      <c r="R6841" s="45" t="str">
        <f t="shared" si="575"/>
        <v>HOFFLIGHTS</v>
      </c>
    </row>
    <row r="6842" spans="1:18" customFormat="1" ht="27" customHeight="1" x14ac:dyDescent="0.25">
      <c r="A6842" s="105" t="s">
        <v>13983</v>
      </c>
      <c r="H6842" t="s">
        <v>14078</v>
      </c>
      <c r="I6842" t="s">
        <v>14079</v>
      </c>
      <c r="J6842" s="34" t="s">
        <v>26</v>
      </c>
      <c r="K6842" s="77">
        <v>28.08</v>
      </c>
      <c r="L6842" s="12">
        <f t="shared" si="576"/>
        <v>60.839999999999996</v>
      </c>
      <c r="M6842" s="106">
        <v>1</v>
      </c>
      <c r="N6842" s="106" t="s">
        <v>27</v>
      </c>
      <c r="O6842" s="78"/>
      <c r="P6842" s="107">
        <v>0.3</v>
      </c>
      <c r="Q6842" s="108">
        <v>0.4</v>
      </c>
      <c r="R6842" s="45" t="str">
        <f t="shared" si="575"/>
        <v>HOFFLIGHTS</v>
      </c>
    </row>
    <row r="6843" spans="1:18" customFormat="1" ht="27" customHeight="1" x14ac:dyDescent="0.25">
      <c r="A6843" s="105" t="s">
        <v>13983</v>
      </c>
      <c r="H6843" t="s">
        <v>14080</v>
      </c>
      <c r="I6843" t="s">
        <v>14081</v>
      </c>
      <c r="J6843" s="34" t="s">
        <v>26</v>
      </c>
      <c r="K6843" s="77">
        <v>28.08</v>
      </c>
      <c r="L6843" s="12">
        <f t="shared" si="576"/>
        <v>60.839999999999996</v>
      </c>
      <c r="M6843" s="106">
        <v>1</v>
      </c>
      <c r="N6843" s="106" t="s">
        <v>27</v>
      </c>
      <c r="O6843" s="78"/>
      <c r="P6843" s="107">
        <v>0.3</v>
      </c>
      <c r="Q6843" s="108">
        <v>0.4</v>
      </c>
      <c r="R6843" s="45" t="str">
        <f t="shared" si="575"/>
        <v>HOFFLIGHTS</v>
      </c>
    </row>
    <row r="6844" spans="1:18" customFormat="1" ht="27" customHeight="1" x14ac:dyDescent="0.25">
      <c r="A6844" s="105" t="s">
        <v>13983</v>
      </c>
      <c r="H6844" t="s">
        <v>14082</v>
      </c>
      <c r="I6844" t="s">
        <v>14083</v>
      </c>
      <c r="J6844" s="34" t="s">
        <v>26</v>
      </c>
      <c r="K6844" s="77">
        <v>21.645</v>
      </c>
      <c r="L6844" s="12">
        <f t="shared" si="576"/>
        <v>46.897500000000001</v>
      </c>
      <c r="M6844" s="106">
        <v>1</v>
      </c>
      <c r="N6844" s="106" t="s">
        <v>27</v>
      </c>
      <c r="O6844" s="78"/>
      <c r="P6844" s="107">
        <v>0.3</v>
      </c>
      <c r="Q6844" s="108">
        <v>0.4</v>
      </c>
      <c r="R6844" s="45" t="str">
        <f t="shared" si="575"/>
        <v>HOFFLIGHTS</v>
      </c>
    </row>
    <row r="6845" spans="1:18" customFormat="1" ht="27" customHeight="1" x14ac:dyDescent="0.25">
      <c r="A6845" s="105" t="s">
        <v>13983</v>
      </c>
      <c r="H6845" t="s">
        <v>14084</v>
      </c>
      <c r="I6845" t="s">
        <v>14085</v>
      </c>
      <c r="J6845" s="34" t="s">
        <v>26</v>
      </c>
      <c r="K6845" s="77">
        <v>21.645</v>
      </c>
      <c r="L6845" s="12">
        <f t="shared" si="576"/>
        <v>46.897500000000001</v>
      </c>
      <c r="M6845" s="106">
        <v>1</v>
      </c>
      <c r="N6845" s="106" t="s">
        <v>27</v>
      </c>
      <c r="O6845" s="78"/>
      <c r="P6845" s="107">
        <v>0.3</v>
      </c>
      <c r="Q6845" s="108">
        <v>0.4</v>
      </c>
      <c r="R6845" s="45" t="str">
        <f t="shared" si="575"/>
        <v>HOFFLIGHTS</v>
      </c>
    </row>
    <row r="6846" spans="1:18" customFormat="1" ht="27" customHeight="1" x14ac:dyDescent="0.25">
      <c r="A6846" s="105" t="s">
        <v>13983</v>
      </c>
      <c r="H6846" t="s">
        <v>14086</v>
      </c>
      <c r="I6846" t="s">
        <v>14087</v>
      </c>
      <c r="J6846" s="34" t="s">
        <v>26</v>
      </c>
      <c r="K6846" s="77">
        <v>23.838750000000001</v>
      </c>
      <c r="L6846" s="12">
        <f t="shared" si="576"/>
        <v>51.650625000000005</v>
      </c>
      <c r="M6846" s="106">
        <v>1</v>
      </c>
      <c r="N6846" s="106" t="s">
        <v>27</v>
      </c>
      <c r="O6846" s="78"/>
      <c r="P6846" s="107">
        <v>0.3</v>
      </c>
      <c r="Q6846" s="108">
        <v>0.4</v>
      </c>
      <c r="R6846" s="45" t="str">
        <f t="shared" ref="R6846:R6909" si="577">A6846</f>
        <v>HOFFLIGHTS</v>
      </c>
    </row>
    <row r="6847" spans="1:18" customFormat="1" ht="27" customHeight="1" x14ac:dyDescent="0.25">
      <c r="A6847" s="105" t="s">
        <v>13983</v>
      </c>
      <c r="H6847" t="s">
        <v>14088</v>
      </c>
      <c r="I6847" t="s">
        <v>14089</v>
      </c>
      <c r="J6847" s="34" t="s">
        <v>26</v>
      </c>
      <c r="K6847" s="77">
        <v>23.838750000000001</v>
      </c>
      <c r="L6847" s="12">
        <f t="shared" si="576"/>
        <v>51.650625000000005</v>
      </c>
      <c r="M6847" s="106">
        <v>1</v>
      </c>
      <c r="N6847" s="106" t="s">
        <v>27</v>
      </c>
      <c r="O6847" s="78"/>
      <c r="P6847" s="107">
        <v>0.3</v>
      </c>
      <c r="Q6847" s="108">
        <v>0.4</v>
      </c>
      <c r="R6847" s="45" t="str">
        <f t="shared" si="577"/>
        <v>HOFFLIGHTS</v>
      </c>
    </row>
    <row r="6848" spans="1:18" customFormat="1" ht="27" customHeight="1" x14ac:dyDescent="0.25">
      <c r="A6848" s="105" t="s">
        <v>13983</v>
      </c>
      <c r="H6848" t="s">
        <v>14090</v>
      </c>
      <c r="I6848" t="s">
        <v>14091</v>
      </c>
      <c r="J6848" s="34" t="s">
        <v>26</v>
      </c>
      <c r="K6848" s="77">
        <v>23.546250000000001</v>
      </c>
      <c r="L6848" s="12">
        <f t="shared" si="576"/>
        <v>51.016874999999999</v>
      </c>
      <c r="M6848" s="106">
        <v>1</v>
      </c>
      <c r="N6848" s="106" t="s">
        <v>27</v>
      </c>
      <c r="O6848" s="78"/>
      <c r="P6848" s="107">
        <v>0.3</v>
      </c>
      <c r="Q6848" s="108">
        <v>0.4</v>
      </c>
      <c r="R6848" s="45" t="str">
        <f t="shared" si="577"/>
        <v>HOFFLIGHTS</v>
      </c>
    </row>
    <row r="6849" spans="1:18" customFormat="1" ht="27" customHeight="1" x14ac:dyDescent="0.25">
      <c r="A6849" s="105" t="s">
        <v>13983</v>
      </c>
      <c r="H6849" t="s">
        <v>14092</v>
      </c>
      <c r="I6849" t="s">
        <v>14093</v>
      </c>
      <c r="J6849" s="34" t="s">
        <v>26</v>
      </c>
      <c r="K6849" s="77">
        <v>28.22625</v>
      </c>
      <c r="L6849" s="12">
        <f t="shared" si="576"/>
        <v>61.156874999999999</v>
      </c>
      <c r="M6849" s="106">
        <v>1</v>
      </c>
      <c r="N6849" s="106" t="s">
        <v>27</v>
      </c>
      <c r="O6849" s="78"/>
      <c r="P6849" s="107">
        <v>0.3</v>
      </c>
      <c r="Q6849" s="108">
        <v>0.4</v>
      </c>
      <c r="R6849" s="45" t="str">
        <f t="shared" si="577"/>
        <v>HOFFLIGHTS</v>
      </c>
    </row>
    <row r="6850" spans="1:18" customFormat="1" ht="27" customHeight="1" x14ac:dyDescent="0.25">
      <c r="A6850" s="105" t="s">
        <v>13983</v>
      </c>
      <c r="H6850" t="s">
        <v>14094</v>
      </c>
      <c r="I6850" t="s">
        <v>14095</v>
      </c>
      <c r="J6850" s="34" t="s">
        <v>26</v>
      </c>
      <c r="K6850" s="77">
        <v>35.685000000000002</v>
      </c>
      <c r="L6850" s="12">
        <f t="shared" si="576"/>
        <v>77.31750000000001</v>
      </c>
      <c r="M6850" s="106">
        <v>1</v>
      </c>
      <c r="N6850" s="106" t="s">
        <v>27</v>
      </c>
      <c r="O6850" s="78"/>
      <c r="P6850" s="107">
        <v>0.3</v>
      </c>
      <c r="Q6850" s="108">
        <v>0.4</v>
      </c>
      <c r="R6850" s="45" t="str">
        <f t="shared" si="577"/>
        <v>HOFFLIGHTS</v>
      </c>
    </row>
    <row r="6851" spans="1:18" customFormat="1" ht="27" customHeight="1" x14ac:dyDescent="0.25">
      <c r="A6851" s="105" t="s">
        <v>13983</v>
      </c>
      <c r="H6851" t="s">
        <v>14096</v>
      </c>
      <c r="I6851" t="s">
        <v>14097</v>
      </c>
      <c r="J6851" s="34" t="s">
        <v>26</v>
      </c>
      <c r="K6851" s="77">
        <v>23.107500000000002</v>
      </c>
      <c r="L6851" s="12">
        <f t="shared" si="576"/>
        <v>50.066250000000004</v>
      </c>
      <c r="M6851" s="106">
        <v>1</v>
      </c>
      <c r="N6851" s="106" t="s">
        <v>27</v>
      </c>
      <c r="O6851" s="78"/>
      <c r="P6851" s="107">
        <v>0.3</v>
      </c>
      <c r="Q6851" s="108">
        <v>0.4</v>
      </c>
      <c r="R6851" s="45" t="str">
        <f t="shared" si="577"/>
        <v>HOFFLIGHTS</v>
      </c>
    </row>
    <row r="6852" spans="1:18" customFormat="1" ht="27" customHeight="1" x14ac:dyDescent="0.25">
      <c r="A6852" s="105" t="s">
        <v>13983</v>
      </c>
      <c r="H6852" t="s">
        <v>14098</v>
      </c>
      <c r="I6852" t="s">
        <v>14099</v>
      </c>
      <c r="J6852" s="34" t="s">
        <v>26</v>
      </c>
      <c r="K6852" s="77">
        <v>29.835000000000001</v>
      </c>
      <c r="L6852" s="12">
        <f t="shared" si="576"/>
        <v>64.642499999999998</v>
      </c>
      <c r="M6852" s="106">
        <v>1</v>
      </c>
      <c r="N6852" s="106" t="s">
        <v>27</v>
      </c>
      <c r="O6852" s="78"/>
      <c r="P6852" s="107">
        <v>0.3</v>
      </c>
      <c r="Q6852" s="108">
        <v>0.4</v>
      </c>
      <c r="R6852" s="45" t="str">
        <f t="shared" si="577"/>
        <v>HOFFLIGHTS</v>
      </c>
    </row>
    <row r="6853" spans="1:18" customFormat="1" ht="27" customHeight="1" x14ac:dyDescent="0.25">
      <c r="A6853" s="105" t="s">
        <v>13983</v>
      </c>
      <c r="H6853" t="s">
        <v>14100</v>
      </c>
      <c r="I6853" t="s">
        <v>14101</v>
      </c>
      <c r="J6853" s="34" t="s">
        <v>26</v>
      </c>
      <c r="K6853" s="77">
        <v>37.732499999999987</v>
      </c>
      <c r="L6853" s="12">
        <f t="shared" si="576"/>
        <v>81.753749999999982</v>
      </c>
      <c r="M6853" s="106">
        <v>1</v>
      </c>
      <c r="N6853" s="106" t="s">
        <v>27</v>
      </c>
      <c r="O6853" s="78"/>
      <c r="P6853" s="107">
        <v>0.3</v>
      </c>
      <c r="Q6853" s="108">
        <v>0.4</v>
      </c>
      <c r="R6853" s="45" t="str">
        <f t="shared" si="577"/>
        <v>HOFFLIGHTS</v>
      </c>
    </row>
    <row r="6854" spans="1:18" customFormat="1" ht="27" customHeight="1" x14ac:dyDescent="0.25">
      <c r="A6854" s="105" t="s">
        <v>13983</v>
      </c>
      <c r="H6854" t="s">
        <v>14102</v>
      </c>
      <c r="I6854" t="s">
        <v>14103</v>
      </c>
      <c r="J6854" s="34" t="s">
        <v>26</v>
      </c>
      <c r="K6854" s="77">
        <v>17.98875</v>
      </c>
      <c r="L6854" s="12">
        <f t="shared" si="576"/>
        <v>38.975625000000001</v>
      </c>
      <c r="M6854" s="106">
        <v>1</v>
      </c>
      <c r="N6854" s="106" t="s">
        <v>27</v>
      </c>
      <c r="O6854" s="78"/>
      <c r="P6854" s="107">
        <v>0.3</v>
      </c>
      <c r="Q6854" s="108">
        <v>0.4</v>
      </c>
      <c r="R6854" s="45" t="str">
        <f t="shared" si="577"/>
        <v>HOFFLIGHTS</v>
      </c>
    </row>
    <row r="6855" spans="1:18" customFormat="1" ht="27" customHeight="1" x14ac:dyDescent="0.25">
      <c r="A6855" s="105" t="s">
        <v>13983</v>
      </c>
      <c r="H6855" t="s">
        <v>14104</v>
      </c>
      <c r="I6855" t="s">
        <v>14105</v>
      </c>
      <c r="J6855" s="34" t="s">
        <v>26</v>
      </c>
      <c r="K6855" s="77">
        <v>1.8720000000000001</v>
      </c>
      <c r="L6855" s="12">
        <f t="shared" si="576"/>
        <v>4.0560000000000009</v>
      </c>
      <c r="M6855" s="106">
        <v>1</v>
      </c>
      <c r="N6855" s="106" t="s">
        <v>27</v>
      </c>
      <c r="O6855" s="78"/>
      <c r="P6855" s="107">
        <v>0.3</v>
      </c>
      <c r="Q6855" s="108">
        <v>0.4</v>
      </c>
      <c r="R6855" s="45" t="str">
        <f t="shared" si="577"/>
        <v>HOFFLIGHTS</v>
      </c>
    </row>
    <row r="6856" spans="1:18" customFormat="1" ht="27" customHeight="1" x14ac:dyDescent="0.25">
      <c r="A6856" s="105" t="s">
        <v>13983</v>
      </c>
      <c r="H6856" t="s">
        <v>14106</v>
      </c>
      <c r="I6856" t="s">
        <v>14107</v>
      </c>
      <c r="J6856" s="34" t="s">
        <v>26</v>
      </c>
      <c r="K6856" s="77">
        <v>26.6175</v>
      </c>
      <c r="L6856" s="12">
        <f t="shared" si="576"/>
        <v>57.671250000000001</v>
      </c>
      <c r="M6856" s="106">
        <v>1</v>
      </c>
      <c r="N6856" s="106" t="s">
        <v>27</v>
      </c>
      <c r="O6856" s="78"/>
      <c r="P6856" s="107">
        <v>0.3</v>
      </c>
      <c r="Q6856" s="108">
        <v>0.4</v>
      </c>
      <c r="R6856" s="45" t="str">
        <f t="shared" si="577"/>
        <v>HOFFLIGHTS</v>
      </c>
    </row>
    <row r="6857" spans="1:18" customFormat="1" ht="27" customHeight="1" x14ac:dyDescent="0.25">
      <c r="A6857" s="105" t="s">
        <v>13983</v>
      </c>
      <c r="H6857" t="s">
        <v>14108</v>
      </c>
      <c r="I6857" t="s">
        <v>14109</v>
      </c>
      <c r="J6857" s="34" t="s">
        <v>26</v>
      </c>
      <c r="K6857" s="77">
        <v>2.9249999999999998</v>
      </c>
      <c r="L6857" s="12">
        <f t="shared" si="576"/>
        <v>6.3374999999999995</v>
      </c>
      <c r="M6857" s="106">
        <v>1</v>
      </c>
      <c r="N6857" s="106" t="s">
        <v>27</v>
      </c>
      <c r="O6857" s="78"/>
      <c r="P6857" s="107">
        <v>0.3</v>
      </c>
      <c r="Q6857" s="108">
        <v>0.4</v>
      </c>
      <c r="R6857" s="45" t="str">
        <f t="shared" si="577"/>
        <v>HOFFLIGHTS</v>
      </c>
    </row>
    <row r="6858" spans="1:18" customFormat="1" ht="27" customHeight="1" x14ac:dyDescent="0.25">
      <c r="A6858" s="105" t="s">
        <v>13983</v>
      </c>
      <c r="H6858" t="s">
        <v>14110</v>
      </c>
      <c r="I6858" t="s">
        <v>14111</v>
      </c>
      <c r="J6858" s="34" t="s">
        <v>26</v>
      </c>
      <c r="K6858" s="77">
        <v>38.61</v>
      </c>
      <c r="L6858" s="12">
        <f t="shared" si="576"/>
        <v>83.655000000000001</v>
      </c>
      <c r="M6858" s="106">
        <v>1</v>
      </c>
      <c r="N6858" s="106" t="s">
        <v>27</v>
      </c>
      <c r="O6858" s="78"/>
      <c r="P6858" s="107">
        <v>0.3</v>
      </c>
      <c r="Q6858" s="108">
        <v>0.4</v>
      </c>
      <c r="R6858" s="45" t="str">
        <f t="shared" si="577"/>
        <v>HOFFLIGHTS</v>
      </c>
    </row>
    <row r="6859" spans="1:18" customFormat="1" ht="27" customHeight="1" x14ac:dyDescent="0.25">
      <c r="A6859" s="105" t="s">
        <v>13983</v>
      </c>
      <c r="H6859" t="s">
        <v>14112</v>
      </c>
      <c r="I6859" t="s">
        <v>14113</v>
      </c>
      <c r="J6859" s="34" t="s">
        <v>26</v>
      </c>
      <c r="K6859" s="77">
        <v>4.943249999999999</v>
      </c>
      <c r="L6859" s="12">
        <f t="shared" si="576"/>
        <v>10.710374999999999</v>
      </c>
      <c r="M6859" s="106">
        <v>1</v>
      </c>
      <c r="N6859" s="106" t="s">
        <v>27</v>
      </c>
      <c r="O6859" s="78"/>
      <c r="P6859" s="107">
        <v>0.3</v>
      </c>
      <c r="Q6859" s="108">
        <v>0.4</v>
      </c>
      <c r="R6859" s="45" t="str">
        <f t="shared" si="577"/>
        <v>HOFFLIGHTS</v>
      </c>
    </row>
    <row r="6860" spans="1:18" customFormat="1" ht="27" customHeight="1" x14ac:dyDescent="0.25">
      <c r="A6860" s="105" t="s">
        <v>13983</v>
      </c>
      <c r="H6860" t="s">
        <v>14114</v>
      </c>
      <c r="I6860" t="s">
        <v>14115</v>
      </c>
      <c r="J6860" s="34" t="s">
        <v>26</v>
      </c>
      <c r="K6860" s="77">
        <v>54.697499999999998</v>
      </c>
      <c r="L6860" s="12">
        <f t="shared" si="576"/>
        <v>118.51125000000002</v>
      </c>
      <c r="M6860" s="106">
        <v>1</v>
      </c>
      <c r="N6860" s="106" t="s">
        <v>27</v>
      </c>
      <c r="O6860" s="78"/>
      <c r="P6860" s="107">
        <v>0.3</v>
      </c>
      <c r="Q6860" s="108">
        <v>0.4</v>
      </c>
      <c r="R6860" s="45" t="str">
        <f t="shared" si="577"/>
        <v>HOFFLIGHTS</v>
      </c>
    </row>
    <row r="6861" spans="1:18" customFormat="1" ht="27" customHeight="1" x14ac:dyDescent="0.25">
      <c r="A6861" s="105" t="s">
        <v>13983</v>
      </c>
      <c r="H6861" t="s">
        <v>14116</v>
      </c>
      <c r="I6861" t="s">
        <v>14117</v>
      </c>
      <c r="J6861" s="34" t="s">
        <v>26</v>
      </c>
      <c r="K6861" s="77">
        <v>54.697499999999998</v>
      </c>
      <c r="L6861" s="12">
        <f t="shared" si="576"/>
        <v>118.51125000000002</v>
      </c>
      <c r="M6861" s="106">
        <v>1</v>
      </c>
      <c r="N6861" s="106" t="s">
        <v>27</v>
      </c>
      <c r="O6861" s="78"/>
      <c r="P6861" s="107">
        <v>0.3</v>
      </c>
      <c r="Q6861" s="108">
        <v>0.4</v>
      </c>
      <c r="R6861" s="45" t="str">
        <f t="shared" si="577"/>
        <v>HOFFLIGHTS</v>
      </c>
    </row>
    <row r="6862" spans="1:18" customFormat="1" ht="27" customHeight="1" x14ac:dyDescent="0.25">
      <c r="A6862" s="105" t="s">
        <v>13983</v>
      </c>
      <c r="H6862" t="s">
        <v>14118</v>
      </c>
      <c r="I6862" t="s">
        <v>14119</v>
      </c>
      <c r="J6862" s="34" t="s">
        <v>26</v>
      </c>
      <c r="K6862" s="77">
        <v>54.697499999999998</v>
      </c>
      <c r="L6862" s="12">
        <f t="shared" si="576"/>
        <v>118.51125000000002</v>
      </c>
      <c r="M6862" s="106">
        <v>1</v>
      </c>
      <c r="N6862" s="106" t="s">
        <v>27</v>
      </c>
      <c r="O6862" s="78"/>
      <c r="P6862" s="107">
        <v>0.3</v>
      </c>
      <c r="Q6862" s="108">
        <v>0.4</v>
      </c>
      <c r="R6862" s="45" t="str">
        <f t="shared" si="577"/>
        <v>HOFFLIGHTS</v>
      </c>
    </row>
    <row r="6863" spans="1:18" customFormat="1" ht="27" customHeight="1" x14ac:dyDescent="0.25">
      <c r="A6863" s="105" t="s">
        <v>13983</v>
      </c>
      <c r="H6863" t="s">
        <v>14120</v>
      </c>
      <c r="I6863" t="s">
        <v>14121</v>
      </c>
      <c r="J6863" s="34" t="s">
        <v>26</v>
      </c>
      <c r="K6863" s="77">
        <v>54.697499999999998</v>
      </c>
      <c r="L6863" s="12">
        <f t="shared" si="576"/>
        <v>118.51125000000002</v>
      </c>
      <c r="M6863" s="106">
        <v>1</v>
      </c>
      <c r="N6863" s="106" t="s">
        <v>27</v>
      </c>
      <c r="O6863" s="78"/>
      <c r="P6863" s="107">
        <v>0.3</v>
      </c>
      <c r="Q6863" s="108">
        <v>0.4</v>
      </c>
      <c r="R6863" s="45" t="str">
        <f t="shared" si="577"/>
        <v>HOFFLIGHTS</v>
      </c>
    </row>
    <row r="6864" spans="1:18" customFormat="1" ht="27" customHeight="1" x14ac:dyDescent="0.25">
      <c r="A6864" s="105" t="s">
        <v>13983</v>
      </c>
      <c r="H6864" t="s">
        <v>14122</v>
      </c>
      <c r="I6864" t="s">
        <v>14123</v>
      </c>
      <c r="J6864" s="34" t="s">
        <v>26</v>
      </c>
      <c r="K6864" s="77">
        <v>6.1425000000000001</v>
      </c>
      <c r="L6864" s="12">
        <f t="shared" si="576"/>
        <v>13.308750000000002</v>
      </c>
      <c r="M6864" s="106">
        <v>1</v>
      </c>
      <c r="N6864" s="106" t="s">
        <v>27</v>
      </c>
      <c r="O6864" s="78"/>
      <c r="P6864" s="107">
        <v>0.3</v>
      </c>
      <c r="Q6864" s="108">
        <v>0.4</v>
      </c>
      <c r="R6864" s="45" t="str">
        <f t="shared" si="577"/>
        <v>HOFFLIGHTS</v>
      </c>
    </row>
    <row r="6865" spans="1:18" customFormat="1" ht="27" customHeight="1" x14ac:dyDescent="0.25">
      <c r="A6865" s="105" t="s">
        <v>13983</v>
      </c>
      <c r="H6865" t="s">
        <v>14124</v>
      </c>
      <c r="I6865" t="s">
        <v>14125</v>
      </c>
      <c r="J6865" s="34" t="s">
        <v>26</v>
      </c>
      <c r="K6865" s="77">
        <v>6.1425000000000001</v>
      </c>
      <c r="L6865" s="12">
        <f t="shared" si="576"/>
        <v>13.308750000000002</v>
      </c>
      <c r="M6865" s="106">
        <v>1</v>
      </c>
      <c r="N6865" s="106" t="s">
        <v>27</v>
      </c>
      <c r="O6865" s="78"/>
      <c r="P6865" s="107">
        <v>0.3</v>
      </c>
      <c r="Q6865" s="108">
        <v>0.4</v>
      </c>
      <c r="R6865" s="45" t="str">
        <f t="shared" si="577"/>
        <v>HOFFLIGHTS</v>
      </c>
    </row>
    <row r="6866" spans="1:18" customFormat="1" ht="27" customHeight="1" x14ac:dyDescent="0.25">
      <c r="A6866" s="105" t="s">
        <v>13983</v>
      </c>
      <c r="H6866" t="s">
        <v>14126</v>
      </c>
      <c r="I6866" t="s">
        <v>14127</v>
      </c>
      <c r="J6866" s="34" t="s">
        <v>26</v>
      </c>
      <c r="K6866" s="77">
        <v>7.1369999999999996</v>
      </c>
      <c r="L6866" s="12">
        <f t="shared" si="576"/>
        <v>15.463500000000002</v>
      </c>
      <c r="M6866" s="106">
        <v>1</v>
      </c>
      <c r="N6866" s="106" t="s">
        <v>27</v>
      </c>
      <c r="O6866" s="78"/>
      <c r="P6866" s="107">
        <v>0.3</v>
      </c>
      <c r="Q6866" s="108">
        <v>0.4</v>
      </c>
      <c r="R6866" s="45" t="str">
        <f t="shared" si="577"/>
        <v>HOFFLIGHTS</v>
      </c>
    </row>
    <row r="6867" spans="1:18" customFormat="1" ht="27" customHeight="1" x14ac:dyDescent="0.25">
      <c r="A6867" s="105" t="s">
        <v>13983</v>
      </c>
      <c r="H6867" t="s">
        <v>14128</v>
      </c>
      <c r="I6867" t="s">
        <v>14129</v>
      </c>
      <c r="J6867" s="34" t="s">
        <v>26</v>
      </c>
      <c r="K6867" s="77">
        <v>6.1425000000000001</v>
      </c>
      <c r="L6867" s="12">
        <f t="shared" si="576"/>
        <v>13.308750000000002</v>
      </c>
      <c r="M6867" s="106">
        <v>1</v>
      </c>
      <c r="N6867" s="106" t="s">
        <v>27</v>
      </c>
      <c r="O6867" s="78"/>
      <c r="P6867" s="107">
        <v>0.3</v>
      </c>
      <c r="Q6867" s="108">
        <v>0.4</v>
      </c>
      <c r="R6867" s="45" t="str">
        <f t="shared" si="577"/>
        <v>HOFFLIGHTS</v>
      </c>
    </row>
    <row r="6868" spans="1:18" customFormat="1" ht="27" customHeight="1" x14ac:dyDescent="0.25">
      <c r="A6868" s="105" t="s">
        <v>13983</v>
      </c>
      <c r="H6868" t="s">
        <v>14130</v>
      </c>
      <c r="I6868" t="s">
        <v>14131</v>
      </c>
      <c r="J6868" s="34" t="s">
        <v>26</v>
      </c>
      <c r="K6868" s="77">
        <v>18.135000000000002</v>
      </c>
      <c r="L6868" s="12">
        <f t="shared" si="576"/>
        <v>39.292500000000004</v>
      </c>
      <c r="M6868" s="106">
        <v>1</v>
      </c>
      <c r="N6868" s="106" t="s">
        <v>27</v>
      </c>
      <c r="O6868" s="78"/>
      <c r="P6868" s="107">
        <v>0.3</v>
      </c>
      <c r="Q6868" s="108">
        <v>0.4</v>
      </c>
      <c r="R6868" s="45" t="str">
        <f t="shared" si="577"/>
        <v>HOFFLIGHTS</v>
      </c>
    </row>
    <row r="6869" spans="1:18" customFormat="1" ht="27" customHeight="1" x14ac:dyDescent="0.25">
      <c r="A6869" s="105" t="s">
        <v>13983</v>
      </c>
      <c r="H6869" t="s">
        <v>14132</v>
      </c>
      <c r="I6869" t="s">
        <v>14133</v>
      </c>
      <c r="J6869" s="34" t="s">
        <v>26</v>
      </c>
      <c r="K6869" s="77">
        <v>18.135000000000002</v>
      </c>
      <c r="L6869" s="12">
        <f t="shared" si="576"/>
        <v>39.292500000000004</v>
      </c>
      <c r="M6869" s="106">
        <v>1</v>
      </c>
      <c r="N6869" s="106" t="s">
        <v>27</v>
      </c>
      <c r="O6869" s="78"/>
      <c r="P6869" s="107">
        <v>0.3</v>
      </c>
      <c r="Q6869" s="108">
        <v>0.4</v>
      </c>
      <c r="R6869" s="45" t="str">
        <f t="shared" si="577"/>
        <v>HOFFLIGHTS</v>
      </c>
    </row>
    <row r="6870" spans="1:18" customFormat="1" ht="27" customHeight="1" x14ac:dyDescent="0.25">
      <c r="A6870" s="105" t="s">
        <v>13983</v>
      </c>
      <c r="H6870" t="s">
        <v>14134</v>
      </c>
      <c r="I6870" t="s">
        <v>14135</v>
      </c>
      <c r="J6870" s="34" t="s">
        <v>26</v>
      </c>
      <c r="K6870" s="77">
        <v>32.174999999999997</v>
      </c>
      <c r="L6870" s="12">
        <f t="shared" si="576"/>
        <v>69.712500000000006</v>
      </c>
      <c r="M6870" s="106">
        <v>1</v>
      </c>
      <c r="N6870" s="106" t="s">
        <v>27</v>
      </c>
      <c r="O6870" s="78"/>
      <c r="P6870" s="107">
        <v>0.3</v>
      </c>
      <c r="Q6870" s="108">
        <v>0.4</v>
      </c>
      <c r="R6870" s="45" t="str">
        <f t="shared" si="577"/>
        <v>HOFFLIGHTS</v>
      </c>
    </row>
    <row r="6871" spans="1:18" customFormat="1" ht="27" customHeight="1" x14ac:dyDescent="0.25">
      <c r="A6871" s="105" t="s">
        <v>13983</v>
      </c>
      <c r="H6871" t="s">
        <v>14136</v>
      </c>
      <c r="I6871" t="s">
        <v>14137</v>
      </c>
      <c r="J6871" s="34" t="s">
        <v>26</v>
      </c>
      <c r="K6871" s="77">
        <v>32.174999999999997</v>
      </c>
      <c r="L6871" s="12">
        <f t="shared" si="576"/>
        <v>69.712500000000006</v>
      </c>
      <c r="M6871" s="106">
        <v>1</v>
      </c>
      <c r="N6871" s="106" t="s">
        <v>27</v>
      </c>
      <c r="O6871" s="78"/>
      <c r="P6871" s="107">
        <v>0.3</v>
      </c>
      <c r="Q6871" s="108">
        <v>0.4</v>
      </c>
      <c r="R6871" s="45" t="str">
        <f t="shared" si="577"/>
        <v>HOFFLIGHTS</v>
      </c>
    </row>
    <row r="6872" spans="1:18" customFormat="1" ht="27" customHeight="1" x14ac:dyDescent="0.25">
      <c r="A6872" s="105" t="s">
        <v>13983</v>
      </c>
      <c r="H6872" t="s">
        <v>14138</v>
      </c>
      <c r="I6872" t="s">
        <v>14139</v>
      </c>
      <c r="J6872" s="34" t="s">
        <v>26</v>
      </c>
      <c r="K6872" s="77">
        <v>13.893750000000001</v>
      </c>
      <c r="L6872" s="12">
        <f t="shared" si="576"/>
        <v>30.103125000000002</v>
      </c>
      <c r="M6872" s="106">
        <v>1</v>
      </c>
      <c r="N6872" s="106" t="s">
        <v>27</v>
      </c>
      <c r="O6872" s="78"/>
      <c r="P6872" s="107">
        <v>0.3</v>
      </c>
      <c r="Q6872" s="108">
        <v>0.4</v>
      </c>
      <c r="R6872" s="45" t="str">
        <f t="shared" si="577"/>
        <v>HOFFLIGHTS</v>
      </c>
    </row>
    <row r="6873" spans="1:18" customFormat="1" ht="27" customHeight="1" x14ac:dyDescent="0.25">
      <c r="A6873" s="105" t="s">
        <v>13983</v>
      </c>
      <c r="H6873" t="s">
        <v>14140</v>
      </c>
      <c r="I6873" t="s">
        <v>14141</v>
      </c>
      <c r="J6873" s="34" t="s">
        <v>26</v>
      </c>
      <c r="K6873" s="77">
        <v>13.893750000000001</v>
      </c>
      <c r="L6873" s="12">
        <f t="shared" si="576"/>
        <v>30.103125000000002</v>
      </c>
      <c r="M6873" s="106">
        <v>1</v>
      </c>
      <c r="N6873" s="106" t="s">
        <v>27</v>
      </c>
      <c r="O6873" s="78"/>
      <c r="P6873" s="107">
        <v>0.3</v>
      </c>
      <c r="Q6873" s="108">
        <v>0.4</v>
      </c>
      <c r="R6873" s="45" t="str">
        <f t="shared" si="577"/>
        <v>HOFFLIGHTS</v>
      </c>
    </row>
    <row r="6874" spans="1:18" customFormat="1" ht="27" customHeight="1" x14ac:dyDescent="0.25">
      <c r="A6874" s="105" t="s">
        <v>13983</v>
      </c>
      <c r="H6874" t="s">
        <v>14142</v>
      </c>
      <c r="I6874" t="s">
        <v>14143</v>
      </c>
      <c r="J6874" s="34" t="s">
        <v>26</v>
      </c>
      <c r="K6874" s="77">
        <v>18.135000000000002</v>
      </c>
      <c r="L6874" s="12">
        <f t="shared" si="576"/>
        <v>39.292500000000004</v>
      </c>
      <c r="M6874" s="106">
        <v>1</v>
      </c>
      <c r="N6874" s="106" t="s">
        <v>27</v>
      </c>
      <c r="O6874" s="78"/>
      <c r="P6874" s="107">
        <v>0.3</v>
      </c>
      <c r="Q6874" s="108">
        <v>0.4</v>
      </c>
      <c r="R6874" s="45" t="str">
        <f t="shared" si="577"/>
        <v>HOFFLIGHTS</v>
      </c>
    </row>
    <row r="6875" spans="1:18" customFormat="1" ht="27" customHeight="1" x14ac:dyDescent="0.25">
      <c r="A6875" s="105" t="s">
        <v>13983</v>
      </c>
      <c r="H6875" t="s">
        <v>14144</v>
      </c>
      <c r="I6875" t="s">
        <v>14145</v>
      </c>
      <c r="J6875" s="34" t="s">
        <v>26</v>
      </c>
      <c r="K6875" s="77">
        <v>18.135000000000002</v>
      </c>
      <c r="L6875" s="12">
        <f t="shared" si="576"/>
        <v>39.292500000000004</v>
      </c>
      <c r="M6875" s="106">
        <v>1</v>
      </c>
      <c r="N6875" s="106" t="s">
        <v>27</v>
      </c>
      <c r="O6875" s="78"/>
      <c r="P6875" s="107">
        <v>0.3</v>
      </c>
      <c r="Q6875" s="108">
        <v>0.4</v>
      </c>
      <c r="R6875" s="45" t="str">
        <f t="shared" si="577"/>
        <v>HOFFLIGHTS</v>
      </c>
    </row>
    <row r="6876" spans="1:18" customFormat="1" ht="27" customHeight="1" x14ac:dyDescent="0.25">
      <c r="A6876" s="105" t="s">
        <v>13983</v>
      </c>
      <c r="H6876" t="s">
        <v>14146</v>
      </c>
      <c r="I6876" t="s">
        <v>14147</v>
      </c>
      <c r="J6876" s="34" t="s">
        <v>26</v>
      </c>
      <c r="K6876" s="77">
        <v>14.9175</v>
      </c>
      <c r="L6876" s="12">
        <f t="shared" si="576"/>
        <v>32.321249999999999</v>
      </c>
      <c r="M6876" s="106">
        <v>1</v>
      </c>
      <c r="N6876" s="106" t="s">
        <v>27</v>
      </c>
      <c r="O6876" s="78"/>
      <c r="P6876" s="107">
        <v>0.3</v>
      </c>
      <c r="Q6876" s="108">
        <v>0.4</v>
      </c>
      <c r="R6876" s="45" t="str">
        <f t="shared" si="577"/>
        <v>HOFFLIGHTS</v>
      </c>
    </row>
    <row r="6877" spans="1:18" customFormat="1" ht="27" customHeight="1" x14ac:dyDescent="0.25">
      <c r="A6877" s="105" t="s">
        <v>13983</v>
      </c>
      <c r="H6877" t="s">
        <v>14148</v>
      </c>
      <c r="I6877" t="s">
        <v>14149</v>
      </c>
      <c r="J6877" s="34" t="s">
        <v>26</v>
      </c>
      <c r="K6877" s="77">
        <v>14.9175</v>
      </c>
      <c r="L6877" s="12">
        <f t="shared" si="576"/>
        <v>32.321249999999999</v>
      </c>
      <c r="M6877" s="106">
        <v>1</v>
      </c>
      <c r="N6877" s="106" t="s">
        <v>27</v>
      </c>
      <c r="O6877" s="78"/>
      <c r="P6877" s="107">
        <v>0.3</v>
      </c>
      <c r="Q6877" s="108">
        <v>0.4</v>
      </c>
      <c r="R6877" s="45" t="str">
        <f t="shared" si="577"/>
        <v>HOFFLIGHTS</v>
      </c>
    </row>
    <row r="6878" spans="1:18" customFormat="1" ht="27" customHeight="1" x14ac:dyDescent="0.25">
      <c r="A6878" s="105" t="s">
        <v>13983</v>
      </c>
      <c r="H6878" t="s">
        <v>14150</v>
      </c>
      <c r="I6878" t="s">
        <v>14151</v>
      </c>
      <c r="J6878" s="34" t="s">
        <v>26</v>
      </c>
      <c r="K6878" s="77">
        <v>1.2284999999999999</v>
      </c>
      <c r="L6878" s="12">
        <f t="shared" si="576"/>
        <v>2.6617500000000001</v>
      </c>
      <c r="M6878" s="106">
        <v>1</v>
      </c>
      <c r="N6878" s="106" t="s">
        <v>27</v>
      </c>
      <c r="O6878" s="78"/>
      <c r="P6878" s="107">
        <v>0.3</v>
      </c>
      <c r="Q6878" s="108">
        <v>0.4</v>
      </c>
      <c r="R6878" s="45" t="str">
        <f t="shared" si="577"/>
        <v>HOFFLIGHTS</v>
      </c>
    </row>
    <row r="6879" spans="1:18" customFormat="1" ht="27" customHeight="1" x14ac:dyDescent="0.25">
      <c r="A6879" s="105" t="s">
        <v>13983</v>
      </c>
      <c r="H6879" t="s">
        <v>14152</v>
      </c>
      <c r="I6879" t="s">
        <v>14153</v>
      </c>
      <c r="J6879" s="34" t="s">
        <v>26</v>
      </c>
      <c r="K6879" s="77">
        <v>16.965</v>
      </c>
      <c r="L6879" s="12">
        <f t="shared" si="576"/>
        <v>36.7575</v>
      </c>
      <c r="M6879" s="106">
        <v>1</v>
      </c>
      <c r="N6879" s="106" t="s">
        <v>27</v>
      </c>
      <c r="O6879" s="78"/>
      <c r="P6879" s="107">
        <v>0.3</v>
      </c>
      <c r="Q6879" s="108">
        <v>0.4</v>
      </c>
      <c r="R6879" s="45" t="str">
        <f t="shared" si="577"/>
        <v>HOFFLIGHTS</v>
      </c>
    </row>
    <row r="6880" spans="1:18" customFormat="1" ht="27" customHeight="1" x14ac:dyDescent="0.25">
      <c r="A6880" s="105" t="s">
        <v>13983</v>
      </c>
      <c r="H6880" t="s">
        <v>14154</v>
      </c>
      <c r="I6880" t="s">
        <v>14155</v>
      </c>
      <c r="J6880" s="34" t="s">
        <v>26</v>
      </c>
      <c r="K6880" s="77">
        <v>16.965</v>
      </c>
      <c r="L6880" s="12">
        <f t="shared" si="576"/>
        <v>36.7575</v>
      </c>
      <c r="M6880" s="106">
        <v>1</v>
      </c>
      <c r="N6880" s="106" t="s">
        <v>27</v>
      </c>
      <c r="O6880" s="78"/>
      <c r="P6880" s="107">
        <v>0.3</v>
      </c>
      <c r="Q6880" s="108">
        <v>0.4</v>
      </c>
      <c r="R6880" s="45" t="str">
        <f t="shared" si="577"/>
        <v>HOFFLIGHTS</v>
      </c>
    </row>
    <row r="6881" spans="1:18" customFormat="1" ht="27" customHeight="1" x14ac:dyDescent="0.25">
      <c r="A6881" s="105" t="s">
        <v>13983</v>
      </c>
      <c r="H6881" t="s">
        <v>14156</v>
      </c>
      <c r="I6881" t="s">
        <v>14157</v>
      </c>
      <c r="J6881" s="34" t="s">
        <v>26</v>
      </c>
      <c r="K6881" s="77">
        <v>1.9012500000000001</v>
      </c>
      <c r="L6881" s="12">
        <f t="shared" si="576"/>
        <v>4.1193750000000007</v>
      </c>
      <c r="M6881" s="106">
        <v>1</v>
      </c>
      <c r="N6881" s="106" t="s">
        <v>27</v>
      </c>
      <c r="O6881" s="78"/>
      <c r="P6881" s="107">
        <v>0.3</v>
      </c>
      <c r="Q6881" s="108">
        <v>0.4</v>
      </c>
      <c r="R6881" s="45" t="str">
        <f t="shared" si="577"/>
        <v>HOFFLIGHTS</v>
      </c>
    </row>
    <row r="6882" spans="1:18" customFormat="1" ht="27" customHeight="1" x14ac:dyDescent="0.25">
      <c r="A6882" s="105" t="s">
        <v>13983</v>
      </c>
      <c r="H6882" t="s">
        <v>14158</v>
      </c>
      <c r="I6882" t="s">
        <v>14159</v>
      </c>
      <c r="J6882" s="34" t="s">
        <v>26</v>
      </c>
      <c r="K6882" s="77">
        <v>38.317500000000003</v>
      </c>
      <c r="L6882" s="12">
        <f t="shared" si="576"/>
        <v>83.021250000000023</v>
      </c>
      <c r="M6882" s="106">
        <v>1</v>
      </c>
      <c r="N6882" s="106" t="s">
        <v>27</v>
      </c>
      <c r="O6882" s="78"/>
      <c r="P6882" s="107">
        <v>0.3</v>
      </c>
      <c r="Q6882" s="108">
        <v>0.4</v>
      </c>
      <c r="R6882" s="45" t="str">
        <f t="shared" si="577"/>
        <v>HOFFLIGHTS</v>
      </c>
    </row>
    <row r="6883" spans="1:18" customFormat="1" ht="27" customHeight="1" x14ac:dyDescent="0.25">
      <c r="A6883" s="105" t="s">
        <v>13983</v>
      </c>
      <c r="H6883" t="s">
        <v>14160</v>
      </c>
      <c r="I6883" t="s">
        <v>14161</v>
      </c>
      <c r="J6883" s="34" t="s">
        <v>26</v>
      </c>
      <c r="K6883" s="77">
        <v>38.317500000000003</v>
      </c>
      <c r="L6883" s="12">
        <f t="shared" si="576"/>
        <v>83.021250000000023</v>
      </c>
      <c r="M6883" s="106">
        <v>1</v>
      </c>
      <c r="N6883" s="106" t="s">
        <v>27</v>
      </c>
      <c r="O6883" s="78"/>
      <c r="P6883" s="107">
        <v>0.3</v>
      </c>
      <c r="Q6883" s="108">
        <v>0.4</v>
      </c>
      <c r="R6883" s="45" t="str">
        <f t="shared" si="577"/>
        <v>HOFFLIGHTS</v>
      </c>
    </row>
    <row r="6884" spans="1:18" customFormat="1" ht="27" customHeight="1" x14ac:dyDescent="0.25">
      <c r="A6884" s="105" t="s">
        <v>13983</v>
      </c>
      <c r="H6884" t="s">
        <v>14162</v>
      </c>
      <c r="I6884" t="s">
        <v>14163</v>
      </c>
      <c r="J6884" s="34" t="s">
        <v>26</v>
      </c>
      <c r="K6884" s="77">
        <v>38.317500000000003</v>
      </c>
      <c r="L6884" s="12">
        <f t="shared" si="576"/>
        <v>83.021250000000023</v>
      </c>
      <c r="M6884" s="106">
        <v>1</v>
      </c>
      <c r="N6884" s="106" t="s">
        <v>27</v>
      </c>
      <c r="O6884" s="78"/>
      <c r="P6884" s="107">
        <v>0.3</v>
      </c>
      <c r="Q6884" s="108">
        <v>0.4</v>
      </c>
      <c r="R6884" s="45" t="str">
        <f t="shared" si="577"/>
        <v>HOFFLIGHTS</v>
      </c>
    </row>
    <row r="6885" spans="1:18" customFormat="1" ht="27" customHeight="1" x14ac:dyDescent="0.25">
      <c r="A6885" s="105" t="s">
        <v>13983</v>
      </c>
      <c r="H6885" t="s">
        <v>14164</v>
      </c>
      <c r="I6885" t="s">
        <v>14165</v>
      </c>
      <c r="J6885" s="34" t="s">
        <v>26</v>
      </c>
      <c r="K6885" s="77">
        <v>38.317500000000003</v>
      </c>
      <c r="L6885" s="12">
        <f t="shared" si="576"/>
        <v>83.021250000000023</v>
      </c>
      <c r="M6885" s="106">
        <v>1</v>
      </c>
      <c r="N6885" s="106" t="s">
        <v>27</v>
      </c>
      <c r="O6885" s="78"/>
      <c r="P6885" s="107">
        <v>0.3</v>
      </c>
      <c r="Q6885" s="108">
        <v>0.4</v>
      </c>
      <c r="R6885" s="45" t="str">
        <f t="shared" si="577"/>
        <v>HOFFLIGHTS</v>
      </c>
    </row>
    <row r="6886" spans="1:18" customFormat="1" ht="27" customHeight="1" x14ac:dyDescent="0.25">
      <c r="A6886" s="105" t="s">
        <v>13983</v>
      </c>
      <c r="H6886" t="s">
        <v>14166</v>
      </c>
      <c r="I6886" t="s">
        <v>14167</v>
      </c>
      <c r="J6886" s="34" t="s">
        <v>26</v>
      </c>
      <c r="K6886" s="77">
        <v>27.056249999999999</v>
      </c>
      <c r="L6886" s="12">
        <f t="shared" si="576"/>
        <v>58.621875000000003</v>
      </c>
      <c r="M6886" s="106">
        <v>1</v>
      </c>
      <c r="N6886" s="106" t="s">
        <v>27</v>
      </c>
      <c r="O6886" s="78"/>
      <c r="P6886" s="107">
        <v>0.3</v>
      </c>
      <c r="Q6886" s="108">
        <v>0.4</v>
      </c>
      <c r="R6886" s="45" t="str">
        <f t="shared" si="577"/>
        <v>HOFFLIGHTS</v>
      </c>
    </row>
    <row r="6887" spans="1:18" customFormat="1" ht="27" customHeight="1" x14ac:dyDescent="0.25">
      <c r="A6887" s="105" t="s">
        <v>13983</v>
      </c>
      <c r="H6887" t="s">
        <v>14168</v>
      </c>
      <c r="I6887" t="s">
        <v>14169</v>
      </c>
      <c r="J6887" s="34" t="s">
        <v>26</v>
      </c>
      <c r="K6887" s="77">
        <v>27.056249999999999</v>
      </c>
      <c r="L6887" s="12">
        <f t="shared" si="576"/>
        <v>58.621875000000003</v>
      </c>
      <c r="M6887" s="106">
        <v>1</v>
      </c>
      <c r="N6887" s="106" t="s">
        <v>27</v>
      </c>
      <c r="O6887" s="78"/>
      <c r="P6887" s="107">
        <v>0.3</v>
      </c>
      <c r="Q6887" s="108">
        <v>0.4</v>
      </c>
      <c r="R6887" s="45" t="str">
        <f t="shared" si="577"/>
        <v>HOFFLIGHTS</v>
      </c>
    </row>
    <row r="6888" spans="1:18" customFormat="1" ht="27" customHeight="1" x14ac:dyDescent="0.25">
      <c r="A6888" s="105" t="s">
        <v>13983</v>
      </c>
      <c r="H6888" t="s">
        <v>14170</v>
      </c>
      <c r="I6888" t="s">
        <v>14171</v>
      </c>
      <c r="J6888" s="34" t="s">
        <v>26</v>
      </c>
      <c r="K6888" s="77">
        <v>27.056249999999999</v>
      </c>
      <c r="L6888" s="12">
        <f t="shared" si="576"/>
        <v>58.621875000000003</v>
      </c>
      <c r="M6888" s="106">
        <v>1</v>
      </c>
      <c r="N6888" s="106" t="s">
        <v>27</v>
      </c>
      <c r="O6888" s="78"/>
      <c r="P6888" s="107">
        <v>0.3</v>
      </c>
      <c r="Q6888" s="108">
        <v>0.4</v>
      </c>
      <c r="R6888" s="45" t="str">
        <f t="shared" si="577"/>
        <v>HOFFLIGHTS</v>
      </c>
    </row>
    <row r="6889" spans="1:18" customFormat="1" ht="27" customHeight="1" x14ac:dyDescent="0.25">
      <c r="A6889" s="105" t="s">
        <v>13983</v>
      </c>
      <c r="H6889" t="s">
        <v>14172</v>
      </c>
      <c r="I6889" t="s">
        <v>14173</v>
      </c>
      <c r="J6889" s="34" t="s">
        <v>26</v>
      </c>
      <c r="K6889" s="77">
        <v>27.056249999999999</v>
      </c>
      <c r="L6889" s="12">
        <f t="shared" si="576"/>
        <v>58.621875000000003</v>
      </c>
      <c r="M6889" s="106">
        <v>1</v>
      </c>
      <c r="N6889" s="106" t="s">
        <v>27</v>
      </c>
      <c r="O6889" s="78"/>
      <c r="P6889" s="107">
        <v>0.3</v>
      </c>
      <c r="Q6889" s="108">
        <v>0.4</v>
      </c>
      <c r="R6889" s="45" t="str">
        <f t="shared" si="577"/>
        <v>HOFFLIGHTS</v>
      </c>
    </row>
    <row r="6890" spans="1:18" customFormat="1" ht="27" customHeight="1" x14ac:dyDescent="0.25">
      <c r="A6890" s="105" t="s">
        <v>13983</v>
      </c>
      <c r="H6890" t="s">
        <v>14174</v>
      </c>
      <c r="I6890" t="s">
        <v>14175</v>
      </c>
      <c r="J6890" s="34" t="s">
        <v>26</v>
      </c>
      <c r="K6890" s="77">
        <v>25.74</v>
      </c>
      <c r="L6890" s="12">
        <f t="shared" ref="L6890:L6953" si="578">K6890*(1+P6890)/(1-Q6890)</f>
        <v>55.769999999999996</v>
      </c>
      <c r="M6890" s="106">
        <v>1</v>
      </c>
      <c r="N6890" s="106" t="s">
        <v>27</v>
      </c>
      <c r="O6890" s="78"/>
      <c r="P6890" s="107">
        <v>0.3</v>
      </c>
      <c r="Q6890" s="108">
        <v>0.4</v>
      </c>
      <c r="R6890" s="45" t="str">
        <f t="shared" si="577"/>
        <v>HOFFLIGHTS</v>
      </c>
    </row>
    <row r="6891" spans="1:18" customFormat="1" ht="27" customHeight="1" x14ac:dyDescent="0.25">
      <c r="A6891" s="105" t="s">
        <v>13983</v>
      </c>
      <c r="H6891" t="s">
        <v>14176</v>
      </c>
      <c r="I6891" t="s">
        <v>14177</v>
      </c>
      <c r="J6891" s="34" t="s">
        <v>26</v>
      </c>
      <c r="K6891" s="77">
        <v>25.74</v>
      </c>
      <c r="L6891" s="12">
        <f t="shared" si="578"/>
        <v>55.769999999999996</v>
      </c>
      <c r="M6891" s="106">
        <v>1</v>
      </c>
      <c r="N6891" s="106" t="s">
        <v>27</v>
      </c>
      <c r="O6891" s="78"/>
      <c r="P6891" s="107">
        <v>0.3</v>
      </c>
      <c r="Q6891" s="108">
        <v>0.4</v>
      </c>
      <c r="R6891" s="45" t="str">
        <f t="shared" si="577"/>
        <v>HOFFLIGHTS</v>
      </c>
    </row>
    <row r="6892" spans="1:18" customFormat="1" ht="27" customHeight="1" x14ac:dyDescent="0.25">
      <c r="A6892" s="105" t="s">
        <v>13983</v>
      </c>
      <c r="H6892" t="s">
        <v>14178</v>
      </c>
      <c r="I6892" t="s">
        <v>14179</v>
      </c>
      <c r="J6892" s="34" t="s">
        <v>26</v>
      </c>
      <c r="K6892" s="77">
        <v>25.74</v>
      </c>
      <c r="L6892" s="12">
        <f t="shared" si="578"/>
        <v>55.769999999999996</v>
      </c>
      <c r="M6892" s="106">
        <v>1</v>
      </c>
      <c r="N6892" s="106" t="s">
        <v>27</v>
      </c>
      <c r="O6892" s="78"/>
      <c r="P6892" s="107">
        <v>0.3</v>
      </c>
      <c r="Q6892" s="108">
        <v>0.4</v>
      </c>
      <c r="R6892" s="45" t="str">
        <f t="shared" si="577"/>
        <v>HOFFLIGHTS</v>
      </c>
    </row>
    <row r="6893" spans="1:18" customFormat="1" ht="27" customHeight="1" x14ac:dyDescent="0.25">
      <c r="A6893" s="105" t="s">
        <v>13983</v>
      </c>
      <c r="H6893" t="s">
        <v>14180</v>
      </c>
      <c r="I6893" t="s">
        <v>14181</v>
      </c>
      <c r="J6893" s="34" t="s">
        <v>26</v>
      </c>
      <c r="K6893" s="77">
        <v>25.74</v>
      </c>
      <c r="L6893" s="12">
        <f t="shared" si="578"/>
        <v>55.769999999999996</v>
      </c>
      <c r="M6893" s="106">
        <v>1</v>
      </c>
      <c r="N6893" s="106" t="s">
        <v>27</v>
      </c>
      <c r="O6893" s="78"/>
      <c r="P6893" s="107">
        <v>0.3</v>
      </c>
      <c r="Q6893" s="108">
        <v>0.4</v>
      </c>
      <c r="R6893" s="45" t="str">
        <f t="shared" si="577"/>
        <v>HOFFLIGHTS</v>
      </c>
    </row>
    <row r="6894" spans="1:18" customFormat="1" ht="27" customHeight="1" x14ac:dyDescent="0.25">
      <c r="A6894" s="105" t="s">
        <v>13983</v>
      </c>
      <c r="H6894" t="s">
        <v>14182</v>
      </c>
      <c r="I6894" t="s">
        <v>14183</v>
      </c>
      <c r="J6894" s="34" t="s">
        <v>26</v>
      </c>
      <c r="K6894" s="77">
        <v>36.5625</v>
      </c>
      <c r="L6894" s="12">
        <f t="shared" si="578"/>
        <v>79.21875</v>
      </c>
      <c r="M6894" s="106">
        <v>1</v>
      </c>
      <c r="N6894" s="106" t="s">
        <v>27</v>
      </c>
      <c r="O6894" s="78"/>
      <c r="P6894" s="107">
        <v>0.3</v>
      </c>
      <c r="Q6894" s="108">
        <v>0.4</v>
      </c>
      <c r="R6894" s="45" t="str">
        <f t="shared" si="577"/>
        <v>HOFFLIGHTS</v>
      </c>
    </row>
    <row r="6895" spans="1:18" customFormat="1" ht="27" customHeight="1" x14ac:dyDescent="0.25">
      <c r="A6895" s="105" t="s">
        <v>13983</v>
      </c>
      <c r="H6895" t="s">
        <v>14184</v>
      </c>
      <c r="I6895" t="s">
        <v>14185</v>
      </c>
      <c r="J6895" s="34" t="s">
        <v>26</v>
      </c>
      <c r="K6895" s="77">
        <v>36.5625</v>
      </c>
      <c r="L6895" s="12">
        <f t="shared" si="578"/>
        <v>79.21875</v>
      </c>
      <c r="M6895" s="106">
        <v>1</v>
      </c>
      <c r="N6895" s="106" t="s">
        <v>27</v>
      </c>
      <c r="O6895" s="78"/>
      <c r="P6895" s="107">
        <v>0.3</v>
      </c>
      <c r="Q6895" s="108">
        <v>0.4</v>
      </c>
      <c r="R6895" s="45" t="str">
        <f t="shared" si="577"/>
        <v>HOFFLIGHTS</v>
      </c>
    </row>
    <row r="6896" spans="1:18" customFormat="1" ht="27" customHeight="1" x14ac:dyDescent="0.25">
      <c r="A6896" s="105" t="s">
        <v>13983</v>
      </c>
      <c r="H6896" t="s">
        <v>14186</v>
      </c>
      <c r="I6896" t="s">
        <v>14187</v>
      </c>
      <c r="J6896" s="34" t="s">
        <v>26</v>
      </c>
      <c r="K6896" s="77">
        <v>77.22</v>
      </c>
      <c r="L6896" s="12">
        <f t="shared" si="578"/>
        <v>167.31</v>
      </c>
      <c r="M6896" s="106">
        <v>1</v>
      </c>
      <c r="N6896" s="106" t="s">
        <v>27</v>
      </c>
      <c r="O6896" s="78"/>
      <c r="P6896" s="107">
        <v>0.3</v>
      </c>
      <c r="Q6896" s="108">
        <v>0.4</v>
      </c>
      <c r="R6896" s="45" t="str">
        <f t="shared" si="577"/>
        <v>HOFFLIGHTS</v>
      </c>
    </row>
    <row r="6897" spans="1:18" customFormat="1" ht="27" customHeight="1" x14ac:dyDescent="0.25">
      <c r="A6897" s="105" t="s">
        <v>13983</v>
      </c>
      <c r="H6897" t="s">
        <v>14188</v>
      </c>
      <c r="I6897" t="s">
        <v>14189</v>
      </c>
      <c r="J6897" s="34" t="s">
        <v>26</v>
      </c>
      <c r="K6897" s="77">
        <v>77.22</v>
      </c>
      <c r="L6897" s="12">
        <f t="shared" si="578"/>
        <v>167.31</v>
      </c>
      <c r="M6897" s="106">
        <v>1</v>
      </c>
      <c r="N6897" s="106" t="s">
        <v>27</v>
      </c>
      <c r="O6897" s="78"/>
      <c r="P6897" s="107">
        <v>0.3</v>
      </c>
      <c r="Q6897" s="108">
        <v>0.4</v>
      </c>
      <c r="R6897" s="45" t="str">
        <f t="shared" si="577"/>
        <v>HOFFLIGHTS</v>
      </c>
    </row>
    <row r="6898" spans="1:18" customFormat="1" ht="27" customHeight="1" x14ac:dyDescent="0.25">
      <c r="A6898" s="105" t="s">
        <v>13983</v>
      </c>
      <c r="H6898" t="s">
        <v>14190</v>
      </c>
      <c r="I6898" t="s">
        <v>14191</v>
      </c>
      <c r="J6898" s="34" t="s">
        <v>26</v>
      </c>
      <c r="K6898" s="77">
        <v>22.376249999999999</v>
      </c>
      <c r="L6898" s="12">
        <f t="shared" si="578"/>
        <v>48.481875000000002</v>
      </c>
      <c r="M6898" s="106">
        <v>1</v>
      </c>
      <c r="N6898" s="106" t="s">
        <v>27</v>
      </c>
      <c r="O6898" s="78"/>
      <c r="P6898" s="107">
        <v>0.3</v>
      </c>
      <c r="Q6898" s="108">
        <v>0.4</v>
      </c>
      <c r="R6898" s="45" t="str">
        <f t="shared" si="577"/>
        <v>HOFFLIGHTS</v>
      </c>
    </row>
    <row r="6899" spans="1:18" customFormat="1" ht="27" customHeight="1" x14ac:dyDescent="0.25">
      <c r="A6899" s="105" t="s">
        <v>13983</v>
      </c>
      <c r="H6899" t="s">
        <v>14192</v>
      </c>
      <c r="I6899" t="s">
        <v>14193</v>
      </c>
      <c r="J6899" s="34" t="s">
        <v>26</v>
      </c>
      <c r="K6899" s="77">
        <v>22.376249999999999</v>
      </c>
      <c r="L6899" s="12">
        <f t="shared" si="578"/>
        <v>48.481875000000002</v>
      </c>
      <c r="M6899" s="106">
        <v>1</v>
      </c>
      <c r="N6899" s="106" t="s">
        <v>27</v>
      </c>
      <c r="O6899" s="78"/>
      <c r="P6899" s="107">
        <v>0.3</v>
      </c>
      <c r="Q6899" s="108">
        <v>0.4</v>
      </c>
      <c r="R6899" s="45" t="str">
        <f t="shared" si="577"/>
        <v>HOFFLIGHTS</v>
      </c>
    </row>
    <row r="6900" spans="1:18" customFormat="1" ht="27" customHeight="1" x14ac:dyDescent="0.25">
      <c r="A6900" s="105" t="s">
        <v>13983</v>
      </c>
      <c r="H6900" t="s">
        <v>14194</v>
      </c>
      <c r="I6900" t="s">
        <v>14195</v>
      </c>
      <c r="J6900" s="34" t="s">
        <v>26</v>
      </c>
      <c r="K6900" s="77">
        <v>18.72</v>
      </c>
      <c r="L6900" s="12">
        <f t="shared" si="578"/>
        <v>40.56</v>
      </c>
      <c r="M6900" s="106">
        <v>1</v>
      </c>
      <c r="N6900" s="106" t="s">
        <v>27</v>
      </c>
      <c r="O6900" s="78"/>
      <c r="P6900" s="107">
        <v>0.3</v>
      </c>
      <c r="Q6900" s="108">
        <v>0.4</v>
      </c>
      <c r="R6900" s="45" t="str">
        <f t="shared" si="577"/>
        <v>HOFFLIGHTS</v>
      </c>
    </row>
    <row r="6901" spans="1:18" customFormat="1" ht="27" customHeight="1" x14ac:dyDescent="0.25">
      <c r="A6901" s="105" t="s">
        <v>13983</v>
      </c>
      <c r="H6901" t="s">
        <v>14196</v>
      </c>
      <c r="I6901" t="s">
        <v>14197</v>
      </c>
      <c r="J6901" s="34" t="s">
        <v>26</v>
      </c>
      <c r="K6901" s="77">
        <v>18.72</v>
      </c>
      <c r="L6901" s="12">
        <f t="shared" si="578"/>
        <v>40.56</v>
      </c>
      <c r="M6901" s="106">
        <v>1</v>
      </c>
      <c r="N6901" s="106" t="s">
        <v>27</v>
      </c>
      <c r="O6901" s="78"/>
      <c r="P6901" s="107">
        <v>0.3</v>
      </c>
      <c r="Q6901" s="108">
        <v>0.4</v>
      </c>
      <c r="R6901" s="45" t="str">
        <f t="shared" si="577"/>
        <v>HOFFLIGHTS</v>
      </c>
    </row>
    <row r="6902" spans="1:18" customFormat="1" ht="27" customHeight="1" x14ac:dyDescent="0.25">
      <c r="A6902" s="105" t="s">
        <v>13983</v>
      </c>
      <c r="H6902" t="s">
        <v>14198</v>
      </c>
      <c r="I6902" t="s">
        <v>14199</v>
      </c>
      <c r="J6902" s="34" t="s">
        <v>26</v>
      </c>
      <c r="K6902" s="77">
        <v>20.475000000000001</v>
      </c>
      <c r="L6902" s="12">
        <f t="shared" si="578"/>
        <v>44.362500000000004</v>
      </c>
      <c r="M6902" s="106">
        <v>1</v>
      </c>
      <c r="N6902" s="106" t="s">
        <v>27</v>
      </c>
      <c r="O6902" s="78"/>
      <c r="P6902" s="107">
        <v>0.3</v>
      </c>
      <c r="Q6902" s="108">
        <v>0.4</v>
      </c>
      <c r="R6902" s="45" t="str">
        <f t="shared" si="577"/>
        <v>HOFFLIGHTS</v>
      </c>
    </row>
    <row r="6903" spans="1:18" customFormat="1" ht="27" customHeight="1" x14ac:dyDescent="0.25">
      <c r="A6903" s="105" t="s">
        <v>13983</v>
      </c>
      <c r="H6903" t="s">
        <v>14200</v>
      </c>
      <c r="I6903" t="s">
        <v>14201</v>
      </c>
      <c r="J6903" s="34" t="s">
        <v>26</v>
      </c>
      <c r="K6903" s="77">
        <v>20.475000000000001</v>
      </c>
      <c r="L6903" s="12">
        <f t="shared" si="578"/>
        <v>44.362500000000004</v>
      </c>
      <c r="M6903" s="106">
        <v>1</v>
      </c>
      <c r="N6903" s="106" t="s">
        <v>27</v>
      </c>
      <c r="O6903" s="78"/>
      <c r="P6903" s="107">
        <v>0.3</v>
      </c>
      <c r="Q6903" s="108">
        <v>0.4</v>
      </c>
      <c r="R6903" s="45" t="str">
        <f t="shared" si="577"/>
        <v>HOFFLIGHTS</v>
      </c>
    </row>
    <row r="6904" spans="1:18" customFormat="1" ht="27" customHeight="1" x14ac:dyDescent="0.25">
      <c r="A6904" s="105" t="s">
        <v>13983</v>
      </c>
      <c r="H6904" t="s">
        <v>14202</v>
      </c>
      <c r="I6904" t="s">
        <v>14203</v>
      </c>
      <c r="J6904" s="34" t="s">
        <v>26</v>
      </c>
      <c r="K6904" s="77">
        <v>36.270000000000003</v>
      </c>
      <c r="L6904" s="12">
        <f t="shared" si="578"/>
        <v>78.585000000000008</v>
      </c>
      <c r="M6904" s="106">
        <v>1</v>
      </c>
      <c r="N6904" s="106" t="s">
        <v>27</v>
      </c>
      <c r="O6904" s="78"/>
      <c r="P6904" s="107">
        <v>0.3</v>
      </c>
      <c r="Q6904" s="108">
        <v>0.4</v>
      </c>
      <c r="R6904" s="45" t="str">
        <f t="shared" si="577"/>
        <v>HOFFLIGHTS</v>
      </c>
    </row>
    <row r="6905" spans="1:18" customFormat="1" ht="27" customHeight="1" x14ac:dyDescent="0.25">
      <c r="A6905" s="105" t="s">
        <v>13983</v>
      </c>
      <c r="H6905" t="s">
        <v>14204</v>
      </c>
      <c r="I6905" t="s">
        <v>14205</v>
      </c>
      <c r="J6905" s="34" t="s">
        <v>26</v>
      </c>
      <c r="K6905" s="77">
        <v>36.270000000000003</v>
      </c>
      <c r="L6905" s="12">
        <f t="shared" si="578"/>
        <v>78.585000000000008</v>
      </c>
      <c r="M6905" s="106">
        <v>1</v>
      </c>
      <c r="N6905" s="106" t="s">
        <v>27</v>
      </c>
      <c r="O6905" s="78"/>
      <c r="P6905" s="107">
        <v>0.3</v>
      </c>
      <c r="Q6905" s="108">
        <v>0.4</v>
      </c>
      <c r="R6905" s="45" t="str">
        <f t="shared" si="577"/>
        <v>HOFFLIGHTS</v>
      </c>
    </row>
    <row r="6906" spans="1:18" customFormat="1" ht="27" customHeight="1" x14ac:dyDescent="0.25">
      <c r="A6906" s="105" t="s">
        <v>13983</v>
      </c>
      <c r="H6906" t="s">
        <v>14206</v>
      </c>
      <c r="I6906" t="s">
        <v>14207</v>
      </c>
      <c r="J6906" s="34" t="s">
        <v>26</v>
      </c>
      <c r="K6906" s="77">
        <v>48.262500000000003</v>
      </c>
      <c r="L6906" s="12">
        <f t="shared" si="578"/>
        <v>104.56875000000002</v>
      </c>
      <c r="M6906" s="106">
        <v>1</v>
      </c>
      <c r="N6906" s="106" t="s">
        <v>27</v>
      </c>
      <c r="O6906" s="78"/>
      <c r="P6906" s="107">
        <v>0.3</v>
      </c>
      <c r="Q6906" s="108">
        <v>0.4</v>
      </c>
      <c r="R6906" s="45" t="str">
        <f t="shared" si="577"/>
        <v>HOFFLIGHTS</v>
      </c>
    </row>
    <row r="6907" spans="1:18" customFormat="1" ht="27" customHeight="1" x14ac:dyDescent="0.25">
      <c r="A6907" s="105" t="s">
        <v>13983</v>
      </c>
      <c r="H6907" t="s">
        <v>14208</v>
      </c>
      <c r="I6907" t="s">
        <v>14209</v>
      </c>
      <c r="J6907" s="34" t="s">
        <v>26</v>
      </c>
      <c r="K6907" s="77">
        <v>48.262500000000003</v>
      </c>
      <c r="L6907" s="12">
        <f t="shared" si="578"/>
        <v>104.56875000000002</v>
      </c>
      <c r="M6907" s="106">
        <v>1</v>
      </c>
      <c r="N6907" s="106" t="s">
        <v>27</v>
      </c>
      <c r="O6907" s="78"/>
      <c r="P6907" s="107">
        <v>0.3</v>
      </c>
      <c r="Q6907" s="108">
        <v>0.4</v>
      </c>
      <c r="R6907" s="45" t="str">
        <f t="shared" si="577"/>
        <v>HOFFLIGHTS</v>
      </c>
    </row>
    <row r="6908" spans="1:18" customFormat="1" ht="27" customHeight="1" x14ac:dyDescent="0.25">
      <c r="A6908" s="105" t="s">
        <v>13983</v>
      </c>
      <c r="H6908" t="s">
        <v>14210</v>
      </c>
      <c r="I6908" t="s">
        <v>14211</v>
      </c>
      <c r="J6908" s="34" t="s">
        <v>26</v>
      </c>
      <c r="K6908" s="77">
        <v>58.441499999999998</v>
      </c>
      <c r="L6908" s="12">
        <f t="shared" si="578"/>
        <v>126.62325000000001</v>
      </c>
      <c r="M6908" s="106">
        <v>1</v>
      </c>
      <c r="N6908" s="106" t="s">
        <v>27</v>
      </c>
      <c r="O6908" s="78"/>
      <c r="P6908" s="107">
        <v>0.3</v>
      </c>
      <c r="Q6908" s="108">
        <v>0.4</v>
      </c>
      <c r="R6908" s="45" t="str">
        <f t="shared" si="577"/>
        <v>HOFFLIGHTS</v>
      </c>
    </row>
    <row r="6909" spans="1:18" customFormat="1" ht="27" customHeight="1" x14ac:dyDescent="0.25">
      <c r="A6909" s="105" t="s">
        <v>13983</v>
      </c>
      <c r="H6909" t="s">
        <v>14212</v>
      </c>
      <c r="I6909" t="s">
        <v>14213</v>
      </c>
      <c r="J6909" s="34" t="s">
        <v>26</v>
      </c>
      <c r="K6909" s="77">
        <v>58.441499999999998</v>
      </c>
      <c r="L6909" s="12">
        <f t="shared" si="578"/>
        <v>126.62325000000001</v>
      </c>
      <c r="M6909" s="106">
        <v>1</v>
      </c>
      <c r="N6909" s="106" t="s">
        <v>27</v>
      </c>
      <c r="O6909" s="78"/>
      <c r="P6909" s="107">
        <v>0.3</v>
      </c>
      <c r="Q6909" s="108">
        <v>0.4</v>
      </c>
      <c r="R6909" s="45" t="str">
        <f t="shared" si="577"/>
        <v>HOFFLIGHTS</v>
      </c>
    </row>
    <row r="6910" spans="1:18" customFormat="1" ht="27" customHeight="1" x14ac:dyDescent="0.25">
      <c r="A6910" s="105" t="s">
        <v>13983</v>
      </c>
      <c r="H6910" t="s">
        <v>14214</v>
      </c>
      <c r="I6910" t="s">
        <v>14215</v>
      </c>
      <c r="J6910" s="34" t="s">
        <v>26</v>
      </c>
      <c r="K6910" s="77">
        <v>39.487499999999997</v>
      </c>
      <c r="L6910" s="12">
        <f t="shared" si="578"/>
        <v>85.556249999999991</v>
      </c>
      <c r="M6910" s="106">
        <v>1</v>
      </c>
      <c r="N6910" s="106" t="s">
        <v>27</v>
      </c>
      <c r="O6910" s="78"/>
      <c r="P6910" s="107">
        <v>0.3</v>
      </c>
      <c r="Q6910" s="108">
        <v>0.4</v>
      </c>
      <c r="R6910" s="45" t="str">
        <f t="shared" ref="R6910:R6973" si="579">A6910</f>
        <v>HOFFLIGHTS</v>
      </c>
    </row>
    <row r="6911" spans="1:18" customFormat="1" ht="27" customHeight="1" x14ac:dyDescent="0.25">
      <c r="A6911" s="105" t="s">
        <v>13983</v>
      </c>
      <c r="H6911" t="s">
        <v>14216</v>
      </c>
      <c r="I6911" t="s">
        <v>14217</v>
      </c>
      <c r="J6911" s="34" t="s">
        <v>26</v>
      </c>
      <c r="K6911" s="77">
        <v>39.487499999999997</v>
      </c>
      <c r="L6911" s="12">
        <f t="shared" si="578"/>
        <v>85.556249999999991</v>
      </c>
      <c r="M6911" s="106">
        <v>1</v>
      </c>
      <c r="N6911" s="106" t="s">
        <v>27</v>
      </c>
      <c r="O6911" s="78"/>
      <c r="P6911" s="107">
        <v>0.3</v>
      </c>
      <c r="Q6911" s="108">
        <v>0.4</v>
      </c>
      <c r="R6911" s="45" t="str">
        <f t="shared" si="579"/>
        <v>HOFFLIGHTS</v>
      </c>
    </row>
    <row r="6912" spans="1:18" customFormat="1" ht="27" customHeight="1" x14ac:dyDescent="0.25">
      <c r="A6912" s="105" t="s">
        <v>13983</v>
      </c>
      <c r="H6912" t="s">
        <v>14218</v>
      </c>
      <c r="I6912" t="s">
        <v>14219</v>
      </c>
      <c r="J6912" s="34" t="s">
        <v>26</v>
      </c>
      <c r="K6912" s="77">
        <v>4.7677499999999986</v>
      </c>
      <c r="L6912" s="12">
        <f t="shared" si="578"/>
        <v>10.330124999999997</v>
      </c>
      <c r="M6912" s="106">
        <v>1</v>
      </c>
      <c r="N6912" s="106" t="s">
        <v>27</v>
      </c>
      <c r="O6912" s="78"/>
      <c r="P6912" s="107">
        <v>0.3</v>
      </c>
      <c r="Q6912" s="108">
        <v>0.4</v>
      </c>
      <c r="R6912" s="45" t="str">
        <f t="shared" si="579"/>
        <v>HOFFLIGHTS</v>
      </c>
    </row>
    <row r="6913" spans="1:18" customFormat="1" ht="27" customHeight="1" x14ac:dyDescent="0.25">
      <c r="A6913" s="105" t="s">
        <v>13983</v>
      </c>
      <c r="H6913" t="s">
        <v>14220</v>
      </c>
      <c r="I6913" t="s">
        <v>14221</v>
      </c>
      <c r="J6913" s="34" t="s">
        <v>26</v>
      </c>
      <c r="K6913" s="77">
        <v>4.7677499999999986</v>
      </c>
      <c r="L6913" s="12">
        <f t="shared" si="578"/>
        <v>10.330124999999997</v>
      </c>
      <c r="M6913" s="106">
        <v>1</v>
      </c>
      <c r="N6913" s="106" t="s">
        <v>27</v>
      </c>
      <c r="O6913" s="78"/>
      <c r="P6913" s="107">
        <v>0.3</v>
      </c>
      <c r="Q6913" s="108">
        <v>0.4</v>
      </c>
      <c r="R6913" s="45" t="str">
        <f t="shared" si="579"/>
        <v>HOFFLIGHTS</v>
      </c>
    </row>
    <row r="6914" spans="1:18" customFormat="1" ht="27" customHeight="1" x14ac:dyDescent="0.25">
      <c r="A6914" s="105" t="s">
        <v>13983</v>
      </c>
      <c r="H6914" t="s">
        <v>14222</v>
      </c>
      <c r="I6914" t="s">
        <v>14223</v>
      </c>
      <c r="J6914" s="34" t="s">
        <v>26</v>
      </c>
      <c r="K6914" s="77">
        <v>4.7677499999999986</v>
      </c>
      <c r="L6914" s="12">
        <f t="shared" si="578"/>
        <v>10.330124999999997</v>
      </c>
      <c r="M6914" s="106">
        <v>1</v>
      </c>
      <c r="N6914" s="106" t="s">
        <v>27</v>
      </c>
      <c r="O6914" s="78"/>
      <c r="P6914" s="107">
        <v>0.3</v>
      </c>
      <c r="Q6914" s="108">
        <v>0.4</v>
      </c>
      <c r="R6914" s="45" t="str">
        <f t="shared" si="579"/>
        <v>HOFFLIGHTS</v>
      </c>
    </row>
    <row r="6915" spans="1:18" customFormat="1" ht="27" customHeight="1" x14ac:dyDescent="0.25">
      <c r="A6915" s="105" t="s">
        <v>13983</v>
      </c>
      <c r="H6915" t="s">
        <v>14224</v>
      </c>
      <c r="I6915" t="s">
        <v>14225</v>
      </c>
      <c r="J6915" s="34" t="s">
        <v>26</v>
      </c>
      <c r="K6915" s="77">
        <v>1.2869999999999999</v>
      </c>
      <c r="L6915" s="12">
        <f t="shared" si="578"/>
        <v>2.7885</v>
      </c>
      <c r="M6915" s="106">
        <v>1</v>
      </c>
      <c r="N6915" s="106" t="s">
        <v>27</v>
      </c>
      <c r="O6915" s="78"/>
      <c r="P6915" s="107">
        <v>0.3</v>
      </c>
      <c r="Q6915" s="108">
        <v>0.4</v>
      </c>
      <c r="R6915" s="45" t="str">
        <f t="shared" si="579"/>
        <v>HOFFLIGHTS</v>
      </c>
    </row>
    <row r="6916" spans="1:18" customFormat="1" ht="27" customHeight="1" x14ac:dyDescent="0.25">
      <c r="A6916" s="105" t="s">
        <v>13983</v>
      </c>
      <c r="H6916" t="s">
        <v>14226</v>
      </c>
      <c r="I6916" t="s">
        <v>14227</v>
      </c>
      <c r="J6916" s="34" t="s">
        <v>26</v>
      </c>
      <c r="K6916" s="77">
        <v>3.4514999999999998</v>
      </c>
      <c r="L6916" s="12">
        <f t="shared" si="578"/>
        <v>7.478250000000001</v>
      </c>
      <c r="M6916" s="106">
        <v>1</v>
      </c>
      <c r="N6916" s="106" t="s">
        <v>27</v>
      </c>
      <c r="O6916" s="78"/>
      <c r="P6916" s="107">
        <v>0.3</v>
      </c>
      <c r="Q6916" s="108">
        <v>0.4</v>
      </c>
      <c r="R6916" s="45" t="str">
        <f t="shared" si="579"/>
        <v>HOFFLIGHTS</v>
      </c>
    </row>
    <row r="6917" spans="1:18" customFormat="1" ht="27" customHeight="1" x14ac:dyDescent="0.25">
      <c r="A6917" s="105" t="s">
        <v>13983</v>
      </c>
      <c r="H6917" t="s">
        <v>14228</v>
      </c>
      <c r="I6917" t="s">
        <v>14229</v>
      </c>
      <c r="J6917" s="34" t="s">
        <v>26</v>
      </c>
      <c r="K6917" s="77">
        <v>44.167499999999997</v>
      </c>
      <c r="L6917" s="12">
        <f t="shared" si="578"/>
        <v>95.696250000000006</v>
      </c>
      <c r="M6917" s="106">
        <v>1</v>
      </c>
      <c r="N6917" s="106" t="s">
        <v>27</v>
      </c>
      <c r="O6917" s="78"/>
      <c r="P6917" s="107">
        <v>0.3</v>
      </c>
      <c r="Q6917" s="108">
        <v>0.4</v>
      </c>
      <c r="R6917" s="45" t="str">
        <f t="shared" si="579"/>
        <v>HOFFLIGHTS</v>
      </c>
    </row>
    <row r="6918" spans="1:18" customFormat="1" ht="27" customHeight="1" x14ac:dyDescent="0.25">
      <c r="A6918" s="105" t="s">
        <v>13983</v>
      </c>
      <c r="H6918" t="s">
        <v>14230</v>
      </c>
      <c r="I6918" t="s">
        <v>14231</v>
      </c>
      <c r="J6918" s="34" t="s">
        <v>26</v>
      </c>
      <c r="K6918" s="77">
        <v>44.167499999999997</v>
      </c>
      <c r="L6918" s="12">
        <f t="shared" si="578"/>
        <v>95.696250000000006</v>
      </c>
      <c r="M6918" s="106">
        <v>1</v>
      </c>
      <c r="N6918" s="106" t="s">
        <v>27</v>
      </c>
      <c r="O6918" s="78"/>
      <c r="P6918" s="107">
        <v>0.3</v>
      </c>
      <c r="Q6918" s="108">
        <v>0.4</v>
      </c>
      <c r="R6918" s="45" t="str">
        <f t="shared" si="579"/>
        <v>HOFFLIGHTS</v>
      </c>
    </row>
    <row r="6919" spans="1:18" customFormat="1" ht="27" customHeight="1" x14ac:dyDescent="0.25">
      <c r="A6919" s="105" t="s">
        <v>13983</v>
      </c>
      <c r="H6919" t="s">
        <v>14232</v>
      </c>
      <c r="I6919" t="s">
        <v>14233</v>
      </c>
      <c r="J6919" s="34" t="s">
        <v>26</v>
      </c>
      <c r="K6919" s="77">
        <v>62.01</v>
      </c>
      <c r="L6919" s="12">
        <f t="shared" si="578"/>
        <v>134.35500000000002</v>
      </c>
      <c r="M6919" s="106">
        <v>1</v>
      </c>
      <c r="N6919" s="106" t="s">
        <v>27</v>
      </c>
      <c r="O6919" s="78"/>
      <c r="P6919" s="107">
        <v>0.3</v>
      </c>
      <c r="Q6919" s="108">
        <v>0.4</v>
      </c>
      <c r="R6919" s="45" t="str">
        <f t="shared" si="579"/>
        <v>HOFFLIGHTS</v>
      </c>
    </row>
    <row r="6920" spans="1:18" customFormat="1" ht="27" customHeight="1" x14ac:dyDescent="0.25">
      <c r="A6920" s="105" t="s">
        <v>13983</v>
      </c>
      <c r="H6920" t="s">
        <v>14234</v>
      </c>
      <c r="I6920" t="s">
        <v>14235</v>
      </c>
      <c r="J6920" s="34" t="s">
        <v>26</v>
      </c>
      <c r="K6920" s="77">
        <v>62.01</v>
      </c>
      <c r="L6920" s="12">
        <f t="shared" si="578"/>
        <v>134.35500000000002</v>
      </c>
      <c r="M6920" s="106">
        <v>1</v>
      </c>
      <c r="N6920" s="106" t="s">
        <v>27</v>
      </c>
      <c r="O6920" s="78"/>
      <c r="P6920" s="107">
        <v>0.3</v>
      </c>
      <c r="Q6920" s="108">
        <v>0.4</v>
      </c>
      <c r="R6920" s="45" t="str">
        <f t="shared" si="579"/>
        <v>HOFFLIGHTS</v>
      </c>
    </row>
    <row r="6921" spans="1:18" customFormat="1" ht="27" customHeight="1" x14ac:dyDescent="0.25">
      <c r="A6921" s="105" t="s">
        <v>13983</v>
      </c>
      <c r="H6921" t="s">
        <v>14236</v>
      </c>
      <c r="I6921" t="s">
        <v>14237</v>
      </c>
      <c r="J6921" s="34" t="s">
        <v>26</v>
      </c>
      <c r="K6921" s="77">
        <v>17.696249999999999</v>
      </c>
      <c r="L6921" s="12">
        <f t="shared" si="578"/>
        <v>38.341875000000002</v>
      </c>
      <c r="M6921" s="106">
        <v>1</v>
      </c>
      <c r="N6921" s="106" t="s">
        <v>27</v>
      </c>
      <c r="O6921" s="78"/>
      <c r="P6921" s="107">
        <v>0.3</v>
      </c>
      <c r="Q6921" s="108">
        <v>0.4</v>
      </c>
      <c r="R6921" s="45" t="str">
        <f t="shared" si="579"/>
        <v>HOFFLIGHTS</v>
      </c>
    </row>
    <row r="6922" spans="1:18" customFormat="1" ht="27" customHeight="1" x14ac:dyDescent="0.25">
      <c r="A6922" s="105" t="s">
        <v>13983</v>
      </c>
      <c r="H6922" t="s">
        <v>14238</v>
      </c>
      <c r="I6922" t="s">
        <v>14239</v>
      </c>
      <c r="J6922" s="34" t="s">
        <v>26</v>
      </c>
      <c r="K6922" s="77">
        <v>2.1644999999999999</v>
      </c>
      <c r="L6922" s="12">
        <f t="shared" si="578"/>
        <v>4.6897500000000001</v>
      </c>
      <c r="M6922" s="106">
        <v>1</v>
      </c>
      <c r="N6922" s="106" t="s">
        <v>27</v>
      </c>
      <c r="O6922" s="78"/>
      <c r="P6922" s="107">
        <v>0.3</v>
      </c>
      <c r="Q6922" s="108">
        <v>0.4</v>
      </c>
      <c r="R6922" s="45" t="str">
        <f t="shared" si="579"/>
        <v>HOFFLIGHTS</v>
      </c>
    </row>
    <row r="6923" spans="1:18" customFormat="1" ht="27" customHeight="1" x14ac:dyDescent="0.25">
      <c r="A6923" s="105" t="s">
        <v>13983</v>
      </c>
      <c r="H6923" t="s">
        <v>14240</v>
      </c>
      <c r="I6923" t="s">
        <v>14241</v>
      </c>
      <c r="J6923" s="34" t="s">
        <v>26</v>
      </c>
      <c r="K6923" s="77">
        <v>2.1644999999999999</v>
      </c>
      <c r="L6923" s="12">
        <f t="shared" si="578"/>
        <v>4.6897500000000001</v>
      </c>
      <c r="M6923" s="106">
        <v>1</v>
      </c>
      <c r="N6923" s="106" t="s">
        <v>27</v>
      </c>
      <c r="O6923" s="78"/>
      <c r="P6923" s="107">
        <v>0.3</v>
      </c>
      <c r="Q6923" s="108">
        <v>0.4</v>
      </c>
      <c r="R6923" s="45" t="str">
        <f t="shared" si="579"/>
        <v>HOFFLIGHTS</v>
      </c>
    </row>
    <row r="6924" spans="1:18" customFormat="1" ht="27" customHeight="1" x14ac:dyDescent="0.25">
      <c r="A6924" s="105" t="s">
        <v>13983</v>
      </c>
      <c r="H6924" t="s">
        <v>14242</v>
      </c>
      <c r="I6924" t="s">
        <v>14243</v>
      </c>
      <c r="J6924" s="34" t="s">
        <v>26</v>
      </c>
      <c r="K6924" s="77">
        <v>2.1644999999999999</v>
      </c>
      <c r="L6924" s="12">
        <f t="shared" si="578"/>
        <v>4.6897500000000001</v>
      </c>
      <c r="M6924" s="106">
        <v>1</v>
      </c>
      <c r="N6924" s="106" t="s">
        <v>27</v>
      </c>
      <c r="O6924" s="78"/>
      <c r="P6924" s="107">
        <v>0.3</v>
      </c>
      <c r="Q6924" s="108">
        <v>0.4</v>
      </c>
      <c r="R6924" s="45" t="str">
        <f t="shared" si="579"/>
        <v>HOFFLIGHTS</v>
      </c>
    </row>
    <row r="6925" spans="1:18" customFormat="1" ht="27" customHeight="1" x14ac:dyDescent="0.25">
      <c r="A6925" s="105" t="s">
        <v>13983</v>
      </c>
      <c r="H6925" t="s">
        <v>14244</v>
      </c>
      <c r="I6925" t="s">
        <v>14245</v>
      </c>
      <c r="J6925" s="34" t="s">
        <v>26</v>
      </c>
      <c r="K6925" s="77">
        <v>4.3289999999999997</v>
      </c>
      <c r="L6925" s="12">
        <f t="shared" si="578"/>
        <v>9.3795000000000002</v>
      </c>
      <c r="M6925" s="106">
        <v>1</v>
      </c>
      <c r="N6925" s="106" t="s">
        <v>27</v>
      </c>
      <c r="O6925" s="78"/>
      <c r="P6925" s="107">
        <v>0.3</v>
      </c>
      <c r="Q6925" s="108">
        <v>0.4</v>
      </c>
      <c r="R6925" s="45" t="str">
        <f t="shared" si="579"/>
        <v>HOFFLIGHTS</v>
      </c>
    </row>
    <row r="6926" spans="1:18" customFormat="1" ht="27" customHeight="1" x14ac:dyDescent="0.25">
      <c r="A6926" s="105" t="s">
        <v>13983</v>
      </c>
      <c r="H6926" t="s">
        <v>14246</v>
      </c>
      <c r="I6926" t="s">
        <v>14247</v>
      </c>
      <c r="J6926" s="34" t="s">
        <v>26</v>
      </c>
      <c r="K6926" s="77">
        <v>21.206250000000001</v>
      </c>
      <c r="L6926" s="12">
        <f t="shared" si="578"/>
        <v>45.946875000000006</v>
      </c>
      <c r="M6926" s="106">
        <v>1</v>
      </c>
      <c r="N6926" s="106" t="s">
        <v>27</v>
      </c>
      <c r="O6926" s="78"/>
      <c r="P6926" s="107">
        <v>0.3</v>
      </c>
      <c r="Q6926" s="108">
        <v>0.4</v>
      </c>
      <c r="R6926" s="45" t="str">
        <f t="shared" si="579"/>
        <v>HOFFLIGHTS</v>
      </c>
    </row>
    <row r="6927" spans="1:18" customFormat="1" ht="27" customHeight="1" x14ac:dyDescent="0.25">
      <c r="A6927" s="105" t="s">
        <v>13983</v>
      </c>
      <c r="H6927" t="s">
        <v>14238</v>
      </c>
      <c r="I6927" t="s">
        <v>14239</v>
      </c>
      <c r="J6927" s="34" t="s">
        <v>26</v>
      </c>
      <c r="K6927" s="77">
        <v>2.1644999999999999</v>
      </c>
      <c r="L6927" s="12">
        <f t="shared" si="578"/>
        <v>4.6897500000000001</v>
      </c>
      <c r="M6927" s="106">
        <v>1</v>
      </c>
      <c r="N6927" s="106" t="s">
        <v>27</v>
      </c>
      <c r="O6927" s="78"/>
      <c r="P6927" s="107">
        <v>0.3</v>
      </c>
      <c r="Q6927" s="108">
        <v>0.4</v>
      </c>
      <c r="R6927" s="45" t="str">
        <f t="shared" si="579"/>
        <v>HOFFLIGHTS</v>
      </c>
    </row>
    <row r="6928" spans="1:18" customFormat="1" ht="27" customHeight="1" x14ac:dyDescent="0.25">
      <c r="A6928" s="105" t="s">
        <v>13983</v>
      </c>
      <c r="H6928" t="s">
        <v>14240</v>
      </c>
      <c r="I6928" t="s">
        <v>14241</v>
      </c>
      <c r="J6928" s="34" t="s">
        <v>26</v>
      </c>
      <c r="K6928" s="77">
        <v>2.1644999999999999</v>
      </c>
      <c r="L6928" s="12">
        <f t="shared" si="578"/>
        <v>4.6897500000000001</v>
      </c>
      <c r="M6928" s="106">
        <v>1</v>
      </c>
      <c r="N6928" s="106" t="s">
        <v>27</v>
      </c>
      <c r="O6928" s="78"/>
      <c r="P6928" s="107">
        <v>0.3</v>
      </c>
      <c r="Q6928" s="108">
        <v>0.4</v>
      </c>
      <c r="R6928" s="45" t="str">
        <f t="shared" si="579"/>
        <v>HOFFLIGHTS</v>
      </c>
    </row>
    <row r="6929" spans="1:18" customFormat="1" ht="27" customHeight="1" x14ac:dyDescent="0.25">
      <c r="A6929" s="105" t="s">
        <v>13983</v>
      </c>
      <c r="H6929" t="s">
        <v>14242</v>
      </c>
      <c r="I6929" t="s">
        <v>14243</v>
      </c>
      <c r="J6929" s="34" t="s">
        <v>26</v>
      </c>
      <c r="K6929" s="77">
        <v>2.1644999999999999</v>
      </c>
      <c r="L6929" s="12">
        <f t="shared" si="578"/>
        <v>4.6897500000000001</v>
      </c>
      <c r="M6929" s="106">
        <v>1</v>
      </c>
      <c r="N6929" s="106" t="s">
        <v>27</v>
      </c>
      <c r="O6929" s="78"/>
      <c r="P6929" s="107">
        <v>0.3</v>
      </c>
      <c r="Q6929" s="108">
        <v>0.4</v>
      </c>
      <c r="R6929" s="45" t="str">
        <f t="shared" si="579"/>
        <v>HOFFLIGHTS</v>
      </c>
    </row>
    <row r="6930" spans="1:18" customFormat="1" ht="27" customHeight="1" x14ac:dyDescent="0.25">
      <c r="A6930" s="105" t="s">
        <v>13983</v>
      </c>
      <c r="H6930" t="s">
        <v>14244</v>
      </c>
      <c r="I6930" t="s">
        <v>14245</v>
      </c>
      <c r="J6930" s="34" t="s">
        <v>26</v>
      </c>
      <c r="K6930" s="77">
        <v>4.3289999999999997</v>
      </c>
      <c r="L6930" s="12">
        <f t="shared" si="578"/>
        <v>9.3795000000000002</v>
      </c>
      <c r="M6930" s="106">
        <v>1</v>
      </c>
      <c r="N6930" s="106" t="s">
        <v>27</v>
      </c>
      <c r="O6930" s="78"/>
      <c r="P6930" s="107">
        <v>0.3</v>
      </c>
      <c r="Q6930" s="108">
        <v>0.4</v>
      </c>
      <c r="R6930" s="45" t="str">
        <f t="shared" si="579"/>
        <v>HOFFLIGHTS</v>
      </c>
    </row>
    <row r="6931" spans="1:18" customFormat="1" ht="27" customHeight="1" x14ac:dyDescent="0.25">
      <c r="A6931" s="105" t="s">
        <v>13983</v>
      </c>
      <c r="H6931" t="s">
        <v>14248</v>
      </c>
      <c r="I6931" t="s">
        <v>14249</v>
      </c>
      <c r="J6931" s="34" t="s">
        <v>26</v>
      </c>
      <c r="K6931" s="77">
        <v>2.8664999999999998</v>
      </c>
      <c r="L6931" s="12">
        <f t="shared" si="578"/>
        <v>6.21075</v>
      </c>
      <c r="M6931" s="106">
        <v>1</v>
      </c>
      <c r="N6931" s="106" t="s">
        <v>27</v>
      </c>
      <c r="O6931" s="78"/>
      <c r="P6931" s="107">
        <v>0.3</v>
      </c>
      <c r="Q6931" s="108">
        <v>0.4</v>
      </c>
      <c r="R6931" s="45" t="str">
        <f t="shared" si="579"/>
        <v>HOFFLIGHTS</v>
      </c>
    </row>
    <row r="6932" spans="1:18" customFormat="1" ht="27" customHeight="1" x14ac:dyDescent="0.25">
      <c r="A6932" s="105" t="s">
        <v>13983</v>
      </c>
      <c r="H6932" t="s">
        <v>14250</v>
      </c>
      <c r="I6932" t="s">
        <v>14251</v>
      </c>
      <c r="J6932" s="34" t="s">
        <v>26</v>
      </c>
      <c r="K6932" s="77">
        <v>2.8664999999999998</v>
      </c>
      <c r="L6932" s="12">
        <f t="shared" si="578"/>
        <v>6.21075</v>
      </c>
      <c r="M6932" s="106">
        <v>1</v>
      </c>
      <c r="N6932" s="106" t="s">
        <v>27</v>
      </c>
      <c r="O6932" s="78"/>
      <c r="P6932" s="107">
        <v>0.3</v>
      </c>
      <c r="Q6932" s="108">
        <v>0.4</v>
      </c>
      <c r="R6932" s="45" t="str">
        <f t="shared" si="579"/>
        <v>HOFFLIGHTS</v>
      </c>
    </row>
    <row r="6933" spans="1:18" customFormat="1" ht="27" customHeight="1" x14ac:dyDescent="0.25">
      <c r="A6933" s="105" t="s">
        <v>13983</v>
      </c>
      <c r="H6933" t="s">
        <v>14252</v>
      </c>
      <c r="I6933" t="s">
        <v>14253</v>
      </c>
      <c r="J6933" s="34" t="s">
        <v>26</v>
      </c>
      <c r="K6933" s="77">
        <v>2.9834999999999998</v>
      </c>
      <c r="L6933" s="12">
        <f t="shared" si="578"/>
        <v>6.4642499999999998</v>
      </c>
      <c r="M6933" s="106">
        <v>1</v>
      </c>
      <c r="N6933" s="106" t="s">
        <v>27</v>
      </c>
      <c r="O6933" s="78"/>
      <c r="P6933" s="107">
        <v>0.3</v>
      </c>
      <c r="Q6933" s="108">
        <v>0.4</v>
      </c>
      <c r="R6933" s="45" t="str">
        <f t="shared" si="579"/>
        <v>HOFFLIGHTS</v>
      </c>
    </row>
    <row r="6934" spans="1:18" customFormat="1" ht="27" customHeight="1" x14ac:dyDescent="0.25">
      <c r="A6934" s="105" t="s">
        <v>13983</v>
      </c>
      <c r="H6934" t="s">
        <v>14254</v>
      </c>
      <c r="I6934" t="s">
        <v>14255</v>
      </c>
      <c r="J6934" s="34" t="s">
        <v>26</v>
      </c>
      <c r="K6934" s="77">
        <v>1.3454999999999999</v>
      </c>
      <c r="L6934" s="12">
        <f t="shared" si="578"/>
        <v>2.9152499999999999</v>
      </c>
      <c r="M6934" s="106">
        <v>1</v>
      </c>
      <c r="N6934" s="106" t="s">
        <v>27</v>
      </c>
      <c r="O6934" s="78"/>
      <c r="P6934" s="107">
        <v>0.3</v>
      </c>
      <c r="Q6934" s="108">
        <v>0.4</v>
      </c>
      <c r="R6934" s="45" t="str">
        <f t="shared" si="579"/>
        <v>HOFFLIGHTS</v>
      </c>
    </row>
    <row r="6935" spans="1:18" customFormat="1" ht="27" customHeight="1" x14ac:dyDescent="0.25">
      <c r="A6935" s="105" t="s">
        <v>13983</v>
      </c>
      <c r="H6935" t="s">
        <v>14256</v>
      </c>
      <c r="I6935" t="s">
        <v>14257</v>
      </c>
      <c r="J6935" s="34" t="s">
        <v>26</v>
      </c>
      <c r="K6935" s="77">
        <v>6.2009999999999996</v>
      </c>
      <c r="L6935" s="12">
        <f t="shared" si="578"/>
        <v>13.435499999999999</v>
      </c>
      <c r="M6935" s="106">
        <v>1</v>
      </c>
      <c r="N6935" s="106" t="s">
        <v>27</v>
      </c>
      <c r="O6935" s="78"/>
      <c r="P6935" s="107">
        <v>0.3</v>
      </c>
      <c r="Q6935" s="108">
        <v>0.4</v>
      </c>
      <c r="R6935" s="45" t="str">
        <f t="shared" si="579"/>
        <v>HOFFLIGHTS</v>
      </c>
    </row>
    <row r="6936" spans="1:18" customFormat="1" ht="27" customHeight="1" x14ac:dyDescent="0.25">
      <c r="A6936" s="105" t="s">
        <v>13983</v>
      </c>
      <c r="H6936" t="s">
        <v>14258</v>
      </c>
      <c r="I6936" t="s">
        <v>14259</v>
      </c>
      <c r="J6936" s="34" t="s">
        <v>26</v>
      </c>
      <c r="K6936" s="77">
        <v>6.2009999999999996</v>
      </c>
      <c r="L6936" s="12">
        <f t="shared" si="578"/>
        <v>13.435499999999999</v>
      </c>
      <c r="M6936" s="106">
        <v>1</v>
      </c>
      <c r="N6936" s="106" t="s">
        <v>27</v>
      </c>
      <c r="O6936" s="78"/>
      <c r="P6936" s="107">
        <v>0.3</v>
      </c>
      <c r="Q6936" s="108">
        <v>0.4</v>
      </c>
      <c r="R6936" s="45" t="str">
        <f t="shared" si="579"/>
        <v>HOFFLIGHTS</v>
      </c>
    </row>
    <row r="6937" spans="1:18" customFormat="1" ht="27" customHeight="1" x14ac:dyDescent="0.25">
      <c r="A6937" s="105" t="s">
        <v>13983</v>
      </c>
      <c r="H6937" t="s">
        <v>14260</v>
      </c>
      <c r="I6937" t="s">
        <v>14261</v>
      </c>
      <c r="J6937" s="34" t="s">
        <v>26</v>
      </c>
      <c r="K6937" s="77">
        <v>6.4349999999999996</v>
      </c>
      <c r="L6937" s="12">
        <f t="shared" si="578"/>
        <v>13.942499999999999</v>
      </c>
      <c r="M6937" s="106">
        <v>1</v>
      </c>
      <c r="N6937" s="106" t="s">
        <v>27</v>
      </c>
      <c r="O6937" s="78"/>
      <c r="P6937" s="107">
        <v>0.3</v>
      </c>
      <c r="Q6937" s="108">
        <v>0.4</v>
      </c>
      <c r="R6937" s="45" t="str">
        <f t="shared" si="579"/>
        <v>HOFFLIGHTS</v>
      </c>
    </row>
    <row r="6938" spans="1:18" customFormat="1" ht="27" customHeight="1" x14ac:dyDescent="0.25">
      <c r="A6938" s="105" t="s">
        <v>13983</v>
      </c>
      <c r="H6938" t="s">
        <v>14262</v>
      </c>
      <c r="I6938" t="s">
        <v>14263</v>
      </c>
      <c r="J6938" s="34" t="s">
        <v>26</v>
      </c>
      <c r="K6938" s="77">
        <v>6.4349999999999996</v>
      </c>
      <c r="L6938" s="12">
        <f t="shared" si="578"/>
        <v>13.942499999999999</v>
      </c>
      <c r="M6938" s="106">
        <v>1</v>
      </c>
      <c r="N6938" s="106" t="s">
        <v>27</v>
      </c>
      <c r="O6938" s="78"/>
      <c r="P6938" s="107">
        <v>0.3</v>
      </c>
      <c r="Q6938" s="108">
        <v>0.4</v>
      </c>
      <c r="R6938" s="45" t="str">
        <f t="shared" si="579"/>
        <v>HOFFLIGHTS</v>
      </c>
    </row>
    <row r="6939" spans="1:18" customFormat="1" ht="27" customHeight="1" x14ac:dyDescent="0.25">
      <c r="A6939" s="105" t="s">
        <v>13983</v>
      </c>
      <c r="H6939" t="s">
        <v>14254</v>
      </c>
      <c r="I6939" t="s">
        <v>14255</v>
      </c>
      <c r="J6939" s="34" t="s">
        <v>26</v>
      </c>
      <c r="K6939" s="77">
        <v>1.3454999999999999</v>
      </c>
      <c r="L6939" s="12">
        <f t="shared" si="578"/>
        <v>2.9152499999999999</v>
      </c>
      <c r="M6939" s="106">
        <v>1</v>
      </c>
      <c r="N6939" s="106" t="s">
        <v>27</v>
      </c>
      <c r="O6939" s="78"/>
      <c r="P6939" s="107">
        <v>0.3</v>
      </c>
      <c r="Q6939" s="108">
        <v>0.4</v>
      </c>
      <c r="R6939" s="45" t="str">
        <f t="shared" si="579"/>
        <v>HOFFLIGHTS</v>
      </c>
    </row>
    <row r="6940" spans="1:18" customFormat="1" ht="27" customHeight="1" x14ac:dyDescent="0.25">
      <c r="A6940" s="105" t="s">
        <v>13983</v>
      </c>
      <c r="H6940" t="s">
        <v>14264</v>
      </c>
      <c r="I6940" t="s">
        <v>14265</v>
      </c>
      <c r="J6940" s="34" t="s">
        <v>26</v>
      </c>
      <c r="K6940" s="77">
        <v>13.016249999999999</v>
      </c>
      <c r="L6940" s="12">
        <f t="shared" si="578"/>
        <v>28.201875000000001</v>
      </c>
      <c r="M6940" s="106">
        <v>1</v>
      </c>
      <c r="N6940" s="106" t="s">
        <v>27</v>
      </c>
      <c r="O6940" s="78"/>
      <c r="P6940" s="107">
        <v>0.3</v>
      </c>
      <c r="Q6940" s="108">
        <v>0.4</v>
      </c>
      <c r="R6940" s="45" t="str">
        <f t="shared" si="579"/>
        <v>HOFFLIGHTS</v>
      </c>
    </row>
    <row r="6941" spans="1:18" customFormat="1" ht="27" customHeight="1" x14ac:dyDescent="0.25">
      <c r="A6941" s="105" t="s">
        <v>13983</v>
      </c>
      <c r="H6941" t="s">
        <v>14266</v>
      </c>
      <c r="I6941" t="s">
        <v>14267</v>
      </c>
      <c r="J6941" s="34" t="s">
        <v>26</v>
      </c>
      <c r="K6941" s="77">
        <v>13.016249999999999</v>
      </c>
      <c r="L6941" s="12">
        <f t="shared" si="578"/>
        <v>28.201875000000001</v>
      </c>
      <c r="M6941" s="106">
        <v>1</v>
      </c>
      <c r="N6941" s="106" t="s">
        <v>27</v>
      </c>
      <c r="O6941" s="78"/>
      <c r="P6941" s="107">
        <v>0.3</v>
      </c>
      <c r="Q6941" s="108">
        <v>0.4</v>
      </c>
      <c r="R6941" s="45" t="str">
        <f t="shared" si="579"/>
        <v>HOFFLIGHTS</v>
      </c>
    </row>
    <row r="6942" spans="1:18" customFormat="1" ht="27" customHeight="1" x14ac:dyDescent="0.25">
      <c r="A6942" s="105" t="s">
        <v>13983</v>
      </c>
      <c r="H6942" t="s">
        <v>14254</v>
      </c>
      <c r="I6942" t="s">
        <v>14255</v>
      </c>
      <c r="J6942" s="34" t="s">
        <v>26</v>
      </c>
      <c r="K6942" s="77">
        <v>1.3454999999999999</v>
      </c>
      <c r="L6942" s="12">
        <f t="shared" si="578"/>
        <v>2.9152499999999999</v>
      </c>
      <c r="M6942" s="106">
        <v>1</v>
      </c>
      <c r="N6942" s="106" t="s">
        <v>27</v>
      </c>
      <c r="O6942" s="78"/>
      <c r="P6942" s="107">
        <v>0.3</v>
      </c>
      <c r="Q6942" s="108">
        <v>0.4</v>
      </c>
      <c r="R6942" s="45" t="str">
        <f t="shared" si="579"/>
        <v>HOFFLIGHTS</v>
      </c>
    </row>
    <row r="6943" spans="1:18" customFormat="1" ht="27" customHeight="1" x14ac:dyDescent="0.25">
      <c r="A6943" s="105" t="s">
        <v>13983</v>
      </c>
      <c r="H6943" t="s">
        <v>14268</v>
      </c>
      <c r="I6943" t="s">
        <v>14269</v>
      </c>
      <c r="J6943" s="34" t="s">
        <v>26</v>
      </c>
      <c r="K6943" s="77">
        <v>7.4294999999999991</v>
      </c>
      <c r="L6943" s="12">
        <f t="shared" si="578"/>
        <v>16.097249999999999</v>
      </c>
      <c r="M6943" s="106">
        <v>1</v>
      </c>
      <c r="N6943" s="106" t="s">
        <v>27</v>
      </c>
      <c r="O6943" s="78"/>
      <c r="P6943" s="107">
        <v>0.3</v>
      </c>
      <c r="Q6943" s="108">
        <v>0.4</v>
      </c>
      <c r="R6943" s="45" t="str">
        <f t="shared" si="579"/>
        <v>HOFFLIGHTS</v>
      </c>
    </row>
    <row r="6944" spans="1:18" customFormat="1" ht="27" customHeight="1" x14ac:dyDescent="0.25">
      <c r="A6944" s="105" t="s">
        <v>13983</v>
      </c>
      <c r="H6944" t="s">
        <v>14270</v>
      </c>
      <c r="I6944" t="s">
        <v>14271</v>
      </c>
      <c r="J6944" s="34" t="s">
        <v>26</v>
      </c>
      <c r="K6944" s="77">
        <v>7.4294999999999991</v>
      </c>
      <c r="L6944" s="12">
        <f t="shared" si="578"/>
        <v>16.097249999999999</v>
      </c>
      <c r="M6944" s="106">
        <v>1</v>
      </c>
      <c r="N6944" s="106" t="s">
        <v>27</v>
      </c>
      <c r="O6944" s="78"/>
      <c r="P6944" s="107">
        <v>0.3</v>
      </c>
      <c r="Q6944" s="108">
        <v>0.4</v>
      </c>
      <c r="R6944" s="45" t="str">
        <f t="shared" si="579"/>
        <v>HOFFLIGHTS</v>
      </c>
    </row>
    <row r="6945" spans="1:18" customFormat="1" ht="27" customHeight="1" x14ac:dyDescent="0.25">
      <c r="A6945" s="105" t="s">
        <v>13983</v>
      </c>
      <c r="H6945" t="s">
        <v>14254</v>
      </c>
      <c r="I6945" t="s">
        <v>14255</v>
      </c>
      <c r="J6945" s="34" t="s">
        <v>26</v>
      </c>
      <c r="K6945" s="77">
        <v>1.3454999999999999</v>
      </c>
      <c r="L6945" s="12">
        <f t="shared" si="578"/>
        <v>2.9152499999999999</v>
      </c>
      <c r="M6945" s="106">
        <v>1</v>
      </c>
      <c r="N6945" s="106" t="s">
        <v>27</v>
      </c>
      <c r="O6945" s="78"/>
      <c r="P6945" s="107">
        <v>0.3</v>
      </c>
      <c r="Q6945" s="108">
        <v>0.4</v>
      </c>
      <c r="R6945" s="45" t="str">
        <f t="shared" si="579"/>
        <v>HOFFLIGHTS</v>
      </c>
    </row>
    <row r="6946" spans="1:18" customFormat="1" ht="27" customHeight="1" x14ac:dyDescent="0.25">
      <c r="A6946" s="105" t="s">
        <v>13983</v>
      </c>
      <c r="H6946" t="s">
        <v>14272</v>
      </c>
      <c r="I6946" t="s">
        <v>14273</v>
      </c>
      <c r="J6946" s="34" t="s">
        <v>26</v>
      </c>
      <c r="K6946" s="77">
        <v>5.4405000000000001</v>
      </c>
      <c r="L6946" s="12">
        <f t="shared" si="578"/>
        <v>11.787750000000001</v>
      </c>
      <c r="M6946" s="106">
        <v>1</v>
      </c>
      <c r="N6946" s="106" t="s">
        <v>27</v>
      </c>
      <c r="O6946" s="78"/>
      <c r="P6946" s="107">
        <v>0.3</v>
      </c>
      <c r="Q6946" s="108">
        <v>0.4</v>
      </c>
      <c r="R6946" s="45" t="str">
        <f t="shared" si="579"/>
        <v>HOFFLIGHTS</v>
      </c>
    </row>
    <row r="6947" spans="1:18" customFormat="1" ht="27" customHeight="1" x14ac:dyDescent="0.25">
      <c r="A6947" s="105" t="s">
        <v>13983</v>
      </c>
      <c r="H6947" t="s">
        <v>14274</v>
      </c>
      <c r="I6947" t="s">
        <v>14275</v>
      </c>
      <c r="J6947" s="34" t="s">
        <v>26</v>
      </c>
      <c r="K6947" s="77">
        <v>5.4405000000000001</v>
      </c>
      <c r="L6947" s="12">
        <f t="shared" si="578"/>
        <v>11.787750000000001</v>
      </c>
      <c r="M6947" s="106">
        <v>1</v>
      </c>
      <c r="N6947" s="106" t="s">
        <v>27</v>
      </c>
      <c r="O6947" s="78"/>
      <c r="P6947" s="107">
        <v>0.3</v>
      </c>
      <c r="Q6947" s="108">
        <v>0.4</v>
      </c>
      <c r="R6947" s="45" t="str">
        <f t="shared" si="579"/>
        <v>HOFFLIGHTS</v>
      </c>
    </row>
    <row r="6948" spans="1:18" customFormat="1" ht="27" customHeight="1" x14ac:dyDescent="0.25">
      <c r="A6948" s="105" t="s">
        <v>13983</v>
      </c>
      <c r="H6948" t="s">
        <v>14276</v>
      </c>
      <c r="I6948" t="s">
        <v>14277</v>
      </c>
      <c r="J6948" s="34" t="s">
        <v>26</v>
      </c>
      <c r="K6948" s="77">
        <v>7.4880000000000004</v>
      </c>
      <c r="L6948" s="12">
        <f t="shared" si="578"/>
        <v>16.224000000000004</v>
      </c>
      <c r="M6948" s="106">
        <v>1</v>
      </c>
      <c r="N6948" s="106" t="s">
        <v>27</v>
      </c>
      <c r="O6948" s="78"/>
      <c r="P6948" s="107">
        <v>0.3</v>
      </c>
      <c r="Q6948" s="108">
        <v>0.4</v>
      </c>
      <c r="R6948" s="45" t="str">
        <f t="shared" si="579"/>
        <v>HOFFLIGHTS</v>
      </c>
    </row>
    <row r="6949" spans="1:18" customFormat="1" ht="27" customHeight="1" x14ac:dyDescent="0.25">
      <c r="A6949" s="105" t="s">
        <v>13983</v>
      </c>
      <c r="H6949" t="s">
        <v>14278</v>
      </c>
      <c r="I6949" t="s">
        <v>14279</v>
      </c>
      <c r="J6949" s="34" t="s">
        <v>26</v>
      </c>
      <c r="K6949" s="77">
        <v>7.4880000000000004</v>
      </c>
      <c r="L6949" s="12">
        <f t="shared" si="578"/>
        <v>16.224000000000004</v>
      </c>
      <c r="M6949" s="106">
        <v>1</v>
      </c>
      <c r="N6949" s="106" t="s">
        <v>27</v>
      </c>
      <c r="O6949" s="78"/>
      <c r="P6949" s="107">
        <v>0.3</v>
      </c>
      <c r="Q6949" s="108">
        <v>0.4</v>
      </c>
      <c r="R6949" s="45" t="str">
        <f t="shared" si="579"/>
        <v>HOFFLIGHTS</v>
      </c>
    </row>
    <row r="6950" spans="1:18" customFormat="1" ht="27" customHeight="1" x14ac:dyDescent="0.25">
      <c r="A6950" s="105" t="s">
        <v>13983</v>
      </c>
      <c r="H6950" t="s">
        <v>14254</v>
      </c>
      <c r="I6950" t="s">
        <v>14255</v>
      </c>
      <c r="J6950" s="34" t="s">
        <v>26</v>
      </c>
      <c r="K6950" s="77">
        <v>1.3454999999999999</v>
      </c>
      <c r="L6950" s="12">
        <f t="shared" si="578"/>
        <v>2.9152499999999999</v>
      </c>
      <c r="M6950" s="106">
        <v>1</v>
      </c>
      <c r="N6950" s="106" t="s">
        <v>27</v>
      </c>
      <c r="O6950" s="78"/>
      <c r="P6950" s="107">
        <v>0.3</v>
      </c>
      <c r="Q6950" s="108">
        <v>0.4</v>
      </c>
      <c r="R6950" s="45" t="str">
        <f t="shared" si="579"/>
        <v>HOFFLIGHTS</v>
      </c>
    </row>
    <row r="6951" spans="1:18" customFormat="1" ht="27" customHeight="1" x14ac:dyDescent="0.25">
      <c r="A6951" s="105" t="s">
        <v>13983</v>
      </c>
      <c r="H6951" t="s">
        <v>14280</v>
      </c>
      <c r="I6951" t="s">
        <v>14281</v>
      </c>
      <c r="J6951" s="34" t="s">
        <v>26</v>
      </c>
      <c r="K6951" s="77">
        <v>6.8444999999999991</v>
      </c>
      <c r="L6951" s="12">
        <f t="shared" si="578"/>
        <v>14.829750000000001</v>
      </c>
      <c r="M6951" s="106">
        <v>1</v>
      </c>
      <c r="N6951" s="106" t="s">
        <v>27</v>
      </c>
      <c r="O6951" s="78"/>
      <c r="P6951" s="107">
        <v>0.3</v>
      </c>
      <c r="Q6951" s="108">
        <v>0.4</v>
      </c>
      <c r="R6951" s="45" t="str">
        <f t="shared" si="579"/>
        <v>HOFFLIGHTS</v>
      </c>
    </row>
    <row r="6952" spans="1:18" customFormat="1" ht="27" customHeight="1" x14ac:dyDescent="0.25">
      <c r="A6952" s="105" t="s">
        <v>13983</v>
      </c>
      <c r="H6952" t="s">
        <v>14282</v>
      </c>
      <c r="I6952" t="s">
        <v>14283</v>
      </c>
      <c r="J6952" s="34" t="s">
        <v>26</v>
      </c>
      <c r="K6952" s="77">
        <v>10.705500000000001</v>
      </c>
      <c r="L6952" s="12">
        <f t="shared" si="578"/>
        <v>23.195250000000001</v>
      </c>
      <c r="M6952" s="106">
        <v>1</v>
      </c>
      <c r="N6952" s="106" t="s">
        <v>27</v>
      </c>
      <c r="O6952" s="78"/>
      <c r="P6952" s="107">
        <v>0.3</v>
      </c>
      <c r="Q6952" s="108">
        <v>0.4</v>
      </c>
      <c r="R6952" s="45" t="str">
        <f t="shared" si="579"/>
        <v>HOFFLIGHTS</v>
      </c>
    </row>
    <row r="6953" spans="1:18" customFormat="1" ht="27" customHeight="1" x14ac:dyDescent="0.25">
      <c r="A6953" s="105" t="s">
        <v>13983</v>
      </c>
      <c r="H6953" t="s">
        <v>14254</v>
      </c>
      <c r="I6953" t="s">
        <v>14255</v>
      </c>
      <c r="J6953" s="34" t="s">
        <v>26</v>
      </c>
      <c r="K6953" s="77">
        <v>1.3454999999999999</v>
      </c>
      <c r="L6953" s="12">
        <f t="shared" si="578"/>
        <v>2.9152499999999999</v>
      </c>
      <c r="M6953" s="106">
        <v>1</v>
      </c>
      <c r="N6953" s="106" t="s">
        <v>27</v>
      </c>
      <c r="O6953" s="78"/>
      <c r="P6953" s="107">
        <v>0.3</v>
      </c>
      <c r="Q6953" s="108">
        <v>0.4</v>
      </c>
      <c r="R6953" s="45" t="str">
        <f t="shared" si="579"/>
        <v>HOFFLIGHTS</v>
      </c>
    </row>
    <row r="6954" spans="1:18" customFormat="1" ht="27" customHeight="1" x14ac:dyDescent="0.25">
      <c r="A6954" s="105" t="s">
        <v>13983</v>
      </c>
      <c r="H6954" t="s">
        <v>14284</v>
      </c>
      <c r="I6954" t="s">
        <v>14285</v>
      </c>
      <c r="J6954" s="34" t="s">
        <v>26</v>
      </c>
      <c r="K6954" s="77">
        <v>13.455</v>
      </c>
      <c r="L6954" s="12">
        <f t="shared" ref="L6954:L7017" si="580">K6954*(1+P6954)/(1-Q6954)</f>
        <v>29.152500000000003</v>
      </c>
      <c r="M6954" s="106">
        <v>1</v>
      </c>
      <c r="N6954" s="106" t="s">
        <v>27</v>
      </c>
      <c r="O6954" s="78"/>
      <c r="P6954" s="107">
        <v>0.3</v>
      </c>
      <c r="Q6954" s="108">
        <v>0.4</v>
      </c>
      <c r="R6954" s="45" t="str">
        <f t="shared" si="579"/>
        <v>HOFFLIGHTS</v>
      </c>
    </row>
    <row r="6955" spans="1:18" customFormat="1" ht="27" customHeight="1" x14ac:dyDescent="0.25">
      <c r="A6955" s="105" t="s">
        <v>13983</v>
      </c>
      <c r="H6955" t="s">
        <v>14286</v>
      </c>
      <c r="I6955" t="s">
        <v>14287</v>
      </c>
      <c r="J6955" s="34" t="s">
        <v>26</v>
      </c>
      <c r="K6955" s="77">
        <v>13.455</v>
      </c>
      <c r="L6955" s="12">
        <f t="shared" si="580"/>
        <v>29.152500000000003</v>
      </c>
      <c r="M6955" s="106">
        <v>1</v>
      </c>
      <c r="N6955" s="106" t="s">
        <v>27</v>
      </c>
      <c r="O6955" s="78"/>
      <c r="P6955" s="107">
        <v>0.3</v>
      </c>
      <c r="Q6955" s="108">
        <v>0.4</v>
      </c>
      <c r="R6955" s="45" t="str">
        <f t="shared" si="579"/>
        <v>HOFFLIGHTS</v>
      </c>
    </row>
    <row r="6956" spans="1:18" customFormat="1" ht="27" customHeight="1" x14ac:dyDescent="0.25">
      <c r="A6956" s="105" t="s">
        <v>13983</v>
      </c>
      <c r="H6956" t="s">
        <v>14288</v>
      </c>
      <c r="I6956" t="s">
        <v>14289</v>
      </c>
      <c r="J6956" s="34" t="s">
        <v>26</v>
      </c>
      <c r="K6956" s="77">
        <v>13.455</v>
      </c>
      <c r="L6956" s="12">
        <f t="shared" si="580"/>
        <v>29.152500000000003</v>
      </c>
      <c r="M6956" s="106">
        <v>1</v>
      </c>
      <c r="N6956" s="106" t="s">
        <v>27</v>
      </c>
      <c r="O6956" s="78"/>
      <c r="P6956" s="107">
        <v>0.3</v>
      </c>
      <c r="Q6956" s="108">
        <v>0.4</v>
      </c>
      <c r="R6956" s="45" t="str">
        <f t="shared" si="579"/>
        <v>HOFFLIGHTS</v>
      </c>
    </row>
    <row r="6957" spans="1:18" customFormat="1" ht="27" customHeight="1" x14ac:dyDescent="0.25">
      <c r="A6957" s="105" t="s">
        <v>13983</v>
      </c>
      <c r="H6957" t="s">
        <v>14290</v>
      </c>
      <c r="I6957" t="s">
        <v>14291</v>
      </c>
      <c r="J6957" s="34" t="s">
        <v>26</v>
      </c>
      <c r="K6957" s="77">
        <v>13.455</v>
      </c>
      <c r="L6957" s="12">
        <f t="shared" si="580"/>
        <v>29.152500000000003</v>
      </c>
      <c r="M6957" s="106">
        <v>1</v>
      </c>
      <c r="N6957" s="106" t="s">
        <v>27</v>
      </c>
      <c r="O6957" s="78"/>
      <c r="P6957" s="107">
        <v>0.3</v>
      </c>
      <c r="Q6957" s="108">
        <v>0.4</v>
      </c>
      <c r="R6957" s="45" t="str">
        <f t="shared" si="579"/>
        <v>HOFFLIGHTS</v>
      </c>
    </row>
    <row r="6958" spans="1:18" customFormat="1" ht="27" customHeight="1" x14ac:dyDescent="0.25">
      <c r="A6958" s="105" t="s">
        <v>13983</v>
      </c>
      <c r="H6958" t="s">
        <v>14254</v>
      </c>
      <c r="I6958" t="s">
        <v>14255</v>
      </c>
      <c r="J6958" s="34" t="s">
        <v>26</v>
      </c>
      <c r="K6958" s="77">
        <v>1.3454999999999999</v>
      </c>
      <c r="L6958" s="12">
        <f t="shared" si="580"/>
        <v>2.9152499999999999</v>
      </c>
      <c r="M6958" s="106">
        <v>1</v>
      </c>
      <c r="N6958" s="106" t="s">
        <v>27</v>
      </c>
      <c r="O6958" s="78"/>
      <c r="P6958" s="107">
        <v>0.3</v>
      </c>
      <c r="Q6958" s="108">
        <v>0.4</v>
      </c>
      <c r="R6958" s="45" t="str">
        <f t="shared" si="579"/>
        <v>HOFFLIGHTS</v>
      </c>
    </row>
    <row r="6959" spans="1:18" customFormat="1" ht="27" customHeight="1" x14ac:dyDescent="0.25">
      <c r="A6959" s="105" t="s">
        <v>13983</v>
      </c>
      <c r="H6959" t="s">
        <v>14292</v>
      </c>
      <c r="I6959" t="s">
        <v>14293</v>
      </c>
      <c r="J6959" s="34" t="s">
        <v>26</v>
      </c>
      <c r="K6959" s="77">
        <v>12.43125</v>
      </c>
      <c r="L6959" s="12">
        <f t="shared" si="580"/>
        <v>26.934374999999999</v>
      </c>
      <c r="M6959" s="106">
        <v>1</v>
      </c>
      <c r="N6959" s="106" t="s">
        <v>27</v>
      </c>
      <c r="O6959" s="78"/>
      <c r="P6959" s="107">
        <v>0.3</v>
      </c>
      <c r="Q6959" s="108">
        <v>0.4</v>
      </c>
      <c r="R6959" s="45" t="str">
        <f t="shared" si="579"/>
        <v>HOFFLIGHTS</v>
      </c>
    </row>
    <row r="6960" spans="1:18" customFormat="1" ht="27" customHeight="1" x14ac:dyDescent="0.25">
      <c r="A6960" s="105" t="s">
        <v>13983</v>
      </c>
      <c r="H6960" t="s">
        <v>14294</v>
      </c>
      <c r="I6960" t="s">
        <v>14295</v>
      </c>
      <c r="J6960" s="34" t="s">
        <v>26</v>
      </c>
      <c r="K6960" s="77">
        <v>12.43125</v>
      </c>
      <c r="L6960" s="12">
        <f t="shared" si="580"/>
        <v>26.934374999999999</v>
      </c>
      <c r="M6960" s="106">
        <v>1</v>
      </c>
      <c r="N6960" s="106" t="s">
        <v>27</v>
      </c>
      <c r="O6960" s="78"/>
      <c r="P6960" s="107">
        <v>0.3</v>
      </c>
      <c r="Q6960" s="108">
        <v>0.4</v>
      </c>
      <c r="R6960" s="45" t="str">
        <f t="shared" si="579"/>
        <v>HOFFLIGHTS</v>
      </c>
    </row>
    <row r="6961" spans="1:18" customFormat="1" ht="27" customHeight="1" x14ac:dyDescent="0.25">
      <c r="A6961" s="105" t="s">
        <v>13983</v>
      </c>
      <c r="H6961" t="s">
        <v>14296</v>
      </c>
      <c r="I6961" t="s">
        <v>14297</v>
      </c>
      <c r="J6961" s="34" t="s">
        <v>26</v>
      </c>
      <c r="K6961" s="77">
        <v>12.43125</v>
      </c>
      <c r="L6961" s="12">
        <f t="shared" si="580"/>
        <v>26.934374999999999</v>
      </c>
      <c r="M6961" s="106">
        <v>1</v>
      </c>
      <c r="N6961" s="106" t="s">
        <v>27</v>
      </c>
      <c r="O6961" s="78"/>
      <c r="P6961" s="107">
        <v>0.3</v>
      </c>
      <c r="Q6961" s="108">
        <v>0.4</v>
      </c>
      <c r="R6961" s="45" t="str">
        <f t="shared" si="579"/>
        <v>HOFFLIGHTS</v>
      </c>
    </row>
    <row r="6962" spans="1:18" customFormat="1" ht="27" customHeight="1" x14ac:dyDescent="0.25">
      <c r="A6962" s="105" t="s">
        <v>13983</v>
      </c>
      <c r="H6962" t="s">
        <v>14298</v>
      </c>
      <c r="I6962" t="s">
        <v>14299</v>
      </c>
      <c r="J6962" s="34" t="s">
        <v>26</v>
      </c>
      <c r="K6962" s="77">
        <v>12.43125</v>
      </c>
      <c r="L6962" s="12">
        <f t="shared" si="580"/>
        <v>26.934374999999999</v>
      </c>
      <c r="M6962" s="106">
        <v>1</v>
      </c>
      <c r="N6962" s="106" t="s">
        <v>27</v>
      </c>
      <c r="O6962" s="78"/>
      <c r="P6962" s="107">
        <v>0.3</v>
      </c>
      <c r="Q6962" s="108">
        <v>0.4</v>
      </c>
      <c r="R6962" s="45" t="str">
        <f t="shared" si="579"/>
        <v>HOFFLIGHTS</v>
      </c>
    </row>
    <row r="6963" spans="1:18" customFormat="1" ht="27" customHeight="1" x14ac:dyDescent="0.25">
      <c r="A6963" s="105" t="s">
        <v>13983</v>
      </c>
      <c r="H6963" t="s">
        <v>14254</v>
      </c>
      <c r="I6963" t="s">
        <v>14255</v>
      </c>
      <c r="J6963" s="34" t="s">
        <v>26</v>
      </c>
      <c r="K6963" s="77">
        <v>1.3454999999999999</v>
      </c>
      <c r="L6963" s="12">
        <f t="shared" si="580"/>
        <v>2.9152499999999999</v>
      </c>
      <c r="M6963" s="106">
        <v>1</v>
      </c>
      <c r="N6963" s="106" t="s">
        <v>27</v>
      </c>
      <c r="O6963" s="78"/>
      <c r="P6963" s="107">
        <v>0.3</v>
      </c>
      <c r="Q6963" s="108">
        <v>0.4</v>
      </c>
      <c r="R6963" s="45" t="str">
        <f t="shared" si="579"/>
        <v>HOFFLIGHTS</v>
      </c>
    </row>
    <row r="6964" spans="1:18" customFormat="1" ht="27" customHeight="1" x14ac:dyDescent="0.25">
      <c r="A6964" s="105" t="s">
        <v>13983</v>
      </c>
      <c r="H6964" t="s">
        <v>14300</v>
      </c>
      <c r="I6964" t="s">
        <v>14301</v>
      </c>
      <c r="J6964" s="34" t="s">
        <v>26</v>
      </c>
      <c r="K6964" s="77">
        <v>19.305</v>
      </c>
      <c r="L6964" s="12">
        <f t="shared" si="580"/>
        <v>41.827500000000001</v>
      </c>
      <c r="M6964" s="106">
        <v>1</v>
      </c>
      <c r="N6964" s="106" t="s">
        <v>27</v>
      </c>
      <c r="O6964" s="78"/>
      <c r="P6964" s="107">
        <v>0.3</v>
      </c>
      <c r="Q6964" s="108">
        <v>0.4</v>
      </c>
      <c r="R6964" s="45" t="str">
        <f t="shared" si="579"/>
        <v>HOFFLIGHTS</v>
      </c>
    </row>
    <row r="6965" spans="1:18" customFormat="1" ht="27" customHeight="1" x14ac:dyDescent="0.25">
      <c r="A6965" s="105" t="s">
        <v>13983</v>
      </c>
      <c r="H6965" t="s">
        <v>14302</v>
      </c>
      <c r="I6965" t="s">
        <v>14303</v>
      </c>
      <c r="J6965" s="34" t="s">
        <v>26</v>
      </c>
      <c r="K6965" s="77">
        <v>19.305</v>
      </c>
      <c r="L6965" s="12">
        <f t="shared" si="580"/>
        <v>41.827500000000001</v>
      </c>
      <c r="M6965" s="106">
        <v>1</v>
      </c>
      <c r="N6965" s="106" t="s">
        <v>27</v>
      </c>
      <c r="O6965" s="78"/>
      <c r="P6965" s="107">
        <v>0.3</v>
      </c>
      <c r="Q6965" s="108">
        <v>0.4</v>
      </c>
      <c r="R6965" s="45" t="str">
        <f t="shared" si="579"/>
        <v>HOFFLIGHTS</v>
      </c>
    </row>
    <row r="6966" spans="1:18" customFormat="1" ht="27" customHeight="1" x14ac:dyDescent="0.25">
      <c r="A6966" s="105" t="s">
        <v>13983</v>
      </c>
      <c r="H6966" t="s">
        <v>14304</v>
      </c>
      <c r="I6966" t="s">
        <v>14305</v>
      </c>
      <c r="J6966" s="34" t="s">
        <v>26</v>
      </c>
      <c r="K6966" s="77">
        <v>37.732499999999987</v>
      </c>
      <c r="L6966" s="12">
        <f t="shared" si="580"/>
        <v>81.753749999999982</v>
      </c>
      <c r="M6966" s="106">
        <v>1</v>
      </c>
      <c r="N6966" s="106" t="s">
        <v>27</v>
      </c>
      <c r="O6966" s="78"/>
      <c r="P6966" s="107">
        <v>0.3</v>
      </c>
      <c r="Q6966" s="108">
        <v>0.4</v>
      </c>
      <c r="R6966" s="45" t="str">
        <f t="shared" si="579"/>
        <v>HOFFLIGHTS</v>
      </c>
    </row>
    <row r="6967" spans="1:18" customFormat="1" ht="27" customHeight="1" x14ac:dyDescent="0.25">
      <c r="A6967" s="105" t="s">
        <v>13983</v>
      </c>
      <c r="H6967" t="s">
        <v>14306</v>
      </c>
      <c r="I6967" t="s">
        <v>14307</v>
      </c>
      <c r="J6967" s="34" t="s">
        <v>26</v>
      </c>
      <c r="K6967" s="77">
        <v>37.732499999999987</v>
      </c>
      <c r="L6967" s="12">
        <f t="shared" si="580"/>
        <v>81.753749999999982</v>
      </c>
      <c r="M6967" s="106">
        <v>1</v>
      </c>
      <c r="N6967" s="106" t="s">
        <v>27</v>
      </c>
      <c r="O6967" s="78"/>
      <c r="P6967" s="107">
        <v>0.3</v>
      </c>
      <c r="Q6967" s="108">
        <v>0.4</v>
      </c>
      <c r="R6967" s="45" t="str">
        <f t="shared" si="579"/>
        <v>HOFFLIGHTS</v>
      </c>
    </row>
    <row r="6968" spans="1:18" customFormat="1" ht="27" customHeight="1" x14ac:dyDescent="0.25">
      <c r="A6968" s="105" t="s">
        <v>13983</v>
      </c>
      <c r="H6968" t="s">
        <v>14308</v>
      </c>
      <c r="I6968" t="s">
        <v>14309</v>
      </c>
      <c r="J6968" s="34" t="s">
        <v>26</v>
      </c>
      <c r="K6968" s="77">
        <v>19.305</v>
      </c>
      <c r="L6968" s="12">
        <f t="shared" si="580"/>
        <v>41.827500000000001</v>
      </c>
      <c r="M6968" s="106">
        <v>1</v>
      </c>
      <c r="N6968" s="106" t="s">
        <v>27</v>
      </c>
      <c r="O6968" s="78"/>
      <c r="P6968" s="107">
        <v>0.3</v>
      </c>
      <c r="Q6968" s="108">
        <v>0.4</v>
      </c>
      <c r="R6968" s="45" t="str">
        <f t="shared" si="579"/>
        <v>HOFFLIGHTS</v>
      </c>
    </row>
    <row r="6969" spans="1:18" customFormat="1" ht="27" customHeight="1" x14ac:dyDescent="0.25">
      <c r="A6969" s="105" t="s">
        <v>13983</v>
      </c>
      <c r="H6969" t="s">
        <v>14310</v>
      </c>
      <c r="I6969" t="s">
        <v>14311</v>
      </c>
      <c r="J6969" s="34" t="s">
        <v>26</v>
      </c>
      <c r="K6969" s="77">
        <v>19.305</v>
      </c>
      <c r="L6969" s="12">
        <f t="shared" si="580"/>
        <v>41.827500000000001</v>
      </c>
      <c r="M6969" s="106">
        <v>1</v>
      </c>
      <c r="N6969" s="106" t="s">
        <v>27</v>
      </c>
      <c r="O6969" s="78"/>
      <c r="P6969" s="107">
        <v>0.3</v>
      </c>
      <c r="Q6969" s="108">
        <v>0.4</v>
      </c>
      <c r="R6969" s="45" t="str">
        <f t="shared" si="579"/>
        <v>HOFFLIGHTS</v>
      </c>
    </row>
    <row r="6970" spans="1:18" customFormat="1" ht="27" customHeight="1" x14ac:dyDescent="0.25">
      <c r="A6970" s="105" t="s">
        <v>13983</v>
      </c>
      <c r="H6970" t="s">
        <v>14312</v>
      </c>
      <c r="I6970" t="s">
        <v>14313</v>
      </c>
      <c r="J6970" s="34" t="s">
        <v>26</v>
      </c>
      <c r="K6970" s="77">
        <v>5.2065000000000001</v>
      </c>
      <c r="L6970" s="12">
        <f t="shared" si="580"/>
        <v>11.280750000000001</v>
      </c>
      <c r="M6970" s="106">
        <v>1</v>
      </c>
      <c r="N6970" s="106" t="s">
        <v>27</v>
      </c>
      <c r="O6970" s="78"/>
      <c r="P6970" s="107">
        <v>0.3</v>
      </c>
      <c r="Q6970" s="108">
        <v>0.4</v>
      </c>
      <c r="R6970" s="45" t="str">
        <f t="shared" si="579"/>
        <v>HOFFLIGHTS</v>
      </c>
    </row>
    <row r="6971" spans="1:18" customFormat="1" ht="27" customHeight="1" x14ac:dyDescent="0.25">
      <c r="A6971" s="105" t="s">
        <v>13983</v>
      </c>
      <c r="H6971" t="s">
        <v>14314</v>
      </c>
      <c r="I6971" t="s">
        <v>14315</v>
      </c>
      <c r="J6971" s="34" t="s">
        <v>26</v>
      </c>
      <c r="K6971" s="77">
        <v>29.191500000000001</v>
      </c>
      <c r="L6971" s="12">
        <f t="shared" si="580"/>
        <v>63.248250000000006</v>
      </c>
      <c r="M6971" s="106">
        <v>1</v>
      </c>
      <c r="N6971" s="106" t="s">
        <v>27</v>
      </c>
      <c r="O6971" s="78"/>
      <c r="P6971" s="107">
        <v>0.3</v>
      </c>
      <c r="Q6971" s="108">
        <v>0.4</v>
      </c>
      <c r="R6971" s="45" t="str">
        <f t="shared" si="579"/>
        <v>HOFFLIGHTS</v>
      </c>
    </row>
    <row r="6972" spans="1:18" customFormat="1" ht="27" customHeight="1" x14ac:dyDescent="0.25">
      <c r="A6972" s="105" t="s">
        <v>13983</v>
      </c>
      <c r="H6972" t="s">
        <v>14316</v>
      </c>
      <c r="I6972" t="s">
        <v>14317</v>
      </c>
      <c r="J6972" s="34" t="s">
        <v>26</v>
      </c>
      <c r="K6972" s="77">
        <v>29.191500000000001</v>
      </c>
      <c r="L6972" s="12">
        <f t="shared" si="580"/>
        <v>63.248250000000006</v>
      </c>
      <c r="M6972" s="106">
        <v>1</v>
      </c>
      <c r="N6972" s="106" t="s">
        <v>27</v>
      </c>
      <c r="O6972" s="78"/>
      <c r="P6972" s="107">
        <v>0.3</v>
      </c>
      <c r="Q6972" s="108">
        <v>0.4</v>
      </c>
      <c r="R6972" s="45" t="str">
        <f t="shared" si="579"/>
        <v>HOFFLIGHTS</v>
      </c>
    </row>
    <row r="6973" spans="1:18" customFormat="1" ht="27" customHeight="1" x14ac:dyDescent="0.25">
      <c r="A6973" s="105" t="s">
        <v>13983</v>
      </c>
      <c r="H6973" t="s">
        <v>14312</v>
      </c>
      <c r="I6973" t="s">
        <v>14313</v>
      </c>
      <c r="J6973" s="34" t="s">
        <v>26</v>
      </c>
      <c r="K6973" s="77">
        <v>5.2065000000000001</v>
      </c>
      <c r="L6973" s="12">
        <f t="shared" si="580"/>
        <v>11.280750000000001</v>
      </c>
      <c r="M6973" s="106">
        <v>1</v>
      </c>
      <c r="N6973" s="106" t="s">
        <v>27</v>
      </c>
      <c r="O6973" s="78"/>
      <c r="P6973" s="107">
        <v>0.3</v>
      </c>
      <c r="Q6973" s="108">
        <v>0.4</v>
      </c>
      <c r="R6973" s="45" t="str">
        <f t="shared" si="579"/>
        <v>HOFFLIGHTS</v>
      </c>
    </row>
    <row r="6974" spans="1:18" customFormat="1" ht="27" customHeight="1" x14ac:dyDescent="0.25">
      <c r="A6974" s="105" t="s">
        <v>13983</v>
      </c>
      <c r="H6974" t="s">
        <v>14318</v>
      </c>
      <c r="I6974" t="s">
        <v>14319</v>
      </c>
      <c r="J6974" s="34" t="s">
        <v>26</v>
      </c>
      <c r="K6974" s="77">
        <v>41.827500000000001</v>
      </c>
      <c r="L6974" s="12">
        <f t="shared" si="580"/>
        <v>90.626250000000013</v>
      </c>
      <c r="M6974" s="106">
        <v>1</v>
      </c>
      <c r="N6974" s="106" t="s">
        <v>27</v>
      </c>
      <c r="O6974" s="78"/>
      <c r="P6974" s="107">
        <v>0.3</v>
      </c>
      <c r="Q6974" s="108">
        <v>0.4</v>
      </c>
      <c r="R6974" s="45" t="str">
        <f t="shared" ref="R6974:R7037" si="581">A6974</f>
        <v>HOFFLIGHTS</v>
      </c>
    </row>
    <row r="6975" spans="1:18" customFormat="1" ht="27" customHeight="1" x14ac:dyDescent="0.25">
      <c r="A6975" s="105" t="s">
        <v>13983</v>
      </c>
      <c r="H6975" t="s">
        <v>14320</v>
      </c>
      <c r="I6975" t="s">
        <v>14321</v>
      </c>
      <c r="J6975" s="34" t="s">
        <v>26</v>
      </c>
      <c r="K6975" s="77">
        <v>41.827500000000001</v>
      </c>
      <c r="L6975" s="12">
        <f t="shared" si="580"/>
        <v>90.626250000000013</v>
      </c>
      <c r="M6975" s="106">
        <v>1</v>
      </c>
      <c r="N6975" s="106" t="s">
        <v>27</v>
      </c>
      <c r="O6975" s="78"/>
      <c r="P6975" s="107">
        <v>0.3</v>
      </c>
      <c r="Q6975" s="108">
        <v>0.4</v>
      </c>
      <c r="R6975" s="45" t="str">
        <f t="shared" si="581"/>
        <v>HOFFLIGHTS</v>
      </c>
    </row>
    <row r="6976" spans="1:18" customFormat="1" ht="27" customHeight="1" x14ac:dyDescent="0.25">
      <c r="A6976" s="105" t="s">
        <v>13983</v>
      </c>
      <c r="H6976" t="s">
        <v>14322</v>
      </c>
      <c r="I6976" t="s">
        <v>14323</v>
      </c>
      <c r="J6976" s="34" t="s">
        <v>26</v>
      </c>
      <c r="K6976" s="77">
        <v>41.827500000000001</v>
      </c>
      <c r="L6976" s="12">
        <f t="shared" si="580"/>
        <v>90.626250000000013</v>
      </c>
      <c r="M6976" s="106">
        <v>1</v>
      </c>
      <c r="N6976" s="106" t="s">
        <v>27</v>
      </c>
      <c r="O6976" s="78"/>
      <c r="P6976" s="107">
        <v>0.3</v>
      </c>
      <c r="Q6976" s="108">
        <v>0.4</v>
      </c>
      <c r="R6976" s="45" t="str">
        <f t="shared" si="581"/>
        <v>HOFFLIGHTS</v>
      </c>
    </row>
    <row r="6977" spans="1:19" customFormat="1" ht="27" customHeight="1" x14ac:dyDescent="0.25">
      <c r="A6977" s="105" t="s">
        <v>13983</v>
      </c>
      <c r="H6977" t="s">
        <v>14324</v>
      </c>
      <c r="I6977" t="s">
        <v>14325</v>
      </c>
      <c r="J6977" s="34" t="s">
        <v>26</v>
      </c>
      <c r="K6977" s="77">
        <v>41.827500000000001</v>
      </c>
      <c r="L6977" s="12">
        <f t="shared" si="580"/>
        <v>90.626250000000013</v>
      </c>
      <c r="M6977" s="106">
        <v>1</v>
      </c>
      <c r="N6977" s="106" t="s">
        <v>27</v>
      </c>
      <c r="O6977" s="78"/>
      <c r="P6977" s="107">
        <v>0.3</v>
      </c>
      <c r="Q6977" s="108">
        <v>0.4</v>
      </c>
      <c r="R6977" s="45" t="str">
        <f t="shared" si="581"/>
        <v>HOFFLIGHTS</v>
      </c>
    </row>
    <row r="6978" spans="1:19" customFormat="1" ht="27" customHeight="1" x14ac:dyDescent="0.25">
      <c r="A6978" s="105" t="s">
        <v>13983</v>
      </c>
      <c r="H6978" t="s">
        <v>14326</v>
      </c>
      <c r="I6978" t="s">
        <v>14327</v>
      </c>
      <c r="J6978" s="34" t="s">
        <v>26</v>
      </c>
      <c r="K6978" s="77">
        <v>2.4277500000000001</v>
      </c>
      <c r="L6978" s="12">
        <f t="shared" si="580"/>
        <v>5.2601250000000013</v>
      </c>
      <c r="M6978" s="106">
        <v>1</v>
      </c>
      <c r="N6978" s="106" t="s">
        <v>27</v>
      </c>
      <c r="O6978" s="78"/>
      <c r="P6978" s="107">
        <v>0.3</v>
      </c>
      <c r="Q6978" s="108">
        <v>0.4</v>
      </c>
      <c r="R6978" s="45" t="str">
        <f t="shared" si="581"/>
        <v>HOFFLIGHTS</v>
      </c>
    </row>
    <row r="6979" spans="1:19" customFormat="1" ht="27" customHeight="1" x14ac:dyDescent="0.25">
      <c r="A6979" s="105" t="s">
        <v>13983</v>
      </c>
      <c r="H6979" t="s">
        <v>14328</v>
      </c>
      <c r="I6979" t="s">
        <v>14329</v>
      </c>
      <c r="J6979" s="34" t="s">
        <v>26</v>
      </c>
      <c r="K6979" s="77">
        <v>2.4277500000000001</v>
      </c>
      <c r="L6979" s="12">
        <f t="shared" si="580"/>
        <v>5.2601250000000013</v>
      </c>
      <c r="M6979" s="106">
        <v>1</v>
      </c>
      <c r="N6979" s="106" t="s">
        <v>27</v>
      </c>
      <c r="O6979" s="78"/>
      <c r="P6979" s="107">
        <v>0.3</v>
      </c>
      <c r="Q6979" s="108">
        <v>0.4</v>
      </c>
      <c r="R6979" s="45" t="str">
        <f t="shared" si="581"/>
        <v>HOFFLIGHTS</v>
      </c>
    </row>
    <row r="6980" spans="1:19" customFormat="1" ht="27" customHeight="1" x14ac:dyDescent="0.25">
      <c r="A6980" s="105" t="s">
        <v>13983</v>
      </c>
      <c r="H6980" t="s">
        <v>14330</v>
      </c>
      <c r="I6980" t="s">
        <v>14331</v>
      </c>
      <c r="J6980" s="34" t="s">
        <v>26</v>
      </c>
      <c r="K6980" s="77">
        <v>2.4277500000000001</v>
      </c>
      <c r="L6980" s="12">
        <f t="shared" si="580"/>
        <v>5.2601250000000013</v>
      </c>
      <c r="M6980" s="106">
        <v>1</v>
      </c>
      <c r="N6980" s="106" t="s">
        <v>27</v>
      </c>
      <c r="O6980" s="78"/>
      <c r="P6980" s="107">
        <v>0.3</v>
      </c>
      <c r="Q6980" s="108">
        <v>0.4</v>
      </c>
      <c r="R6980" s="45" t="str">
        <f t="shared" si="581"/>
        <v>HOFFLIGHTS</v>
      </c>
    </row>
    <row r="6981" spans="1:19" customFormat="1" ht="27" customHeight="1" x14ac:dyDescent="0.25">
      <c r="A6981" s="105" t="s">
        <v>13983</v>
      </c>
      <c r="H6981" t="s">
        <v>14332</v>
      </c>
      <c r="I6981" t="s">
        <v>14333</v>
      </c>
      <c r="J6981" s="34" t="s">
        <v>26</v>
      </c>
      <c r="K6981" s="77">
        <v>40.950000000000003</v>
      </c>
      <c r="L6981" s="12">
        <f t="shared" si="580"/>
        <v>88.725000000000009</v>
      </c>
      <c r="M6981" s="106">
        <v>1</v>
      </c>
      <c r="N6981" s="106" t="s">
        <v>27</v>
      </c>
      <c r="O6981" s="78"/>
      <c r="P6981" s="107">
        <v>0.3</v>
      </c>
      <c r="Q6981" s="108">
        <v>0.4</v>
      </c>
      <c r="R6981" s="45" t="str">
        <f t="shared" si="581"/>
        <v>HOFFLIGHTS</v>
      </c>
    </row>
    <row r="6982" spans="1:19" customFormat="1" ht="27" customHeight="1" x14ac:dyDescent="0.25">
      <c r="A6982" s="105" t="s">
        <v>13983</v>
      </c>
      <c r="H6982" t="s">
        <v>14334</v>
      </c>
      <c r="I6982" t="s">
        <v>14335</v>
      </c>
      <c r="J6982" s="34" t="s">
        <v>26</v>
      </c>
      <c r="K6982" s="77">
        <v>40.950000000000003</v>
      </c>
      <c r="L6982" s="12">
        <f t="shared" si="580"/>
        <v>88.725000000000009</v>
      </c>
      <c r="M6982" s="106">
        <v>1</v>
      </c>
      <c r="N6982" s="106" t="s">
        <v>27</v>
      </c>
      <c r="O6982" s="78"/>
      <c r="P6982" s="107">
        <v>0.3</v>
      </c>
      <c r="Q6982" s="108">
        <v>0.4</v>
      </c>
      <c r="R6982" s="45" t="str">
        <f t="shared" si="581"/>
        <v>HOFFLIGHTS</v>
      </c>
    </row>
    <row r="6983" spans="1:19" customFormat="1" ht="27" customHeight="1" x14ac:dyDescent="0.25">
      <c r="A6983" s="105" t="s">
        <v>13983</v>
      </c>
      <c r="H6983" t="s">
        <v>14336</v>
      </c>
      <c r="I6983" t="s">
        <v>14337</v>
      </c>
      <c r="J6983" s="34" t="s">
        <v>26</v>
      </c>
      <c r="K6983" s="77">
        <v>58.441499999999998</v>
      </c>
      <c r="L6983" s="12">
        <f t="shared" si="580"/>
        <v>126.62325000000001</v>
      </c>
      <c r="M6983" s="106">
        <v>1</v>
      </c>
      <c r="N6983" s="106" t="s">
        <v>27</v>
      </c>
      <c r="O6983" s="78"/>
      <c r="P6983" s="107">
        <v>0.3</v>
      </c>
      <c r="Q6983" s="108">
        <v>0.4</v>
      </c>
      <c r="R6983" s="45" t="str">
        <f t="shared" si="581"/>
        <v>HOFFLIGHTS</v>
      </c>
    </row>
    <row r="6984" spans="1:19" customFormat="1" ht="27" customHeight="1" x14ac:dyDescent="0.25">
      <c r="A6984" s="105" t="s">
        <v>13983</v>
      </c>
      <c r="H6984" t="s">
        <v>14338</v>
      </c>
      <c r="I6984" t="s">
        <v>14339</v>
      </c>
      <c r="J6984" s="34" t="s">
        <v>26</v>
      </c>
      <c r="K6984" s="77">
        <v>58.441499999999998</v>
      </c>
      <c r="L6984" s="12">
        <f t="shared" si="580"/>
        <v>126.62325000000001</v>
      </c>
      <c r="M6984" s="106">
        <v>1</v>
      </c>
      <c r="N6984" s="106" t="s">
        <v>27</v>
      </c>
      <c r="O6984" s="78"/>
      <c r="P6984" s="107">
        <v>0.3</v>
      </c>
      <c r="Q6984" s="108">
        <v>0.4</v>
      </c>
      <c r="R6984" s="45" t="str">
        <f t="shared" si="581"/>
        <v>HOFFLIGHTS</v>
      </c>
    </row>
    <row r="6985" spans="1:19" customFormat="1" ht="27" customHeight="1" x14ac:dyDescent="0.25">
      <c r="A6985" s="105" t="s">
        <v>13983</v>
      </c>
      <c r="H6985" t="s">
        <v>14340</v>
      </c>
      <c r="I6985" t="s">
        <v>14341</v>
      </c>
      <c r="J6985" s="34" t="s">
        <v>26</v>
      </c>
      <c r="K6985" s="77">
        <v>77.22</v>
      </c>
      <c r="L6985" s="12">
        <f t="shared" si="580"/>
        <v>167.31</v>
      </c>
      <c r="M6985" s="106">
        <v>1</v>
      </c>
      <c r="N6985" s="106" t="s">
        <v>27</v>
      </c>
      <c r="O6985" s="78"/>
      <c r="P6985" s="107">
        <v>0.3</v>
      </c>
      <c r="Q6985" s="108">
        <v>0.4</v>
      </c>
      <c r="R6985" s="45" t="str">
        <f t="shared" si="581"/>
        <v>HOFFLIGHTS</v>
      </c>
    </row>
    <row r="6986" spans="1:19" customFormat="1" ht="27" customHeight="1" x14ac:dyDescent="0.25">
      <c r="A6986" s="105" t="s">
        <v>13983</v>
      </c>
      <c r="H6986" t="s">
        <v>14342</v>
      </c>
      <c r="I6986" t="s">
        <v>14343</v>
      </c>
      <c r="J6986" s="34" t="s">
        <v>26</v>
      </c>
      <c r="K6986" s="77">
        <v>77.22</v>
      </c>
      <c r="L6986" s="12">
        <f t="shared" si="580"/>
        <v>167.31</v>
      </c>
      <c r="M6986" s="106">
        <v>1</v>
      </c>
      <c r="N6986" s="106" t="s">
        <v>27</v>
      </c>
      <c r="O6986" s="78"/>
      <c r="P6986" s="107">
        <v>0.3</v>
      </c>
      <c r="Q6986" s="108">
        <v>0.4</v>
      </c>
      <c r="R6986" s="45" t="str">
        <f t="shared" si="581"/>
        <v>HOFFLIGHTS</v>
      </c>
    </row>
    <row r="6987" spans="1:19" customFormat="1" ht="27" customHeight="1" x14ac:dyDescent="0.25">
      <c r="A6987" s="105" t="s">
        <v>13983</v>
      </c>
      <c r="H6987" t="s">
        <v>14344</v>
      </c>
      <c r="I6987" t="s">
        <v>14345</v>
      </c>
      <c r="J6987" s="34" t="s">
        <v>26</v>
      </c>
      <c r="K6987" s="77">
        <v>56.452499999999993</v>
      </c>
      <c r="L6987" s="12">
        <f t="shared" si="580"/>
        <v>122.31375</v>
      </c>
      <c r="M6987" s="106">
        <v>1</v>
      </c>
      <c r="N6987" s="106" t="s">
        <v>27</v>
      </c>
      <c r="O6987" s="78"/>
      <c r="P6987" s="107">
        <v>0.3</v>
      </c>
      <c r="Q6987" s="108">
        <v>0.4</v>
      </c>
      <c r="R6987" s="45" t="str">
        <f t="shared" si="581"/>
        <v>HOFFLIGHTS</v>
      </c>
    </row>
    <row r="6988" spans="1:19" customFormat="1" ht="27" customHeight="1" x14ac:dyDescent="0.25">
      <c r="A6988" s="105" t="s">
        <v>13983</v>
      </c>
      <c r="H6988" t="s">
        <v>14346</v>
      </c>
      <c r="I6988" t="s">
        <v>14347</v>
      </c>
      <c r="J6988" s="34" t="s">
        <v>26</v>
      </c>
      <c r="K6988" s="77">
        <v>56.452499999999993</v>
      </c>
      <c r="L6988" s="12">
        <f t="shared" si="580"/>
        <v>122.31375</v>
      </c>
      <c r="M6988" s="106">
        <v>1</v>
      </c>
      <c r="N6988" s="106" t="s">
        <v>27</v>
      </c>
      <c r="O6988" s="78"/>
      <c r="P6988" s="107">
        <v>0.3</v>
      </c>
      <c r="Q6988" s="108">
        <v>0.4</v>
      </c>
      <c r="R6988" s="45" t="str">
        <f t="shared" si="581"/>
        <v>HOFFLIGHTS</v>
      </c>
    </row>
    <row r="6989" spans="1:19" customFormat="1" ht="27" customHeight="1" x14ac:dyDescent="0.25">
      <c r="A6989" s="105" t="s">
        <v>13983</v>
      </c>
      <c r="H6989" t="s">
        <v>14348</v>
      </c>
      <c r="I6989" t="s">
        <v>14349</v>
      </c>
      <c r="J6989" s="34" t="s">
        <v>26</v>
      </c>
      <c r="K6989" s="77">
        <v>56.452499999999993</v>
      </c>
      <c r="L6989" s="12">
        <f t="shared" si="580"/>
        <v>122.31375</v>
      </c>
      <c r="M6989" s="106">
        <v>1</v>
      </c>
      <c r="N6989" s="106" t="s">
        <v>27</v>
      </c>
      <c r="O6989" s="78"/>
      <c r="P6989" s="107">
        <v>0.3</v>
      </c>
      <c r="Q6989" s="108">
        <v>0.4</v>
      </c>
      <c r="R6989" s="45" t="str">
        <f t="shared" si="581"/>
        <v>HOFFLIGHTS</v>
      </c>
    </row>
    <row r="6990" spans="1:19" customFormat="1" ht="27" customHeight="1" x14ac:dyDescent="0.25">
      <c r="A6990" s="105" t="s">
        <v>13983</v>
      </c>
      <c r="H6990" t="s">
        <v>14350</v>
      </c>
      <c r="I6990" t="s">
        <v>14351</v>
      </c>
      <c r="J6990" s="34" t="s">
        <v>26</v>
      </c>
      <c r="K6990" s="77">
        <v>56.452499999999993</v>
      </c>
      <c r="L6990" s="12">
        <f t="shared" si="580"/>
        <v>122.31375</v>
      </c>
      <c r="M6990" s="106">
        <v>1</v>
      </c>
      <c r="N6990" s="106" t="s">
        <v>27</v>
      </c>
      <c r="O6990" s="78"/>
      <c r="P6990" s="107">
        <v>0.3</v>
      </c>
      <c r="Q6990" s="108">
        <v>0.4</v>
      </c>
      <c r="R6990" s="45" t="str">
        <f t="shared" si="581"/>
        <v>HOFFLIGHTS</v>
      </c>
      <c r="S6990">
        <f>+L6990*0.75</f>
        <v>91.735312499999992</v>
      </c>
    </row>
    <row r="6991" spans="1:19" customFormat="1" ht="27" customHeight="1" x14ac:dyDescent="0.25">
      <c r="A6991" s="105" t="s">
        <v>13983</v>
      </c>
      <c r="H6991" t="s">
        <v>14352</v>
      </c>
      <c r="I6991" t="s">
        <v>14353</v>
      </c>
      <c r="J6991" s="34" t="s">
        <v>26</v>
      </c>
      <c r="K6991" s="77">
        <v>24.862500000000001</v>
      </c>
      <c r="L6991" s="12">
        <f t="shared" si="580"/>
        <v>53.868749999999999</v>
      </c>
      <c r="M6991" s="106">
        <v>1</v>
      </c>
      <c r="N6991" s="106" t="s">
        <v>27</v>
      </c>
      <c r="O6991" s="78"/>
      <c r="P6991" s="107">
        <v>0.3</v>
      </c>
      <c r="Q6991" s="108">
        <v>0.4</v>
      </c>
      <c r="R6991" s="45" t="str">
        <f t="shared" si="581"/>
        <v>HOFFLIGHTS</v>
      </c>
    </row>
    <row r="6992" spans="1:19" customFormat="1" ht="27" customHeight="1" x14ac:dyDescent="0.25">
      <c r="A6992" s="105" t="s">
        <v>13983</v>
      </c>
      <c r="H6992" t="s">
        <v>14354</v>
      </c>
      <c r="I6992" t="s">
        <v>14355</v>
      </c>
      <c r="J6992" s="34" t="s">
        <v>26</v>
      </c>
      <c r="K6992" s="77">
        <v>30.42</v>
      </c>
      <c r="L6992" s="12">
        <f t="shared" si="580"/>
        <v>65.910000000000011</v>
      </c>
      <c r="M6992" s="106">
        <v>1</v>
      </c>
      <c r="N6992" s="106" t="s">
        <v>27</v>
      </c>
      <c r="O6992" s="78"/>
      <c r="P6992" s="107">
        <v>0.3</v>
      </c>
      <c r="Q6992" s="108">
        <v>0.4</v>
      </c>
      <c r="R6992" s="45" t="str">
        <f t="shared" si="581"/>
        <v>HOFFLIGHTS</v>
      </c>
    </row>
    <row r="6993" spans="1:18" customFormat="1" ht="27" customHeight="1" x14ac:dyDescent="0.25">
      <c r="A6993" s="105" t="s">
        <v>13983</v>
      </c>
      <c r="H6993" t="s">
        <v>14356</v>
      </c>
      <c r="I6993" t="s">
        <v>14357</v>
      </c>
      <c r="J6993" s="34" t="s">
        <v>26</v>
      </c>
      <c r="K6993" s="77">
        <v>39.195</v>
      </c>
      <c r="L6993" s="12">
        <f t="shared" si="580"/>
        <v>84.922500000000014</v>
      </c>
      <c r="M6993" s="106">
        <v>1</v>
      </c>
      <c r="N6993" s="106" t="s">
        <v>27</v>
      </c>
      <c r="O6993" s="78"/>
      <c r="P6993" s="107">
        <v>0.3</v>
      </c>
      <c r="Q6993" s="108">
        <v>0.4</v>
      </c>
      <c r="R6993" s="45" t="str">
        <f t="shared" si="581"/>
        <v>HOFFLIGHTS</v>
      </c>
    </row>
    <row r="6994" spans="1:18" customFormat="1" ht="27" customHeight="1" x14ac:dyDescent="0.25">
      <c r="A6994" s="105" t="s">
        <v>13983</v>
      </c>
      <c r="H6994" t="s">
        <v>14358</v>
      </c>
      <c r="I6994" t="s">
        <v>14359</v>
      </c>
      <c r="J6994" s="34" t="s">
        <v>26</v>
      </c>
      <c r="K6994" s="77">
        <v>18.72</v>
      </c>
      <c r="L6994" s="12">
        <f t="shared" si="580"/>
        <v>40.56</v>
      </c>
      <c r="M6994" s="106">
        <v>1</v>
      </c>
      <c r="N6994" s="106" t="s">
        <v>27</v>
      </c>
      <c r="O6994" s="78"/>
      <c r="P6994" s="107">
        <v>0.3</v>
      </c>
      <c r="Q6994" s="108">
        <v>0.4</v>
      </c>
      <c r="R6994" s="45" t="str">
        <f t="shared" si="581"/>
        <v>HOFFLIGHTS</v>
      </c>
    </row>
    <row r="6995" spans="1:18" customFormat="1" ht="27" customHeight="1" x14ac:dyDescent="0.25">
      <c r="A6995" s="105" t="s">
        <v>13983</v>
      </c>
      <c r="H6995" t="s">
        <v>14360</v>
      </c>
      <c r="I6995" t="s">
        <v>14361</v>
      </c>
      <c r="J6995" s="34" t="s">
        <v>26</v>
      </c>
      <c r="K6995" s="77">
        <v>294.255</v>
      </c>
      <c r="L6995" s="12">
        <f t="shared" si="580"/>
        <v>637.55250000000001</v>
      </c>
      <c r="M6995" s="106">
        <v>1</v>
      </c>
      <c r="N6995" s="106" t="s">
        <v>27</v>
      </c>
      <c r="O6995" s="78"/>
      <c r="P6995" s="107">
        <v>0.3</v>
      </c>
      <c r="Q6995" s="108">
        <v>0.4</v>
      </c>
      <c r="R6995" s="45" t="str">
        <f t="shared" si="581"/>
        <v>HOFFLIGHTS</v>
      </c>
    </row>
    <row r="6996" spans="1:18" customFormat="1" ht="27" customHeight="1" x14ac:dyDescent="0.25">
      <c r="A6996" s="105" t="s">
        <v>13983</v>
      </c>
      <c r="H6996" t="s">
        <v>14362</v>
      </c>
      <c r="I6996" t="s">
        <v>14363</v>
      </c>
      <c r="J6996" s="34" t="s">
        <v>26</v>
      </c>
      <c r="K6996" s="77">
        <v>294.255</v>
      </c>
      <c r="L6996" s="12">
        <f t="shared" si="580"/>
        <v>637.55250000000001</v>
      </c>
      <c r="M6996" s="106">
        <v>1</v>
      </c>
      <c r="N6996" s="106" t="s">
        <v>27</v>
      </c>
      <c r="O6996" s="78"/>
      <c r="P6996" s="107">
        <v>0.3</v>
      </c>
      <c r="Q6996" s="108">
        <v>0.4</v>
      </c>
      <c r="R6996" s="45" t="str">
        <f t="shared" si="581"/>
        <v>HOFFLIGHTS</v>
      </c>
    </row>
    <row r="6997" spans="1:18" customFormat="1" ht="27" customHeight="1" x14ac:dyDescent="0.25">
      <c r="A6997" s="105" t="s">
        <v>13983</v>
      </c>
      <c r="H6997" t="s">
        <v>14364</v>
      </c>
      <c r="I6997" t="s">
        <v>14365</v>
      </c>
      <c r="J6997" s="34" t="s">
        <v>26</v>
      </c>
      <c r="K6997" s="77">
        <v>437.58</v>
      </c>
      <c r="L6997" s="12">
        <f t="shared" si="580"/>
        <v>948.09000000000015</v>
      </c>
      <c r="M6997" s="106">
        <v>1</v>
      </c>
      <c r="N6997" s="106" t="s">
        <v>27</v>
      </c>
      <c r="O6997" s="78"/>
      <c r="P6997" s="107">
        <v>0.3</v>
      </c>
      <c r="Q6997" s="108">
        <v>0.4</v>
      </c>
      <c r="R6997" s="45" t="str">
        <f t="shared" si="581"/>
        <v>HOFFLIGHTS</v>
      </c>
    </row>
    <row r="6998" spans="1:18" customFormat="1" ht="27" customHeight="1" x14ac:dyDescent="0.25">
      <c r="A6998" s="105" t="s">
        <v>13983</v>
      </c>
      <c r="H6998" t="s">
        <v>14366</v>
      </c>
      <c r="I6998" t="s">
        <v>14367</v>
      </c>
      <c r="J6998" s="34" t="s">
        <v>26</v>
      </c>
      <c r="K6998" s="77">
        <v>437.58</v>
      </c>
      <c r="L6998" s="12">
        <f t="shared" si="580"/>
        <v>948.09000000000015</v>
      </c>
      <c r="M6998" s="106">
        <v>1</v>
      </c>
      <c r="N6998" s="106" t="s">
        <v>27</v>
      </c>
      <c r="O6998" s="78"/>
      <c r="P6998" s="107">
        <v>0.3</v>
      </c>
      <c r="Q6998" s="108">
        <v>0.4</v>
      </c>
      <c r="R6998" s="45" t="str">
        <f t="shared" si="581"/>
        <v>HOFFLIGHTS</v>
      </c>
    </row>
    <row r="6999" spans="1:18" customFormat="1" ht="27" customHeight="1" x14ac:dyDescent="0.25">
      <c r="A6999" s="105" t="s">
        <v>13983</v>
      </c>
      <c r="H6999" t="s">
        <v>14368</v>
      </c>
      <c r="I6999" t="s">
        <v>14369</v>
      </c>
      <c r="J6999" s="34" t="s">
        <v>26</v>
      </c>
      <c r="K6999" s="77">
        <v>57.33</v>
      </c>
      <c r="L6999" s="12">
        <f t="shared" si="580"/>
        <v>124.215</v>
      </c>
      <c r="M6999" s="106">
        <v>1</v>
      </c>
      <c r="N6999" s="106" t="s">
        <v>27</v>
      </c>
      <c r="O6999" s="78"/>
      <c r="P6999" s="107">
        <v>0.3</v>
      </c>
      <c r="Q6999" s="108">
        <v>0.4</v>
      </c>
      <c r="R6999" s="45" t="str">
        <f t="shared" si="581"/>
        <v>HOFFLIGHTS</v>
      </c>
    </row>
    <row r="7000" spans="1:18" customFormat="1" ht="27" customHeight="1" x14ac:dyDescent="0.25">
      <c r="A7000" s="105" t="s">
        <v>13983</v>
      </c>
      <c r="H7000" t="s">
        <v>14370</v>
      </c>
      <c r="I7000" t="s">
        <v>14371</v>
      </c>
      <c r="J7000" s="34" t="s">
        <v>26</v>
      </c>
      <c r="K7000" s="77">
        <v>57.33</v>
      </c>
      <c r="L7000" s="12">
        <f t="shared" si="580"/>
        <v>124.215</v>
      </c>
      <c r="M7000" s="106">
        <v>1</v>
      </c>
      <c r="N7000" s="106" t="s">
        <v>27</v>
      </c>
      <c r="O7000" s="78"/>
      <c r="P7000" s="107">
        <v>0.3</v>
      </c>
      <c r="Q7000" s="108">
        <v>0.4</v>
      </c>
      <c r="R7000" s="45" t="str">
        <f t="shared" si="581"/>
        <v>HOFFLIGHTS</v>
      </c>
    </row>
    <row r="7001" spans="1:18" customFormat="1" ht="27" customHeight="1" x14ac:dyDescent="0.25">
      <c r="A7001" s="105" t="s">
        <v>13983</v>
      </c>
      <c r="H7001" t="s">
        <v>14372</v>
      </c>
      <c r="I7001" t="s">
        <v>14373</v>
      </c>
      <c r="J7001" s="34" t="s">
        <v>26</v>
      </c>
      <c r="K7001" s="77">
        <v>80.144999999999996</v>
      </c>
      <c r="L7001" s="12">
        <f t="shared" si="580"/>
        <v>173.64750000000001</v>
      </c>
      <c r="M7001" s="106">
        <v>1</v>
      </c>
      <c r="N7001" s="106" t="s">
        <v>27</v>
      </c>
      <c r="O7001" s="78"/>
      <c r="P7001" s="107">
        <v>0.3</v>
      </c>
      <c r="Q7001" s="108">
        <v>0.4</v>
      </c>
      <c r="R7001" s="45" t="str">
        <f t="shared" si="581"/>
        <v>HOFFLIGHTS</v>
      </c>
    </row>
    <row r="7002" spans="1:18" customFormat="1" ht="27" customHeight="1" x14ac:dyDescent="0.25">
      <c r="A7002" s="105" t="s">
        <v>13983</v>
      </c>
      <c r="H7002" t="s">
        <v>14374</v>
      </c>
      <c r="I7002" t="s">
        <v>14375</v>
      </c>
      <c r="J7002" s="34" t="s">
        <v>26</v>
      </c>
      <c r="K7002" s="77">
        <v>80.144999999999996</v>
      </c>
      <c r="L7002" s="12">
        <f t="shared" si="580"/>
        <v>173.64750000000001</v>
      </c>
      <c r="M7002" s="106">
        <v>1</v>
      </c>
      <c r="N7002" s="106" t="s">
        <v>27</v>
      </c>
      <c r="O7002" s="78"/>
      <c r="P7002" s="107">
        <v>0.3</v>
      </c>
      <c r="Q7002" s="108">
        <v>0.4</v>
      </c>
      <c r="R7002" s="45" t="str">
        <f t="shared" si="581"/>
        <v>HOFFLIGHTS</v>
      </c>
    </row>
    <row r="7003" spans="1:18" customFormat="1" ht="27" customHeight="1" x14ac:dyDescent="0.25">
      <c r="A7003" s="105" t="s">
        <v>13983</v>
      </c>
      <c r="H7003" t="s">
        <v>14376</v>
      </c>
      <c r="I7003" t="s">
        <v>14377</v>
      </c>
      <c r="J7003" s="34" t="s">
        <v>26</v>
      </c>
      <c r="K7003" s="77">
        <v>54.112499999999997</v>
      </c>
      <c r="L7003" s="12">
        <f t="shared" si="580"/>
        <v>117.24375000000001</v>
      </c>
      <c r="M7003" s="106">
        <v>1</v>
      </c>
      <c r="N7003" s="106" t="s">
        <v>27</v>
      </c>
      <c r="O7003" s="78"/>
      <c r="P7003" s="107">
        <v>0.3</v>
      </c>
      <c r="Q7003" s="108">
        <v>0.4</v>
      </c>
      <c r="R7003" s="45" t="str">
        <f t="shared" si="581"/>
        <v>HOFFLIGHTS</v>
      </c>
    </row>
    <row r="7004" spans="1:18" customFormat="1" ht="27" customHeight="1" x14ac:dyDescent="0.25">
      <c r="A7004" s="105" t="s">
        <v>13983</v>
      </c>
      <c r="H7004" t="s">
        <v>14378</v>
      </c>
      <c r="I7004" t="s">
        <v>14379</v>
      </c>
      <c r="J7004" s="34" t="s">
        <v>26</v>
      </c>
      <c r="K7004" s="77">
        <v>54.112499999999997</v>
      </c>
      <c r="L7004" s="12">
        <f t="shared" si="580"/>
        <v>117.24375000000001</v>
      </c>
      <c r="M7004" s="106">
        <v>1</v>
      </c>
      <c r="N7004" s="106" t="s">
        <v>27</v>
      </c>
      <c r="O7004" s="78"/>
      <c r="P7004" s="107">
        <v>0.3</v>
      </c>
      <c r="Q7004" s="108">
        <v>0.4</v>
      </c>
      <c r="R7004" s="45" t="str">
        <f t="shared" si="581"/>
        <v>HOFFLIGHTS</v>
      </c>
    </row>
    <row r="7005" spans="1:18" customFormat="1" ht="27" customHeight="1" x14ac:dyDescent="0.25">
      <c r="A7005" s="105" t="s">
        <v>13983</v>
      </c>
      <c r="H7005" t="s">
        <v>14312</v>
      </c>
      <c r="I7005" t="s">
        <v>14313</v>
      </c>
      <c r="J7005" s="34" t="s">
        <v>26</v>
      </c>
      <c r="K7005" s="77">
        <v>5.2065000000000001</v>
      </c>
      <c r="L7005" s="12">
        <f t="shared" si="580"/>
        <v>11.280750000000001</v>
      </c>
      <c r="M7005" s="106">
        <v>1</v>
      </c>
      <c r="N7005" s="106" t="s">
        <v>27</v>
      </c>
      <c r="O7005" s="78"/>
      <c r="P7005" s="107">
        <v>0.3</v>
      </c>
      <c r="Q7005" s="108">
        <v>0.4</v>
      </c>
      <c r="R7005" s="45" t="str">
        <f t="shared" si="581"/>
        <v>HOFFLIGHTS</v>
      </c>
    </row>
    <row r="7006" spans="1:18" customFormat="1" ht="27" customHeight="1" x14ac:dyDescent="0.25">
      <c r="A7006" s="105" t="s">
        <v>13983</v>
      </c>
      <c r="H7006" t="s">
        <v>14380</v>
      </c>
      <c r="I7006" t="s">
        <v>14381</v>
      </c>
      <c r="J7006" s="34" t="s">
        <v>26</v>
      </c>
      <c r="K7006" s="77">
        <v>15.21</v>
      </c>
      <c r="L7006" s="12">
        <f t="shared" si="580"/>
        <v>32.955000000000005</v>
      </c>
      <c r="M7006" s="106">
        <v>1</v>
      </c>
      <c r="N7006" s="106" t="s">
        <v>27</v>
      </c>
      <c r="O7006" s="78"/>
      <c r="P7006" s="107">
        <v>0.3</v>
      </c>
      <c r="Q7006" s="108">
        <v>0.4</v>
      </c>
      <c r="R7006" s="45" t="str">
        <f t="shared" si="581"/>
        <v>HOFFLIGHTS</v>
      </c>
    </row>
    <row r="7007" spans="1:18" customFormat="1" ht="27" customHeight="1" x14ac:dyDescent="0.25">
      <c r="A7007" s="105" t="s">
        <v>13983</v>
      </c>
      <c r="H7007" t="s">
        <v>14382</v>
      </c>
      <c r="I7007" t="s">
        <v>14383</v>
      </c>
      <c r="J7007" s="34" t="s">
        <v>26</v>
      </c>
      <c r="K7007" s="77">
        <v>15.21</v>
      </c>
      <c r="L7007" s="12">
        <f t="shared" si="580"/>
        <v>32.955000000000005</v>
      </c>
      <c r="M7007" s="106">
        <v>1</v>
      </c>
      <c r="N7007" s="106" t="s">
        <v>27</v>
      </c>
      <c r="O7007" s="78"/>
      <c r="P7007" s="107">
        <v>0.3</v>
      </c>
      <c r="Q7007" s="108">
        <v>0.4</v>
      </c>
      <c r="R7007" s="45" t="str">
        <f t="shared" si="581"/>
        <v>HOFFLIGHTS</v>
      </c>
    </row>
    <row r="7008" spans="1:18" customFormat="1" ht="27" customHeight="1" x14ac:dyDescent="0.25">
      <c r="A7008" s="105" t="s">
        <v>13983</v>
      </c>
      <c r="H7008" t="s">
        <v>14384</v>
      </c>
      <c r="I7008" t="s">
        <v>14385</v>
      </c>
      <c r="J7008" s="34" t="s">
        <v>26</v>
      </c>
      <c r="K7008" s="77">
        <v>52.357499999999987</v>
      </c>
      <c r="L7008" s="12">
        <f t="shared" si="580"/>
        <v>113.44124999999998</v>
      </c>
      <c r="M7008" s="106">
        <v>1</v>
      </c>
      <c r="N7008" s="106" t="s">
        <v>27</v>
      </c>
      <c r="O7008" s="78"/>
      <c r="P7008" s="107">
        <v>0.3</v>
      </c>
      <c r="Q7008" s="108">
        <v>0.4</v>
      </c>
      <c r="R7008" s="45" t="str">
        <f t="shared" si="581"/>
        <v>HOFFLIGHTS</v>
      </c>
    </row>
    <row r="7009" spans="1:18" customFormat="1" ht="27" customHeight="1" x14ac:dyDescent="0.25">
      <c r="A7009" s="105" t="s">
        <v>13983</v>
      </c>
      <c r="H7009" t="s">
        <v>14386</v>
      </c>
      <c r="I7009" t="s">
        <v>14387</v>
      </c>
      <c r="J7009" s="34" t="s">
        <v>26</v>
      </c>
      <c r="K7009" s="77">
        <v>52.357499999999987</v>
      </c>
      <c r="L7009" s="12">
        <f t="shared" si="580"/>
        <v>113.44124999999998</v>
      </c>
      <c r="M7009" s="106">
        <v>1</v>
      </c>
      <c r="N7009" s="106" t="s">
        <v>27</v>
      </c>
      <c r="O7009" s="78"/>
      <c r="P7009" s="107">
        <v>0.3</v>
      </c>
      <c r="Q7009" s="108">
        <v>0.4</v>
      </c>
      <c r="R7009" s="45" t="str">
        <f t="shared" si="581"/>
        <v>HOFFLIGHTS</v>
      </c>
    </row>
    <row r="7010" spans="1:18" customFormat="1" ht="27" customHeight="1" x14ac:dyDescent="0.25">
      <c r="A7010" s="105" t="s">
        <v>13983</v>
      </c>
      <c r="H7010" t="s">
        <v>14360</v>
      </c>
      <c r="I7010" t="s">
        <v>14361</v>
      </c>
      <c r="J7010" s="34" t="s">
        <v>26</v>
      </c>
      <c r="K7010" s="77">
        <v>294.255</v>
      </c>
      <c r="L7010" s="12">
        <f t="shared" si="580"/>
        <v>637.55250000000001</v>
      </c>
      <c r="M7010" s="106">
        <v>1</v>
      </c>
      <c r="N7010" s="106" t="s">
        <v>27</v>
      </c>
      <c r="O7010" s="78"/>
      <c r="P7010" s="107">
        <v>0.3</v>
      </c>
      <c r="Q7010" s="108">
        <v>0.4</v>
      </c>
      <c r="R7010" s="45" t="str">
        <f t="shared" si="581"/>
        <v>HOFFLIGHTS</v>
      </c>
    </row>
    <row r="7011" spans="1:18" customFormat="1" ht="27" customHeight="1" x14ac:dyDescent="0.25">
      <c r="A7011" s="105" t="s">
        <v>13983</v>
      </c>
      <c r="H7011" t="s">
        <v>14362</v>
      </c>
      <c r="I7011" t="s">
        <v>14363</v>
      </c>
      <c r="J7011" s="34" t="s">
        <v>26</v>
      </c>
      <c r="K7011" s="77">
        <v>294.255</v>
      </c>
      <c r="L7011" s="12">
        <f t="shared" si="580"/>
        <v>637.55250000000001</v>
      </c>
      <c r="M7011" s="106">
        <v>1</v>
      </c>
      <c r="N7011" s="106" t="s">
        <v>27</v>
      </c>
      <c r="O7011" s="78"/>
      <c r="P7011" s="107">
        <v>0.3</v>
      </c>
      <c r="Q7011" s="108">
        <v>0.4</v>
      </c>
      <c r="R7011" s="45" t="str">
        <f t="shared" si="581"/>
        <v>HOFFLIGHTS</v>
      </c>
    </row>
    <row r="7012" spans="1:18" customFormat="1" ht="27" customHeight="1" x14ac:dyDescent="0.25">
      <c r="A7012" s="105" t="s">
        <v>13983</v>
      </c>
      <c r="H7012" t="s">
        <v>14364</v>
      </c>
      <c r="I7012" t="s">
        <v>14365</v>
      </c>
      <c r="J7012" s="34" t="s">
        <v>26</v>
      </c>
      <c r="K7012" s="77">
        <v>437.58</v>
      </c>
      <c r="L7012" s="12">
        <f t="shared" si="580"/>
        <v>948.09000000000015</v>
      </c>
      <c r="M7012" s="106">
        <v>1</v>
      </c>
      <c r="N7012" s="106" t="s">
        <v>27</v>
      </c>
      <c r="O7012" s="78"/>
      <c r="P7012" s="107">
        <v>0.3</v>
      </c>
      <c r="Q7012" s="108">
        <v>0.4</v>
      </c>
      <c r="R7012" s="45" t="str">
        <f t="shared" si="581"/>
        <v>HOFFLIGHTS</v>
      </c>
    </row>
    <row r="7013" spans="1:18" customFormat="1" ht="27" customHeight="1" x14ac:dyDescent="0.25">
      <c r="A7013" s="105" t="s">
        <v>13983</v>
      </c>
      <c r="H7013" t="s">
        <v>14366</v>
      </c>
      <c r="I7013" t="s">
        <v>14367</v>
      </c>
      <c r="J7013" s="34" t="s">
        <v>26</v>
      </c>
      <c r="K7013" s="77">
        <v>437.58</v>
      </c>
      <c r="L7013" s="12">
        <f t="shared" si="580"/>
        <v>948.09000000000015</v>
      </c>
      <c r="M7013" s="106">
        <v>1</v>
      </c>
      <c r="N7013" s="106" t="s">
        <v>27</v>
      </c>
      <c r="O7013" s="78"/>
      <c r="P7013" s="107">
        <v>0.3</v>
      </c>
      <c r="Q7013" s="108">
        <v>0.4</v>
      </c>
      <c r="R7013" s="45" t="str">
        <f t="shared" si="581"/>
        <v>HOFFLIGHTS</v>
      </c>
    </row>
    <row r="7014" spans="1:18" customFormat="1" ht="27" customHeight="1" x14ac:dyDescent="0.25">
      <c r="A7014" s="105" t="s">
        <v>13983</v>
      </c>
      <c r="H7014" t="s">
        <v>14388</v>
      </c>
      <c r="I7014" t="s">
        <v>14389</v>
      </c>
      <c r="J7014" s="34" t="s">
        <v>26</v>
      </c>
      <c r="K7014" s="77">
        <v>30.127500000000001</v>
      </c>
      <c r="L7014" s="12">
        <f t="shared" si="580"/>
        <v>65.276250000000005</v>
      </c>
      <c r="M7014" s="106">
        <v>1</v>
      </c>
      <c r="N7014" s="106" t="s">
        <v>27</v>
      </c>
      <c r="O7014" s="78"/>
      <c r="P7014" s="107">
        <v>0.3</v>
      </c>
      <c r="Q7014" s="108">
        <v>0.4</v>
      </c>
      <c r="R7014" s="45" t="str">
        <f t="shared" si="581"/>
        <v>HOFFLIGHTS</v>
      </c>
    </row>
    <row r="7015" spans="1:18" customFormat="1" ht="27" customHeight="1" x14ac:dyDescent="0.25">
      <c r="A7015" s="105" t="s">
        <v>13983</v>
      </c>
      <c r="H7015" t="s">
        <v>14390</v>
      </c>
      <c r="I7015" t="s">
        <v>14391</v>
      </c>
      <c r="J7015" s="34" t="s">
        <v>26</v>
      </c>
      <c r="K7015" s="77">
        <v>30.127500000000001</v>
      </c>
      <c r="L7015" s="12">
        <f t="shared" si="580"/>
        <v>65.276250000000005</v>
      </c>
      <c r="M7015" s="106">
        <v>1</v>
      </c>
      <c r="N7015" s="106" t="s">
        <v>27</v>
      </c>
      <c r="O7015" s="78"/>
      <c r="P7015" s="107">
        <v>0.3</v>
      </c>
      <c r="Q7015" s="108">
        <v>0.4</v>
      </c>
      <c r="R7015" s="45" t="str">
        <f t="shared" si="581"/>
        <v>HOFFLIGHTS</v>
      </c>
    </row>
    <row r="7016" spans="1:18" customFormat="1" ht="27" customHeight="1" x14ac:dyDescent="0.25">
      <c r="A7016" s="105" t="s">
        <v>13983</v>
      </c>
      <c r="H7016" t="s">
        <v>14392</v>
      </c>
      <c r="I7016" t="s">
        <v>14393</v>
      </c>
      <c r="J7016" s="34" t="s">
        <v>26</v>
      </c>
      <c r="K7016" s="77">
        <v>53.819999999999993</v>
      </c>
      <c r="L7016" s="12">
        <f t="shared" si="580"/>
        <v>116.61</v>
      </c>
      <c r="M7016" s="106">
        <v>1</v>
      </c>
      <c r="N7016" s="106" t="s">
        <v>27</v>
      </c>
      <c r="O7016" s="78"/>
      <c r="P7016" s="107">
        <v>0.3</v>
      </c>
      <c r="Q7016" s="108">
        <v>0.4</v>
      </c>
      <c r="R7016" s="45" t="str">
        <f t="shared" si="581"/>
        <v>HOFFLIGHTS</v>
      </c>
    </row>
    <row r="7017" spans="1:18" customFormat="1" ht="27" customHeight="1" x14ac:dyDescent="0.25">
      <c r="A7017" s="105" t="s">
        <v>13983</v>
      </c>
      <c r="H7017" t="s">
        <v>14394</v>
      </c>
      <c r="I7017" t="s">
        <v>14395</v>
      </c>
      <c r="J7017" s="34" t="s">
        <v>26</v>
      </c>
      <c r="K7017" s="77">
        <v>53.819999999999993</v>
      </c>
      <c r="L7017" s="12">
        <f t="shared" si="580"/>
        <v>116.61</v>
      </c>
      <c r="M7017" s="106">
        <v>1</v>
      </c>
      <c r="N7017" s="106" t="s">
        <v>27</v>
      </c>
      <c r="O7017" s="78"/>
      <c r="P7017" s="107">
        <v>0.3</v>
      </c>
      <c r="Q7017" s="108">
        <v>0.4</v>
      </c>
      <c r="R7017" s="45" t="str">
        <f t="shared" si="581"/>
        <v>HOFFLIGHTS</v>
      </c>
    </row>
    <row r="7018" spans="1:18" customFormat="1" ht="27" customHeight="1" x14ac:dyDescent="0.25">
      <c r="A7018" s="105" t="s">
        <v>13983</v>
      </c>
      <c r="H7018" t="s">
        <v>14396</v>
      </c>
      <c r="I7018" t="s">
        <v>14397</v>
      </c>
      <c r="J7018" s="34" t="s">
        <v>26</v>
      </c>
      <c r="K7018" s="77">
        <v>64.349999999999994</v>
      </c>
      <c r="L7018" s="12">
        <f t="shared" ref="L7018:L7081" si="582">K7018*(1+P7018)/(1-Q7018)</f>
        <v>139.42500000000001</v>
      </c>
      <c r="M7018" s="106">
        <v>1</v>
      </c>
      <c r="N7018" s="106" t="s">
        <v>27</v>
      </c>
      <c r="O7018" s="78"/>
      <c r="P7018" s="107">
        <v>0.3</v>
      </c>
      <c r="Q7018" s="108">
        <v>0.4</v>
      </c>
      <c r="R7018" s="45" t="str">
        <f t="shared" si="581"/>
        <v>HOFFLIGHTS</v>
      </c>
    </row>
    <row r="7019" spans="1:18" customFormat="1" ht="27" customHeight="1" x14ac:dyDescent="0.25">
      <c r="A7019" s="105" t="s">
        <v>13983</v>
      </c>
      <c r="H7019" t="s">
        <v>14398</v>
      </c>
      <c r="I7019" t="s">
        <v>14399</v>
      </c>
      <c r="J7019" s="34" t="s">
        <v>26</v>
      </c>
      <c r="K7019" s="77">
        <v>64.349999999999994</v>
      </c>
      <c r="L7019" s="12">
        <f t="shared" si="582"/>
        <v>139.42500000000001</v>
      </c>
      <c r="M7019" s="106">
        <v>1</v>
      </c>
      <c r="N7019" s="106" t="s">
        <v>27</v>
      </c>
      <c r="O7019" s="78"/>
      <c r="P7019" s="107">
        <v>0.3</v>
      </c>
      <c r="Q7019" s="108">
        <v>0.4</v>
      </c>
      <c r="R7019" s="45" t="str">
        <f t="shared" si="581"/>
        <v>HOFFLIGHTS</v>
      </c>
    </row>
    <row r="7020" spans="1:18" customFormat="1" ht="27" customHeight="1" x14ac:dyDescent="0.25">
      <c r="A7020" s="105" t="s">
        <v>13983</v>
      </c>
      <c r="H7020" t="s">
        <v>14400</v>
      </c>
      <c r="I7020" t="s">
        <v>14401</v>
      </c>
      <c r="J7020" s="34" t="s">
        <v>26</v>
      </c>
      <c r="K7020" s="77">
        <v>81.899999999999991</v>
      </c>
      <c r="L7020" s="12">
        <f t="shared" si="582"/>
        <v>177.45000000000002</v>
      </c>
      <c r="M7020" s="106">
        <v>1</v>
      </c>
      <c r="N7020" s="106" t="s">
        <v>27</v>
      </c>
      <c r="O7020" s="78"/>
      <c r="P7020" s="107">
        <v>0.3</v>
      </c>
      <c r="Q7020" s="108">
        <v>0.4</v>
      </c>
      <c r="R7020" s="45" t="str">
        <f t="shared" si="581"/>
        <v>HOFFLIGHTS</v>
      </c>
    </row>
    <row r="7021" spans="1:18" customFormat="1" ht="27" customHeight="1" x14ac:dyDescent="0.25">
      <c r="A7021" s="105" t="s">
        <v>13983</v>
      </c>
      <c r="H7021" t="s">
        <v>14402</v>
      </c>
      <c r="I7021" t="s">
        <v>14403</v>
      </c>
      <c r="J7021" s="34" t="s">
        <v>26</v>
      </c>
      <c r="K7021" s="77">
        <v>81.899999999999991</v>
      </c>
      <c r="L7021" s="12">
        <f t="shared" si="582"/>
        <v>177.45000000000002</v>
      </c>
      <c r="M7021" s="106">
        <v>1</v>
      </c>
      <c r="N7021" s="106" t="s">
        <v>27</v>
      </c>
      <c r="O7021" s="78"/>
      <c r="P7021" s="107">
        <v>0.3</v>
      </c>
      <c r="Q7021" s="108">
        <v>0.4</v>
      </c>
      <c r="R7021" s="45" t="str">
        <f t="shared" si="581"/>
        <v>HOFFLIGHTS</v>
      </c>
    </row>
    <row r="7022" spans="1:18" customFormat="1" ht="27" customHeight="1" x14ac:dyDescent="0.25">
      <c r="A7022" s="105" t="s">
        <v>13983</v>
      </c>
      <c r="H7022" t="s">
        <v>14404</v>
      </c>
      <c r="I7022" t="s">
        <v>14405</v>
      </c>
      <c r="J7022" s="34" t="s">
        <v>26</v>
      </c>
      <c r="K7022" s="77">
        <v>96.524999999999991</v>
      </c>
      <c r="L7022" s="12">
        <f t="shared" si="582"/>
        <v>209.13749999999999</v>
      </c>
      <c r="M7022" s="106">
        <v>1</v>
      </c>
      <c r="N7022" s="106" t="s">
        <v>27</v>
      </c>
      <c r="O7022" s="78"/>
      <c r="P7022" s="107">
        <v>0.3</v>
      </c>
      <c r="Q7022" s="108">
        <v>0.4</v>
      </c>
      <c r="R7022" s="45" t="str">
        <f t="shared" si="581"/>
        <v>HOFFLIGHTS</v>
      </c>
    </row>
    <row r="7023" spans="1:18" customFormat="1" ht="27" customHeight="1" x14ac:dyDescent="0.25">
      <c r="A7023" s="105" t="s">
        <v>13983</v>
      </c>
      <c r="H7023" t="s">
        <v>14406</v>
      </c>
      <c r="I7023" t="s">
        <v>14407</v>
      </c>
      <c r="J7023" s="34" t="s">
        <v>26</v>
      </c>
      <c r="K7023" s="77">
        <v>96.524999999999991</v>
      </c>
      <c r="L7023" s="12">
        <f t="shared" si="582"/>
        <v>209.13749999999999</v>
      </c>
      <c r="M7023" s="106">
        <v>1</v>
      </c>
      <c r="N7023" s="106" t="s">
        <v>27</v>
      </c>
      <c r="O7023" s="78"/>
      <c r="P7023" s="107">
        <v>0.3</v>
      </c>
      <c r="Q7023" s="108">
        <v>0.4</v>
      </c>
      <c r="R7023" s="45" t="str">
        <f t="shared" si="581"/>
        <v>HOFFLIGHTS</v>
      </c>
    </row>
    <row r="7024" spans="1:18" customFormat="1" ht="27" customHeight="1" x14ac:dyDescent="0.25">
      <c r="A7024" s="105" t="s">
        <v>13983</v>
      </c>
      <c r="H7024" t="s">
        <v>14408</v>
      </c>
      <c r="I7024" t="s">
        <v>14409</v>
      </c>
      <c r="J7024" s="34" t="s">
        <v>26</v>
      </c>
      <c r="K7024" s="77">
        <v>74.88</v>
      </c>
      <c r="L7024" s="12">
        <f t="shared" si="582"/>
        <v>162.24</v>
      </c>
      <c r="M7024" s="106">
        <v>1</v>
      </c>
      <c r="N7024" s="106" t="s">
        <v>27</v>
      </c>
      <c r="O7024" s="78"/>
      <c r="P7024" s="107">
        <v>0.3</v>
      </c>
      <c r="Q7024" s="108">
        <v>0.4</v>
      </c>
      <c r="R7024" s="45" t="str">
        <f t="shared" si="581"/>
        <v>HOFFLIGHTS</v>
      </c>
    </row>
    <row r="7025" spans="1:18" customFormat="1" ht="27" customHeight="1" x14ac:dyDescent="0.25">
      <c r="A7025" s="105" t="s">
        <v>13983</v>
      </c>
      <c r="H7025" t="s">
        <v>14410</v>
      </c>
      <c r="I7025" t="s">
        <v>14411</v>
      </c>
      <c r="J7025" s="34" t="s">
        <v>26</v>
      </c>
      <c r="K7025" s="77">
        <v>74.88</v>
      </c>
      <c r="L7025" s="12">
        <f t="shared" si="582"/>
        <v>162.24</v>
      </c>
      <c r="M7025" s="106">
        <v>1</v>
      </c>
      <c r="N7025" s="106" t="s">
        <v>27</v>
      </c>
      <c r="O7025" s="78"/>
      <c r="P7025" s="107">
        <v>0.3</v>
      </c>
      <c r="Q7025" s="108">
        <v>0.4</v>
      </c>
      <c r="R7025" s="45" t="str">
        <f t="shared" si="581"/>
        <v>HOFFLIGHTS</v>
      </c>
    </row>
    <row r="7026" spans="1:18" customFormat="1" ht="27" customHeight="1" x14ac:dyDescent="0.25">
      <c r="A7026" s="105" t="s">
        <v>13983</v>
      </c>
      <c r="H7026" t="s">
        <v>14412</v>
      </c>
      <c r="I7026" t="s">
        <v>14413</v>
      </c>
      <c r="J7026" s="34" t="s">
        <v>26</v>
      </c>
      <c r="K7026" s="77">
        <v>33.344999999999999</v>
      </c>
      <c r="L7026" s="12">
        <f t="shared" si="582"/>
        <v>72.247500000000002</v>
      </c>
      <c r="M7026" s="106">
        <v>1</v>
      </c>
      <c r="N7026" s="106" t="s">
        <v>27</v>
      </c>
      <c r="O7026" s="78"/>
      <c r="P7026" s="107">
        <v>0.3</v>
      </c>
      <c r="Q7026" s="108">
        <v>0.4</v>
      </c>
      <c r="R7026" s="45" t="str">
        <f t="shared" si="581"/>
        <v>HOFFLIGHTS</v>
      </c>
    </row>
    <row r="7027" spans="1:18" customFormat="1" ht="27" customHeight="1" x14ac:dyDescent="0.25">
      <c r="A7027" s="105" t="s">
        <v>13983</v>
      </c>
      <c r="H7027" t="s">
        <v>14414</v>
      </c>
      <c r="I7027" t="s">
        <v>14415</v>
      </c>
      <c r="J7027" s="34" t="s">
        <v>26</v>
      </c>
      <c r="K7027" s="77">
        <v>46.5075</v>
      </c>
      <c r="L7027" s="12">
        <f t="shared" si="582"/>
        <v>100.76625</v>
      </c>
      <c r="M7027" s="106">
        <v>1</v>
      </c>
      <c r="N7027" s="106" t="s">
        <v>27</v>
      </c>
      <c r="O7027" s="78"/>
      <c r="P7027" s="107">
        <v>0.3</v>
      </c>
      <c r="Q7027" s="108">
        <v>0.4</v>
      </c>
      <c r="R7027" s="45" t="str">
        <f t="shared" si="581"/>
        <v>HOFFLIGHTS</v>
      </c>
    </row>
    <row r="7028" spans="1:18" customFormat="1" ht="27" customHeight="1" x14ac:dyDescent="0.25">
      <c r="A7028" s="105" t="s">
        <v>13983</v>
      </c>
      <c r="H7028" t="s">
        <v>14416</v>
      </c>
      <c r="I7028" t="s">
        <v>14417</v>
      </c>
      <c r="J7028" s="34" t="s">
        <v>26</v>
      </c>
      <c r="K7028" s="77">
        <v>27.641249999999999</v>
      </c>
      <c r="L7028" s="12">
        <f t="shared" si="582"/>
        <v>59.889375000000001</v>
      </c>
      <c r="M7028" s="106">
        <v>1</v>
      </c>
      <c r="N7028" s="106" t="s">
        <v>27</v>
      </c>
      <c r="O7028" s="78"/>
      <c r="P7028" s="107">
        <v>0.3</v>
      </c>
      <c r="Q7028" s="108">
        <v>0.4</v>
      </c>
      <c r="R7028" s="45" t="str">
        <f t="shared" si="581"/>
        <v>HOFFLIGHTS</v>
      </c>
    </row>
    <row r="7029" spans="1:18" customFormat="1" ht="27" customHeight="1" x14ac:dyDescent="0.25">
      <c r="A7029" s="105" t="s">
        <v>13983</v>
      </c>
      <c r="H7029" t="s">
        <v>14418</v>
      </c>
      <c r="I7029" t="s">
        <v>14419</v>
      </c>
      <c r="J7029" s="34" t="s">
        <v>26</v>
      </c>
      <c r="K7029" s="77">
        <v>27.641249999999999</v>
      </c>
      <c r="L7029" s="12">
        <f t="shared" si="582"/>
        <v>59.889375000000001</v>
      </c>
      <c r="M7029" s="106">
        <v>1</v>
      </c>
      <c r="N7029" s="106" t="s">
        <v>27</v>
      </c>
      <c r="O7029" s="78"/>
      <c r="P7029" s="107">
        <v>0.3</v>
      </c>
      <c r="Q7029" s="108">
        <v>0.4</v>
      </c>
      <c r="R7029" s="45" t="str">
        <f t="shared" si="581"/>
        <v>HOFFLIGHTS</v>
      </c>
    </row>
    <row r="7030" spans="1:18" customFormat="1" ht="27" customHeight="1" x14ac:dyDescent="0.25">
      <c r="A7030" s="105" t="s">
        <v>13983</v>
      </c>
      <c r="H7030" t="s">
        <v>14420</v>
      </c>
      <c r="I7030" t="s">
        <v>14421</v>
      </c>
      <c r="J7030" s="34" t="s">
        <v>26</v>
      </c>
      <c r="K7030" s="77">
        <v>4.1534999999999993</v>
      </c>
      <c r="L7030" s="12">
        <f t="shared" si="582"/>
        <v>8.99925</v>
      </c>
      <c r="M7030" s="106">
        <v>1</v>
      </c>
      <c r="N7030" s="106" t="s">
        <v>27</v>
      </c>
      <c r="O7030" s="78"/>
      <c r="P7030" s="107">
        <v>0.3</v>
      </c>
      <c r="Q7030" s="108">
        <v>0.4</v>
      </c>
      <c r="R7030" s="45" t="str">
        <f t="shared" si="581"/>
        <v>HOFFLIGHTS</v>
      </c>
    </row>
    <row r="7031" spans="1:18" customFormat="1" ht="27" customHeight="1" x14ac:dyDescent="0.25">
      <c r="A7031" s="105" t="s">
        <v>13983</v>
      </c>
      <c r="H7031" t="s">
        <v>14422</v>
      </c>
      <c r="I7031" t="s">
        <v>14423</v>
      </c>
      <c r="J7031" s="34" t="s">
        <v>26</v>
      </c>
      <c r="K7031" s="77">
        <v>4.1534999999999993</v>
      </c>
      <c r="L7031" s="12">
        <f t="shared" si="582"/>
        <v>8.99925</v>
      </c>
      <c r="M7031" s="106">
        <v>1</v>
      </c>
      <c r="N7031" s="106" t="s">
        <v>27</v>
      </c>
      <c r="O7031" s="78"/>
      <c r="P7031" s="107">
        <v>0.3</v>
      </c>
      <c r="Q7031" s="108">
        <v>0.4</v>
      </c>
      <c r="R7031" s="45" t="str">
        <f t="shared" si="581"/>
        <v>HOFFLIGHTS</v>
      </c>
    </row>
    <row r="7032" spans="1:18" customFormat="1" ht="27" customHeight="1" x14ac:dyDescent="0.25">
      <c r="A7032" s="105" t="s">
        <v>13983</v>
      </c>
      <c r="H7032" t="s">
        <v>14424</v>
      </c>
      <c r="I7032" t="s">
        <v>14425</v>
      </c>
      <c r="J7032" s="34" t="s">
        <v>26</v>
      </c>
      <c r="K7032" s="77">
        <v>4.1534999999999993</v>
      </c>
      <c r="L7032" s="12">
        <f t="shared" si="582"/>
        <v>8.99925</v>
      </c>
      <c r="M7032" s="106">
        <v>1</v>
      </c>
      <c r="N7032" s="106" t="s">
        <v>27</v>
      </c>
      <c r="O7032" s="78"/>
      <c r="P7032" s="107">
        <v>0.3</v>
      </c>
      <c r="Q7032" s="108">
        <v>0.4</v>
      </c>
      <c r="R7032" s="45" t="str">
        <f t="shared" si="581"/>
        <v>HOFFLIGHTS</v>
      </c>
    </row>
    <row r="7033" spans="1:18" customFormat="1" ht="27" customHeight="1" x14ac:dyDescent="0.25">
      <c r="A7033" s="105" t="s">
        <v>13983</v>
      </c>
      <c r="H7033" t="s">
        <v>14426</v>
      </c>
      <c r="I7033" t="s">
        <v>14427</v>
      </c>
      <c r="J7033" s="34" t="s">
        <v>26</v>
      </c>
      <c r="K7033" s="77">
        <v>4.1534999999999993</v>
      </c>
      <c r="L7033" s="12">
        <f t="shared" si="582"/>
        <v>8.99925</v>
      </c>
      <c r="M7033" s="106">
        <v>1</v>
      </c>
      <c r="N7033" s="106" t="s">
        <v>27</v>
      </c>
      <c r="O7033" s="78"/>
      <c r="P7033" s="107">
        <v>0.3</v>
      </c>
      <c r="Q7033" s="108">
        <v>0.4</v>
      </c>
      <c r="R7033" s="45" t="str">
        <f t="shared" si="581"/>
        <v>HOFFLIGHTS</v>
      </c>
    </row>
    <row r="7034" spans="1:18" customFormat="1" ht="27" customHeight="1" x14ac:dyDescent="0.25">
      <c r="A7034" s="105" t="s">
        <v>13983</v>
      </c>
      <c r="H7034" t="s">
        <v>14428</v>
      </c>
      <c r="I7034" t="s">
        <v>14429</v>
      </c>
      <c r="J7034" s="34" t="s">
        <v>26</v>
      </c>
      <c r="K7034" s="77">
        <v>4.9139999999999997</v>
      </c>
      <c r="L7034" s="12">
        <f t="shared" si="582"/>
        <v>10.647</v>
      </c>
      <c r="M7034" s="106">
        <v>1</v>
      </c>
      <c r="N7034" s="106" t="s">
        <v>27</v>
      </c>
      <c r="O7034" s="78"/>
      <c r="P7034" s="107">
        <v>0.3</v>
      </c>
      <c r="Q7034" s="108">
        <v>0.4</v>
      </c>
      <c r="R7034" s="45" t="str">
        <f t="shared" si="581"/>
        <v>HOFFLIGHTS</v>
      </c>
    </row>
    <row r="7035" spans="1:18" customFormat="1" ht="27" customHeight="1" x14ac:dyDescent="0.25">
      <c r="A7035" s="105" t="s">
        <v>13983</v>
      </c>
      <c r="H7035" t="s">
        <v>14430</v>
      </c>
      <c r="I7035" t="s">
        <v>14431</v>
      </c>
      <c r="J7035" s="34" t="s">
        <v>26</v>
      </c>
      <c r="K7035" s="77">
        <v>24.862500000000001</v>
      </c>
      <c r="L7035" s="12">
        <f t="shared" si="582"/>
        <v>53.868749999999999</v>
      </c>
      <c r="M7035" s="106">
        <v>1</v>
      </c>
      <c r="N7035" s="106" t="s">
        <v>27</v>
      </c>
      <c r="O7035" s="78"/>
      <c r="P7035" s="107">
        <v>0.3</v>
      </c>
      <c r="Q7035" s="108">
        <v>0.4</v>
      </c>
      <c r="R7035" s="45" t="str">
        <f t="shared" si="581"/>
        <v>HOFFLIGHTS</v>
      </c>
    </row>
    <row r="7036" spans="1:18" customFormat="1" ht="27" customHeight="1" x14ac:dyDescent="0.25">
      <c r="A7036" s="105" t="s">
        <v>13983</v>
      </c>
      <c r="H7036" t="s">
        <v>14432</v>
      </c>
      <c r="I7036" t="s">
        <v>14433</v>
      </c>
      <c r="J7036" s="34" t="s">
        <v>26</v>
      </c>
      <c r="K7036" s="77">
        <v>24.862500000000001</v>
      </c>
      <c r="L7036" s="12">
        <f t="shared" si="582"/>
        <v>53.868749999999999</v>
      </c>
      <c r="M7036" s="106">
        <v>1</v>
      </c>
      <c r="N7036" s="106" t="s">
        <v>27</v>
      </c>
      <c r="O7036" s="78"/>
      <c r="P7036" s="107">
        <v>0.3</v>
      </c>
      <c r="Q7036" s="108">
        <v>0.4</v>
      </c>
      <c r="R7036" s="45" t="str">
        <f t="shared" si="581"/>
        <v>HOFFLIGHTS</v>
      </c>
    </row>
    <row r="7037" spans="1:18" customFormat="1" ht="27" customHeight="1" x14ac:dyDescent="0.25">
      <c r="A7037" s="105" t="s">
        <v>13983</v>
      </c>
      <c r="H7037" t="s">
        <v>14434</v>
      </c>
      <c r="I7037" t="s">
        <v>14435</v>
      </c>
      <c r="J7037" s="34" t="s">
        <v>26</v>
      </c>
      <c r="K7037" s="77">
        <v>27.202500000000001</v>
      </c>
      <c r="L7037" s="12">
        <f t="shared" si="582"/>
        <v>58.938750000000006</v>
      </c>
      <c r="M7037" s="106">
        <v>1</v>
      </c>
      <c r="N7037" s="106" t="s">
        <v>27</v>
      </c>
      <c r="O7037" s="78"/>
      <c r="P7037" s="107">
        <v>0.3</v>
      </c>
      <c r="Q7037" s="108">
        <v>0.4</v>
      </c>
      <c r="R7037" s="45" t="str">
        <f t="shared" si="581"/>
        <v>HOFFLIGHTS</v>
      </c>
    </row>
    <row r="7038" spans="1:18" customFormat="1" ht="27" customHeight="1" x14ac:dyDescent="0.25">
      <c r="A7038" s="105" t="s">
        <v>13983</v>
      </c>
      <c r="H7038" t="s">
        <v>14436</v>
      </c>
      <c r="I7038" t="s">
        <v>14437</v>
      </c>
      <c r="J7038" s="34" t="s">
        <v>26</v>
      </c>
      <c r="K7038" s="77">
        <v>36.270000000000003</v>
      </c>
      <c r="L7038" s="12">
        <f t="shared" si="582"/>
        <v>78.585000000000008</v>
      </c>
      <c r="M7038" s="106">
        <v>1</v>
      </c>
      <c r="N7038" s="106" t="s">
        <v>27</v>
      </c>
      <c r="O7038" s="78"/>
      <c r="P7038" s="107">
        <v>0.3</v>
      </c>
      <c r="Q7038" s="108">
        <v>0.4</v>
      </c>
      <c r="R7038" s="45" t="str">
        <f t="shared" ref="R7038:R7101" si="583">A7038</f>
        <v>HOFFLIGHTS</v>
      </c>
    </row>
    <row r="7039" spans="1:18" customFormat="1" ht="27" customHeight="1" x14ac:dyDescent="0.25">
      <c r="A7039" s="105" t="s">
        <v>13983</v>
      </c>
      <c r="H7039" t="s">
        <v>14438</v>
      </c>
      <c r="I7039" t="s">
        <v>14439</v>
      </c>
      <c r="J7039" s="34" t="s">
        <v>26</v>
      </c>
      <c r="K7039" s="77">
        <v>38.902500000000003</v>
      </c>
      <c r="L7039" s="12">
        <f t="shared" si="582"/>
        <v>84.288750000000022</v>
      </c>
      <c r="M7039" s="106">
        <v>1</v>
      </c>
      <c r="N7039" s="106" t="s">
        <v>27</v>
      </c>
      <c r="O7039" s="78"/>
      <c r="P7039" s="107">
        <v>0.3</v>
      </c>
      <c r="Q7039" s="108">
        <v>0.4</v>
      </c>
      <c r="R7039" s="45" t="str">
        <f t="shared" si="583"/>
        <v>HOFFLIGHTS</v>
      </c>
    </row>
    <row r="7040" spans="1:18" customFormat="1" ht="27" customHeight="1" x14ac:dyDescent="0.25">
      <c r="A7040" s="105" t="s">
        <v>13983</v>
      </c>
      <c r="H7040" t="s">
        <v>14440</v>
      </c>
      <c r="I7040" t="s">
        <v>14441</v>
      </c>
      <c r="J7040" s="34" t="s">
        <v>26</v>
      </c>
      <c r="K7040" s="77">
        <v>28.811250000000001</v>
      </c>
      <c r="L7040" s="12">
        <f t="shared" si="582"/>
        <v>62.424375000000005</v>
      </c>
      <c r="M7040" s="106">
        <v>1</v>
      </c>
      <c r="N7040" s="106" t="s">
        <v>27</v>
      </c>
      <c r="O7040" s="78"/>
      <c r="P7040" s="107">
        <v>0.3</v>
      </c>
      <c r="Q7040" s="108">
        <v>0.4</v>
      </c>
      <c r="R7040" s="45" t="str">
        <f t="shared" si="583"/>
        <v>HOFFLIGHTS</v>
      </c>
    </row>
    <row r="7041" spans="1:18" customFormat="1" ht="27" customHeight="1" x14ac:dyDescent="0.25">
      <c r="A7041" s="105" t="s">
        <v>13983</v>
      </c>
      <c r="H7041" t="s">
        <v>14442</v>
      </c>
      <c r="I7041" t="s">
        <v>14443</v>
      </c>
      <c r="J7041" s="34" t="s">
        <v>26</v>
      </c>
      <c r="K7041" s="77">
        <v>28.811250000000001</v>
      </c>
      <c r="L7041" s="12">
        <f t="shared" si="582"/>
        <v>62.424375000000005</v>
      </c>
      <c r="M7041" s="106">
        <v>1</v>
      </c>
      <c r="N7041" s="106" t="s">
        <v>27</v>
      </c>
      <c r="O7041" s="78"/>
      <c r="P7041" s="107">
        <v>0.3</v>
      </c>
      <c r="Q7041" s="108">
        <v>0.4</v>
      </c>
      <c r="R7041" s="45" t="str">
        <f t="shared" si="583"/>
        <v>HOFFLIGHTS</v>
      </c>
    </row>
    <row r="7042" spans="1:18" customFormat="1" ht="27" customHeight="1" x14ac:dyDescent="0.25">
      <c r="A7042" s="105" t="s">
        <v>13983</v>
      </c>
      <c r="H7042" t="s">
        <v>14312</v>
      </c>
      <c r="I7042" t="s">
        <v>14313</v>
      </c>
      <c r="J7042" s="34" t="s">
        <v>26</v>
      </c>
      <c r="K7042" s="77">
        <v>5.2065000000000001</v>
      </c>
      <c r="L7042" s="12">
        <f t="shared" si="582"/>
        <v>11.280750000000001</v>
      </c>
      <c r="M7042" s="106">
        <v>1</v>
      </c>
      <c r="N7042" s="106" t="s">
        <v>27</v>
      </c>
      <c r="O7042" s="78"/>
      <c r="P7042" s="107">
        <v>0.3</v>
      </c>
      <c r="Q7042" s="108">
        <v>0.4</v>
      </c>
      <c r="R7042" s="45" t="str">
        <f t="shared" si="583"/>
        <v>HOFFLIGHTS</v>
      </c>
    </row>
    <row r="7043" spans="1:18" customFormat="1" ht="27" customHeight="1" x14ac:dyDescent="0.25">
      <c r="A7043" s="105" t="s">
        <v>13983</v>
      </c>
      <c r="H7043" t="s">
        <v>14444</v>
      </c>
      <c r="I7043" t="s">
        <v>14445</v>
      </c>
      <c r="J7043" s="34" t="s">
        <v>26</v>
      </c>
      <c r="K7043" s="77">
        <v>54.404999999999987</v>
      </c>
      <c r="L7043" s="12">
        <f t="shared" si="582"/>
        <v>117.87749999999998</v>
      </c>
      <c r="M7043" s="106">
        <v>1</v>
      </c>
      <c r="N7043" s="106" t="s">
        <v>27</v>
      </c>
      <c r="O7043" s="78"/>
      <c r="P7043" s="107">
        <v>0.3</v>
      </c>
      <c r="Q7043" s="108">
        <v>0.4</v>
      </c>
      <c r="R7043" s="45" t="str">
        <f t="shared" si="583"/>
        <v>HOFFLIGHTS</v>
      </c>
    </row>
    <row r="7044" spans="1:18" customFormat="1" ht="27" customHeight="1" x14ac:dyDescent="0.25">
      <c r="A7044" s="105" t="s">
        <v>13983</v>
      </c>
      <c r="H7044" t="s">
        <v>14446</v>
      </c>
      <c r="I7044" t="s">
        <v>14447</v>
      </c>
      <c r="J7044" s="34" t="s">
        <v>26</v>
      </c>
      <c r="K7044" s="77">
        <v>54.404999999999987</v>
      </c>
      <c r="L7044" s="12">
        <f t="shared" si="582"/>
        <v>117.87749999999998</v>
      </c>
      <c r="M7044" s="106">
        <v>1</v>
      </c>
      <c r="N7044" s="106" t="s">
        <v>27</v>
      </c>
      <c r="O7044" s="78"/>
      <c r="P7044" s="107">
        <v>0.3</v>
      </c>
      <c r="Q7044" s="108">
        <v>0.4</v>
      </c>
      <c r="R7044" s="45" t="str">
        <f t="shared" si="583"/>
        <v>HOFFLIGHTS</v>
      </c>
    </row>
    <row r="7045" spans="1:18" customFormat="1" ht="27" customHeight="1" x14ac:dyDescent="0.25">
      <c r="A7045" s="105" t="s">
        <v>13983</v>
      </c>
      <c r="H7045" t="s">
        <v>14448</v>
      </c>
      <c r="I7045" t="s">
        <v>14449</v>
      </c>
      <c r="J7045" s="34" t="s">
        <v>26</v>
      </c>
      <c r="K7045" s="77">
        <v>4.4459999999999997</v>
      </c>
      <c r="L7045" s="12">
        <f t="shared" si="582"/>
        <v>9.6330000000000009</v>
      </c>
      <c r="M7045" s="106">
        <v>1</v>
      </c>
      <c r="N7045" s="106" t="s">
        <v>27</v>
      </c>
      <c r="O7045" s="78"/>
      <c r="P7045" s="107">
        <v>0.3</v>
      </c>
      <c r="Q7045" s="108">
        <v>0.4</v>
      </c>
      <c r="R7045" s="45" t="str">
        <f t="shared" si="583"/>
        <v>HOFFLIGHTS</v>
      </c>
    </row>
    <row r="7046" spans="1:18" customFormat="1" ht="27" customHeight="1" x14ac:dyDescent="0.25">
      <c r="A7046" s="105" t="s">
        <v>13983</v>
      </c>
      <c r="H7046" t="s">
        <v>14450</v>
      </c>
      <c r="I7046" t="s">
        <v>14451</v>
      </c>
      <c r="J7046" s="34" t="s">
        <v>26</v>
      </c>
      <c r="K7046" s="77">
        <v>4.4459999999999997</v>
      </c>
      <c r="L7046" s="12">
        <f t="shared" si="582"/>
        <v>9.6330000000000009</v>
      </c>
      <c r="M7046" s="106">
        <v>1</v>
      </c>
      <c r="N7046" s="106" t="s">
        <v>27</v>
      </c>
      <c r="O7046" s="78"/>
      <c r="P7046" s="107">
        <v>0.3</v>
      </c>
      <c r="Q7046" s="108">
        <v>0.4</v>
      </c>
      <c r="R7046" s="45" t="str">
        <f t="shared" si="583"/>
        <v>HOFFLIGHTS</v>
      </c>
    </row>
    <row r="7047" spans="1:18" customFormat="1" ht="27" customHeight="1" x14ac:dyDescent="0.25">
      <c r="A7047" s="105" t="s">
        <v>13983</v>
      </c>
      <c r="H7047" t="s">
        <v>14452</v>
      </c>
      <c r="I7047" t="s">
        <v>14453</v>
      </c>
      <c r="J7047" s="34" t="s">
        <v>26</v>
      </c>
      <c r="K7047" s="77">
        <v>4.4459999999999997</v>
      </c>
      <c r="L7047" s="12">
        <f t="shared" si="582"/>
        <v>9.6330000000000009</v>
      </c>
      <c r="M7047" s="106">
        <v>1</v>
      </c>
      <c r="N7047" s="106" t="s">
        <v>27</v>
      </c>
      <c r="O7047" s="78"/>
      <c r="P7047" s="107">
        <v>0.3</v>
      </c>
      <c r="Q7047" s="108">
        <v>0.4</v>
      </c>
      <c r="R7047" s="45" t="str">
        <f t="shared" si="583"/>
        <v>HOFFLIGHTS</v>
      </c>
    </row>
    <row r="7048" spans="1:18" customFormat="1" ht="27" customHeight="1" x14ac:dyDescent="0.25">
      <c r="A7048" s="105" t="s">
        <v>13983</v>
      </c>
      <c r="H7048" t="s">
        <v>14454</v>
      </c>
      <c r="I7048" t="s">
        <v>14455</v>
      </c>
      <c r="J7048" s="34" t="s">
        <v>26</v>
      </c>
      <c r="K7048" s="77">
        <v>4.00725</v>
      </c>
      <c r="L7048" s="12">
        <f t="shared" si="582"/>
        <v>8.6823750000000004</v>
      </c>
      <c r="M7048" s="106">
        <v>1</v>
      </c>
      <c r="N7048" s="106" t="s">
        <v>27</v>
      </c>
      <c r="O7048" s="78"/>
      <c r="P7048" s="107">
        <v>0.3</v>
      </c>
      <c r="Q7048" s="108">
        <v>0.4</v>
      </c>
      <c r="R7048" s="45" t="str">
        <f t="shared" si="583"/>
        <v>HOFFLIGHTS</v>
      </c>
    </row>
    <row r="7049" spans="1:18" customFormat="1" ht="27" customHeight="1" x14ac:dyDescent="0.25">
      <c r="A7049" s="105" t="s">
        <v>13983</v>
      </c>
      <c r="H7049" t="s">
        <v>14456</v>
      </c>
      <c r="I7049" t="s">
        <v>14457</v>
      </c>
      <c r="J7049" s="34" t="s">
        <v>26</v>
      </c>
      <c r="K7049" s="77">
        <v>39.487499999999997</v>
      </c>
      <c r="L7049" s="12">
        <f t="shared" si="582"/>
        <v>85.556249999999991</v>
      </c>
      <c r="M7049" s="106">
        <v>1</v>
      </c>
      <c r="N7049" s="106" t="s">
        <v>27</v>
      </c>
      <c r="O7049" s="78"/>
      <c r="P7049" s="107">
        <v>0.3</v>
      </c>
      <c r="Q7049" s="108">
        <v>0.4</v>
      </c>
      <c r="R7049" s="45" t="str">
        <f t="shared" si="583"/>
        <v>HOFFLIGHTS</v>
      </c>
    </row>
    <row r="7050" spans="1:18" customFormat="1" ht="27" customHeight="1" x14ac:dyDescent="0.25">
      <c r="A7050" s="105" t="s">
        <v>13983</v>
      </c>
      <c r="H7050" t="s">
        <v>14458</v>
      </c>
      <c r="I7050" t="s">
        <v>14459</v>
      </c>
      <c r="J7050" s="34" t="s">
        <v>26</v>
      </c>
      <c r="K7050" s="77">
        <v>39.487499999999997</v>
      </c>
      <c r="L7050" s="12">
        <f t="shared" si="582"/>
        <v>85.556249999999991</v>
      </c>
      <c r="M7050" s="106">
        <v>1</v>
      </c>
      <c r="N7050" s="106" t="s">
        <v>27</v>
      </c>
      <c r="O7050" s="78"/>
      <c r="P7050" s="107">
        <v>0.3</v>
      </c>
      <c r="Q7050" s="108">
        <v>0.4</v>
      </c>
      <c r="R7050" s="45" t="str">
        <f t="shared" si="583"/>
        <v>HOFFLIGHTS</v>
      </c>
    </row>
    <row r="7051" spans="1:18" customFormat="1" ht="27" customHeight="1" x14ac:dyDescent="0.25">
      <c r="A7051" s="105" t="s">
        <v>13983</v>
      </c>
      <c r="H7051" t="s">
        <v>14460</v>
      </c>
      <c r="I7051" t="s">
        <v>14461</v>
      </c>
      <c r="J7051" s="34" t="s">
        <v>26</v>
      </c>
      <c r="K7051" s="77">
        <v>4.8847499999999986</v>
      </c>
      <c r="L7051" s="12">
        <f t="shared" si="582"/>
        <v>10.583624999999998</v>
      </c>
      <c r="M7051" s="106">
        <v>1</v>
      </c>
      <c r="N7051" s="106" t="s">
        <v>27</v>
      </c>
      <c r="O7051" s="78"/>
      <c r="P7051" s="107">
        <v>0.3</v>
      </c>
      <c r="Q7051" s="108">
        <v>0.4</v>
      </c>
      <c r="R7051" s="45" t="str">
        <f t="shared" si="583"/>
        <v>HOFFLIGHTS</v>
      </c>
    </row>
    <row r="7052" spans="1:18" customFormat="1" ht="27" customHeight="1" x14ac:dyDescent="0.25">
      <c r="A7052" s="105" t="s">
        <v>13983</v>
      </c>
      <c r="H7052" t="s">
        <v>14462</v>
      </c>
      <c r="I7052" t="s">
        <v>14463</v>
      </c>
      <c r="J7052" s="34" t="s">
        <v>26</v>
      </c>
      <c r="K7052" s="77">
        <v>4.8847499999999986</v>
      </c>
      <c r="L7052" s="12">
        <f t="shared" si="582"/>
        <v>10.583624999999998</v>
      </c>
      <c r="M7052" s="106">
        <v>1</v>
      </c>
      <c r="N7052" s="106" t="s">
        <v>27</v>
      </c>
      <c r="O7052" s="78"/>
      <c r="P7052" s="107">
        <v>0.3</v>
      </c>
      <c r="Q7052" s="108">
        <v>0.4</v>
      </c>
      <c r="R7052" s="45" t="str">
        <f t="shared" si="583"/>
        <v>HOFFLIGHTS</v>
      </c>
    </row>
    <row r="7053" spans="1:18" customFormat="1" ht="27" customHeight="1" x14ac:dyDescent="0.25">
      <c r="A7053" s="105" t="s">
        <v>13983</v>
      </c>
      <c r="H7053" t="s">
        <v>14464</v>
      </c>
      <c r="I7053" t="s">
        <v>14465</v>
      </c>
      <c r="J7053" s="34" t="s">
        <v>26</v>
      </c>
      <c r="K7053" s="77">
        <v>1.7549999999999999</v>
      </c>
      <c r="L7053" s="12">
        <f t="shared" si="582"/>
        <v>3.8024999999999998</v>
      </c>
      <c r="M7053" s="106">
        <v>1</v>
      </c>
      <c r="N7053" s="106" t="s">
        <v>27</v>
      </c>
      <c r="O7053" s="78"/>
      <c r="P7053" s="107">
        <v>0.3</v>
      </c>
      <c r="Q7053" s="108">
        <v>0.4</v>
      </c>
      <c r="R7053" s="45" t="str">
        <f t="shared" si="583"/>
        <v>HOFFLIGHTS</v>
      </c>
    </row>
    <row r="7054" spans="1:18" customFormat="1" ht="27" customHeight="1" x14ac:dyDescent="0.25">
      <c r="A7054" s="105" t="s">
        <v>13983</v>
      </c>
      <c r="H7054" t="s">
        <v>14466</v>
      </c>
      <c r="I7054" t="s">
        <v>14467</v>
      </c>
      <c r="J7054" s="34" t="s">
        <v>26</v>
      </c>
      <c r="K7054" s="77">
        <v>63.764999999999993</v>
      </c>
      <c r="L7054" s="12">
        <f t="shared" si="582"/>
        <v>138.1575</v>
      </c>
      <c r="M7054" s="106">
        <v>1</v>
      </c>
      <c r="N7054" s="106" t="s">
        <v>27</v>
      </c>
      <c r="O7054" s="78"/>
      <c r="P7054" s="107">
        <v>0.3</v>
      </c>
      <c r="Q7054" s="108">
        <v>0.4</v>
      </c>
      <c r="R7054" s="45" t="str">
        <f t="shared" si="583"/>
        <v>HOFFLIGHTS</v>
      </c>
    </row>
    <row r="7055" spans="1:18" customFormat="1" ht="27" customHeight="1" x14ac:dyDescent="0.25">
      <c r="A7055" s="105" t="s">
        <v>13983</v>
      </c>
      <c r="H7055" t="s">
        <v>14468</v>
      </c>
      <c r="I7055" t="s">
        <v>14469</v>
      </c>
      <c r="J7055" s="34" t="s">
        <v>26</v>
      </c>
      <c r="K7055" s="77">
        <v>63.764999999999993</v>
      </c>
      <c r="L7055" s="12">
        <f t="shared" si="582"/>
        <v>138.1575</v>
      </c>
      <c r="M7055" s="106">
        <v>1</v>
      </c>
      <c r="N7055" s="106" t="s">
        <v>27</v>
      </c>
      <c r="O7055" s="78"/>
      <c r="P7055" s="107">
        <v>0.3</v>
      </c>
      <c r="Q7055" s="108">
        <v>0.4</v>
      </c>
      <c r="R7055" s="45" t="str">
        <f t="shared" si="583"/>
        <v>HOFFLIGHTS</v>
      </c>
    </row>
    <row r="7056" spans="1:18" customFormat="1" ht="27" customHeight="1" x14ac:dyDescent="0.25">
      <c r="A7056" s="105" t="s">
        <v>13983</v>
      </c>
      <c r="H7056" t="s">
        <v>14470</v>
      </c>
      <c r="I7056" t="s">
        <v>14471</v>
      </c>
      <c r="J7056" s="34" t="s">
        <v>26</v>
      </c>
      <c r="K7056" s="77">
        <v>4.3874999999999993</v>
      </c>
      <c r="L7056" s="12">
        <f t="shared" si="582"/>
        <v>9.5062499999999996</v>
      </c>
      <c r="M7056" s="106">
        <v>1</v>
      </c>
      <c r="N7056" s="106" t="s">
        <v>27</v>
      </c>
      <c r="O7056" s="78"/>
      <c r="P7056" s="107">
        <v>0.3</v>
      </c>
      <c r="Q7056" s="108">
        <v>0.4</v>
      </c>
      <c r="R7056" s="45" t="str">
        <f t="shared" si="583"/>
        <v>HOFFLIGHTS</v>
      </c>
    </row>
    <row r="7057" spans="1:18" customFormat="1" ht="27" customHeight="1" x14ac:dyDescent="0.25">
      <c r="A7057" s="105" t="s">
        <v>13983</v>
      </c>
      <c r="H7057" t="s">
        <v>14472</v>
      </c>
      <c r="I7057" t="s">
        <v>14473</v>
      </c>
      <c r="J7057" s="34" t="s">
        <v>26</v>
      </c>
      <c r="K7057" s="77">
        <v>4.3874999999999993</v>
      </c>
      <c r="L7057" s="12">
        <f t="shared" si="582"/>
        <v>9.5062499999999996</v>
      </c>
      <c r="M7057" s="106">
        <v>1</v>
      </c>
      <c r="N7057" s="106" t="s">
        <v>27</v>
      </c>
      <c r="O7057" s="78"/>
      <c r="P7057" s="107">
        <v>0.3</v>
      </c>
      <c r="Q7057" s="108">
        <v>0.4</v>
      </c>
      <c r="R7057" s="45" t="str">
        <f t="shared" si="583"/>
        <v>HOFFLIGHTS</v>
      </c>
    </row>
    <row r="7058" spans="1:18" customFormat="1" ht="27" customHeight="1" x14ac:dyDescent="0.25">
      <c r="A7058" s="105" t="s">
        <v>13983</v>
      </c>
      <c r="H7058" t="s">
        <v>14474</v>
      </c>
      <c r="I7058" t="s">
        <v>14475</v>
      </c>
      <c r="J7058" s="34" t="s">
        <v>26</v>
      </c>
      <c r="K7058" s="77">
        <v>77.22</v>
      </c>
      <c r="L7058" s="12">
        <f t="shared" si="582"/>
        <v>167.31</v>
      </c>
      <c r="M7058" s="106">
        <v>1</v>
      </c>
      <c r="N7058" s="106" t="s">
        <v>27</v>
      </c>
      <c r="O7058" s="78"/>
      <c r="P7058" s="107">
        <v>0.3</v>
      </c>
      <c r="Q7058" s="108">
        <v>0.4</v>
      </c>
      <c r="R7058" s="45" t="str">
        <f t="shared" si="583"/>
        <v>HOFFLIGHTS</v>
      </c>
    </row>
    <row r="7059" spans="1:18" customFormat="1" ht="27" customHeight="1" x14ac:dyDescent="0.25">
      <c r="A7059" s="105" t="s">
        <v>13983</v>
      </c>
      <c r="H7059" t="s">
        <v>14476</v>
      </c>
      <c r="I7059" t="s">
        <v>14477</v>
      </c>
      <c r="J7059" s="34" t="s">
        <v>26</v>
      </c>
      <c r="K7059" s="77">
        <v>77.22</v>
      </c>
      <c r="L7059" s="12">
        <f t="shared" si="582"/>
        <v>167.31</v>
      </c>
      <c r="M7059" s="106">
        <v>1</v>
      </c>
      <c r="N7059" s="106" t="s">
        <v>27</v>
      </c>
      <c r="O7059" s="78"/>
      <c r="P7059" s="107">
        <v>0.3</v>
      </c>
      <c r="Q7059" s="108">
        <v>0.4</v>
      </c>
      <c r="R7059" s="45" t="str">
        <f t="shared" si="583"/>
        <v>HOFFLIGHTS</v>
      </c>
    </row>
    <row r="7060" spans="1:18" customFormat="1" ht="27" customHeight="1" x14ac:dyDescent="0.25">
      <c r="A7060" s="105" t="s">
        <v>13983</v>
      </c>
      <c r="H7060" t="s">
        <v>14478</v>
      </c>
      <c r="I7060" t="s">
        <v>14479</v>
      </c>
      <c r="J7060" s="34" t="s">
        <v>26</v>
      </c>
      <c r="K7060" s="77">
        <v>6.0255000000000001</v>
      </c>
      <c r="L7060" s="12">
        <f t="shared" si="582"/>
        <v>13.055250000000001</v>
      </c>
      <c r="M7060" s="106">
        <v>1</v>
      </c>
      <c r="N7060" s="106" t="s">
        <v>27</v>
      </c>
      <c r="O7060" s="78"/>
      <c r="P7060" s="107">
        <v>0.3</v>
      </c>
      <c r="Q7060" s="108">
        <v>0.4</v>
      </c>
      <c r="R7060" s="45" t="str">
        <f t="shared" si="583"/>
        <v>HOFFLIGHTS</v>
      </c>
    </row>
    <row r="7061" spans="1:18" customFormat="1" ht="27" customHeight="1" x14ac:dyDescent="0.25">
      <c r="A7061" s="105" t="s">
        <v>13983</v>
      </c>
      <c r="H7061" t="s">
        <v>14480</v>
      </c>
      <c r="I7061" t="s">
        <v>14481</v>
      </c>
      <c r="J7061" s="34" t="s">
        <v>26</v>
      </c>
      <c r="K7061" s="77">
        <v>6.0255000000000001</v>
      </c>
      <c r="L7061" s="12">
        <f t="shared" si="582"/>
        <v>13.055250000000001</v>
      </c>
      <c r="M7061" s="106">
        <v>1</v>
      </c>
      <c r="N7061" s="106" t="s">
        <v>27</v>
      </c>
      <c r="O7061" s="78"/>
      <c r="P7061" s="107">
        <v>0.3</v>
      </c>
      <c r="Q7061" s="108">
        <v>0.4</v>
      </c>
      <c r="R7061" s="45" t="str">
        <f t="shared" si="583"/>
        <v>HOFFLIGHTS</v>
      </c>
    </row>
    <row r="7062" spans="1:18" customFormat="1" ht="27" customHeight="1" x14ac:dyDescent="0.25">
      <c r="A7062" s="105" t="s">
        <v>13983</v>
      </c>
      <c r="H7062" t="s">
        <v>14482</v>
      </c>
      <c r="I7062" t="s">
        <v>14483</v>
      </c>
      <c r="J7062" s="34" t="s">
        <v>26</v>
      </c>
      <c r="K7062" s="77">
        <v>44.752499999999998</v>
      </c>
      <c r="L7062" s="12">
        <f t="shared" si="582"/>
        <v>96.963750000000005</v>
      </c>
      <c r="M7062" s="106">
        <v>1</v>
      </c>
      <c r="N7062" s="106" t="s">
        <v>27</v>
      </c>
      <c r="O7062" s="78"/>
      <c r="P7062" s="107">
        <v>0.3</v>
      </c>
      <c r="Q7062" s="108">
        <v>0.4</v>
      </c>
      <c r="R7062" s="45" t="str">
        <f t="shared" si="583"/>
        <v>HOFFLIGHTS</v>
      </c>
    </row>
    <row r="7063" spans="1:18" customFormat="1" ht="27" customHeight="1" x14ac:dyDescent="0.25">
      <c r="A7063" s="105" t="s">
        <v>13983</v>
      </c>
      <c r="H7063" t="s">
        <v>14484</v>
      </c>
      <c r="I7063" t="s">
        <v>14485</v>
      </c>
      <c r="J7063" s="34" t="s">
        <v>26</v>
      </c>
      <c r="K7063" s="77">
        <v>44.752499999999998</v>
      </c>
      <c r="L7063" s="12">
        <f t="shared" si="582"/>
        <v>96.963750000000005</v>
      </c>
      <c r="M7063" s="106">
        <v>1</v>
      </c>
      <c r="N7063" s="106" t="s">
        <v>27</v>
      </c>
      <c r="O7063" s="78"/>
      <c r="P7063" s="107">
        <v>0.3</v>
      </c>
      <c r="Q7063" s="108">
        <v>0.4</v>
      </c>
      <c r="R7063" s="45" t="str">
        <f t="shared" si="583"/>
        <v>HOFFLIGHTS</v>
      </c>
    </row>
    <row r="7064" spans="1:18" customFormat="1" ht="27" customHeight="1" x14ac:dyDescent="0.25">
      <c r="A7064" s="105" t="s">
        <v>13983</v>
      </c>
      <c r="H7064" t="s">
        <v>14486</v>
      </c>
      <c r="I7064" t="s">
        <v>14487</v>
      </c>
      <c r="J7064" s="34" t="s">
        <v>26</v>
      </c>
      <c r="K7064" s="77">
        <v>2.8664999999999998</v>
      </c>
      <c r="L7064" s="12">
        <f t="shared" si="582"/>
        <v>6.21075</v>
      </c>
      <c r="M7064" s="106">
        <v>1</v>
      </c>
      <c r="N7064" s="106" t="s">
        <v>27</v>
      </c>
      <c r="O7064" s="78"/>
      <c r="P7064" s="107">
        <v>0.3</v>
      </c>
      <c r="Q7064" s="108">
        <v>0.4</v>
      </c>
      <c r="R7064" s="45" t="str">
        <f t="shared" si="583"/>
        <v>HOFFLIGHTS</v>
      </c>
    </row>
    <row r="7065" spans="1:18" customFormat="1" ht="27" customHeight="1" x14ac:dyDescent="0.25">
      <c r="A7065" s="105" t="s">
        <v>13983</v>
      </c>
      <c r="H7065" t="s">
        <v>14488</v>
      </c>
      <c r="I7065" t="s">
        <v>14489</v>
      </c>
      <c r="J7065" s="34" t="s">
        <v>26</v>
      </c>
      <c r="K7065" s="77">
        <v>54.989999999999988</v>
      </c>
      <c r="L7065" s="12">
        <f t="shared" si="582"/>
        <v>119.14499999999997</v>
      </c>
      <c r="M7065" s="106">
        <v>1</v>
      </c>
      <c r="N7065" s="106" t="s">
        <v>27</v>
      </c>
      <c r="O7065" s="78"/>
      <c r="P7065" s="107">
        <v>0.3</v>
      </c>
      <c r="Q7065" s="108">
        <v>0.4</v>
      </c>
      <c r="R7065" s="45" t="str">
        <f t="shared" si="583"/>
        <v>HOFFLIGHTS</v>
      </c>
    </row>
    <row r="7066" spans="1:18" customFormat="1" ht="27" customHeight="1" x14ac:dyDescent="0.25">
      <c r="A7066" s="105" t="s">
        <v>13983</v>
      </c>
      <c r="H7066" t="s">
        <v>14490</v>
      </c>
      <c r="I7066" t="s">
        <v>14491</v>
      </c>
      <c r="J7066" s="34" t="s">
        <v>26</v>
      </c>
      <c r="K7066" s="77">
        <v>54.989999999999988</v>
      </c>
      <c r="L7066" s="12">
        <f t="shared" si="582"/>
        <v>119.14499999999997</v>
      </c>
      <c r="M7066" s="106">
        <v>1</v>
      </c>
      <c r="N7066" s="106" t="s">
        <v>27</v>
      </c>
      <c r="O7066" s="78"/>
      <c r="P7066" s="107">
        <v>0.3</v>
      </c>
      <c r="Q7066" s="108">
        <v>0.4</v>
      </c>
      <c r="R7066" s="45" t="str">
        <f t="shared" si="583"/>
        <v>HOFFLIGHTS</v>
      </c>
    </row>
    <row r="7067" spans="1:18" customFormat="1" ht="27" customHeight="1" x14ac:dyDescent="0.25">
      <c r="A7067" s="105" t="s">
        <v>13983</v>
      </c>
      <c r="H7067" t="s">
        <v>14492</v>
      </c>
      <c r="I7067" t="s">
        <v>14493</v>
      </c>
      <c r="J7067" s="34" t="s">
        <v>26</v>
      </c>
      <c r="K7067" s="77">
        <v>2.8664999999999998</v>
      </c>
      <c r="L7067" s="12">
        <f t="shared" si="582"/>
        <v>6.21075</v>
      </c>
      <c r="M7067" s="106">
        <v>1</v>
      </c>
      <c r="N7067" s="106" t="s">
        <v>27</v>
      </c>
      <c r="O7067" s="78"/>
      <c r="P7067" s="107">
        <v>0.3</v>
      </c>
      <c r="Q7067" s="108">
        <v>0.4</v>
      </c>
      <c r="R7067" s="45" t="str">
        <f t="shared" si="583"/>
        <v>HOFFLIGHTS</v>
      </c>
    </row>
    <row r="7068" spans="1:18" customFormat="1" ht="27" customHeight="1" x14ac:dyDescent="0.25">
      <c r="A7068" s="105" t="s">
        <v>13983</v>
      </c>
      <c r="H7068" t="s">
        <v>14494</v>
      </c>
      <c r="I7068" t="s">
        <v>14495</v>
      </c>
      <c r="J7068" s="34" t="s">
        <v>26</v>
      </c>
      <c r="K7068" s="77">
        <v>56.744999999999997</v>
      </c>
      <c r="L7068" s="12">
        <f t="shared" si="582"/>
        <v>122.94750000000001</v>
      </c>
      <c r="M7068" s="106">
        <v>1</v>
      </c>
      <c r="N7068" s="106" t="s">
        <v>27</v>
      </c>
      <c r="O7068" s="78"/>
      <c r="P7068" s="107">
        <v>0.3</v>
      </c>
      <c r="Q7068" s="108">
        <v>0.4</v>
      </c>
      <c r="R7068" s="45" t="str">
        <f t="shared" si="583"/>
        <v>HOFFLIGHTS</v>
      </c>
    </row>
    <row r="7069" spans="1:18" customFormat="1" ht="27" customHeight="1" x14ac:dyDescent="0.25">
      <c r="A7069" s="105" t="s">
        <v>13983</v>
      </c>
      <c r="H7069" t="s">
        <v>14496</v>
      </c>
      <c r="I7069" t="s">
        <v>14497</v>
      </c>
      <c r="J7069" s="34" t="s">
        <v>26</v>
      </c>
      <c r="K7069" s="77">
        <v>56.744999999999997</v>
      </c>
      <c r="L7069" s="12">
        <f t="shared" si="582"/>
        <v>122.94750000000001</v>
      </c>
      <c r="M7069" s="106">
        <v>1</v>
      </c>
      <c r="N7069" s="106" t="s">
        <v>27</v>
      </c>
      <c r="O7069" s="78"/>
      <c r="P7069" s="107">
        <v>0.3</v>
      </c>
      <c r="Q7069" s="108">
        <v>0.4</v>
      </c>
      <c r="R7069" s="45" t="str">
        <f t="shared" si="583"/>
        <v>HOFFLIGHTS</v>
      </c>
    </row>
    <row r="7070" spans="1:18" customFormat="1" ht="27" customHeight="1" x14ac:dyDescent="0.25">
      <c r="A7070" s="105" t="s">
        <v>13983</v>
      </c>
      <c r="H7070" t="s">
        <v>14498</v>
      </c>
      <c r="I7070" t="s">
        <v>14499</v>
      </c>
      <c r="J7070" s="34" t="s">
        <v>26</v>
      </c>
      <c r="K7070" s="77">
        <v>56.744999999999997</v>
      </c>
      <c r="L7070" s="12">
        <f t="shared" si="582"/>
        <v>122.94750000000001</v>
      </c>
      <c r="M7070" s="106">
        <v>1</v>
      </c>
      <c r="N7070" s="106" t="s">
        <v>27</v>
      </c>
      <c r="O7070" s="78"/>
      <c r="P7070" s="107">
        <v>0.3</v>
      </c>
      <c r="Q7070" s="108">
        <v>0.4</v>
      </c>
      <c r="R7070" s="45" t="str">
        <f t="shared" si="583"/>
        <v>HOFFLIGHTS</v>
      </c>
    </row>
    <row r="7071" spans="1:18" customFormat="1" ht="27" customHeight="1" x14ac:dyDescent="0.25">
      <c r="A7071" s="105" t="s">
        <v>13983</v>
      </c>
      <c r="H7071" t="s">
        <v>14500</v>
      </c>
      <c r="I7071" t="s">
        <v>14501</v>
      </c>
      <c r="J7071" s="34" t="s">
        <v>26</v>
      </c>
      <c r="K7071" s="77">
        <v>56.744999999999997</v>
      </c>
      <c r="L7071" s="12">
        <f t="shared" si="582"/>
        <v>122.94750000000001</v>
      </c>
      <c r="M7071" s="106">
        <v>1</v>
      </c>
      <c r="N7071" s="106" t="s">
        <v>27</v>
      </c>
      <c r="O7071" s="78"/>
      <c r="P7071" s="107">
        <v>0.3</v>
      </c>
      <c r="Q7071" s="108">
        <v>0.4</v>
      </c>
      <c r="R7071" s="45" t="str">
        <f t="shared" si="583"/>
        <v>HOFFLIGHTS</v>
      </c>
    </row>
    <row r="7072" spans="1:18" customFormat="1" ht="27" customHeight="1" x14ac:dyDescent="0.25">
      <c r="A7072" s="105" t="s">
        <v>13983</v>
      </c>
      <c r="H7072" t="s">
        <v>14502</v>
      </c>
      <c r="I7072" t="s">
        <v>14503</v>
      </c>
      <c r="J7072" s="34" t="s">
        <v>26</v>
      </c>
      <c r="K7072" s="77">
        <v>4.5045000000000002</v>
      </c>
      <c r="L7072" s="12">
        <f t="shared" si="582"/>
        <v>9.7597500000000004</v>
      </c>
      <c r="M7072" s="106">
        <v>1</v>
      </c>
      <c r="N7072" s="106" t="s">
        <v>27</v>
      </c>
      <c r="O7072" s="78"/>
      <c r="P7072" s="107">
        <v>0.3</v>
      </c>
      <c r="Q7072" s="108">
        <v>0.4</v>
      </c>
      <c r="R7072" s="45" t="str">
        <f t="shared" si="583"/>
        <v>HOFFLIGHTS</v>
      </c>
    </row>
    <row r="7073" spans="1:18" customFormat="1" ht="27" customHeight="1" x14ac:dyDescent="0.25">
      <c r="A7073" s="105" t="s">
        <v>13983</v>
      </c>
      <c r="H7073" t="s">
        <v>14504</v>
      </c>
      <c r="I7073" t="s">
        <v>14505</v>
      </c>
      <c r="J7073" s="34" t="s">
        <v>26</v>
      </c>
      <c r="K7073" s="77">
        <v>4.5045000000000002</v>
      </c>
      <c r="L7073" s="12">
        <f t="shared" si="582"/>
        <v>9.7597500000000004</v>
      </c>
      <c r="M7073" s="106">
        <v>1</v>
      </c>
      <c r="N7073" s="106" t="s">
        <v>27</v>
      </c>
      <c r="O7073" s="78"/>
      <c r="P7073" s="107">
        <v>0.3</v>
      </c>
      <c r="Q7073" s="108">
        <v>0.4</v>
      </c>
      <c r="R7073" s="45" t="str">
        <f t="shared" si="583"/>
        <v>HOFFLIGHTS</v>
      </c>
    </row>
    <row r="7074" spans="1:18" customFormat="1" ht="27" customHeight="1" x14ac:dyDescent="0.25">
      <c r="A7074" s="105" t="s">
        <v>13983</v>
      </c>
      <c r="H7074" t="s">
        <v>14506</v>
      </c>
      <c r="I7074" t="s">
        <v>14507</v>
      </c>
      <c r="J7074" s="34" t="s">
        <v>26</v>
      </c>
      <c r="K7074" s="77">
        <v>73.709999999999994</v>
      </c>
      <c r="L7074" s="12">
        <f t="shared" si="582"/>
        <v>159.70499999999998</v>
      </c>
      <c r="M7074" s="106">
        <v>1</v>
      </c>
      <c r="N7074" s="106" t="s">
        <v>27</v>
      </c>
      <c r="O7074" s="78"/>
      <c r="P7074" s="107">
        <v>0.3</v>
      </c>
      <c r="Q7074" s="108">
        <v>0.4</v>
      </c>
      <c r="R7074" s="45" t="str">
        <f t="shared" si="583"/>
        <v>HOFFLIGHTS</v>
      </c>
    </row>
    <row r="7075" spans="1:18" customFormat="1" ht="27" customHeight="1" x14ac:dyDescent="0.25">
      <c r="A7075" s="105" t="s">
        <v>13983</v>
      </c>
      <c r="H7075" t="s">
        <v>14508</v>
      </c>
      <c r="I7075" t="s">
        <v>14509</v>
      </c>
      <c r="J7075" s="34" t="s">
        <v>26</v>
      </c>
      <c r="K7075" s="77">
        <v>73.709999999999994</v>
      </c>
      <c r="L7075" s="12">
        <f t="shared" si="582"/>
        <v>159.70499999999998</v>
      </c>
      <c r="M7075" s="106">
        <v>1</v>
      </c>
      <c r="N7075" s="106" t="s">
        <v>27</v>
      </c>
      <c r="O7075" s="78"/>
      <c r="P7075" s="107">
        <v>0.3</v>
      </c>
      <c r="Q7075" s="108">
        <v>0.4</v>
      </c>
      <c r="R7075" s="45" t="str">
        <f t="shared" si="583"/>
        <v>HOFFLIGHTS</v>
      </c>
    </row>
    <row r="7076" spans="1:18" customFormat="1" ht="27" customHeight="1" x14ac:dyDescent="0.25">
      <c r="A7076" s="105" t="s">
        <v>13983</v>
      </c>
      <c r="H7076" t="s">
        <v>14510</v>
      </c>
      <c r="I7076" t="s">
        <v>14511</v>
      </c>
      <c r="J7076" s="34" t="s">
        <v>26</v>
      </c>
      <c r="K7076" s="77">
        <v>73.709999999999994</v>
      </c>
      <c r="L7076" s="12">
        <f t="shared" si="582"/>
        <v>159.70499999999998</v>
      </c>
      <c r="M7076" s="106">
        <v>1</v>
      </c>
      <c r="N7076" s="106" t="s">
        <v>27</v>
      </c>
      <c r="O7076" s="78"/>
      <c r="P7076" s="107">
        <v>0.3</v>
      </c>
      <c r="Q7076" s="108">
        <v>0.4</v>
      </c>
      <c r="R7076" s="45" t="str">
        <f t="shared" si="583"/>
        <v>HOFFLIGHTS</v>
      </c>
    </row>
    <row r="7077" spans="1:18" customFormat="1" ht="27" customHeight="1" x14ac:dyDescent="0.25">
      <c r="A7077" s="105" t="s">
        <v>13983</v>
      </c>
      <c r="H7077" t="s">
        <v>14512</v>
      </c>
      <c r="I7077" t="s">
        <v>14513</v>
      </c>
      <c r="J7077" s="34" t="s">
        <v>26</v>
      </c>
      <c r="K7077" s="77">
        <v>73.709999999999994</v>
      </c>
      <c r="L7077" s="12">
        <f t="shared" si="582"/>
        <v>159.70499999999998</v>
      </c>
      <c r="M7077" s="106">
        <v>1</v>
      </c>
      <c r="N7077" s="106" t="s">
        <v>27</v>
      </c>
      <c r="O7077" s="78"/>
      <c r="P7077" s="107">
        <v>0.3</v>
      </c>
      <c r="Q7077" s="108">
        <v>0.4</v>
      </c>
      <c r="R7077" s="45" t="str">
        <f t="shared" si="583"/>
        <v>HOFFLIGHTS</v>
      </c>
    </row>
    <row r="7078" spans="1:18" customFormat="1" ht="27" customHeight="1" x14ac:dyDescent="0.25">
      <c r="A7078" s="105" t="s">
        <v>13983</v>
      </c>
      <c r="H7078" t="s">
        <v>14514</v>
      </c>
      <c r="I7078" t="s">
        <v>14515</v>
      </c>
      <c r="J7078" s="34" t="s">
        <v>26</v>
      </c>
      <c r="K7078" s="77">
        <v>6.2009999999999996</v>
      </c>
      <c r="L7078" s="12">
        <f t="shared" si="582"/>
        <v>13.435499999999999</v>
      </c>
      <c r="M7078" s="106">
        <v>1</v>
      </c>
      <c r="N7078" s="106" t="s">
        <v>27</v>
      </c>
      <c r="O7078" s="78"/>
      <c r="P7078" s="107">
        <v>0.3</v>
      </c>
      <c r="Q7078" s="108">
        <v>0.4</v>
      </c>
      <c r="R7078" s="45" t="str">
        <f t="shared" si="583"/>
        <v>HOFFLIGHTS</v>
      </c>
    </row>
    <row r="7079" spans="1:18" customFormat="1" ht="27" customHeight="1" x14ac:dyDescent="0.25">
      <c r="A7079" s="105" t="s">
        <v>13983</v>
      </c>
      <c r="H7079" t="s">
        <v>14516</v>
      </c>
      <c r="I7079" t="s">
        <v>14517</v>
      </c>
      <c r="J7079" s="34" t="s">
        <v>26</v>
      </c>
      <c r="K7079" s="77">
        <v>6.2009999999999996</v>
      </c>
      <c r="L7079" s="12">
        <f t="shared" si="582"/>
        <v>13.435499999999999</v>
      </c>
      <c r="M7079" s="106">
        <v>1</v>
      </c>
      <c r="N7079" s="106" t="s">
        <v>27</v>
      </c>
      <c r="O7079" s="78"/>
      <c r="P7079" s="107">
        <v>0.3</v>
      </c>
      <c r="Q7079" s="108">
        <v>0.4</v>
      </c>
      <c r="R7079" s="45" t="str">
        <f t="shared" si="583"/>
        <v>HOFFLIGHTS</v>
      </c>
    </row>
    <row r="7080" spans="1:18" customFormat="1" ht="27" customHeight="1" x14ac:dyDescent="0.25">
      <c r="A7080" s="105" t="s">
        <v>13983</v>
      </c>
      <c r="H7080" t="s">
        <v>14518</v>
      </c>
      <c r="I7080" t="s">
        <v>14519</v>
      </c>
      <c r="J7080" s="34" t="s">
        <v>26</v>
      </c>
      <c r="K7080" s="77">
        <v>88.334999999999994</v>
      </c>
      <c r="L7080" s="12">
        <f t="shared" si="582"/>
        <v>191.39250000000001</v>
      </c>
      <c r="M7080" s="106">
        <v>1</v>
      </c>
      <c r="N7080" s="106" t="s">
        <v>27</v>
      </c>
      <c r="O7080" s="78"/>
      <c r="P7080" s="107">
        <v>0.3</v>
      </c>
      <c r="Q7080" s="108">
        <v>0.4</v>
      </c>
      <c r="R7080" s="45" t="str">
        <f t="shared" si="583"/>
        <v>HOFFLIGHTS</v>
      </c>
    </row>
    <row r="7081" spans="1:18" customFormat="1" ht="27" customHeight="1" x14ac:dyDescent="0.25">
      <c r="A7081" s="105" t="s">
        <v>13983</v>
      </c>
      <c r="H7081" t="s">
        <v>14520</v>
      </c>
      <c r="I7081" t="s">
        <v>14521</v>
      </c>
      <c r="J7081" s="34" t="s">
        <v>26</v>
      </c>
      <c r="K7081" s="77">
        <v>88.334999999999994</v>
      </c>
      <c r="L7081" s="12">
        <f t="shared" si="582"/>
        <v>191.39250000000001</v>
      </c>
      <c r="M7081" s="106">
        <v>1</v>
      </c>
      <c r="N7081" s="106" t="s">
        <v>27</v>
      </c>
      <c r="O7081" s="78"/>
      <c r="P7081" s="107">
        <v>0.3</v>
      </c>
      <c r="Q7081" s="108">
        <v>0.4</v>
      </c>
      <c r="R7081" s="45" t="str">
        <f t="shared" si="583"/>
        <v>HOFFLIGHTS</v>
      </c>
    </row>
    <row r="7082" spans="1:18" customFormat="1" ht="27" customHeight="1" x14ac:dyDescent="0.25">
      <c r="A7082" s="105" t="s">
        <v>13983</v>
      </c>
      <c r="H7082" t="s">
        <v>14522</v>
      </c>
      <c r="I7082" t="s">
        <v>14523</v>
      </c>
      <c r="J7082" s="34" t="s">
        <v>26</v>
      </c>
      <c r="K7082" s="77">
        <v>88.334999999999994</v>
      </c>
      <c r="L7082" s="12">
        <f t="shared" ref="L7082:L7145" si="584">K7082*(1+P7082)/(1-Q7082)</f>
        <v>191.39250000000001</v>
      </c>
      <c r="M7082" s="106">
        <v>1</v>
      </c>
      <c r="N7082" s="106" t="s">
        <v>27</v>
      </c>
      <c r="O7082" s="78"/>
      <c r="P7082" s="107">
        <v>0.3</v>
      </c>
      <c r="Q7082" s="108">
        <v>0.4</v>
      </c>
      <c r="R7082" s="45" t="str">
        <f t="shared" si="583"/>
        <v>HOFFLIGHTS</v>
      </c>
    </row>
    <row r="7083" spans="1:18" customFormat="1" ht="27" customHeight="1" x14ac:dyDescent="0.25">
      <c r="A7083" s="105" t="s">
        <v>13983</v>
      </c>
      <c r="H7083" t="s">
        <v>14524</v>
      </c>
      <c r="I7083" t="s">
        <v>14525</v>
      </c>
      <c r="J7083" s="34" t="s">
        <v>26</v>
      </c>
      <c r="K7083" s="77">
        <v>88.334999999999994</v>
      </c>
      <c r="L7083" s="12">
        <f t="shared" si="584"/>
        <v>191.39250000000001</v>
      </c>
      <c r="M7083" s="106">
        <v>1</v>
      </c>
      <c r="N7083" s="106" t="s">
        <v>27</v>
      </c>
      <c r="O7083" s="78"/>
      <c r="P7083" s="107">
        <v>0.3</v>
      </c>
      <c r="Q7083" s="108">
        <v>0.4</v>
      </c>
      <c r="R7083" s="45" t="str">
        <f t="shared" si="583"/>
        <v>HOFFLIGHTS</v>
      </c>
    </row>
    <row r="7084" spans="1:18" customFormat="1" ht="27" customHeight="1" x14ac:dyDescent="0.25">
      <c r="A7084" s="105" t="s">
        <v>13983</v>
      </c>
      <c r="H7084" t="s">
        <v>14526</v>
      </c>
      <c r="I7084" t="s">
        <v>14527</v>
      </c>
      <c r="J7084" s="34" t="s">
        <v>26</v>
      </c>
      <c r="K7084" s="77">
        <v>7.8974999999999991</v>
      </c>
      <c r="L7084" s="12">
        <f t="shared" si="584"/>
        <v>17.111249999999998</v>
      </c>
      <c r="M7084" s="106">
        <v>1</v>
      </c>
      <c r="N7084" s="106" t="s">
        <v>27</v>
      </c>
      <c r="O7084" s="78"/>
      <c r="P7084" s="107">
        <v>0.3</v>
      </c>
      <c r="Q7084" s="108">
        <v>0.4</v>
      </c>
      <c r="R7084" s="45" t="str">
        <f t="shared" si="583"/>
        <v>HOFFLIGHTS</v>
      </c>
    </row>
    <row r="7085" spans="1:18" customFormat="1" ht="27" customHeight="1" x14ac:dyDescent="0.25">
      <c r="A7085" s="105" t="s">
        <v>13983</v>
      </c>
      <c r="H7085" t="s">
        <v>14528</v>
      </c>
      <c r="I7085" t="s">
        <v>14529</v>
      </c>
      <c r="J7085" s="34" t="s">
        <v>26</v>
      </c>
      <c r="K7085" s="77">
        <v>7.8974999999999991</v>
      </c>
      <c r="L7085" s="12">
        <f t="shared" si="584"/>
        <v>17.111249999999998</v>
      </c>
      <c r="M7085" s="106">
        <v>1</v>
      </c>
      <c r="N7085" s="106" t="s">
        <v>27</v>
      </c>
      <c r="O7085" s="78"/>
      <c r="P7085" s="107">
        <v>0.3</v>
      </c>
      <c r="Q7085" s="108">
        <v>0.4</v>
      </c>
      <c r="R7085" s="45" t="str">
        <f t="shared" si="583"/>
        <v>HOFFLIGHTS</v>
      </c>
    </row>
    <row r="7086" spans="1:18" customFormat="1" ht="27" customHeight="1" x14ac:dyDescent="0.25">
      <c r="A7086" s="105" t="s">
        <v>13983</v>
      </c>
      <c r="H7086" t="s">
        <v>14530</v>
      </c>
      <c r="I7086" t="s">
        <v>14531</v>
      </c>
      <c r="J7086" s="34" t="s">
        <v>26</v>
      </c>
      <c r="K7086" s="77">
        <v>103.545</v>
      </c>
      <c r="L7086" s="12">
        <f t="shared" si="584"/>
        <v>224.34750000000005</v>
      </c>
      <c r="M7086" s="106">
        <v>1</v>
      </c>
      <c r="N7086" s="106" t="s">
        <v>27</v>
      </c>
      <c r="O7086" s="78"/>
      <c r="P7086" s="107">
        <v>0.3</v>
      </c>
      <c r="Q7086" s="108">
        <v>0.4</v>
      </c>
      <c r="R7086" s="45" t="str">
        <f t="shared" si="583"/>
        <v>HOFFLIGHTS</v>
      </c>
    </row>
    <row r="7087" spans="1:18" customFormat="1" ht="27" customHeight="1" x14ac:dyDescent="0.25">
      <c r="A7087" s="105" t="s">
        <v>13983</v>
      </c>
      <c r="H7087" t="s">
        <v>14532</v>
      </c>
      <c r="I7087" t="s">
        <v>14533</v>
      </c>
      <c r="J7087" s="34" t="s">
        <v>26</v>
      </c>
      <c r="K7087" s="77">
        <v>103.545</v>
      </c>
      <c r="L7087" s="12">
        <f t="shared" si="584"/>
        <v>224.34750000000005</v>
      </c>
      <c r="M7087" s="106">
        <v>1</v>
      </c>
      <c r="N7087" s="106" t="s">
        <v>27</v>
      </c>
      <c r="O7087" s="78"/>
      <c r="P7087" s="107">
        <v>0.3</v>
      </c>
      <c r="Q7087" s="108">
        <v>0.4</v>
      </c>
      <c r="R7087" s="45" t="str">
        <f t="shared" si="583"/>
        <v>HOFFLIGHTS</v>
      </c>
    </row>
    <row r="7088" spans="1:18" customFormat="1" ht="27" customHeight="1" x14ac:dyDescent="0.25">
      <c r="A7088" s="105" t="s">
        <v>13983</v>
      </c>
      <c r="H7088" t="s">
        <v>14534</v>
      </c>
      <c r="I7088" t="s">
        <v>14535</v>
      </c>
      <c r="J7088" s="34" t="s">
        <v>26</v>
      </c>
      <c r="K7088" s="77">
        <v>103.545</v>
      </c>
      <c r="L7088" s="12">
        <f t="shared" si="584"/>
        <v>224.34750000000005</v>
      </c>
      <c r="M7088" s="106">
        <v>1</v>
      </c>
      <c r="N7088" s="106" t="s">
        <v>27</v>
      </c>
      <c r="O7088" s="78"/>
      <c r="P7088" s="107">
        <v>0.3</v>
      </c>
      <c r="Q7088" s="108">
        <v>0.4</v>
      </c>
      <c r="R7088" s="45" t="str">
        <f t="shared" si="583"/>
        <v>HOFFLIGHTS</v>
      </c>
    </row>
    <row r="7089" spans="1:18" customFormat="1" ht="27" customHeight="1" x14ac:dyDescent="0.25">
      <c r="A7089" s="105" t="s">
        <v>13983</v>
      </c>
      <c r="H7089" t="s">
        <v>14536</v>
      </c>
      <c r="I7089" t="s">
        <v>14537</v>
      </c>
      <c r="J7089" s="34" t="s">
        <v>26</v>
      </c>
      <c r="K7089" s="77">
        <v>103.545</v>
      </c>
      <c r="L7089" s="12">
        <f t="shared" si="584"/>
        <v>224.34750000000005</v>
      </c>
      <c r="M7089" s="106">
        <v>1</v>
      </c>
      <c r="N7089" s="106" t="s">
        <v>27</v>
      </c>
      <c r="O7089" s="78"/>
      <c r="P7089" s="107">
        <v>0.3</v>
      </c>
      <c r="Q7089" s="108">
        <v>0.4</v>
      </c>
      <c r="R7089" s="45" t="str">
        <f t="shared" si="583"/>
        <v>HOFFLIGHTS</v>
      </c>
    </row>
    <row r="7090" spans="1:18" customFormat="1" ht="27" customHeight="1" x14ac:dyDescent="0.25">
      <c r="A7090" s="105" t="s">
        <v>13983</v>
      </c>
      <c r="H7090" t="s">
        <v>14538</v>
      </c>
      <c r="I7090" t="s">
        <v>14539</v>
      </c>
      <c r="J7090" s="34" t="s">
        <v>26</v>
      </c>
      <c r="K7090" s="77">
        <v>9.301499999999999</v>
      </c>
      <c r="L7090" s="12">
        <f t="shared" si="584"/>
        <v>20.15325</v>
      </c>
      <c r="M7090" s="106">
        <v>1</v>
      </c>
      <c r="N7090" s="106" t="s">
        <v>27</v>
      </c>
      <c r="O7090" s="78"/>
      <c r="P7090" s="107">
        <v>0.3</v>
      </c>
      <c r="Q7090" s="108">
        <v>0.4</v>
      </c>
      <c r="R7090" s="45" t="str">
        <f t="shared" si="583"/>
        <v>HOFFLIGHTS</v>
      </c>
    </row>
    <row r="7091" spans="1:18" customFormat="1" ht="27" customHeight="1" x14ac:dyDescent="0.25">
      <c r="A7091" s="105" t="s">
        <v>13983</v>
      </c>
      <c r="H7091" t="s">
        <v>14540</v>
      </c>
      <c r="I7091" t="s">
        <v>14541</v>
      </c>
      <c r="J7091" s="34" t="s">
        <v>26</v>
      </c>
      <c r="K7091" s="77">
        <v>9.301499999999999</v>
      </c>
      <c r="L7091" s="12">
        <f t="shared" si="584"/>
        <v>20.15325</v>
      </c>
      <c r="M7091" s="106">
        <v>1</v>
      </c>
      <c r="N7091" s="106" t="s">
        <v>27</v>
      </c>
      <c r="O7091" s="78"/>
      <c r="P7091" s="107">
        <v>0.3</v>
      </c>
      <c r="Q7091" s="108">
        <v>0.4</v>
      </c>
      <c r="R7091" s="45" t="str">
        <f t="shared" si="583"/>
        <v>HOFFLIGHTS</v>
      </c>
    </row>
    <row r="7092" spans="1:18" customFormat="1" ht="27" customHeight="1" x14ac:dyDescent="0.25">
      <c r="A7092" s="105" t="s">
        <v>13983</v>
      </c>
      <c r="H7092" t="s">
        <v>14542</v>
      </c>
      <c r="I7092" t="s">
        <v>14543</v>
      </c>
      <c r="J7092" s="34" t="s">
        <v>26</v>
      </c>
      <c r="K7092" s="77">
        <v>57.33</v>
      </c>
      <c r="L7092" s="12">
        <f t="shared" si="584"/>
        <v>124.215</v>
      </c>
      <c r="M7092" s="106">
        <v>1</v>
      </c>
      <c r="N7092" s="106" t="s">
        <v>27</v>
      </c>
      <c r="O7092" s="78"/>
      <c r="P7092" s="107">
        <v>0.3</v>
      </c>
      <c r="Q7092" s="108">
        <v>0.4</v>
      </c>
      <c r="R7092" s="45" t="str">
        <f t="shared" si="583"/>
        <v>HOFFLIGHTS</v>
      </c>
    </row>
    <row r="7093" spans="1:18" customFormat="1" ht="27" customHeight="1" x14ac:dyDescent="0.25">
      <c r="A7093" s="105" t="s">
        <v>13983</v>
      </c>
      <c r="H7093" t="s">
        <v>14544</v>
      </c>
      <c r="I7093" t="s">
        <v>14545</v>
      </c>
      <c r="J7093" s="34" t="s">
        <v>26</v>
      </c>
      <c r="K7093" s="77">
        <v>57.33</v>
      </c>
      <c r="L7093" s="12">
        <f t="shared" si="584"/>
        <v>124.215</v>
      </c>
      <c r="M7093" s="106">
        <v>1</v>
      </c>
      <c r="N7093" s="106" t="s">
        <v>27</v>
      </c>
      <c r="O7093" s="78"/>
      <c r="P7093" s="107">
        <v>0.3</v>
      </c>
      <c r="Q7093" s="108">
        <v>0.4</v>
      </c>
      <c r="R7093" s="45" t="str">
        <f t="shared" si="583"/>
        <v>HOFFLIGHTS</v>
      </c>
    </row>
    <row r="7094" spans="1:18" customFormat="1" ht="27" customHeight="1" x14ac:dyDescent="0.25">
      <c r="A7094" s="105" t="s">
        <v>13983</v>
      </c>
      <c r="H7094" t="s">
        <v>14546</v>
      </c>
      <c r="I7094" t="s">
        <v>14547</v>
      </c>
      <c r="J7094" s="34" t="s">
        <v>26</v>
      </c>
      <c r="K7094" s="77">
        <v>57.33</v>
      </c>
      <c r="L7094" s="12">
        <f t="shared" si="584"/>
        <v>124.215</v>
      </c>
      <c r="M7094" s="106">
        <v>1</v>
      </c>
      <c r="N7094" s="106" t="s">
        <v>27</v>
      </c>
      <c r="O7094" s="78"/>
      <c r="P7094" s="107">
        <v>0.3</v>
      </c>
      <c r="Q7094" s="108">
        <v>0.4</v>
      </c>
      <c r="R7094" s="45" t="str">
        <f t="shared" si="583"/>
        <v>HOFFLIGHTS</v>
      </c>
    </row>
    <row r="7095" spans="1:18" customFormat="1" ht="27" customHeight="1" x14ac:dyDescent="0.25">
      <c r="A7095" s="105" t="s">
        <v>13983</v>
      </c>
      <c r="H7095" t="s">
        <v>14548</v>
      </c>
      <c r="I7095" t="s">
        <v>14549</v>
      </c>
      <c r="J7095" s="34" t="s">
        <v>26</v>
      </c>
      <c r="K7095" s="77">
        <v>57.33</v>
      </c>
      <c r="L7095" s="12">
        <f t="shared" si="584"/>
        <v>124.215</v>
      </c>
      <c r="M7095" s="106">
        <v>1</v>
      </c>
      <c r="N7095" s="106" t="s">
        <v>27</v>
      </c>
      <c r="O7095" s="78"/>
      <c r="P7095" s="107">
        <v>0.3</v>
      </c>
      <c r="Q7095" s="108">
        <v>0.4</v>
      </c>
      <c r="R7095" s="45" t="str">
        <f t="shared" si="583"/>
        <v>HOFFLIGHTS</v>
      </c>
    </row>
    <row r="7096" spans="1:18" customFormat="1" ht="27" customHeight="1" x14ac:dyDescent="0.25">
      <c r="A7096" s="105" t="s">
        <v>13983</v>
      </c>
      <c r="H7096" t="s">
        <v>14218</v>
      </c>
      <c r="I7096" t="s">
        <v>14219</v>
      </c>
      <c r="J7096" s="34" t="s">
        <v>26</v>
      </c>
      <c r="K7096" s="77">
        <v>4.7677499999999986</v>
      </c>
      <c r="L7096" s="12">
        <f t="shared" si="584"/>
        <v>10.330124999999997</v>
      </c>
      <c r="M7096" s="106">
        <v>1</v>
      </c>
      <c r="N7096" s="106" t="s">
        <v>27</v>
      </c>
      <c r="O7096" s="78"/>
      <c r="P7096" s="107">
        <v>0.3</v>
      </c>
      <c r="Q7096" s="108">
        <v>0.4</v>
      </c>
      <c r="R7096" s="45" t="str">
        <f t="shared" si="583"/>
        <v>HOFFLIGHTS</v>
      </c>
    </row>
    <row r="7097" spans="1:18" customFormat="1" ht="27" customHeight="1" x14ac:dyDescent="0.25">
      <c r="A7097" s="105" t="s">
        <v>13983</v>
      </c>
      <c r="H7097" t="s">
        <v>14220</v>
      </c>
      <c r="I7097" t="s">
        <v>14221</v>
      </c>
      <c r="J7097" s="34" t="s">
        <v>26</v>
      </c>
      <c r="K7097" s="77">
        <v>4.7677499999999986</v>
      </c>
      <c r="L7097" s="12">
        <f t="shared" si="584"/>
        <v>10.330124999999997</v>
      </c>
      <c r="M7097" s="106">
        <v>1</v>
      </c>
      <c r="N7097" s="106" t="s">
        <v>27</v>
      </c>
      <c r="O7097" s="78"/>
      <c r="P7097" s="107">
        <v>0.3</v>
      </c>
      <c r="Q7097" s="108">
        <v>0.4</v>
      </c>
      <c r="R7097" s="45" t="str">
        <f t="shared" si="583"/>
        <v>HOFFLIGHTS</v>
      </c>
    </row>
    <row r="7098" spans="1:18" customFormat="1" ht="27" customHeight="1" x14ac:dyDescent="0.25">
      <c r="A7098" s="105" t="s">
        <v>13983</v>
      </c>
      <c r="H7098" t="s">
        <v>14222</v>
      </c>
      <c r="I7098" t="s">
        <v>14223</v>
      </c>
      <c r="J7098" s="34" t="s">
        <v>26</v>
      </c>
      <c r="K7098" s="77">
        <v>4.7677499999999986</v>
      </c>
      <c r="L7098" s="12">
        <f t="shared" si="584"/>
        <v>10.330124999999997</v>
      </c>
      <c r="M7098" s="106">
        <v>1</v>
      </c>
      <c r="N7098" s="106" t="s">
        <v>27</v>
      </c>
      <c r="O7098" s="78"/>
      <c r="P7098" s="107">
        <v>0.3</v>
      </c>
      <c r="Q7098" s="108">
        <v>0.4</v>
      </c>
      <c r="R7098" s="45" t="str">
        <f t="shared" si="583"/>
        <v>HOFFLIGHTS</v>
      </c>
    </row>
    <row r="7099" spans="1:18" customFormat="1" ht="27" customHeight="1" x14ac:dyDescent="0.25">
      <c r="A7099" s="105" t="s">
        <v>13983</v>
      </c>
      <c r="H7099" t="s">
        <v>14224</v>
      </c>
      <c r="I7099" t="s">
        <v>14225</v>
      </c>
      <c r="J7099" s="34" t="s">
        <v>26</v>
      </c>
      <c r="K7099" s="77">
        <v>1.2869999999999999</v>
      </c>
      <c r="L7099" s="12">
        <f t="shared" si="584"/>
        <v>2.7885</v>
      </c>
      <c r="M7099" s="106">
        <v>1</v>
      </c>
      <c r="N7099" s="106" t="s">
        <v>27</v>
      </c>
      <c r="O7099" s="78"/>
      <c r="P7099" s="107">
        <v>0.3</v>
      </c>
      <c r="Q7099" s="108">
        <v>0.4</v>
      </c>
      <c r="R7099" s="45" t="str">
        <f t="shared" si="583"/>
        <v>HOFFLIGHTS</v>
      </c>
    </row>
    <row r="7100" spans="1:18" customFormat="1" ht="27" customHeight="1" x14ac:dyDescent="0.25">
      <c r="A7100" s="105" t="s">
        <v>13983</v>
      </c>
      <c r="H7100" t="s">
        <v>14226</v>
      </c>
      <c r="I7100" t="s">
        <v>14227</v>
      </c>
      <c r="J7100" s="34" t="s">
        <v>26</v>
      </c>
      <c r="K7100" s="77">
        <v>3.4514999999999998</v>
      </c>
      <c r="L7100" s="12">
        <f t="shared" si="584"/>
        <v>7.478250000000001</v>
      </c>
      <c r="M7100" s="106">
        <v>1</v>
      </c>
      <c r="N7100" s="106" t="s">
        <v>27</v>
      </c>
      <c r="O7100" s="78"/>
      <c r="P7100" s="107">
        <v>0.3</v>
      </c>
      <c r="Q7100" s="108">
        <v>0.4</v>
      </c>
      <c r="R7100" s="45" t="str">
        <f t="shared" si="583"/>
        <v>HOFFLIGHTS</v>
      </c>
    </row>
    <row r="7101" spans="1:18" customFormat="1" ht="27" customHeight="1" x14ac:dyDescent="0.25">
      <c r="A7101" s="105" t="s">
        <v>13983</v>
      </c>
      <c r="H7101" t="s">
        <v>14550</v>
      </c>
      <c r="I7101" t="s">
        <v>14551</v>
      </c>
      <c r="J7101" s="34" t="s">
        <v>26</v>
      </c>
      <c r="K7101" s="77">
        <v>95.35499999999999</v>
      </c>
      <c r="L7101" s="12">
        <f t="shared" si="584"/>
        <v>206.60249999999999</v>
      </c>
      <c r="M7101" s="106">
        <v>1</v>
      </c>
      <c r="N7101" s="106" t="s">
        <v>27</v>
      </c>
      <c r="O7101" s="78"/>
      <c r="P7101" s="107">
        <v>0.3</v>
      </c>
      <c r="Q7101" s="108">
        <v>0.4</v>
      </c>
      <c r="R7101" s="45" t="str">
        <f t="shared" si="583"/>
        <v>HOFFLIGHTS</v>
      </c>
    </row>
    <row r="7102" spans="1:18" customFormat="1" ht="27" customHeight="1" x14ac:dyDescent="0.25">
      <c r="A7102" s="105" t="s">
        <v>13983</v>
      </c>
      <c r="H7102" t="s">
        <v>14552</v>
      </c>
      <c r="I7102" t="s">
        <v>14553</v>
      </c>
      <c r="J7102" s="34" t="s">
        <v>26</v>
      </c>
      <c r="K7102" s="77">
        <v>95.35499999999999</v>
      </c>
      <c r="L7102" s="12">
        <f t="shared" si="584"/>
        <v>206.60249999999999</v>
      </c>
      <c r="M7102" s="106">
        <v>1</v>
      </c>
      <c r="N7102" s="106" t="s">
        <v>27</v>
      </c>
      <c r="O7102" s="78"/>
      <c r="P7102" s="107">
        <v>0.3</v>
      </c>
      <c r="Q7102" s="108">
        <v>0.4</v>
      </c>
      <c r="R7102" s="45" t="str">
        <f t="shared" ref="R7102:R7165" si="585">A7102</f>
        <v>HOFFLIGHTS</v>
      </c>
    </row>
    <row r="7103" spans="1:18" customFormat="1" ht="27" customHeight="1" x14ac:dyDescent="0.25">
      <c r="A7103" s="105" t="s">
        <v>13983</v>
      </c>
      <c r="H7103" t="s">
        <v>14554</v>
      </c>
      <c r="I7103" t="s">
        <v>14555</v>
      </c>
      <c r="J7103" s="34" t="s">
        <v>26</v>
      </c>
      <c r="K7103" s="77">
        <v>1.9890000000000001</v>
      </c>
      <c r="L7103" s="12">
        <f t="shared" si="584"/>
        <v>4.3095000000000008</v>
      </c>
      <c r="M7103" s="106">
        <v>1</v>
      </c>
      <c r="N7103" s="106" t="s">
        <v>27</v>
      </c>
      <c r="O7103" s="78"/>
      <c r="P7103" s="107">
        <v>0.3</v>
      </c>
      <c r="Q7103" s="108">
        <v>0.4</v>
      </c>
      <c r="R7103" s="45" t="str">
        <f t="shared" si="585"/>
        <v>HOFFLIGHTS</v>
      </c>
    </row>
    <row r="7104" spans="1:18" customFormat="1" ht="27" customHeight="1" x14ac:dyDescent="0.25">
      <c r="A7104" s="105" t="s">
        <v>13983</v>
      </c>
      <c r="H7104" t="s">
        <v>14556</v>
      </c>
      <c r="I7104" t="s">
        <v>14557</v>
      </c>
      <c r="J7104" s="34" t="s">
        <v>26</v>
      </c>
      <c r="K7104" s="77">
        <v>129.285</v>
      </c>
      <c r="L7104" s="12">
        <f t="shared" si="584"/>
        <v>280.11750000000001</v>
      </c>
      <c r="M7104" s="106">
        <v>1</v>
      </c>
      <c r="N7104" s="106" t="s">
        <v>27</v>
      </c>
      <c r="O7104" s="78"/>
      <c r="P7104" s="107">
        <v>0.3</v>
      </c>
      <c r="Q7104" s="108">
        <v>0.4</v>
      </c>
      <c r="R7104" s="45" t="str">
        <f t="shared" si="585"/>
        <v>HOFFLIGHTS</v>
      </c>
    </row>
    <row r="7105" spans="1:18" customFormat="1" ht="27" customHeight="1" x14ac:dyDescent="0.25">
      <c r="A7105" s="105" t="s">
        <v>13983</v>
      </c>
      <c r="H7105" t="s">
        <v>14558</v>
      </c>
      <c r="I7105" t="s">
        <v>14559</v>
      </c>
      <c r="J7105" s="34" t="s">
        <v>26</v>
      </c>
      <c r="K7105" s="77">
        <v>129.285</v>
      </c>
      <c r="L7105" s="12">
        <f t="shared" si="584"/>
        <v>280.11750000000001</v>
      </c>
      <c r="M7105" s="106">
        <v>1</v>
      </c>
      <c r="N7105" s="106" t="s">
        <v>27</v>
      </c>
      <c r="O7105" s="78"/>
      <c r="P7105" s="107">
        <v>0.3</v>
      </c>
      <c r="Q7105" s="108">
        <v>0.4</v>
      </c>
      <c r="R7105" s="45" t="str">
        <f t="shared" si="585"/>
        <v>HOFFLIGHTS</v>
      </c>
    </row>
    <row r="7106" spans="1:18" customFormat="1" ht="27" customHeight="1" x14ac:dyDescent="0.25">
      <c r="A7106" s="105" t="s">
        <v>13983</v>
      </c>
      <c r="H7106" t="s">
        <v>14560</v>
      </c>
      <c r="I7106" t="s">
        <v>14561</v>
      </c>
      <c r="J7106" s="34" t="s">
        <v>26</v>
      </c>
      <c r="K7106" s="77">
        <v>121.095</v>
      </c>
      <c r="L7106" s="12">
        <f t="shared" si="584"/>
        <v>262.3725</v>
      </c>
      <c r="M7106" s="106">
        <v>1</v>
      </c>
      <c r="N7106" s="106" t="s">
        <v>27</v>
      </c>
      <c r="O7106" s="78"/>
      <c r="P7106" s="107">
        <v>0.3</v>
      </c>
      <c r="Q7106" s="108">
        <v>0.4</v>
      </c>
      <c r="R7106" s="45" t="str">
        <f t="shared" si="585"/>
        <v>HOFFLIGHTS</v>
      </c>
    </row>
    <row r="7107" spans="1:18" customFormat="1" ht="27" customHeight="1" x14ac:dyDescent="0.25">
      <c r="A7107" s="105" t="s">
        <v>13983</v>
      </c>
      <c r="H7107" t="s">
        <v>14562</v>
      </c>
      <c r="I7107" t="s">
        <v>14563</v>
      </c>
      <c r="J7107" s="34" t="s">
        <v>26</v>
      </c>
      <c r="K7107" s="77">
        <v>121.095</v>
      </c>
      <c r="L7107" s="12">
        <f t="shared" si="584"/>
        <v>262.3725</v>
      </c>
      <c r="M7107" s="106">
        <v>1</v>
      </c>
      <c r="N7107" s="106" t="s">
        <v>27</v>
      </c>
      <c r="O7107" s="78"/>
      <c r="P7107" s="107">
        <v>0.3</v>
      </c>
      <c r="Q7107" s="108">
        <v>0.4</v>
      </c>
      <c r="R7107" s="45" t="str">
        <f t="shared" si="585"/>
        <v>HOFFLIGHTS</v>
      </c>
    </row>
    <row r="7108" spans="1:18" customFormat="1" ht="27" customHeight="1" x14ac:dyDescent="0.25">
      <c r="A7108" s="105" t="s">
        <v>13983</v>
      </c>
      <c r="H7108" t="s">
        <v>14564</v>
      </c>
      <c r="I7108" t="s">
        <v>14565</v>
      </c>
      <c r="J7108" s="34" t="s">
        <v>26</v>
      </c>
      <c r="K7108" s="77">
        <v>121.095</v>
      </c>
      <c r="L7108" s="12">
        <f t="shared" si="584"/>
        <v>262.3725</v>
      </c>
      <c r="M7108" s="106">
        <v>1</v>
      </c>
      <c r="N7108" s="106" t="s">
        <v>27</v>
      </c>
      <c r="O7108" s="78"/>
      <c r="P7108" s="107">
        <v>0.3</v>
      </c>
      <c r="Q7108" s="108">
        <v>0.4</v>
      </c>
      <c r="R7108" s="45" t="str">
        <f t="shared" si="585"/>
        <v>HOFFLIGHTS</v>
      </c>
    </row>
    <row r="7109" spans="1:18" customFormat="1" ht="27" customHeight="1" x14ac:dyDescent="0.25">
      <c r="A7109" s="105" t="s">
        <v>13983</v>
      </c>
      <c r="H7109" t="s">
        <v>14566</v>
      </c>
      <c r="I7109" t="s">
        <v>14567</v>
      </c>
      <c r="J7109" s="34" t="s">
        <v>26</v>
      </c>
      <c r="K7109" s="77">
        <v>121.095</v>
      </c>
      <c r="L7109" s="12">
        <f t="shared" si="584"/>
        <v>262.3725</v>
      </c>
      <c r="M7109" s="106">
        <v>1</v>
      </c>
      <c r="N7109" s="106" t="s">
        <v>27</v>
      </c>
      <c r="O7109" s="78"/>
      <c r="P7109" s="107">
        <v>0.3</v>
      </c>
      <c r="Q7109" s="108">
        <v>0.4</v>
      </c>
      <c r="R7109" s="45" t="str">
        <f t="shared" si="585"/>
        <v>HOFFLIGHTS</v>
      </c>
    </row>
    <row r="7110" spans="1:18" customFormat="1" ht="27" customHeight="1" x14ac:dyDescent="0.25">
      <c r="A7110" s="105" t="s">
        <v>13983</v>
      </c>
      <c r="H7110" t="s">
        <v>14568</v>
      </c>
      <c r="I7110" t="s">
        <v>14569</v>
      </c>
      <c r="J7110" s="34" t="s">
        <v>26</v>
      </c>
      <c r="K7110" s="77">
        <v>47.384999999999998</v>
      </c>
      <c r="L7110" s="12">
        <f t="shared" si="584"/>
        <v>102.6675</v>
      </c>
      <c r="M7110" s="106">
        <v>1</v>
      </c>
      <c r="N7110" s="106" t="s">
        <v>27</v>
      </c>
      <c r="O7110" s="78"/>
      <c r="P7110" s="107">
        <v>0.3</v>
      </c>
      <c r="Q7110" s="108">
        <v>0.4</v>
      </c>
      <c r="R7110" s="45" t="str">
        <f t="shared" si="585"/>
        <v>HOFFLIGHTS</v>
      </c>
    </row>
    <row r="7111" spans="1:18" customFormat="1" ht="27" customHeight="1" x14ac:dyDescent="0.25">
      <c r="A7111" s="105" t="s">
        <v>13983</v>
      </c>
      <c r="H7111" t="s">
        <v>14570</v>
      </c>
      <c r="I7111" t="s">
        <v>14571</v>
      </c>
      <c r="J7111" s="34" t="s">
        <v>26</v>
      </c>
      <c r="K7111" s="77">
        <v>47.384999999999998</v>
      </c>
      <c r="L7111" s="12">
        <f t="shared" si="584"/>
        <v>102.6675</v>
      </c>
      <c r="M7111" s="106">
        <v>1</v>
      </c>
      <c r="N7111" s="106" t="s">
        <v>27</v>
      </c>
      <c r="O7111" s="78"/>
      <c r="P7111" s="107">
        <v>0.3</v>
      </c>
      <c r="Q7111" s="108">
        <v>0.4</v>
      </c>
      <c r="R7111" s="45" t="str">
        <f t="shared" si="585"/>
        <v>HOFFLIGHTS</v>
      </c>
    </row>
    <row r="7112" spans="1:18" customFormat="1" ht="27" customHeight="1" x14ac:dyDescent="0.25">
      <c r="A7112" s="105" t="s">
        <v>13983</v>
      </c>
      <c r="H7112" t="s">
        <v>14572</v>
      </c>
      <c r="I7112" t="s">
        <v>14573</v>
      </c>
      <c r="J7112" s="34" t="s">
        <v>26</v>
      </c>
      <c r="K7112" s="77">
        <v>70.199999999999989</v>
      </c>
      <c r="L7112" s="12">
        <f t="shared" si="584"/>
        <v>152.1</v>
      </c>
      <c r="M7112" s="106">
        <v>1</v>
      </c>
      <c r="N7112" s="106" t="s">
        <v>27</v>
      </c>
      <c r="O7112" s="78"/>
      <c r="P7112" s="107">
        <v>0.3</v>
      </c>
      <c r="Q7112" s="108">
        <v>0.4</v>
      </c>
      <c r="R7112" s="45" t="str">
        <f t="shared" si="585"/>
        <v>HOFFLIGHTS</v>
      </c>
    </row>
    <row r="7113" spans="1:18" customFormat="1" ht="27" customHeight="1" x14ac:dyDescent="0.25">
      <c r="A7113" s="105" t="s">
        <v>13983</v>
      </c>
      <c r="H7113" t="s">
        <v>14574</v>
      </c>
      <c r="I7113" t="s">
        <v>14575</v>
      </c>
      <c r="J7113" s="34" t="s">
        <v>26</v>
      </c>
      <c r="K7113" s="77">
        <v>70.199999999999989</v>
      </c>
      <c r="L7113" s="12">
        <f t="shared" si="584"/>
        <v>152.1</v>
      </c>
      <c r="M7113" s="106">
        <v>1</v>
      </c>
      <c r="N7113" s="106" t="s">
        <v>27</v>
      </c>
      <c r="O7113" s="78"/>
      <c r="P7113" s="107">
        <v>0.3</v>
      </c>
      <c r="Q7113" s="108">
        <v>0.4</v>
      </c>
      <c r="R7113" s="45" t="str">
        <f t="shared" si="585"/>
        <v>HOFFLIGHTS</v>
      </c>
    </row>
    <row r="7114" spans="1:18" customFormat="1" ht="27" customHeight="1" x14ac:dyDescent="0.25">
      <c r="A7114" s="105" t="s">
        <v>13983</v>
      </c>
      <c r="H7114" t="s">
        <v>14576</v>
      </c>
      <c r="I7114" t="s">
        <v>14577</v>
      </c>
      <c r="J7114" s="34" t="s">
        <v>26</v>
      </c>
      <c r="K7114" s="77">
        <v>10.471500000000001</v>
      </c>
      <c r="L7114" s="12">
        <f t="shared" si="584"/>
        <v>22.688250000000004</v>
      </c>
      <c r="M7114" s="106">
        <v>1</v>
      </c>
      <c r="N7114" s="106" t="s">
        <v>27</v>
      </c>
      <c r="O7114" s="78"/>
      <c r="P7114" s="107">
        <v>0.3</v>
      </c>
      <c r="Q7114" s="108">
        <v>0.4</v>
      </c>
      <c r="R7114" s="45" t="str">
        <f t="shared" si="585"/>
        <v>HOFFLIGHTS</v>
      </c>
    </row>
    <row r="7115" spans="1:18" customFormat="1" ht="27" customHeight="1" x14ac:dyDescent="0.25">
      <c r="A7115" s="105" t="s">
        <v>13983</v>
      </c>
      <c r="H7115" t="s">
        <v>14578</v>
      </c>
      <c r="I7115" t="s">
        <v>14579</v>
      </c>
      <c r="J7115" s="34" t="s">
        <v>26</v>
      </c>
      <c r="K7115" s="77">
        <v>10.471500000000001</v>
      </c>
      <c r="L7115" s="12">
        <f t="shared" si="584"/>
        <v>22.688250000000004</v>
      </c>
      <c r="M7115" s="106">
        <v>1</v>
      </c>
      <c r="N7115" s="106" t="s">
        <v>27</v>
      </c>
      <c r="O7115" s="78"/>
      <c r="P7115" s="107">
        <v>0.3</v>
      </c>
      <c r="Q7115" s="108">
        <v>0.4</v>
      </c>
      <c r="R7115" s="45" t="str">
        <f t="shared" si="585"/>
        <v>HOFFLIGHTS</v>
      </c>
    </row>
    <row r="7116" spans="1:18" customFormat="1" ht="27" customHeight="1" x14ac:dyDescent="0.25">
      <c r="A7116" s="105" t="s">
        <v>13983</v>
      </c>
      <c r="H7116" t="s">
        <v>14580</v>
      </c>
      <c r="I7116" t="s">
        <v>14581</v>
      </c>
      <c r="J7116" s="34" t="s">
        <v>26</v>
      </c>
      <c r="K7116" s="77">
        <v>10.471500000000001</v>
      </c>
      <c r="L7116" s="12">
        <f t="shared" si="584"/>
        <v>22.688250000000004</v>
      </c>
      <c r="M7116" s="106">
        <v>1</v>
      </c>
      <c r="N7116" s="106" t="s">
        <v>27</v>
      </c>
      <c r="O7116" s="78"/>
      <c r="P7116" s="107">
        <v>0.3</v>
      </c>
      <c r="Q7116" s="108">
        <v>0.4</v>
      </c>
      <c r="R7116" s="45" t="str">
        <f t="shared" si="585"/>
        <v>HOFFLIGHTS</v>
      </c>
    </row>
    <row r="7117" spans="1:18" customFormat="1" ht="27" customHeight="1" x14ac:dyDescent="0.25">
      <c r="A7117" s="105" t="s">
        <v>13983</v>
      </c>
      <c r="H7117" t="s">
        <v>14582</v>
      </c>
      <c r="I7117" t="s">
        <v>14583</v>
      </c>
      <c r="J7117" s="34" t="s">
        <v>26</v>
      </c>
      <c r="K7117" s="77">
        <v>10.471500000000001</v>
      </c>
      <c r="L7117" s="12">
        <f t="shared" si="584"/>
        <v>22.688250000000004</v>
      </c>
      <c r="M7117" s="106">
        <v>1</v>
      </c>
      <c r="N7117" s="106" t="s">
        <v>27</v>
      </c>
      <c r="O7117" s="78"/>
      <c r="P7117" s="107">
        <v>0.3</v>
      </c>
      <c r="Q7117" s="108">
        <v>0.4</v>
      </c>
      <c r="R7117" s="45" t="str">
        <f t="shared" si="585"/>
        <v>HOFFLIGHTS</v>
      </c>
    </row>
    <row r="7118" spans="1:18" customFormat="1" ht="27" customHeight="1" x14ac:dyDescent="0.25">
      <c r="A7118" s="105" t="s">
        <v>13983</v>
      </c>
      <c r="H7118" t="s">
        <v>14584</v>
      </c>
      <c r="I7118" t="s">
        <v>14585</v>
      </c>
      <c r="J7118" s="34" t="s">
        <v>26</v>
      </c>
      <c r="K7118" s="77">
        <v>1.4039999999999999</v>
      </c>
      <c r="L7118" s="12">
        <f t="shared" si="584"/>
        <v>3.0419999999999998</v>
      </c>
      <c r="M7118" s="106">
        <v>1</v>
      </c>
      <c r="N7118" s="106" t="s">
        <v>27</v>
      </c>
      <c r="O7118" s="78"/>
      <c r="P7118" s="107">
        <v>0.3</v>
      </c>
      <c r="Q7118" s="108">
        <v>0.4</v>
      </c>
      <c r="R7118" s="45" t="str">
        <f t="shared" si="585"/>
        <v>HOFFLIGHTS</v>
      </c>
    </row>
    <row r="7119" spans="1:18" customFormat="1" ht="27" customHeight="1" x14ac:dyDescent="0.25">
      <c r="A7119" s="105" t="s">
        <v>13983</v>
      </c>
      <c r="H7119" t="s">
        <v>14586</v>
      </c>
      <c r="I7119" t="s">
        <v>14587</v>
      </c>
      <c r="J7119" s="34" t="s">
        <v>26</v>
      </c>
      <c r="K7119" s="77">
        <v>1.4039999999999999</v>
      </c>
      <c r="L7119" s="12">
        <f t="shared" si="584"/>
        <v>3.0419999999999998</v>
      </c>
      <c r="M7119" s="106">
        <v>1</v>
      </c>
      <c r="N7119" s="106" t="s">
        <v>27</v>
      </c>
      <c r="O7119" s="78"/>
      <c r="P7119" s="107">
        <v>0.3</v>
      </c>
      <c r="Q7119" s="108">
        <v>0.4</v>
      </c>
      <c r="R7119" s="45" t="str">
        <f t="shared" si="585"/>
        <v>HOFFLIGHTS</v>
      </c>
    </row>
    <row r="7120" spans="1:18" customFormat="1" ht="27" customHeight="1" x14ac:dyDescent="0.25">
      <c r="A7120" s="105" t="s">
        <v>13983</v>
      </c>
      <c r="H7120" t="s">
        <v>14588</v>
      </c>
      <c r="I7120" t="s">
        <v>14589</v>
      </c>
      <c r="J7120" s="34" t="s">
        <v>26</v>
      </c>
      <c r="K7120" s="77">
        <v>6.3179999999999996</v>
      </c>
      <c r="L7120" s="12">
        <f t="shared" si="584"/>
        <v>13.689</v>
      </c>
      <c r="M7120" s="106">
        <v>1</v>
      </c>
      <c r="N7120" s="106" t="s">
        <v>27</v>
      </c>
      <c r="O7120" s="78"/>
      <c r="P7120" s="107">
        <v>0.3</v>
      </c>
      <c r="Q7120" s="108">
        <v>0.4</v>
      </c>
      <c r="R7120" s="45" t="str">
        <f t="shared" si="585"/>
        <v>HOFFLIGHTS</v>
      </c>
    </row>
    <row r="7121" spans="1:18" customFormat="1" ht="27" customHeight="1" x14ac:dyDescent="0.25">
      <c r="A7121" s="105" t="s">
        <v>13983</v>
      </c>
      <c r="H7121" t="s">
        <v>14590</v>
      </c>
      <c r="I7121" t="s">
        <v>14591</v>
      </c>
      <c r="J7121" s="34" t="s">
        <v>26</v>
      </c>
      <c r="K7121" s="77">
        <v>6.3179999999999996</v>
      </c>
      <c r="L7121" s="12">
        <f t="shared" si="584"/>
        <v>13.689</v>
      </c>
      <c r="M7121" s="106">
        <v>1</v>
      </c>
      <c r="N7121" s="106" t="s">
        <v>27</v>
      </c>
      <c r="O7121" s="78"/>
      <c r="P7121" s="107">
        <v>0.3</v>
      </c>
      <c r="Q7121" s="108">
        <v>0.4</v>
      </c>
      <c r="R7121" s="45" t="str">
        <f t="shared" si="585"/>
        <v>HOFFLIGHTS</v>
      </c>
    </row>
    <row r="7122" spans="1:18" customFormat="1" ht="27" customHeight="1" x14ac:dyDescent="0.25">
      <c r="A7122" s="105" t="s">
        <v>13983</v>
      </c>
      <c r="H7122" t="s">
        <v>14592</v>
      </c>
      <c r="I7122" t="s">
        <v>14593</v>
      </c>
      <c r="J7122" s="34" t="s">
        <v>26</v>
      </c>
      <c r="K7122" s="77">
        <v>21.352499999999999</v>
      </c>
      <c r="L7122" s="12">
        <f t="shared" si="584"/>
        <v>46.263750000000002</v>
      </c>
      <c r="M7122" s="106">
        <v>1</v>
      </c>
      <c r="N7122" s="106" t="s">
        <v>27</v>
      </c>
      <c r="O7122" s="78"/>
      <c r="P7122" s="107">
        <v>0.3</v>
      </c>
      <c r="Q7122" s="108">
        <v>0.4</v>
      </c>
      <c r="R7122" s="45" t="str">
        <f t="shared" si="585"/>
        <v>HOFFLIGHTS</v>
      </c>
    </row>
    <row r="7123" spans="1:18" customFormat="1" ht="27" customHeight="1" x14ac:dyDescent="0.25">
      <c r="A7123" s="105" t="s">
        <v>13983</v>
      </c>
      <c r="H7123" t="s">
        <v>14594</v>
      </c>
      <c r="I7123" t="s">
        <v>14595</v>
      </c>
      <c r="J7123" s="34" t="s">
        <v>26</v>
      </c>
      <c r="K7123" s="77">
        <v>21.352499999999999</v>
      </c>
      <c r="L7123" s="12">
        <f t="shared" si="584"/>
        <v>46.263750000000002</v>
      </c>
      <c r="M7123" s="106">
        <v>1</v>
      </c>
      <c r="N7123" s="106" t="s">
        <v>27</v>
      </c>
      <c r="O7123" s="78"/>
      <c r="P7123" s="107">
        <v>0.3</v>
      </c>
      <c r="Q7123" s="108">
        <v>0.4</v>
      </c>
      <c r="R7123" s="45" t="str">
        <f t="shared" si="585"/>
        <v>HOFFLIGHTS</v>
      </c>
    </row>
    <row r="7124" spans="1:18" customFormat="1" ht="27" customHeight="1" x14ac:dyDescent="0.25">
      <c r="A7124" s="105" t="s">
        <v>13983</v>
      </c>
      <c r="H7124" t="s">
        <v>14596</v>
      </c>
      <c r="I7124" t="s">
        <v>14597</v>
      </c>
      <c r="J7124" s="34" t="s">
        <v>26</v>
      </c>
      <c r="K7124" s="77">
        <v>19.743749999999999</v>
      </c>
      <c r="L7124" s="12">
        <f t="shared" si="584"/>
        <v>42.778124999999996</v>
      </c>
      <c r="M7124" s="106">
        <v>1</v>
      </c>
      <c r="N7124" s="106" t="s">
        <v>27</v>
      </c>
      <c r="O7124" s="78"/>
      <c r="P7124" s="107">
        <v>0.3</v>
      </c>
      <c r="Q7124" s="108">
        <v>0.4</v>
      </c>
      <c r="R7124" s="45" t="str">
        <f t="shared" si="585"/>
        <v>HOFFLIGHTS</v>
      </c>
    </row>
    <row r="7125" spans="1:18" customFormat="1" ht="27" customHeight="1" x14ac:dyDescent="0.25">
      <c r="A7125" s="105" t="s">
        <v>13983</v>
      </c>
      <c r="H7125" t="s">
        <v>14598</v>
      </c>
      <c r="I7125" t="s">
        <v>14599</v>
      </c>
      <c r="J7125" s="34" t="s">
        <v>26</v>
      </c>
      <c r="K7125" s="77">
        <v>19.743749999999999</v>
      </c>
      <c r="L7125" s="12">
        <f t="shared" si="584"/>
        <v>42.778124999999996</v>
      </c>
      <c r="M7125" s="106">
        <v>1</v>
      </c>
      <c r="N7125" s="106" t="s">
        <v>27</v>
      </c>
      <c r="O7125" s="78"/>
      <c r="P7125" s="107">
        <v>0.3</v>
      </c>
      <c r="Q7125" s="108">
        <v>0.4</v>
      </c>
      <c r="R7125" s="45" t="str">
        <f t="shared" si="585"/>
        <v>HOFFLIGHTS</v>
      </c>
    </row>
    <row r="7126" spans="1:18" customFormat="1" ht="27" customHeight="1" x14ac:dyDescent="0.25">
      <c r="A7126" s="105" t="s">
        <v>13983</v>
      </c>
      <c r="H7126" t="s">
        <v>14600</v>
      </c>
      <c r="I7126" t="s">
        <v>14601</v>
      </c>
      <c r="J7126" s="34" t="s">
        <v>26</v>
      </c>
      <c r="K7126" s="77">
        <v>19.743749999999999</v>
      </c>
      <c r="L7126" s="12">
        <f t="shared" si="584"/>
        <v>42.778124999999996</v>
      </c>
      <c r="M7126" s="106">
        <v>1</v>
      </c>
      <c r="N7126" s="106" t="s">
        <v>27</v>
      </c>
      <c r="O7126" s="78"/>
      <c r="P7126" s="107">
        <v>0.3</v>
      </c>
      <c r="Q7126" s="108">
        <v>0.4</v>
      </c>
      <c r="R7126" s="45" t="str">
        <f t="shared" si="585"/>
        <v>HOFFLIGHTS</v>
      </c>
    </row>
    <row r="7127" spans="1:18" customFormat="1" ht="27" customHeight="1" x14ac:dyDescent="0.25">
      <c r="A7127" s="105" t="s">
        <v>13983</v>
      </c>
      <c r="H7127" t="s">
        <v>14602</v>
      </c>
      <c r="I7127" t="s">
        <v>14603</v>
      </c>
      <c r="J7127" s="34" t="s">
        <v>26</v>
      </c>
      <c r="K7127" s="77">
        <v>19.743749999999999</v>
      </c>
      <c r="L7127" s="12">
        <f t="shared" si="584"/>
        <v>42.778124999999996</v>
      </c>
      <c r="M7127" s="106">
        <v>1</v>
      </c>
      <c r="N7127" s="106" t="s">
        <v>27</v>
      </c>
      <c r="O7127" s="78"/>
      <c r="P7127" s="107">
        <v>0.3</v>
      </c>
      <c r="Q7127" s="108">
        <v>0.4</v>
      </c>
      <c r="R7127" s="45" t="str">
        <f t="shared" si="585"/>
        <v>HOFFLIGHTS</v>
      </c>
    </row>
    <row r="7128" spans="1:18" customFormat="1" ht="27" customHeight="1" x14ac:dyDescent="0.25">
      <c r="A7128" s="105" t="s">
        <v>13983</v>
      </c>
      <c r="H7128" t="s">
        <v>14604</v>
      </c>
      <c r="I7128" t="s">
        <v>14605</v>
      </c>
      <c r="J7128" s="34" t="s">
        <v>26</v>
      </c>
      <c r="K7128" s="77">
        <v>31.004999999999999</v>
      </c>
      <c r="L7128" s="12">
        <f t="shared" si="584"/>
        <v>67.177500000000009</v>
      </c>
      <c r="M7128" s="106">
        <v>1</v>
      </c>
      <c r="N7128" s="106" t="s">
        <v>27</v>
      </c>
      <c r="O7128" s="78"/>
      <c r="P7128" s="107">
        <v>0.3</v>
      </c>
      <c r="Q7128" s="108">
        <v>0.4</v>
      </c>
      <c r="R7128" s="45" t="str">
        <f t="shared" si="585"/>
        <v>HOFFLIGHTS</v>
      </c>
    </row>
    <row r="7129" spans="1:18" customFormat="1" ht="27" customHeight="1" x14ac:dyDescent="0.25">
      <c r="A7129" s="105" t="s">
        <v>13983</v>
      </c>
      <c r="H7129" t="s">
        <v>14606</v>
      </c>
      <c r="I7129" t="s">
        <v>14607</v>
      </c>
      <c r="J7129" s="34" t="s">
        <v>26</v>
      </c>
      <c r="K7129" s="77">
        <v>31.004999999999999</v>
      </c>
      <c r="L7129" s="12">
        <f t="shared" si="584"/>
        <v>67.177500000000009</v>
      </c>
      <c r="M7129" s="106">
        <v>1</v>
      </c>
      <c r="N7129" s="106" t="s">
        <v>27</v>
      </c>
      <c r="O7129" s="78"/>
      <c r="P7129" s="107">
        <v>0.3</v>
      </c>
      <c r="Q7129" s="108">
        <v>0.4</v>
      </c>
      <c r="R7129" s="45" t="str">
        <f t="shared" si="585"/>
        <v>HOFFLIGHTS</v>
      </c>
    </row>
    <row r="7130" spans="1:18" customFormat="1" ht="27" customHeight="1" x14ac:dyDescent="0.25">
      <c r="A7130" s="105" t="s">
        <v>13983</v>
      </c>
      <c r="H7130" t="s">
        <v>14608</v>
      </c>
      <c r="I7130" t="s">
        <v>14609</v>
      </c>
      <c r="J7130" s="34" t="s">
        <v>26</v>
      </c>
      <c r="K7130" s="77">
        <v>31.004999999999999</v>
      </c>
      <c r="L7130" s="12">
        <f t="shared" si="584"/>
        <v>67.177500000000009</v>
      </c>
      <c r="M7130" s="106">
        <v>1</v>
      </c>
      <c r="N7130" s="106" t="s">
        <v>27</v>
      </c>
      <c r="O7130" s="78"/>
      <c r="P7130" s="107">
        <v>0.3</v>
      </c>
      <c r="Q7130" s="108">
        <v>0.4</v>
      </c>
      <c r="R7130" s="45" t="str">
        <f t="shared" si="585"/>
        <v>HOFFLIGHTS</v>
      </c>
    </row>
    <row r="7131" spans="1:18" customFormat="1" ht="27" customHeight="1" x14ac:dyDescent="0.25">
      <c r="A7131" s="105" t="s">
        <v>13983</v>
      </c>
      <c r="H7131" t="s">
        <v>14610</v>
      </c>
      <c r="I7131" t="s">
        <v>14611</v>
      </c>
      <c r="J7131" s="34" t="s">
        <v>26</v>
      </c>
      <c r="K7131" s="77">
        <v>31.004999999999999</v>
      </c>
      <c r="L7131" s="12">
        <f t="shared" si="584"/>
        <v>67.177500000000009</v>
      </c>
      <c r="M7131" s="106">
        <v>1</v>
      </c>
      <c r="N7131" s="106" t="s">
        <v>27</v>
      </c>
      <c r="O7131" s="78"/>
      <c r="P7131" s="107">
        <v>0.3</v>
      </c>
      <c r="Q7131" s="108">
        <v>0.4</v>
      </c>
      <c r="R7131" s="45" t="str">
        <f t="shared" si="585"/>
        <v>HOFFLIGHTS</v>
      </c>
    </row>
    <row r="7132" spans="1:18" customFormat="1" ht="27" customHeight="1" x14ac:dyDescent="0.25">
      <c r="A7132" s="105" t="s">
        <v>13983</v>
      </c>
      <c r="H7132" t="s">
        <v>14612</v>
      </c>
      <c r="I7132" t="s">
        <v>14613</v>
      </c>
      <c r="J7132" s="34" t="s">
        <v>26</v>
      </c>
      <c r="K7132" s="77">
        <v>38.902500000000003</v>
      </c>
      <c r="L7132" s="12">
        <f t="shared" si="584"/>
        <v>84.288750000000022</v>
      </c>
      <c r="M7132" s="106">
        <v>1</v>
      </c>
      <c r="N7132" s="106" t="s">
        <v>27</v>
      </c>
      <c r="O7132" s="78"/>
      <c r="P7132" s="107">
        <v>0.3</v>
      </c>
      <c r="Q7132" s="108">
        <v>0.4</v>
      </c>
      <c r="R7132" s="45" t="str">
        <f t="shared" si="585"/>
        <v>HOFFLIGHTS</v>
      </c>
    </row>
    <row r="7133" spans="1:18" customFormat="1" ht="27" customHeight="1" x14ac:dyDescent="0.25">
      <c r="A7133" s="105" t="s">
        <v>13983</v>
      </c>
      <c r="H7133" t="s">
        <v>14614</v>
      </c>
      <c r="I7133" t="s">
        <v>14615</v>
      </c>
      <c r="J7133" s="34" t="s">
        <v>26</v>
      </c>
      <c r="K7133" s="77">
        <v>38.902500000000003</v>
      </c>
      <c r="L7133" s="12">
        <f t="shared" si="584"/>
        <v>84.288750000000022</v>
      </c>
      <c r="M7133" s="106">
        <v>1</v>
      </c>
      <c r="N7133" s="106" t="s">
        <v>27</v>
      </c>
      <c r="O7133" s="78"/>
      <c r="P7133" s="107">
        <v>0.3</v>
      </c>
      <c r="Q7133" s="108">
        <v>0.4</v>
      </c>
      <c r="R7133" s="45" t="str">
        <f t="shared" si="585"/>
        <v>HOFFLIGHTS</v>
      </c>
    </row>
    <row r="7134" spans="1:18" customFormat="1" ht="27" customHeight="1" x14ac:dyDescent="0.25">
      <c r="A7134" s="105" t="s">
        <v>13983</v>
      </c>
      <c r="H7134" t="s">
        <v>14616</v>
      </c>
      <c r="I7134" t="s">
        <v>14617</v>
      </c>
      <c r="J7134" s="34" t="s">
        <v>26</v>
      </c>
      <c r="K7134" s="77">
        <v>12.43125</v>
      </c>
      <c r="L7134" s="12">
        <f t="shared" si="584"/>
        <v>26.934374999999999</v>
      </c>
      <c r="M7134" s="106">
        <v>1</v>
      </c>
      <c r="N7134" s="106" t="s">
        <v>27</v>
      </c>
      <c r="O7134" s="78"/>
      <c r="P7134" s="107">
        <v>0.3</v>
      </c>
      <c r="Q7134" s="108">
        <v>0.4</v>
      </c>
      <c r="R7134" s="45" t="str">
        <f t="shared" si="585"/>
        <v>HOFFLIGHTS</v>
      </c>
    </row>
    <row r="7135" spans="1:18" customFormat="1" ht="27" customHeight="1" x14ac:dyDescent="0.25">
      <c r="A7135" s="105" t="s">
        <v>13983</v>
      </c>
      <c r="H7135" t="s">
        <v>14618</v>
      </c>
      <c r="I7135" t="s">
        <v>14619</v>
      </c>
      <c r="J7135" s="34" t="s">
        <v>26</v>
      </c>
      <c r="K7135" s="77">
        <v>12.43125</v>
      </c>
      <c r="L7135" s="12">
        <f t="shared" si="584"/>
        <v>26.934374999999999</v>
      </c>
      <c r="M7135" s="106">
        <v>1</v>
      </c>
      <c r="N7135" s="106" t="s">
        <v>27</v>
      </c>
      <c r="O7135" s="78"/>
      <c r="P7135" s="107">
        <v>0.3</v>
      </c>
      <c r="Q7135" s="108">
        <v>0.4</v>
      </c>
      <c r="R7135" s="45" t="str">
        <f t="shared" si="585"/>
        <v>HOFFLIGHTS</v>
      </c>
    </row>
    <row r="7136" spans="1:18" customFormat="1" ht="27" customHeight="1" x14ac:dyDescent="0.25">
      <c r="A7136" s="105" t="s">
        <v>13983</v>
      </c>
      <c r="H7136" t="s">
        <v>14620</v>
      </c>
      <c r="I7136" t="s">
        <v>14621</v>
      </c>
      <c r="J7136" s="34" t="s">
        <v>26</v>
      </c>
      <c r="K7136" s="77">
        <v>13.455</v>
      </c>
      <c r="L7136" s="12">
        <f t="shared" si="584"/>
        <v>29.152500000000003</v>
      </c>
      <c r="M7136" s="106">
        <v>1</v>
      </c>
      <c r="N7136" s="106" t="s">
        <v>27</v>
      </c>
      <c r="O7136" s="78"/>
      <c r="P7136" s="107">
        <v>0.3</v>
      </c>
      <c r="Q7136" s="108">
        <v>0.4</v>
      </c>
      <c r="R7136" s="45" t="str">
        <f t="shared" si="585"/>
        <v>HOFFLIGHTS</v>
      </c>
    </row>
    <row r="7137" spans="1:18" customFormat="1" ht="27" customHeight="1" x14ac:dyDescent="0.25">
      <c r="A7137" s="105" t="s">
        <v>13983</v>
      </c>
      <c r="H7137" t="s">
        <v>14622</v>
      </c>
      <c r="I7137" t="s">
        <v>14623</v>
      </c>
      <c r="J7137" s="34" t="s">
        <v>26</v>
      </c>
      <c r="K7137" s="77">
        <v>13.455</v>
      </c>
      <c r="L7137" s="12">
        <f t="shared" si="584"/>
        <v>29.152500000000003</v>
      </c>
      <c r="M7137" s="106">
        <v>1</v>
      </c>
      <c r="N7137" s="106" t="s">
        <v>27</v>
      </c>
      <c r="O7137" s="78"/>
      <c r="P7137" s="107">
        <v>0.3</v>
      </c>
      <c r="Q7137" s="108">
        <v>0.4</v>
      </c>
      <c r="R7137" s="45" t="str">
        <f t="shared" si="585"/>
        <v>HOFFLIGHTS</v>
      </c>
    </row>
    <row r="7138" spans="1:18" customFormat="1" ht="27" customHeight="1" x14ac:dyDescent="0.25">
      <c r="A7138" s="105" t="s">
        <v>13983</v>
      </c>
      <c r="H7138" t="s">
        <v>14624</v>
      </c>
      <c r="I7138" t="s">
        <v>14625</v>
      </c>
      <c r="J7138" s="34" t="s">
        <v>26</v>
      </c>
      <c r="K7138" s="77">
        <v>124.605</v>
      </c>
      <c r="L7138" s="12">
        <f t="shared" si="584"/>
        <v>269.97750000000002</v>
      </c>
      <c r="M7138" s="106">
        <v>1</v>
      </c>
      <c r="N7138" s="106" t="s">
        <v>27</v>
      </c>
      <c r="O7138" s="78"/>
      <c r="P7138" s="107">
        <v>0.3</v>
      </c>
      <c r="Q7138" s="108">
        <v>0.4</v>
      </c>
      <c r="R7138" s="45" t="str">
        <f t="shared" si="585"/>
        <v>HOFFLIGHTS</v>
      </c>
    </row>
    <row r="7139" spans="1:18" customFormat="1" ht="27" customHeight="1" x14ac:dyDescent="0.25">
      <c r="A7139" s="105" t="s">
        <v>13983</v>
      </c>
      <c r="H7139" t="s">
        <v>14626</v>
      </c>
      <c r="I7139" t="s">
        <v>14627</v>
      </c>
      <c r="J7139" s="34" t="s">
        <v>26</v>
      </c>
      <c r="K7139" s="77">
        <v>124.605</v>
      </c>
      <c r="L7139" s="12">
        <f t="shared" si="584"/>
        <v>269.97750000000002</v>
      </c>
      <c r="M7139" s="106">
        <v>1</v>
      </c>
      <c r="N7139" s="106" t="s">
        <v>27</v>
      </c>
      <c r="O7139" s="78"/>
      <c r="P7139" s="107">
        <v>0.3</v>
      </c>
      <c r="Q7139" s="108">
        <v>0.4</v>
      </c>
      <c r="R7139" s="45" t="str">
        <f t="shared" si="585"/>
        <v>HOFFLIGHTS</v>
      </c>
    </row>
    <row r="7140" spans="1:18" customFormat="1" ht="27" customHeight="1" x14ac:dyDescent="0.25">
      <c r="A7140" s="105" t="s">
        <v>13983</v>
      </c>
      <c r="H7140" t="s">
        <v>14554</v>
      </c>
      <c r="I7140" t="s">
        <v>14555</v>
      </c>
      <c r="J7140" s="34" t="s">
        <v>26</v>
      </c>
      <c r="K7140" s="77">
        <v>1.9890000000000001</v>
      </c>
      <c r="L7140" s="12">
        <f t="shared" si="584"/>
        <v>4.3095000000000008</v>
      </c>
      <c r="M7140" s="106">
        <v>1</v>
      </c>
      <c r="N7140" s="106" t="s">
        <v>27</v>
      </c>
      <c r="O7140" s="78"/>
      <c r="P7140" s="107">
        <v>0.3</v>
      </c>
      <c r="Q7140" s="108">
        <v>0.4</v>
      </c>
      <c r="R7140" s="45" t="str">
        <f t="shared" si="585"/>
        <v>HOFFLIGHTS</v>
      </c>
    </row>
    <row r="7141" spans="1:18" customFormat="1" ht="27" customHeight="1" x14ac:dyDescent="0.25">
      <c r="A7141" s="105" t="s">
        <v>13983</v>
      </c>
      <c r="H7141" t="s">
        <v>14628</v>
      </c>
      <c r="I7141" t="s">
        <v>14629</v>
      </c>
      <c r="J7141" s="34" t="s">
        <v>26</v>
      </c>
      <c r="K7141" s="77">
        <v>133.38</v>
      </c>
      <c r="L7141" s="12">
        <f t="shared" si="584"/>
        <v>288.99</v>
      </c>
      <c r="M7141" s="106">
        <v>1</v>
      </c>
      <c r="N7141" s="106" t="s">
        <v>27</v>
      </c>
      <c r="O7141" s="78"/>
      <c r="P7141" s="107">
        <v>0.3</v>
      </c>
      <c r="Q7141" s="108">
        <v>0.4</v>
      </c>
      <c r="R7141" s="45" t="str">
        <f t="shared" si="585"/>
        <v>HOFFLIGHTS</v>
      </c>
    </row>
    <row r="7142" spans="1:18" customFormat="1" ht="27" customHeight="1" x14ac:dyDescent="0.25">
      <c r="A7142" s="105" t="s">
        <v>13983</v>
      </c>
      <c r="H7142" t="s">
        <v>14630</v>
      </c>
      <c r="I7142" t="s">
        <v>14631</v>
      </c>
      <c r="J7142" s="34" t="s">
        <v>26</v>
      </c>
      <c r="K7142" s="77">
        <v>133.38</v>
      </c>
      <c r="L7142" s="12">
        <f t="shared" si="584"/>
        <v>288.99</v>
      </c>
      <c r="M7142" s="106">
        <v>1</v>
      </c>
      <c r="N7142" s="106" t="s">
        <v>27</v>
      </c>
      <c r="O7142" s="78"/>
      <c r="P7142" s="107">
        <v>0.3</v>
      </c>
      <c r="Q7142" s="108">
        <v>0.4</v>
      </c>
      <c r="R7142" s="45" t="str">
        <f t="shared" si="585"/>
        <v>HOFFLIGHTS</v>
      </c>
    </row>
    <row r="7143" spans="1:18" customFormat="1" ht="27" customHeight="1" x14ac:dyDescent="0.25">
      <c r="A7143" s="105" t="s">
        <v>13983</v>
      </c>
      <c r="H7143" t="s">
        <v>14632</v>
      </c>
      <c r="I7143" t="s">
        <v>14633</v>
      </c>
      <c r="J7143" s="34" t="s">
        <v>26</v>
      </c>
      <c r="K7143" s="77">
        <v>108.22499999999999</v>
      </c>
      <c r="L7143" s="12">
        <f t="shared" si="584"/>
        <v>234.48750000000001</v>
      </c>
      <c r="M7143" s="106">
        <v>1</v>
      </c>
      <c r="N7143" s="106" t="s">
        <v>27</v>
      </c>
      <c r="O7143" s="78"/>
      <c r="P7143" s="107">
        <v>0.3</v>
      </c>
      <c r="Q7143" s="108">
        <v>0.4</v>
      </c>
      <c r="R7143" s="45" t="str">
        <f t="shared" si="585"/>
        <v>HOFFLIGHTS</v>
      </c>
    </row>
    <row r="7144" spans="1:18" customFormat="1" ht="27" customHeight="1" x14ac:dyDescent="0.25">
      <c r="A7144" s="105" t="s">
        <v>13983</v>
      </c>
      <c r="H7144" t="s">
        <v>14634</v>
      </c>
      <c r="I7144" t="s">
        <v>14635</v>
      </c>
      <c r="J7144" s="34" t="s">
        <v>26</v>
      </c>
      <c r="K7144" s="77">
        <v>108.22499999999999</v>
      </c>
      <c r="L7144" s="12">
        <f t="shared" si="584"/>
        <v>234.48750000000001</v>
      </c>
      <c r="M7144" s="106">
        <v>1</v>
      </c>
      <c r="N7144" s="106" t="s">
        <v>27</v>
      </c>
      <c r="O7144" s="78"/>
      <c r="P7144" s="107">
        <v>0.3</v>
      </c>
      <c r="Q7144" s="108">
        <v>0.4</v>
      </c>
      <c r="R7144" s="45" t="str">
        <f t="shared" si="585"/>
        <v>HOFFLIGHTS</v>
      </c>
    </row>
    <row r="7145" spans="1:18" customFormat="1" ht="27" customHeight="1" x14ac:dyDescent="0.25">
      <c r="A7145" s="105" t="s">
        <v>13983</v>
      </c>
      <c r="H7145" t="s">
        <v>14636</v>
      </c>
      <c r="I7145" t="s">
        <v>14637</v>
      </c>
      <c r="J7145" s="34" t="s">
        <v>26</v>
      </c>
      <c r="K7145" s="77">
        <v>5.1187499999999986</v>
      </c>
      <c r="L7145" s="12">
        <f t="shared" si="584"/>
        <v>11.090624999999998</v>
      </c>
      <c r="M7145" s="106">
        <v>1</v>
      </c>
      <c r="N7145" s="106" t="s">
        <v>27</v>
      </c>
      <c r="O7145" s="78"/>
      <c r="P7145" s="107">
        <v>0.3</v>
      </c>
      <c r="Q7145" s="108">
        <v>0.4</v>
      </c>
      <c r="R7145" s="45" t="str">
        <f t="shared" si="585"/>
        <v>HOFFLIGHTS</v>
      </c>
    </row>
    <row r="7146" spans="1:18" customFormat="1" ht="27" customHeight="1" x14ac:dyDescent="0.25">
      <c r="A7146" s="105" t="s">
        <v>13983</v>
      </c>
      <c r="H7146" t="s">
        <v>14638</v>
      </c>
      <c r="I7146" t="s">
        <v>14639</v>
      </c>
      <c r="J7146" s="34" t="s">
        <v>26</v>
      </c>
      <c r="K7146" s="77">
        <v>5.1187499999999986</v>
      </c>
      <c r="L7146" s="12">
        <f t="shared" ref="L7146:L7209" si="586">K7146*(1+P7146)/(1-Q7146)</f>
        <v>11.090624999999998</v>
      </c>
      <c r="M7146" s="106">
        <v>1</v>
      </c>
      <c r="N7146" s="106" t="s">
        <v>27</v>
      </c>
      <c r="O7146" s="78"/>
      <c r="P7146" s="107">
        <v>0.3</v>
      </c>
      <c r="Q7146" s="108">
        <v>0.4</v>
      </c>
      <c r="R7146" s="45" t="str">
        <f t="shared" si="585"/>
        <v>HOFFLIGHTS</v>
      </c>
    </row>
    <row r="7147" spans="1:18" customFormat="1" ht="27" customHeight="1" x14ac:dyDescent="0.25">
      <c r="A7147" s="105" t="s">
        <v>13983</v>
      </c>
      <c r="H7147" t="s">
        <v>14640</v>
      </c>
      <c r="I7147" t="s">
        <v>14641</v>
      </c>
      <c r="J7147" s="34" t="s">
        <v>26</v>
      </c>
      <c r="K7147" s="77">
        <v>2.3692500000000001</v>
      </c>
      <c r="L7147" s="12">
        <f t="shared" si="586"/>
        <v>5.133375</v>
      </c>
      <c r="M7147" s="106">
        <v>1</v>
      </c>
      <c r="N7147" s="106" t="s">
        <v>27</v>
      </c>
      <c r="O7147" s="78"/>
      <c r="P7147" s="107">
        <v>0.3</v>
      </c>
      <c r="Q7147" s="108">
        <v>0.4</v>
      </c>
      <c r="R7147" s="45" t="str">
        <f t="shared" si="585"/>
        <v>HOFFLIGHTS</v>
      </c>
    </row>
    <row r="7148" spans="1:18" customFormat="1" ht="27" customHeight="1" x14ac:dyDescent="0.25">
      <c r="A7148" s="105" t="s">
        <v>13983</v>
      </c>
      <c r="H7148" t="s">
        <v>14642</v>
      </c>
      <c r="I7148" t="s">
        <v>14643</v>
      </c>
      <c r="J7148" s="34" t="s">
        <v>26</v>
      </c>
      <c r="K7148" s="77">
        <v>58.441499999999998</v>
      </c>
      <c r="L7148" s="12">
        <f t="shared" si="586"/>
        <v>126.62325000000001</v>
      </c>
      <c r="M7148" s="106">
        <v>1</v>
      </c>
      <c r="N7148" s="106" t="s">
        <v>27</v>
      </c>
      <c r="O7148" s="78"/>
      <c r="P7148" s="107">
        <v>0.3</v>
      </c>
      <c r="Q7148" s="108">
        <v>0.4</v>
      </c>
      <c r="R7148" s="45" t="str">
        <f t="shared" si="585"/>
        <v>HOFFLIGHTS</v>
      </c>
    </row>
    <row r="7149" spans="1:18" customFormat="1" ht="27" customHeight="1" x14ac:dyDescent="0.25">
      <c r="A7149" s="105" t="s">
        <v>13983</v>
      </c>
      <c r="H7149" t="s">
        <v>14644</v>
      </c>
      <c r="I7149" t="s">
        <v>14645</v>
      </c>
      <c r="J7149" s="34" t="s">
        <v>26</v>
      </c>
      <c r="K7149" s="77">
        <v>58.441499999999998</v>
      </c>
      <c r="L7149" s="12">
        <f t="shared" si="586"/>
        <v>126.62325000000001</v>
      </c>
      <c r="M7149" s="106">
        <v>1</v>
      </c>
      <c r="N7149" s="106" t="s">
        <v>27</v>
      </c>
      <c r="O7149" s="78"/>
      <c r="P7149" s="107">
        <v>0.3</v>
      </c>
      <c r="Q7149" s="108">
        <v>0.4</v>
      </c>
      <c r="R7149" s="45" t="str">
        <f t="shared" si="585"/>
        <v>HOFFLIGHTS</v>
      </c>
    </row>
    <row r="7150" spans="1:18" customFormat="1" ht="27" customHeight="1" x14ac:dyDescent="0.25">
      <c r="A7150" s="105" t="s">
        <v>13983</v>
      </c>
      <c r="H7150" t="s">
        <v>14646</v>
      </c>
      <c r="I7150" t="s">
        <v>14647</v>
      </c>
      <c r="J7150" s="34" t="s">
        <v>26</v>
      </c>
      <c r="K7150" s="77">
        <v>85.99499999999999</v>
      </c>
      <c r="L7150" s="12">
        <f t="shared" si="586"/>
        <v>186.32249999999999</v>
      </c>
      <c r="M7150" s="106">
        <v>1</v>
      </c>
      <c r="N7150" s="106" t="s">
        <v>27</v>
      </c>
      <c r="O7150" s="78"/>
      <c r="P7150" s="107">
        <v>0.3</v>
      </c>
      <c r="Q7150" s="108">
        <v>0.4</v>
      </c>
      <c r="R7150" s="45" t="str">
        <f t="shared" si="585"/>
        <v>HOFFLIGHTS</v>
      </c>
    </row>
    <row r="7151" spans="1:18" customFormat="1" ht="27" customHeight="1" x14ac:dyDescent="0.25">
      <c r="A7151" s="105" t="s">
        <v>13983</v>
      </c>
      <c r="H7151" t="s">
        <v>14648</v>
      </c>
      <c r="I7151" t="s">
        <v>14649</v>
      </c>
      <c r="J7151" s="34" t="s">
        <v>26</v>
      </c>
      <c r="K7151" s="77">
        <v>85.99499999999999</v>
      </c>
      <c r="L7151" s="12">
        <f t="shared" si="586"/>
        <v>186.32249999999999</v>
      </c>
      <c r="M7151" s="106">
        <v>1</v>
      </c>
      <c r="N7151" s="106" t="s">
        <v>27</v>
      </c>
      <c r="O7151" s="78"/>
      <c r="P7151" s="107">
        <v>0.3</v>
      </c>
      <c r="Q7151" s="108">
        <v>0.4</v>
      </c>
      <c r="R7151" s="45" t="str">
        <f t="shared" si="585"/>
        <v>HOFFLIGHTS</v>
      </c>
    </row>
    <row r="7152" spans="1:18" customFormat="1" ht="27" customHeight="1" x14ac:dyDescent="0.25">
      <c r="A7152" s="105" t="s">
        <v>13983</v>
      </c>
      <c r="H7152" t="s">
        <v>14650</v>
      </c>
      <c r="I7152" t="s">
        <v>14651</v>
      </c>
      <c r="J7152" s="34" t="s">
        <v>26</v>
      </c>
      <c r="K7152" s="77">
        <v>13.7475</v>
      </c>
      <c r="L7152" s="12">
        <f t="shared" si="586"/>
        <v>29.786250000000006</v>
      </c>
      <c r="M7152" s="106">
        <v>1</v>
      </c>
      <c r="N7152" s="106" t="s">
        <v>27</v>
      </c>
      <c r="O7152" s="78"/>
      <c r="P7152" s="107">
        <v>0.3</v>
      </c>
      <c r="Q7152" s="108">
        <v>0.4</v>
      </c>
      <c r="R7152" s="45" t="str">
        <f t="shared" si="585"/>
        <v>HOFFLIGHTS</v>
      </c>
    </row>
    <row r="7153" spans="1:18" customFormat="1" ht="27" customHeight="1" x14ac:dyDescent="0.25">
      <c r="A7153" s="105" t="s">
        <v>13983</v>
      </c>
      <c r="H7153" t="s">
        <v>14652</v>
      </c>
      <c r="I7153" t="s">
        <v>14653</v>
      </c>
      <c r="J7153" s="34" t="s">
        <v>26</v>
      </c>
      <c r="K7153" s="77">
        <v>13.7475</v>
      </c>
      <c r="L7153" s="12">
        <f t="shared" si="586"/>
        <v>29.786250000000006</v>
      </c>
      <c r="M7153" s="106">
        <v>1</v>
      </c>
      <c r="N7153" s="106" t="s">
        <v>27</v>
      </c>
      <c r="O7153" s="78"/>
      <c r="P7153" s="107">
        <v>0.3</v>
      </c>
      <c r="Q7153" s="108">
        <v>0.4</v>
      </c>
      <c r="R7153" s="45" t="str">
        <f t="shared" si="585"/>
        <v>HOFFLIGHTS</v>
      </c>
    </row>
    <row r="7154" spans="1:18" customFormat="1" ht="27" customHeight="1" x14ac:dyDescent="0.25">
      <c r="A7154" s="105" t="s">
        <v>13983</v>
      </c>
      <c r="H7154" t="s">
        <v>14654</v>
      </c>
      <c r="I7154" t="s">
        <v>14655</v>
      </c>
      <c r="J7154" s="34" t="s">
        <v>26</v>
      </c>
      <c r="K7154" s="77">
        <v>13.7475</v>
      </c>
      <c r="L7154" s="12">
        <f t="shared" si="586"/>
        <v>29.786250000000006</v>
      </c>
      <c r="M7154" s="106">
        <v>1</v>
      </c>
      <c r="N7154" s="106" t="s">
        <v>27</v>
      </c>
      <c r="O7154" s="78"/>
      <c r="P7154" s="107">
        <v>0.3</v>
      </c>
      <c r="Q7154" s="108">
        <v>0.4</v>
      </c>
      <c r="R7154" s="45" t="str">
        <f t="shared" si="585"/>
        <v>HOFFLIGHTS</v>
      </c>
    </row>
    <row r="7155" spans="1:18" customFormat="1" ht="27" customHeight="1" x14ac:dyDescent="0.25">
      <c r="A7155" s="105" t="s">
        <v>13983</v>
      </c>
      <c r="H7155" t="s">
        <v>14656</v>
      </c>
      <c r="I7155" t="s">
        <v>14657</v>
      </c>
      <c r="J7155" s="34" t="s">
        <v>26</v>
      </c>
      <c r="K7155" s="77">
        <v>13.7475</v>
      </c>
      <c r="L7155" s="12">
        <f t="shared" si="586"/>
        <v>29.786250000000006</v>
      </c>
      <c r="M7155" s="106">
        <v>1</v>
      </c>
      <c r="N7155" s="106" t="s">
        <v>27</v>
      </c>
      <c r="O7155" s="78"/>
      <c r="P7155" s="107">
        <v>0.3</v>
      </c>
      <c r="Q7155" s="108">
        <v>0.4</v>
      </c>
      <c r="R7155" s="45" t="str">
        <f t="shared" si="585"/>
        <v>HOFFLIGHTS</v>
      </c>
    </row>
    <row r="7156" spans="1:18" customFormat="1" ht="27" customHeight="1" x14ac:dyDescent="0.25">
      <c r="A7156" s="105" t="s">
        <v>13983</v>
      </c>
      <c r="H7156" t="s">
        <v>14584</v>
      </c>
      <c r="I7156" t="s">
        <v>14585</v>
      </c>
      <c r="J7156" s="34" t="s">
        <v>26</v>
      </c>
      <c r="K7156" s="77">
        <v>1.4039999999999999</v>
      </c>
      <c r="L7156" s="12">
        <f t="shared" si="586"/>
        <v>3.0419999999999998</v>
      </c>
      <c r="M7156" s="106">
        <v>1</v>
      </c>
      <c r="N7156" s="106" t="s">
        <v>27</v>
      </c>
      <c r="O7156" s="78"/>
      <c r="P7156" s="107">
        <v>0.3</v>
      </c>
      <c r="Q7156" s="108">
        <v>0.4</v>
      </c>
      <c r="R7156" s="45" t="str">
        <f t="shared" si="585"/>
        <v>HOFFLIGHTS</v>
      </c>
    </row>
    <row r="7157" spans="1:18" customFormat="1" ht="27" customHeight="1" x14ac:dyDescent="0.25">
      <c r="A7157" s="105" t="s">
        <v>13983</v>
      </c>
      <c r="H7157" t="s">
        <v>14586</v>
      </c>
      <c r="I7157" t="s">
        <v>14587</v>
      </c>
      <c r="J7157" s="34" t="s">
        <v>26</v>
      </c>
      <c r="K7157" s="77">
        <v>1.4039999999999999</v>
      </c>
      <c r="L7157" s="12">
        <f t="shared" si="586"/>
        <v>3.0419999999999998</v>
      </c>
      <c r="M7157" s="106">
        <v>1</v>
      </c>
      <c r="N7157" s="106" t="s">
        <v>27</v>
      </c>
      <c r="O7157" s="78"/>
      <c r="P7157" s="107">
        <v>0.3</v>
      </c>
      <c r="Q7157" s="108">
        <v>0.4</v>
      </c>
      <c r="R7157" s="45" t="str">
        <f t="shared" si="585"/>
        <v>HOFFLIGHTS</v>
      </c>
    </row>
    <row r="7158" spans="1:18" customFormat="1" ht="27" customHeight="1" x14ac:dyDescent="0.25">
      <c r="A7158" s="105" t="s">
        <v>13983</v>
      </c>
      <c r="H7158" t="s">
        <v>14658</v>
      </c>
      <c r="I7158" t="s">
        <v>14659</v>
      </c>
      <c r="J7158" s="34" t="s">
        <v>26</v>
      </c>
      <c r="K7158" s="77">
        <v>9.5939999999999994</v>
      </c>
      <c r="L7158" s="12">
        <f t="shared" si="586"/>
        <v>20.786999999999999</v>
      </c>
      <c r="M7158" s="106">
        <v>1</v>
      </c>
      <c r="N7158" s="106" t="s">
        <v>27</v>
      </c>
      <c r="O7158" s="78"/>
      <c r="P7158" s="107">
        <v>0.3</v>
      </c>
      <c r="Q7158" s="108">
        <v>0.4</v>
      </c>
      <c r="R7158" s="45" t="str">
        <f t="shared" si="585"/>
        <v>HOFFLIGHTS</v>
      </c>
    </row>
    <row r="7159" spans="1:18" customFormat="1" ht="27" customHeight="1" x14ac:dyDescent="0.25">
      <c r="A7159" s="105" t="s">
        <v>13983</v>
      </c>
      <c r="H7159" t="s">
        <v>14660</v>
      </c>
      <c r="I7159" t="s">
        <v>14661</v>
      </c>
      <c r="J7159" s="34" t="s">
        <v>26</v>
      </c>
      <c r="K7159" s="77">
        <v>9.5939999999999994</v>
      </c>
      <c r="L7159" s="12">
        <f t="shared" si="586"/>
        <v>20.786999999999999</v>
      </c>
      <c r="M7159" s="106">
        <v>1</v>
      </c>
      <c r="N7159" s="106" t="s">
        <v>27</v>
      </c>
      <c r="O7159" s="78"/>
      <c r="P7159" s="107">
        <v>0.3</v>
      </c>
      <c r="Q7159" s="108">
        <v>0.4</v>
      </c>
      <c r="R7159" s="45" t="str">
        <f t="shared" si="585"/>
        <v>HOFFLIGHTS</v>
      </c>
    </row>
    <row r="7160" spans="1:18" customFormat="1" ht="27" customHeight="1" x14ac:dyDescent="0.25">
      <c r="A7160" s="105" t="s">
        <v>13983</v>
      </c>
      <c r="H7160" t="s">
        <v>14662</v>
      </c>
      <c r="I7160" t="s">
        <v>14663</v>
      </c>
      <c r="J7160" s="34" t="s">
        <v>26</v>
      </c>
      <c r="K7160" s="77">
        <v>26.91</v>
      </c>
      <c r="L7160" s="12">
        <f t="shared" si="586"/>
        <v>58.305000000000007</v>
      </c>
      <c r="M7160" s="106">
        <v>1</v>
      </c>
      <c r="N7160" s="106" t="s">
        <v>27</v>
      </c>
      <c r="O7160" s="78"/>
      <c r="P7160" s="107">
        <v>0.3</v>
      </c>
      <c r="Q7160" s="108">
        <v>0.4</v>
      </c>
      <c r="R7160" s="45" t="str">
        <f t="shared" si="585"/>
        <v>HOFFLIGHTS</v>
      </c>
    </row>
    <row r="7161" spans="1:18" customFormat="1" ht="27" customHeight="1" x14ac:dyDescent="0.25">
      <c r="A7161" s="105" t="s">
        <v>13983</v>
      </c>
      <c r="H7161" t="s">
        <v>14664</v>
      </c>
      <c r="I7161" t="s">
        <v>14665</v>
      </c>
      <c r="J7161" s="34" t="s">
        <v>26</v>
      </c>
      <c r="K7161" s="77">
        <v>26.91</v>
      </c>
      <c r="L7161" s="12">
        <f t="shared" si="586"/>
        <v>58.305000000000007</v>
      </c>
      <c r="M7161" s="106">
        <v>1</v>
      </c>
      <c r="N7161" s="106" t="s">
        <v>27</v>
      </c>
      <c r="O7161" s="78"/>
      <c r="P7161" s="107">
        <v>0.3</v>
      </c>
      <c r="Q7161" s="108">
        <v>0.4</v>
      </c>
      <c r="R7161" s="45" t="str">
        <f t="shared" si="585"/>
        <v>HOFFLIGHTS</v>
      </c>
    </row>
    <row r="7162" spans="1:18" customFormat="1" ht="27" customHeight="1" x14ac:dyDescent="0.25">
      <c r="A7162" s="105" t="s">
        <v>13983</v>
      </c>
      <c r="H7162" t="s">
        <v>14666</v>
      </c>
      <c r="I7162" t="s">
        <v>14667</v>
      </c>
      <c r="J7162" s="34" t="s">
        <v>26</v>
      </c>
      <c r="K7162" s="77">
        <v>28.08</v>
      </c>
      <c r="L7162" s="12">
        <f t="shared" si="586"/>
        <v>60.839999999999996</v>
      </c>
      <c r="M7162" s="106">
        <v>1</v>
      </c>
      <c r="N7162" s="106" t="s">
        <v>27</v>
      </c>
      <c r="O7162" s="78"/>
      <c r="P7162" s="107">
        <v>0.3</v>
      </c>
      <c r="Q7162" s="108">
        <v>0.4</v>
      </c>
      <c r="R7162" s="45" t="str">
        <f t="shared" si="585"/>
        <v>HOFFLIGHTS</v>
      </c>
    </row>
    <row r="7163" spans="1:18" customFormat="1" ht="27" customHeight="1" x14ac:dyDescent="0.25">
      <c r="A7163" s="105" t="s">
        <v>13983</v>
      </c>
      <c r="H7163" t="s">
        <v>14668</v>
      </c>
      <c r="I7163" t="s">
        <v>14669</v>
      </c>
      <c r="J7163" s="34" t="s">
        <v>26</v>
      </c>
      <c r="K7163" s="77">
        <v>28.08</v>
      </c>
      <c r="L7163" s="12">
        <f t="shared" si="586"/>
        <v>60.839999999999996</v>
      </c>
      <c r="M7163" s="106">
        <v>1</v>
      </c>
      <c r="N7163" s="106" t="s">
        <v>27</v>
      </c>
      <c r="O7163" s="78"/>
      <c r="P7163" s="107">
        <v>0.3</v>
      </c>
      <c r="Q7163" s="108">
        <v>0.4</v>
      </c>
      <c r="R7163" s="45" t="str">
        <f t="shared" si="585"/>
        <v>HOFFLIGHTS</v>
      </c>
    </row>
    <row r="7164" spans="1:18" customFormat="1" ht="27" customHeight="1" x14ac:dyDescent="0.25">
      <c r="A7164" s="105" t="s">
        <v>13983</v>
      </c>
      <c r="H7164" t="s">
        <v>14670</v>
      </c>
      <c r="I7164" t="s">
        <v>14671</v>
      </c>
      <c r="J7164" s="34" t="s">
        <v>26</v>
      </c>
      <c r="K7164" s="77">
        <v>28.08</v>
      </c>
      <c r="L7164" s="12">
        <f t="shared" si="586"/>
        <v>60.839999999999996</v>
      </c>
      <c r="M7164" s="106">
        <v>1</v>
      </c>
      <c r="N7164" s="106" t="s">
        <v>27</v>
      </c>
      <c r="O7164" s="78"/>
      <c r="P7164" s="107">
        <v>0.3</v>
      </c>
      <c r="Q7164" s="108">
        <v>0.4</v>
      </c>
      <c r="R7164" s="45" t="str">
        <f t="shared" si="585"/>
        <v>HOFFLIGHTS</v>
      </c>
    </row>
    <row r="7165" spans="1:18" customFormat="1" ht="27" customHeight="1" x14ac:dyDescent="0.25">
      <c r="A7165" s="105" t="s">
        <v>13983</v>
      </c>
      <c r="H7165" t="s">
        <v>14672</v>
      </c>
      <c r="I7165" t="s">
        <v>14673</v>
      </c>
      <c r="J7165" s="34" t="s">
        <v>26</v>
      </c>
      <c r="K7165" s="77">
        <v>28.08</v>
      </c>
      <c r="L7165" s="12">
        <f t="shared" si="586"/>
        <v>60.839999999999996</v>
      </c>
      <c r="M7165" s="106">
        <v>1</v>
      </c>
      <c r="N7165" s="106" t="s">
        <v>27</v>
      </c>
      <c r="O7165" s="78"/>
      <c r="P7165" s="107">
        <v>0.3</v>
      </c>
      <c r="Q7165" s="108">
        <v>0.4</v>
      </c>
      <c r="R7165" s="45" t="str">
        <f t="shared" si="585"/>
        <v>HOFFLIGHTS</v>
      </c>
    </row>
    <row r="7166" spans="1:18" customFormat="1" ht="27" customHeight="1" x14ac:dyDescent="0.25">
      <c r="A7166" s="105" t="s">
        <v>13983</v>
      </c>
      <c r="H7166" t="s">
        <v>14674</v>
      </c>
      <c r="I7166" t="s">
        <v>14675</v>
      </c>
      <c r="J7166" s="34" t="s">
        <v>26</v>
      </c>
      <c r="K7166" s="77">
        <v>42.704999999999998</v>
      </c>
      <c r="L7166" s="12">
        <f t="shared" si="586"/>
        <v>92.527500000000003</v>
      </c>
      <c r="M7166" s="106">
        <v>1</v>
      </c>
      <c r="N7166" s="106" t="s">
        <v>27</v>
      </c>
      <c r="O7166" s="78"/>
      <c r="P7166" s="107">
        <v>0.3</v>
      </c>
      <c r="Q7166" s="108">
        <v>0.4</v>
      </c>
      <c r="R7166" s="45" t="str">
        <f t="shared" ref="R7166:R7229" si="587">A7166</f>
        <v>HOFFLIGHTS</v>
      </c>
    </row>
    <row r="7167" spans="1:18" customFormat="1" ht="27" customHeight="1" x14ac:dyDescent="0.25">
      <c r="A7167" s="105" t="s">
        <v>13983</v>
      </c>
      <c r="H7167" t="s">
        <v>14676</v>
      </c>
      <c r="I7167" t="s">
        <v>14677</v>
      </c>
      <c r="J7167" s="34" t="s">
        <v>26</v>
      </c>
      <c r="K7167" s="77">
        <v>42.704999999999998</v>
      </c>
      <c r="L7167" s="12">
        <f t="shared" si="586"/>
        <v>92.527500000000003</v>
      </c>
      <c r="M7167" s="106">
        <v>1</v>
      </c>
      <c r="N7167" s="106" t="s">
        <v>27</v>
      </c>
      <c r="O7167" s="78"/>
      <c r="P7167" s="107">
        <v>0.3</v>
      </c>
      <c r="Q7167" s="108">
        <v>0.4</v>
      </c>
      <c r="R7167" s="45" t="str">
        <f t="shared" si="587"/>
        <v>HOFFLIGHTS</v>
      </c>
    </row>
    <row r="7168" spans="1:18" customFormat="1" ht="27" customHeight="1" x14ac:dyDescent="0.25">
      <c r="A7168" s="105" t="s">
        <v>13983</v>
      </c>
      <c r="H7168" t="s">
        <v>14678</v>
      </c>
      <c r="I7168" t="s">
        <v>14679</v>
      </c>
      <c r="J7168" s="34" t="s">
        <v>26</v>
      </c>
      <c r="K7168" s="77">
        <v>42.704999999999998</v>
      </c>
      <c r="L7168" s="12">
        <f t="shared" si="586"/>
        <v>92.527500000000003</v>
      </c>
      <c r="M7168" s="106">
        <v>1</v>
      </c>
      <c r="N7168" s="106" t="s">
        <v>27</v>
      </c>
      <c r="O7168" s="78"/>
      <c r="P7168" s="107">
        <v>0.3</v>
      </c>
      <c r="Q7168" s="108">
        <v>0.4</v>
      </c>
      <c r="R7168" s="45" t="str">
        <f t="shared" si="587"/>
        <v>HOFFLIGHTS</v>
      </c>
    </row>
    <row r="7169" spans="1:18" customFormat="1" ht="27" customHeight="1" x14ac:dyDescent="0.25">
      <c r="A7169" s="105" t="s">
        <v>13983</v>
      </c>
      <c r="H7169" t="s">
        <v>14680</v>
      </c>
      <c r="I7169" t="s">
        <v>14681</v>
      </c>
      <c r="J7169" s="34" t="s">
        <v>26</v>
      </c>
      <c r="K7169" s="77">
        <v>42.704999999999998</v>
      </c>
      <c r="L7169" s="12">
        <f t="shared" si="586"/>
        <v>92.527500000000003</v>
      </c>
      <c r="M7169" s="106">
        <v>1</v>
      </c>
      <c r="N7169" s="106" t="s">
        <v>27</v>
      </c>
      <c r="O7169" s="78"/>
      <c r="P7169" s="107">
        <v>0.3</v>
      </c>
      <c r="Q7169" s="108">
        <v>0.4</v>
      </c>
      <c r="R7169" s="45" t="str">
        <f t="shared" si="587"/>
        <v>HOFFLIGHTS</v>
      </c>
    </row>
    <row r="7170" spans="1:18" customFormat="1" ht="27" customHeight="1" x14ac:dyDescent="0.25">
      <c r="A7170" s="105" t="s">
        <v>13983</v>
      </c>
      <c r="H7170" t="s">
        <v>14682</v>
      </c>
      <c r="I7170" t="s">
        <v>14683</v>
      </c>
      <c r="J7170" s="34" t="s">
        <v>26</v>
      </c>
      <c r="K7170" s="77">
        <v>42.704999999999998</v>
      </c>
      <c r="L7170" s="12">
        <f t="shared" si="586"/>
        <v>92.527500000000003</v>
      </c>
      <c r="M7170" s="106">
        <v>1</v>
      </c>
      <c r="N7170" s="106" t="s">
        <v>27</v>
      </c>
      <c r="O7170" s="78"/>
      <c r="P7170" s="107">
        <v>0.3</v>
      </c>
      <c r="Q7170" s="108">
        <v>0.4</v>
      </c>
      <c r="R7170" s="45" t="str">
        <f t="shared" si="587"/>
        <v>HOFFLIGHTS</v>
      </c>
    </row>
    <row r="7171" spans="1:18" customFormat="1" ht="27" customHeight="1" x14ac:dyDescent="0.25">
      <c r="A7171" s="105" t="s">
        <v>13983</v>
      </c>
      <c r="H7171" t="s">
        <v>14684</v>
      </c>
      <c r="I7171" t="s">
        <v>14685</v>
      </c>
      <c r="J7171" s="34" t="s">
        <v>26</v>
      </c>
      <c r="K7171" s="77">
        <v>42.704999999999998</v>
      </c>
      <c r="L7171" s="12">
        <f t="shared" si="586"/>
        <v>92.527500000000003</v>
      </c>
      <c r="M7171" s="106">
        <v>1</v>
      </c>
      <c r="N7171" s="106" t="s">
        <v>27</v>
      </c>
      <c r="O7171" s="78"/>
      <c r="P7171" s="107">
        <v>0.3</v>
      </c>
      <c r="Q7171" s="108">
        <v>0.4</v>
      </c>
      <c r="R7171" s="45" t="str">
        <f t="shared" si="587"/>
        <v>HOFFLIGHTS</v>
      </c>
    </row>
    <row r="7172" spans="1:18" customFormat="1" ht="27" customHeight="1" x14ac:dyDescent="0.25">
      <c r="A7172" s="105" t="s">
        <v>13983</v>
      </c>
      <c r="H7172" t="s">
        <v>14686</v>
      </c>
      <c r="I7172" t="s">
        <v>14687</v>
      </c>
      <c r="J7172" s="34" t="s">
        <v>26</v>
      </c>
      <c r="K7172" s="77">
        <v>42.704999999999998</v>
      </c>
      <c r="L7172" s="12">
        <f t="shared" si="586"/>
        <v>92.527500000000003</v>
      </c>
      <c r="M7172" s="106">
        <v>1</v>
      </c>
      <c r="N7172" s="106" t="s">
        <v>27</v>
      </c>
      <c r="O7172" s="78"/>
      <c r="P7172" s="107">
        <v>0.3</v>
      </c>
      <c r="Q7172" s="108">
        <v>0.4</v>
      </c>
      <c r="R7172" s="45" t="str">
        <f t="shared" si="587"/>
        <v>HOFFLIGHTS</v>
      </c>
    </row>
    <row r="7173" spans="1:18" customFormat="1" ht="27" customHeight="1" x14ac:dyDescent="0.25">
      <c r="A7173" s="105" t="s">
        <v>13983</v>
      </c>
      <c r="H7173" t="s">
        <v>14688</v>
      </c>
      <c r="I7173" t="s">
        <v>14689</v>
      </c>
      <c r="J7173" s="34" t="s">
        <v>26</v>
      </c>
      <c r="K7173" s="77">
        <v>42.704999999999998</v>
      </c>
      <c r="L7173" s="12">
        <f t="shared" si="586"/>
        <v>92.527500000000003</v>
      </c>
      <c r="M7173" s="106">
        <v>1</v>
      </c>
      <c r="N7173" s="106" t="s">
        <v>27</v>
      </c>
      <c r="O7173" s="78"/>
      <c r="P7173" s="107">
        <v>0.3</v>
      </c>
      <c r="Q7173" s="108">
        <v>0.4</v>
      </c>
      <c r="R7173" s="45" t="str">
        <f t="shared" si="587"/>
        <v>HOFFLIGHTS</v>
      </c>
    </row>
    <row r="7174" spans="1:18" customFormat="1" ht="27" customHeight="1" x14ac:dyDescent="0.25">
      <c r="A7174" s="105" t="s">
        <v>13983</v>
      </c>
      <c r="H7174" t="s">
        <v>14690</v>
      </c>
      <c r="I7174" t="s">
        <v>14691</v>
      </c>
      <c r="J7174" s="34" t="s">
        <v>26</v>
      </c>
      <c r="K7174" s="77">
        <v>37.732499999999987</v>
      </c>
      <c r="L7174" s="12">
        <f t="shared" si="586"/>
        <v>81.753749999999982</v>
      </c>
      <c r="M7174" s="106">
        <v>1</v>
      </c>
      <c r="N7174" s="106" t="s">
        <v>27</v>
      </c>
      <c r="O7174" s="78"/>
      <c r="P7174" s="107">
        <v>0.3</v>
      </c>
      <c r="Q7174" s="108">
        <v>0.4</v>
      </c>
      <c r="R7174" s="45" t="str">
        <f t="shared" si="587"/>
        <v>HOFFLIGHTS</v>
      </c>
    </row>
    <row r="7175" spans="1:18" customFormat="1" ht="27" customHeight="1" x14ac:dyDescent="0.25">
      <c r="A7175" s="105" t="s">
        <v>13983</v>
      </c>
      <c r="H7175" t="s">
        <v>14692</v>
      </c>
      <c r="I7175" t="s">
        <v>14693</v>
      </c>
      <c r="J7175" s="34" t="s">
        <v>26</v>
      </c>
      <c r="K7175" s="77">
        <v>37.732499999999987</v>
      </c>
      <c r="L7175" s="12">
        <f t="shared" si="586"/>
        <v>81.753749999999982</v>
      </c>
      <c r="M7175" s="106">
        <v>1</v>
      </c>
      <c r="N7175" s="106" t="s">
        <v>27</v>
      </c>
      <c r="O7175" s="78"/>
      <c r="P7175" s="107">
        <v>0.3</v>
      </c>
      <c r="Q7175" s="108">
        <v>0.4</v>
      </c>
      <c r="R7175" s="45" t="str">
        <f t="shared" si="587"/>
        <v>HOFFLIGHTS</v>
      </c>
    </row>
    <row r="7176" spans="1:18" customFormat="1" ht="27" customHeight="1" x14ac:dyDescent="0.25">
      <c r="A7176" s="105" t="s">
        <v>13983</v>
      </c>
      <c r="H7176" t="s">
        <v>14616</v>
      </c>
      <c r="I7176" t="s">
        <v>14617</v>
      </c>
      <c r="J7176" s="34" t="s">
        <v>26</v>
      </c>
      <c r="K7176" s="77">
        <v>12.43125</v>
      </c>
      <c r="L7176" s="12">
        <f t="shared" si="586"/>
        <v>26.934374999999999</v>
      </c>
      <c r="M7176" s="106">
        <v>1</v>
      </c>
      <c r="N7176" s="106" t="s">
        <v>27</v>
      </c>
      <c r="O7176" s="78"/>
      <c r="P7176" s="107">
        <v>0.3</v>
      </c>
      <c r="Q7176" s="108">
        <v>0.4</v>
      </c>
      <c r="R7176" s="45" t="str">
        <f t="shared" si="587"/>
        <v>HOFFLIGHTS</v>
      </c>
    </row>
    <row r="7177" spans="1:18" customFormat="1" ht="27" customHeight="1" x14ac:dyDescent="0.25">
      <c r="A7177" s="105" t="s">
        <v>13983</v>
      </c>
      <c r="H7177" t="s">
        <v>14618</v>
      </c>
      <c r="I7177" t="s">
        <v>14619</v>
      </c>
      <c r="J7177" s="34" t="s">
        <v>26</v>
      </c>
      <c r="K7177" s="77">
        <v>12.43125</v>
      </c>
      <c r="L7177" s="12">
        <f t="shared" si="586"/>
        <v>26.934374999999999</v>
      </c>
      <c r="M7177" s="106">
        <v>1</v>
      </c>
      <c r="N7177" s="106" t="s">
        <v>27</v>
      </c>
      <c r="O7177" s="78"/>
      <c r="P7177" s="107">
        <v>0.3</v>
      </c>
      <c r="Q7177" s="108">
        <v>0.4</v>
      </c>
      <c r="R7177" s="45" t="str">
        <f t="shared" si="587"/>
        <v>HOFFLIGHTS</v>
      </c>
    </row>
    <row r="7178" spans="1:18" customFormat="1" ht="27" customHeight="1" x14ac:dyDescent="0.25">
      <c r="A7178" s="105" t="s">
        <v>13983</v>
      </c>
      <c r="H7178" t="s">
        <v>14694</v>
      </c>
      <c r="I7178" t="s">
        <v>14695</v>
      </c>
      <c r="J7178" s="34" t="s">
        <v>26</v>
      </c>
      <c r="K7178" s="77">
        <v>42.12</v>
      </c>
      <c r="L7178" s="12">
        <f t="shared" si="586"/>
        <v>91.26</v>
      </c>
      <c r="M7178" s="106">
        <v>1</v>
      </c>
      <c r="N7178" s="106" t="s">
        <v>27</v>
      </c>
      <c r="O7178" s="78"/>
      <c r="P7178" s="107">
        <v>0.3</v>
      </c>
      <c r="Q7178" s="108">
        <v>0.4</v>
      </c>
      <c r="R7178" s="45" t="str">
        <f t="shared" si="587"/>
        <v>HOFFLIGHTS</v>
      </c>
    </row>
    <row r="7179" spans="1:18" customFormat="1" ht="27" customHeight="1" x14ac:dyDescent="0.25">
      <c r="A7179" s="105" t="s">
        <v>13983</v>
      </c>
      <c r="H7179" t="s">
        <v>14696</v>
      </c>
      <c r="I7179" t="s">
        <v>14697</v>
      </c>
      <c r="J7179" s="34" t="s">
        <v>26</v>
      </c>
      <c r="K7179" s="77">
        <v>42.12</v>
      </c>
      <c r="L7179" s="12">
        <f t="shared" si="586"/>
        <v>91.26</v>
      </c>
      <c r="M7179" s="106">
        <v>1</v>
      </c>
      <c r="N7179" s="106" t="s">
        <v>27</v>
      </c>
      <c r="O7179" s="78"/>
      <c r="P7179" s="107">
        <v>0.3</v>
      </c>
      <c r="Q7179" s="108">
        <v>0.4</v>
      </c>
      <c r="R7179" s="45" t="str">
        <f t="shared" si="587"/>
        <v>HOFFLIGHTS</v>
      </c>
    </row>
    <row r="7180" spans="1:18" customFormat="1" ht="27" customHeight="1" x14ac:dyDescent="0.25">
      <c r="A7180" s="105" t="s">
        <v>13983</v>
      </c>
      <c r="H7180" t="s">
        <v>14698</v>
      </c>
      <c r="I7180" t="s">
        <v>14699</v>
      </c>
      <c r="J7180" s="34" t="s">
        <v>26</v>
      </c>
      <c r="K7180" s="77">
        <v>72.539999999999992</v>
      </c>
      <c r="L7180" s="12">
        <f t="shared" si="586"/>
        <v>157.16999999999999</v>
      </c>
      <c r="M7180" s="106">
        <v>1</v>
      </c>
      <c r="N7180" s="106" t="s">
        <v>27</v>
      </c>
      <c r="O7180" s="78"/>
      <c r="P7180" s="107">
        <v>0.3</v>
      </c>
      <c r="Q7180" s="108">
        <v>0.4</v>
      </c>
      <c r="R7180" s="45" t="str">
        <f t="shared" si="587"/>
        <v>HOFFLIGHTS</v>
      </c>
    </row>
    <row r="7181" spans="1:18" customFormat="1" ht="27" customHeight="1" x14ac:dyDescent="0.25">
      <c r="A7181" s="105" t="s">
        <v>13983</v>
      </c>
      <c r="H7181" t="s">
        <v>14700</v>
      </c>
      <c r="I7181" t="s">
        <v>14701</v>
      </c>
      <c r="J7181" s="34" t="s">
        <v>26</v>
      </c>
      <c r="K7181" s="77">
        <v>72.539999999999992</v>
      </c>
      <c r="L7181" s="12">
        <f t="shared" si="586"/>
        <v>157.16999999999999</v>
      </c>
      <c r="M7181" s="106">
        <v>1</v>
      </c>
      <c r="N7181" s="106" t="s">
        <v>27</v>
      </c>
      <c r="O7181" s="78"/>
      <c r="P7181" s="107">
        <v>0.3</v>
      </c>
      <c r="Q7181" s="108">
        <v>0.4</v>
      </c>
      <c r="R7181" s="45" t="str">
        <f t="shared" si="587"/>
        <v>HOFFLIGHTS</v>
      </c>
    </row>
    <row r="7182" spans="1:18" customFormat="1" ht="27" customHeight="1" x14ac:dyDescent="0.25">
      <c r="A7182" s="105" t="s">
        <v>13983</v>
      </c>
      <c r="H7182" t="s">
        <v>14702</v>
      </c>
      <c r="I7182" t="s">
        <v>14703</v>
      </c>
      <c r="J7182" s="34" t="s">
        <v>26</v>
      </c>
      <c r="K7182" s="77">
        <v>44.167499999999997</v>
      </c>
      <c r="L7182" s="12">
        <f t="shared" si="586"/>
        <v>95.696250000000006</v>
      </c>
      <c r="M7182" s="106">
        <v>1</v>
      </c>
      <c r="N7182" s="106" t="s">
        <v>27</v>
      </c>
      <c r="O7182" s="78"/>
      <c r="P7182" s="107">
        <v>0.3</v>
      </c>
      <c r="Q7182" s="108">
        <v>0.4</v>
      </c>
      <c r="R7182" s="45" t="str">
        <f t="shared" si="587"/>
        <v>HOFFLIGHTS</v>
      </c>
    </row>
    <row r="7183" spans="1:18" customFormat="1" ht="27" customHeight="1" x14ac:dyDescent="0.25">
      <c r="A7183" s="105" t="s">
        <v>13983</v>
      </c>
      <c r="H7183" t="s">
        <v>14704</v>
      </c>
      <c r="I7183" t="s">
        <v>14705</v>
      </c>
      <c r="J7183" s="34" t="s">
        <v>26</v>
      </c>
      <c r="K7183" s="77">
        <v>44.167499999999997</v>
      </c>
      <c r="L7183" s="12">
        <f t="shared" si="586"/>
        <v>95.696250000000006</v>
      </c>
      <c r="M7183" s="106">
        <v>1</v>
      </c>
      <c r="N7183" s="106" t="s">
        <v>27</v>
      </c>
      <c r="O7183" s="78"/>
      <c r="P7183" s="107">
        <v>0.3</v>
      </c>
      <c r="Q7183" s="108">
        <v>0.4</v>
      </c>
      <c r="R7183" s="45" t="str">
        <f t="shared" si="587"/>
        <v>HOFFLIGHTS</v>
      </c>
    </row>
    <row r="7184" spans="1:18" customFormat="1" ht="27" customHeight="1" x14ac:dyDescent="0.25">
      <c r="A7184" s="105" t="s">
        <v>13983</v>
      </c>
      <c r="H7184" t="s">
        <v>14706</v>
      </c>
      <c r="I7184" t="s">
        <v>14707</v>
      </c>
      <c r="J7184" s="34" t="s">
        <v>26</v>
      </c>
      <c r="K7184" s="77">
        <v>74.295000000000002</v>
      </c>
      <c r="L7184" s="12">
        <f t="shared" si="586"/>
        <v>160.9725</v>
      </c>
      <c r="M7184" s="106">
        <v>1</v>
      </c>
      <c r="N7184" s="106" t="s">
        <v>27</v>
      </c>
      <c r="O7184" s="78"/>
      <c r="P7184" s="107">
        <v>0.3</v>
      </c>
      <c r="Q7184" s="108">
        <v>0.4</v>
      </c>
      <c r="R7184" s="45" t="str">
        <f t="shared" si="587"/>
        <v>HOFFLIGHTS</v>
      </c>
    </row>
    <row r="7185" spans="1:18" customFormat="1" ht="27" customHeight="1" x14ac:dyDescent="0.25">
      <c r="A7185" s="105" t="s">
        <v>13983</v>
      </c>
      <c r="H7185" t="s">
        <v>14708</v>
      </c>
      <c r="I7185" t="s">
        <v>14709</v>
      </c>
      <c r="J7185" s="34" t="s">
        <v>26</v>
      </c>
      <c r="K7185" s="77">
        <v>74.295000000000002</v>
      </c>
      <c r="L7185" s="12">
        <f t="shared" si="586"/>
        <v>160.9725</v>
      </c>
      <c r="M7185" s="106">
        <v>1</v>
      </c>
      <c r="N7185" s="106" t="s">
        <v>27</v>
      </c>
      <c r="O7185" s="78"/>
      <c r="P7185" s="107">
        <v>0.3</v>
      </c>
      <c r="Q7185" s="108">
        <v>0.4</v>
      </c>
      <c r="R7185" s="45" t="str">
        <f t="shared" si="587"/>
        <v>HOFFLIGHTS</v>
      </c>
    </row>
    <row r="7186" spans="1:18" customFormat="1" ht="27" customHeight="1" x14ac:dyDescent="0.25">
      <c r="A7186" s="105" t="s">
        <v>13983</v>
      </c>
      <c r="H7186" t="s">
        <v>14710</v>
      </c>
      <c r="I7186" t="s">
        <v>14711</v>
      </c>
      <c r="J7186" s="34" t="s">
        <v>26</v>
      </c>
      <c r="K7186" s="77">
        <v>53.819999999999993</v>
      </c>
      <c r="L7186" s="12">
        <f t="shared" si="586"/>
        <v>116.61</v>
      </c>
      <c r="M7186" s="106">
        <v>1</v>
      </c>
      <c r="N7186" s="106" t="s">
        <v>27</v>
      </c>
      <c r="O7186" s="78"/>
      <c r="P7186" s="107">
        <v>0.3</v>
      </c>
      <c r="Q7186" s="108">
        <v>0.4</v>
      </c>
      <c r="R7186" s="45" t="str">
        <f t="shared" si="587"/>
        <v>HOFFLIGHTS</v>
      </c>
    </row>
    <row r="7187" spans="1:18" customFormat="1" ht="27" customHeight="1" x14ac:dyDescent="0.25">
      <c r="A7187" s="105" t="s">
        <v>13983</v>
      </c>
      <c r="H7187" t="s">
        <v>14712</v>
      </c>
      <c r="I7187" t="s">
        <v>14713</v>
      </c>
      <c r="J7187" s="34" t="s">
        <v>26</v>
      </c>
      <c r="K7187" s="77">
        <v>53.819999999999993</v>
      </c>
      <c r="L7187" s="12">
        <f t="shared" si="586"/>
        <v>116.61</v>
      </c>
      <c r="M7187" s="106">
        <v>1</v>
      </c>
      <c r="N7187" s="106" t="s">
        <v>27</v>
      </c>
      <c r="O7187" s="78"/>
      <c r="P7187" s="107">
        <v>0.3</v>
      </c>
      <c r="Q7187" s="108">
        <v>0.4</v>
      </c>
      <c r="R7187" s="45" t="str">
        <f t="shared" si="587"/>
        <v>HOFFLIGHTS</v>
      </c>
    </row>
    <row r="7188" spans="1:18" customFormat="1" ht="27" customHeight="1" x14ac:dyDescent="0.25">
      <c r="A7188" s="105" t="s">
        <v>13983</v>
      </c>
      <c r="H7188" t="s">
        <v>14714</v>
      </c>
      <c r="I7188" t="s">
        <v>14715</v>
      </c>
      <c r="J7188" s="34" t="s">
        <v>26</v>
      </c>
      <c r="K7188" s="77">
        <v>83.655000000000001</v>
      </c>
      <c r="L7188" s="12">
        <f t="shared" si="586"/>
        <v>181.25250000000003</v>
      </c>
      <c r="M7188" s="106">
        <v>1</v>
      </c>
      <c r="N7188" s="106" t="s">
        <v>27</v>
      </c>
      <c r="O7188" s="78"/>
      <c r="P7188" s="107">
        <v>0.3</v>
      </c>
      <c r="Q7188" s="108">
        <v>0.4</v>
      </c>
      <c r="R7188" s="45" t="str">
        <f t="shared" si="587"/>
        <v>HOFFLIGHTS</v>
      </c>
    </row>
    <row r="7189" spans="1:18" customFormat="1" ht="27" customHeight="1" x14ac:dyDescent="0.25">
      <c r="A7189" s="105" t="s">
        <v>13983</v>
      </c>
      <c r="H7189" t="s">
        <v>14716</v>
      </c>
      <c r="I7189" t="s">
        <v>14717</v>
      </c>
      <c r="J7189" s="34" t="s">
        <v>26</v>
      </c>
      <c r="K7189" s="77">
        <v>83.655000000000001</v>
      </c>
      <c r="L7189" s="12">
        <f t="shared" si="586"/>
        <v>181.25250000000003</v>
      </c>
      <c r="M7189" s="106">
        <v>1</v>
      </c>
      <c r="N7189" s="106" t="s">
        <v>27</v>
      </c>
      <c r="O7189" s="78"/>
      <c r="P7189" s="107">
        <v>0.3</v>
      </c>
      <c r="Q7189" s="108">
        <v>0.4</v>
      </c>
      <c r="R7189" s="45" t="str">
        <f t="shared" si="587"/>
        <v>HOFFLIGHTS</v>
      </c>
    </row>
    <row r="7190" spans="1:18" customFormat="1" ht="27" customHeight="1" x14ac:dyDescent="0.25">
      <c r="A7190" s="105" t="s">
        <v>13983</v>
      </c>
      <c r="H7190" t="s">
        <v>14718</v>
      </c>
      <c r="I7190" t="s">
        <v>14719</v>
      </c>
      <c r="J7190" s="34" t="s">
        <v>26</v>
      </c>
      <c r="K7190" s="77">
        <v>2.6032500000000001</v>
      </c>
      <c r="L7190" s="12">
        <f t="shared" si="586"/>
        <v>5.6403750000000006</v>
      </c>
      <c r="M7190" s="106">
        <v>1</v>
      </c>
      <c r="N7190" s="106" t="s">
        <v>27</v>
      </c>
      <c r="O7190" s="78"/>
      <c r="P7190" s="107">
        <v>0.3</v>
      </c>
      <c r="Q7190" s="108">
        <v>0.4</v>
      </c>
      <c r="R7190" s="45" t="str">
        <f t="shared" si="587"/>
        <v>HOFFLIGHTS</v>
      </c>
    </row>
    <row r="7191" spans="1:18" customFormat="1" ht="27" customHeight="1" x14ac:dyDescent="0.25">
      <c r="A7191" s="105" t="s">
        <v>13983</v>
      </c>
      <c r="H7191" t="s">
        <v>14720</v>
      </c>
      <c r="I7191" t="s">
        <v>14721</v>
      </c>
      <c r="J7191" s="34" t="s">
        <v>26</v>
      </c>
      <c r="K7191" s="77">
        <v>3.0419999999999998</v>
      </c>
      <c r="L7191" s="12">
        <f t="shared" si="586"/>
        <v>6.5910000000000002</v>
      </c>
      <c r="M7191" s="106">
        <v>1</v>
      </c>
      <c r="N7191" s="106" t="s">
        <v>27</v>
      </c>
      <c r="O7191" s="78"/>
      <c r="P7191" s="107">
        <v>0.3</v>
      </c>
      <c r="Q7191" s="108">
        <v>0.4</v>
      </c>
      <c r="R7191" s="45" t="str">
        <f t="shared" si="587"/>
        <v>HOFFLIGHTS</v>
      </c>
    </row>
    <row r="7192" spans="1:18" customFormat="1" ht="27" customHeight="1" x14ac:dyDescent="0.25">
      <c r="A7192" s="105" t="s">
        <v>13983</v>
      </c>
      <c r="H7192" t="s">
        <v>14722</v>
      </c>
      <c r="I7192" t="s">
        <v>14723</v>
      </c>
      <c r="J7192" s="34" t="s">
        <v>26</v>
      </c>
      <c r="K7192" s="77">
        <v>3.4514999999999998</v>
      </c>
      <c r="L7192" s="12">
        <f t="shared" si="586"/>
        <v>7.478250000000001</v>
      </c>
      <c r="M7192" s="106">
        <v>1</v>
      </c>
      <c r="N7192" s="106" t="s">
        <v>27</v>
      </c>
      <c r="O7192" s="78"/>
      <c r="P7192" s="107">
        <v>0.3</v>
      </c>
      <c r="Q7192" s="108">
        <v>0.4</v>
      </c>
      <c r="R7192" s="45" t="str">
        <f t="shared" si="587"/>
        <v>HOFFLIGHTS</v>
      </c>
    </row>
    <row r="7193" spans="1:18" customFormat="1" ht="27" customHeight="1" x14ac:dyDescent="0.25">
      <c r="A7193" s="105" t="s">
        <v>13983</v>
      </c>
      <c r="H7193" t="s">
        <v>14724</v>
      </c>
      <c r="I7193" t="s">
        <v>14725</v>
      </c>
      <c r="J7193" s="34" t="s">
        <v>26</v>
      </c>
      <c r="K7193" s="77">
        <v>47.677499999999988</v>
      </c>
      <c r="L7193" s="12">
        <f t="shared" si="586"/>
        <v>103.30124999999998</v>
      </c>
      <c r="M7193" s="106">
        <v>1</v>
      </c>
      <c r="N7193" s="106" t="s">
        <v>27</v>
      </c>
      <c r="O7193" s="78"/>
      <c r="P7193" s="107">
        <v>0.3</v>
      </c>
      <c r="Q7193" s="108">
        <v>0.4</v>
      </c>
      <c r="R7193" s="45" t="str">
        <f t="shared" si="587"/>
        <v>HOFFLIGHTS</v>
      </c>
    </row>
    <row r="7194" spans="1:18" customFormat="1" ht="27" customHeight="1" x14ac:dyDescent="0.25">
      <c r="A7194" s="105" t="s">
        <v>13983</v>
      </c>
      <c r="H7194" t="s">
        <v>14726</v>
      </c>
      <c r="I7194" t="s">
        <v>14727</v>
      </c>
      <c r="J7194" s="34" t="s">
        <v>26</v>
      </c>
      <c r="K7194" s="77">
        <v>47.677499999999988</v>
      </c>
      <c r="L7194" s="12">
        <f t="shared" si="586"/>
        <v>103.30124999999998</v>
      </c>
      <c r="M7194" s="106">
        <v>1</v>
      </c>
      <c r="N7194" s="106" t="s">
        <v>27</v>
      </c>
      <c r="O7194" s="78"/>
      <c r="P7194" s="107">
        <v>0.3</v>
      </c>
      <c r="Q7194" s="108">
        <v>0.4</v>
      </c>
      <c r="R7194" s="45" t="str">
        <f t="shared" si="587"/>
        <v>HOFFLIGHTS</v>
      </c>
    </row>
    <row r="7195" spans="1:18" customFormat="1" ht="27" customHeight="1" x14ac:dyDescent="0.25">
      <c r="A7195" s="105" t="s">
        <v>13983</v>
      </c>
      <c r="H7195" t="s">
        <v>14728</v>
      </c>
      <c r="I7195" t="s">
        <v>14729</v>
      </c>
      <c r="J7195" s="34" t="s">
        <v>26</v>
      </c>
      <c r="K7195" s="77">
        <v>77.804999999999993</v>
      </c>
      <c r="L7195" s="12">
        <f t="shared" si="586"/>
        <v>168.57749999999999</v>
      </c>
      <c r="M7195" s="106">
        <v>1</v>
      </c>
      <c r="N7195" s="106" t="s">
        <v>27</v>
      </c>
      <c r="O7195" s="78"/>
      <c r="P7195" s="107">
        <v>0.3</v>
      </c>
      <c r="Q7195" s="108">
        <v>0.4</v>
      </c>
      <c r="R7195" s="45" t="str">
        <f t="shared" si="587"/>
        <v>HOFFLIGHTS</v>
      </c>
    </row>
    <row r="7196" spans="1:18" customFormat="1" ht="27" customHeight="1" x14ac:dyDescent="0.25">
      <c r="A7196" s="105" t="s">
        <v>13983</v>
      </c>
      <c r="H7196" t="s">
        <v>14730</v>
      </c>
      <c r="I7196" t="s">
        <v>14731</v>
      </c>
      <c r="J7196" s="34" t="s">
        <v>26</v>
      </c>
      <c r="K7196" s="77">
        <v>77.804999999999993</v>
      </c>
      <c r="L7196" s="12">
        <f t="shared" si="586"/>
        <v>168.57749999999999</v>
      </c>
      <c r="M7196" s="106">
        <v>1</v>
      </c>
      <c r="N7196" s="106" t="s">
        <v>27</v>
      </c>
      <c r="O7196" s="78"/>
      <c r="P7196" s="107">
        <v>0.3</v>
      </c>
      <c r="Q7196" s="108">
        <v>0.4</v>
      </c>
      <c r="R7196" s="45" t="str">
        <f t="shared" si="587"/>
        <v>HOFFLIGHTS</v>
      </c>
    </row>
    <row r="7197" spans="1:18" customFormat="1" ht="27" customHeight="1" x14ac:dyDescent="0.25">
      <c r="A7197" s="105" t="s">
        <v>13983</v>
      </c>
      <c r="H7197" t="s">
        <v>14732</v>
      </c>
      <c r="I7197" t="s">
        <v>14733</v>
      </c>
      <c r="J7197" s="34" t="s">
        <v>26</v>
      </c>
      <c r="K7197" s="77">
        <v>52.942500000000003</v>
      </c>
      <c r="L7197" s="12">
        <f t="shared" si="586"/>
        <v>114.70875000000002</v>
      </c>
      <c r="M7197" s="106">
        <v>1</v>
      </c>
      <c r="N7197" s="106" t="s">
        <v>27</v>
      </c>
      <c r="O7197" s="78"/>
      <c r="P7197" s="107">
        <v>0.3</v>
      </c>
      <c r="Q7197" s="108">
        <v>0.4</v>
      </c>
      <c r="R7197" s="45" t="str">
        <f t="shared" si="587"/>
        <v>HOFFLIGHTS</v>
      </c>
    </row>
    <row r="7198" spans="1:18" customFormat="1" ht="27" customHeight="1" x14ac:dyDescent="0.25">
      <c r="A7198" s="105" t="s">
        <v>13983</v>
      </c>
      <c r="H7198" t="s">
        <v>14734</v>
      </c>
      <c r="I7198" t="s">
        <v>14735</v>
      </c>
      <c r="J7198" s="34" t="s">
        <v>26</v>
      </c>
      <c r="K7198" s="77">
        <v>52.942500000000003</v>
      </c>
      <c r="L7198" s="12">
        <f t="shared" si="586"/>
        <v>114.70875000000002</v>
      </c>
      <c r="M7198" s="106">
        <v>1</v>
      </c>
      <c r="N7198" s="106" t="s">
        <v>27</v>
      </c>
      <c r="O7198" s="78"/>
      <c r="P7198" s="107">
        <v>0.3</v>
      </c>
      <c r="Q7198" s="108">
        <v>0.4</v>
      </c>
      <c r="R7198" s="45" t="str">
        <f t="shared" si="587"/>
        <v>HOFFLIGHTS</v>
      </c>
    </row>
    <row r="7199" spans="1:18" customFormat="1" ht="27" customHeight="1" x14ac:dyDescent="0.25">
      <c r="A7199" s="105" t="s">
        <v>13983</v>
      </c>
      <c r="H7199" t="s">
        <v>14736</v>
      </c>
      <c r="I7199" t="s">
        <v>14737</v>
      </c>
      <c r="J7199" s="34" t="s">
        <v>26</v>
      </c>
      <c r="K7199" s="77">
        <v>83.07</v>
      </c>
      <c r="L7199" s="12">
        <f t="shared" si="586"/>
        <v>179.98500000000001</v>
      </c>
      <c r="M7199" s="106">
        <v>1</v>
      </c>
      <c r="N7199" s="106" t="s">
        <v>27</v>
      </c>
      <c r="O7199" s="78"/>
      <c r="P7199" s="107">
        <v>0.3</v>
      </c>
      <c r="Q7199" s="108">
        <v>0.4</v>
      </c>
      <c r="R7199" s="45" t="str">
        <f t="shared" si="587"/>
        <v>HOFFLIGHTS</v>
      </c>
    </row>
    <row r="7200" spans="1:18" customFormat="1" ht="27" customHeight="1" x14ac:dyDescent="0.25">
      <c r="A7200" s="105" t="s">
        <v>13983</v>
      </c>
      <c r="H7200" t="s">
        <v>14738</v>
      </c>
      <c r="I7200" t="s">
        <v>14739</v>
      </c>
      <c r="J7200" s="34" t="s">
        <v>26</v>
      </c>
      <c r="K7200" s="77">
        <v>83.07</v>
      </c>
      <c r="L7200" s="12">
        <f t="shared" si="586"/>
        <v>179.98500000000001</v>
      </c>
      <c r="M7200" s="106">
        <v>1</v>
      </c>
      <c r="N7200" s="106" t="s">
        <v>27</v>
      </c>
      <c r="O7200" s="78"/>
      <c r="P7200" s="107">
        <v>0.3</v>
      </c>
      <c r="Q7200" s="108">
        <v>0.4</v>
      </c>
      <c r="R7200" s="45" t="str">
        <f t="shared" si="587"/>
        <v>HOFFLIGHTS</v>
      </c>
    </row>
    <row r="7201" spans="1:18" customFormat="1" ht="27" customHeight="1" x14ac:dyDescent="0.25">
      <c r="A7201" s="105" t="s">
        <v>13983</v>
      </c>
      <c r="H7201" t="s">
        <v>14740</v>
      </c>
      <c r="I7201" t="s">
        <v>14741</v>
      </c>
      <c r="J7201" s="34" t="s">
        <v>26</v>
      </c>
      <c r="K7201" s="77">
        <v>56.744999999999997</v>
      </c>
      <c r="L7201" s="12">
        <f t="shared" si="586"/>
        <v>122.94750000000001</v>
      </c>
      <c r="M7201" s="106">
        <v>1</v>
      </c>
      <c r="N7201" s="106" t="s">
        <v>27</v>
      </c>
      <c r="O7201" s="78"/>
      <c r="P7201" s="107">
        <v>0.3</v>
      </c>
      <c r="Q7201" s="108">
        <v>0.4</v>
      </c>
      <c r="R7201" s="45" t="str">
        <f t="shared" si="587"/>
        <v>HOFFLIGHTS</v>
      </c>
    </row>
    <row r="7202" spans="1:18" customFormat="1" ht="27" customHeight="1" x14ac:dyDescent="0.25">
      <c r="A7202" s="105" t="s">
        <v>13983</v>
      </c>
      <c r="H7202" t="s">
        <v>14742</v>
      </c>
      <c r="I7202" t="s">
        <v>14743</v>
      </c>
      <c r="J7202" s="34" t="s">
        <v>26</v>
      </c>
      <c r="K7202" s="77">
        <v>56.744999999999997</v>
      </c>
      <c r="L7202" s="12">
        <f t="shared" si="586"/>
        <v>122.94750000000001</v>
      </c>
      <c r="M7202" s="106">
        <v>1</v>
      </c>
      <c r="N7202" s="106" t="s">
        <v>27</v>
      </c>
      <c r="O7202" s="78"/>
      <c r="P7202" s="107">
        <v>0.3</v>
      </c>
      <c r="Q7202" s="108">
        <v>0.4</v>
      </c>
      <c r="R7202" s="45" t="str">
        <f t="shared" si="587"/>
        <v>HOFFLIGHTS</v>
      </c>
    </row>
    <row r="7203" spans="1:18" customFormat="1" ht="27" customHeight="1" x14ac:dyDescent="0.25">
      <c r="A7203" s="105" t="s">
        <v>13983</v>
      </c>
      <c r="H7203" t="s">
        <v>14744</v>
      </c>
      <c r="I7203" t="s">
        <v>14745</v>
      </c>
      <c r="J7203" s="34" t="s">
        <v>26</v>
      </c>
      <c r="K7203" s="77">
        <v>87.164999999999992</v>
      </c>
      <c r="L7203" s="12">
        <f t="shared" si="586"/>
        <v>188.85749999999999</v>
      </c>
      <c r="M7203" s="106">
        <v>1</v>
      </c>
      <c r="N7203" s="106" t="s">
        <v>27</v>
      </c>
      <c r="O7203" s="78"/>
      <c r="P7203" s="107">
        <v>0.3</v>
      </c>
      <c r="Q7203" s="108">
        <v>0.4</v>
      </c>
      <c r="R7203" s="45" t="str">
        <f t="shared" si="587"/>
        <v>HOFFLIGHTS</v>
      </c>
    </row>
    <row r="7204" spans="1:18" customFormat="1" ht="27" customHeight="1" x14ac:dyDescent="0.25">
      <c r="A7204" s="105" t="s">
        <v>13983</v>
      </c>
      <c r="H7204" t="s">
        <v>14746</v>
      </c>
      <c r="I7204" t="s">
        <v>14747</v>
      </c>
      <c r="J7204" s="34" t="s">
        <v>26</v>
      </c>
      <c r="K7204" s="77">
        <v>87.164999999999992</v>
      </c>
      <c r="L7204" s="12">
        <f t="shared" si="586"/>
        <v>188.85749999999999</v>
      </c>
      <c r="M7204" s="106">
        <v>1</v>
      </c>
      <c r="N7204" s="106" t="s">
        <v>27</v>
      </c>
      <c r="O7204" s="78"/>
      <c r="P7204" s="107">
        <v>0.3</v>
      </c>
      <c r="Q7204" s="108">
        <v>0.4</v>
      </c>
      <c r="R7204" s="45" t="str">
        <f t="shared" si="587"/>
        <v>HOFFLIGHTS</v>
      </c>
    </row>
    <row r="7205" spans="1:18" customFormat="1" ht="27" customHeight="1" x14ac:dyDescent="0.25">
      <c r="A7205" s="105" t="s">
        <v>13983</v>
      </c>
      <c r="H7205" t="s">
        <v>14748</v>
      </c>
      <c r="I7205" t="s">
        <v>14749</v>
      </c>
      <c r="J7205" s="34" t="s">
        <v>26</v>
      </c>
      <c r="K7205" s="77">
        <v>57.33</v>
      </c>
      <c r="L7205" s="12">
        <f t="shared" si="586"/>
        <v>124.215</v>
      </c>
      <c r="M7205" s="106">
        <v>1</v>
      </c>
      <c r="N7205" s="106" t="s">
        <v>27</v>
      </c>
      <c r="O7205" s="78"/>
      <c r="P7205" s="107">
        <v>0.3</v>
      </c>
      <c r="Q7205" s="108">
        <v>0.4</v>
      </c>
      <c r="R7205" s="45" t="str">
        <f t="shared" si="587"/>
        <v>HOFFLIGHTS</v>
      </c>
    </row>
    <row r="7206" spans="1:18" customFormat="1" ht="27" customHeight="1" x14ac:dyDescent="0.25">
      <c r="A7206" s="105" t="s">
        <v>13983</v>
      </c>
      <c r="H7206" t="s">
        <v>14750</v>
      </c>
      <c r="I7206" t="s">
        <v>14751</v>
      </c>
      <c r="J7206" s="34" t="s">
        <v>26</v>
      </c>
      <c r="K7206" s="77">
        <v>57.33</v>
      </c>
      <c r="L7206" s="12">
        <f t="shared" si="586"/>
        <v>124.215</v>
      </c>
      <c r="M7206" s="106">
        <v>1</v>
      </c>
      <c r="N7206" s="106" t="s">
        <v>27</v>
      </c>
      <c r="O7206" s="78"/>
      <c r="P7206" s="107">
        <v>0.3</v>
      </c>
      <c r="Q7206" s="108">
        <v>0.4</v>
      </c>
      <c r="R7206" s="45" t="str">
        <f t="shared" si="587"/>
        <v>HOFFLIGHTS</v>
      </c>
    </row>
    <row r="7207" spans="1:18" customFormat="1" ht="27" customHeight="1" x14ac:dyDescent="0.25">
      <c r="A7207" s="105" t="s">
        <v>13983</v>
      </c>
      <c r="H7207" t="s">
        <v>14752</v>
      </c>
      <c r="I7207" t="s">
        <v>14753</v>
      </c>
      <c r="J7207" s="34" t="s">
        <v>26</v>
      </c>
      <c r="K7207" s="77">
        <v>87.75</v>
      </c>
      <c r="L7207" s="12">
        <f t="shared" si="586"/>
        <v>190.125</v>
      </c>
      <c r="M7207" s="106">
        <v>1</v>
      </c>
      <c r="N7207" s="106" t="s">
        <v>27</v>
      </c>
      <c r="O7207" s="78"/>
      <c r="P7207" s="107">
        <v>0.3</v>
      </c>
      <c r="Q7207" s="108">
        <v>0.4</v>
      </c>
      <c r="R7207" s="45" t="str">
        <f t="shared" si="587"/>
        <v>HOFFLIGHTS</v>
      </c>
    </row>
    <row r="7208" spans="1:18" customFormat="1" ht="27" customHeight="1" x14ac:dyDescent="0.25">
      <c r="A7208" s="105" t="s">
        <v>13983</v>
      </c>
      <c r="H7208" t="s">
        <v>14754</v>
      </c>
      <c r="I7208" t="s">
        <v>14755</v>
      </c>
      <c r="J7208" s="34" t="s">
        <v>26</v>
      </c>
      <c r="K7208" s="77">
        <v>87.75</v>
      </c>
      <c r="L7208" s="12">
        <f t="shared" si="586"/>
        <v>190.125</v>
      </c>
      <c r="M7208" s="106">
        <v>1</v>
      </c>
      <c r="N7208" s="106" t="s">
        <v>27</v>
      </c>
      <c r="O7208" s="78"/>
      <c r="P7208" s="107">
        <v>0.3</v>
      </c>
      <c r="Q7208" s="108">
        <v>0.4</v>
      </c>
      <c r="R7208" s="45" t="str">
        <f t="shared" si="587"/>
        <v>HOFFLIGHTS</v>
      </c>
    </row>
    <row r="7209" spans="1:18" customFormat="1" ht="27" customHeight="1" x14ac:dyDescent="0.25">
      <c r="A7209" s="105" t="s">
        <v>13983</v>
      </c>
      <c r="H7209" t="s">
        <v>14756</v>
      </c>
      <c r="I7209" t="s">
        <v>14757</v>
      </c>
      <c r="J7209" s="34" t="s">
        <v>26</v>
      </c>
      <c r="K7209" s="77">
        <v>41.827500000000001</v>
      </c>
      <c r="L7209" s="12">
        <f t="shared" si="586"/>
        <v>90.626250000000013</v>
      </c>
      <c r="M7209" s="106">
        <v>1</v>
      </c>
      <c r="N7209" s="106" t="s">
        <v>27</v>
      </c>
      <c r="O7209" s="78"/>
      <c r="P7209" s="107">
        <v>0.3</v>
      </c>
      <c r="Q7209" s="108">
        <v>0.4</v>
      </c>
      <c r="R7209" s="45" t="str">
        <f t="shared" si="587"/>
        <v>HOFFLIGHTS</v>
      </c>
    </row>
    <row r="7210" spans="1:18" customFormat="1" ht="27" customHeight="1" x14ac:dyDescent="0.25">
      <c r="A7210" s="105" t="s">
        <v>13983</v>
      </c>
      <c r="H7210" t="s">
        <v>14758</v>
      </c>
      <c r="I7210" t="s">
        <v>14759</v>
      </c>
      <c r="J7210" s="34" t="s">
        <v>26</v>
      </c>
      <c r="K7210" s="77">
        <v>41.827500000000001</v>
      </c>
      <c r="L7210" s="12">
        <f t="shared" ref="L7210:L7273" si="588">K7210*(1+P7210)/(1-Q7210)</f>
        <v>90.626250000000013</v>
      </c>
      <c r="M7210" s="106">
        <v>1</v>
      </c>
      <c r="N7210" s="106" t="s">
        <v>27</v>
      </c>
      <c r="O7210" s="78"/>
      <c r="P7210" s="107">
        <v>0.3</v>
      </c>
      <c r="Q7210" s="108">
        <v>0.4</v>
      </c>
      <c r="R7210" s="45" t="str">
        <f t="shared" si="587"/>
        <v>HOFFLIGHTS</v>
      </c>
    </row>
    <row r="7211" spans="1:18" customFormat="1" ht="27" customHeight="1" x14ac:dyDescent="0.25">
      <c r="A7211" s="105" t="s">
        <v>13983</v>
      </c>
      <c r="H7211" t="s">
        <v>14760</v>
      </c>
      <c r="I7211" t="s">
        <v>14761</v>
      </c>
      <c r="J7211" s="34" t="s">
        <v>26</v>
      </c>
      <c r="K7211" s="77">
        <v>71.954999999999998</v>
      </c>
      <c r="L7211" s="12">
        <f t="shared" si="588"/>
        <v>155.9025</v>
      </c>
      <c r="M7211" s="106">
        <v>1</v>
      </c>
      <c r="N7211" s="106" t="s">
        <v>27</v>
      </c>
      <c r="O7211" s="78"/>
      <c r="P7211" s="107">
        <v>0.3</v>
      </c>
      <c r="Q7211" s="108">
        <v>0.4</v>
      </c>
      <c r="R7211" s="45" t="str">
        <f t="shared" si="587"/>
        <v>HOFFLIGHTS</v>
      </c>
    </row>
    <row r="7212" spans="1:18" customFormat="1" ht="27" customHeight="1" x14ac:dyDescent="0.25">
      <c r="A7212" s="105" t="s">
        <v>13983</v>
      </c>
      <c r="H7212" t="s">
        <v>14762</v>
      </c>
      <c r="I7212" t="s">
        <v>14763</v>
      </c>
      <c r="J7212" s="34" t="s">
        <v>26</v>
      </c>
      <c r="K7212" s="77">
        <v>71.954999999999998</v>
      </c>
      <c r="L7212" s="12">
        <f t="shared" si="588"/>
        <v>155.9025</v>
      </c>
      <c r="M7212" s="106">
        <v>1</v>
      </c>
      <c r="N7212" s="106" t="s">
        <v>27</v>
      </c>
      <c r="O7212" s="78"/>
      <c r="P7212" s="107">
        <v>0.3</v>
      </c>
      <c r="Q7212" s="108">
        <v>0.4</v>
      </c>
      <c r="R7212" s="45" t="str">
        <f t="shared" si="587"/>
        <v>HOFFLIGHTS</v>
      </c>
    </row>
    <row r="7213" spans="1:18" customFormat="1" ht="27" customHeight="1" x14ac:dyDescent="0.25">
      <c r="A7213" s="105" t="s">
        <v>13983</v>
      </c>
      <c r="H7213" t="s">
        <v>14764</v>
      </c>
      <c r="I7213" t="s">
        <v>14765</v>
      </c>
      <c r="J7213" s="34" t="s">
        <v>26</v>
      </c>
      <c r="K7213" s="77">
        <v>30.42</v>
      </c>
      <c r="L7213" s="12">
        <f t="shared" si="588"/>
        <v>65.910000000000011</v>
      </c>
      <c r="M7213" s="106">
        <v>1</v>
      </c>
      <c r="N7213" s="106" t="s">
        <v>27</v>
      </c>
      <c r="O7213" s="78"/>
      <c r="P7213" s="107">
        <v>0.3</v>
      </c>
      <c r="Q7213" s="108">
        <v>0.4</v>
      </c>
      <c r="R7213" s="45" t="str">
        <f t="shared" si="587"/>
        <v>HOFFLIGHTS</v>
      </c>
    </row>
    <row r="7214" spans="1:18" customFormat="1" ht="27" customHeight="1" x14ac:dyDescent="0.25">
      <c r="A7214" s="105" t="s">
        <v>13983</v>
      </c>
      <c r="H7214" t="s">
        <v>14766</v>
      </c>
      <c r="I7214" t="s">
        <v>14767</v>
      </c>
      <c r="J7214" s="34" t="s">
        <v>26</v>
      </c>
      <c r="K7214" s="77">
        <v>56.744999999999997</v>
      </c>
      <c r="L7214" s="12">
        <f t="shared" si="588"/>
        <v>122.94750000000001</v>
      </c>
      <c r="M7214" s="106">
        <v>1</v>
      </c>
      <c r="N7214" s="106" t="s">
        <v>27</v>
      </c>
      <c r="O7214" s="78"/>
      <c r="P7214" s="107">
        <v>0.3</v>
      </c>
      <c r="Q7214" s="108">
        <v>0.4</v>
      </c>
      <c r="R7214" s="45" t="str">
        <f t="shared" si="587"/>
        <v>HOFFLIGHTS</v>
      </c>
    </row>
    <row r="7215" spans="1:18" customFormat="1" ht="27" customHeight="1" x14ac:dyDescent="0.25">
      <c r="A7215" s="105" t="s">
        <v>13983</v>
      </c>
      <c r="H7215" t="s">
        <v>14768</v>
      </c>
      <c r="I7215" t="s">
        <v>14769</v>
      </c>
      <c r="J7215" s="34" t="s">
        <v>26</v>
      </c>
      <c r="K7215" s="77">
        <v>6.7859999999999996</v>
      </c>
      <c r="L7215" s="12">
        <f t="shared" si="588"/>
        <v>14.702999999999999</v>
      </c>
      <c r="M7215" s="106">
        <v>1</v>
      </c>
      <c r="N7215" s="106" t="s">
        <v>27</v>
      </c>
      <c r="O7215" s="78"/>
      <c r="P7215" s="107">
        <v>0.3</v>
      </c>
      <c r="Q7215" s="108">
        <v>0.4</v>
      </c>
      <c r="R7215" s="45" t="str">
        <f t="shared" si="587"/>
        <v>HOFFLIGHTS</v>
      </c>
    </row>
    <row r="7216" spans="1:18" customFormat="1" ht="27" customHeight="1" x14ac:dyDescent="0.25">
      <c r="A7216" s="105" t="s">
        <v>13983</v>
      </c>
      <c r="H7216" t="s">
        <v>14770</v>
      </c>
      <c r="I7216" t="s">
        <v>14771</v>
      </c>
      <c r="J7216" s="34" t="s">
        <v>26</v>
      </c>
      <c r="K7216" s="77">
        <v>0.58499999999999996</v>
      </c>
      <c r="L7216" s="12">
        <f t="shared" si="588"/>
        <v>1.2675000000000001</v>
      </c>
      <c r="M7216" s="106">
        <v>1</v>
      </c>
      <c r="N7216" s="106" t="s">
        <v>27</v>
      </c>
      <c r="O7216" s="78"/>
      <c r="P7216" s="107">
        <v>0.3</v>
      </c>
      <c r="Q7216" s="108">
        <v>0.4</v>
      </c>
      <c r="R7216" s="45" t="str">
        <f t="shared" si="587"/>
        <v>HOFFLIGHTS</v>
      </c>
    </row>
    <row r="7217" spans="1:18" customFormat="1" ht="27" customHeight="1" x14ac:dyDescent="0.25">
      <c r="A7217" s="105" t="s">
        <v>13983</v>
      </c>
      <c r="H7217" t="s">
        <v>14772</v>
      </c>
      <c r="I7217" t="s">
        <v>14773</v>
      </c>
      <c r="J7217" s="34" t="s">
        <v>26</v>
      </c>
      <c r="K7217" s="77">
        <v>19.158750000000001</v>
      </c>
      <c r="L7217" s="12">
        <f t="shared" si="588"/>
        <v>41.510625000000012</v>
      </c>
      <c r="M7217" s="106">
        <v>1</v>
      </c>
      <c r="N7217" s="106" t="s">
        <v>27</v>
      </c>
      <c r="O7217" s="78"/>
      <c r="P7217" s="107">
        <v>0.3</v>
      </c>
      <c r="Q7217" s="108">
        <v>0.4</v>
      </c>
      <c r="R7217" s="45" t="str">
        <f t="shared" si="587"/>
        <v>HOFFLIGHTS</v>
      </c>
    </row>
    <row r="7218" spans="1:18" customFormat="1" ht="27" customHeight="1" x14ac:dyDescent="0.25">
      <c r="A7218" s="105" t="s">
        <v>13983</v>
      </c>
      <c r="H7218" t="s">
        <v>14774</v>
      </c>
      <c r="I7218" t="s">
        <v>14775</v>
      </c>
      <c r="J7218" s="34" t="s">
        <v>26</v>
      </c>
      <c r="K7218" s="77">
        <v>19.158750000000001</v>
      </c>
      <c r="L7218" s="12">
        <f t="shared" si="588"/>
        <v>41.510625000000012</v>
      </c>
      <c r="M7218" s="106">
        <v>1</v>
      </c>
      <c r="N7218" s="106" t="s">
        <v>27</v>
      </c>
      <c r="O7218" s="78"/>
      <c r="P7218" s="107">
        <v>0.3</v>
      </c>
      <c r="Q7218" s="108">
        <v>0.4</v>
      </c>
      <c r="R7218" s="45" t="str">
        <f t="shared" si="587"/>
        <v>HOFFLIGHTS</v>
      </c>
    </row>
    <row r="7219" spans="1:18" customFormat="1" ht="27" customHeight="1" x14ac:dyDescent="0.25">
      <c r="A7219" s="105" t="s">
        <v>13983</v>
      </c>
      <c r="H7219" t="s">
        <v>14776</v>
      </c>
      <c r="I7219" t="s">
        <v>14777</v>
      </c>
      <c r="J7219" s="34" t="s">
        <v>26</v>
      </c>
      <c r="K7219" s="77">
        <v>19.158750000000001</v>
      </c>
      <c r="L7219" s="12">
        <f t="shared" si="588"/>
        <v>41.510625000000012</v>
      </c>
      <c r="M7219" s="106">
        <v>1</v>
      </c>
      <c r="N7219" s="106" t="s">
        <v>27</v>
      </c>
      <c r="O7219" s="78"/>
      <c r="P7219" s="107">
        <v>0.3</v>
      </c>
      <c r="Q7219" s="108">
        <v>0.4</v>
      </c>
      <c r="R7219" s="45" t="str">
        <f t="shared" si="587"/>
        <v>HOFFLIGHTS</v>
      </c>
    </row>
    <row r="7220" spans="1:18" customFormat="1" ht="27" customHeight="1" x14ac:dyDescent="0.25">
      <c r="A7220" s="105" t="s">
        <v>13983</v>
      </c>
      <c r="H7220" t="s">
        <v>14778</v>
      </c>
      <c r="I7220" t="s">
        <v>14779</v>
      </c>
      <c r="J7220" s="34" t="s">
        <v>26</v>
      </c>
      <c r="K7220" s="77">
        <v>40.950000000000003</v>
      </c>
      <c r="L7220" s="12">
        <f t="shared" si="588"/>
        <v>88.725000000000009</v>
      </c>
      <c r="M7220" s="106">
        <v>1</v>
      </c>
      <c r="N7220" s="106" t="s">
        <v>27</v>
      </c>
      <c r="O7220" s="78"/>
      <c r="P7220" s="107">
        <v>0.3</v>
      </c>
      <c r="Q7220" s="108">
        <v>0.4</v>
      </c>
      <c r="R7220" s="45" t="str">
        <f t="shared" si="587"/>
        <v>HOFFLIGHTS</v>
      </c>
    </row>
    <row r="7221" spans="1:18" customFormat="1" ht="27" customHeight="1" x14ac:dyDescent="0.25">
      <c r="A7221" s="105" t="s">
        <v>13983</v>
      </c>
      <c r="H7221" t="s">
        <v>14780</v>
      </c>
      <c r="I7221" t="s">
        <v>14781</v>
      </c>
      <c r="J7221" s="34" t="s">
        <v>26</v>
      </c>
      <c r="K7221" s="77">
        <v>77.22</v>
      </c>
      <c r="L7221" s="12">
        <f t="shared" si="588"/>
        <v>167.31</v>
      </c>
      <c r="M7221" s="106">
        <v>1</v>
      </c>
      <c r="N7221" s="106" t="s">
        <v>27</v>
      </c>
      <c r="O7221" s="78"/>
      <c r="P7221" s="107">
        <v>0.3</v>
      </c>
      <c r="Q7221" s="108">
        <v>0.4</v>
      </c>
      <c r="R7221" s="45" t="str">
        <f t="shared" si="587"/>
        <v>HOFFLIGHTS</v>
      </c>
    </row>
    <row r="7222" spans="1:18" customFormat="1" ht="27" customHeight="1" x14ac:dyDescent="0.25">
      <c r="A7222" s="105" t="s">
        <v>13983</v>
      </c>
      <c r="H7222" t="s">
        <v>14782</v>
      </c>
      <c r="I7222" t="s">
        <v>14783</v>
      </c>
      <c r="J7222" s="34" t="s">
        <v>26</v>
      </c>
      <c r="K7222" s="77">
        <v>1.5794999999999999</v>
      </c>
      <c r="L7222" s="12">
        <f t="shared" si="588"/>
        <v>3.42225</v>
      </c>
      <c r="M7222" s="106">
        <v>1</v>
      </c>
      <c r="N7222" s="106" t="s">
        <v>27</v>
      </c>
      <c r="O7222" s="78"/>
      <c r="P7222" s="107">
        <v>0.3</v>
      </c>
      <c r="Q7222" s="108">
        <v>0.4</v>
      </c>
      <c r="R7222" s="45" t="str">
        <f t="shared" si="587"/>
        <v>HOFFLIGHTS</v>
      </c>
    </row>
    <row r="7223" spans="1:18" customFormat="1" ht="27" customHeight="1" x14ac:dyDescent="0.25">
      <c r="A7223" s="105" t="s">
        <v>13983</v>
      </c>
      <c r="H7223" t="s">
        <v>14784</v>
      </c>
      <c r="I7223" t="s">
        <v>14785</v>
      </c>
      <c r="J7223" s="34" t="s">
        <v>26</v>
      </c>
      <c r="K7223" s="77">
        <v>19.158750000000001</v>
      </c>
      <c r="L7223" s="12">
        <f t="shared" si="588"/>
        <v>41.510625000000012</v>
      </c>
      <c r="M7223" s="106">
        <v>1</v>
      </c>
      <c r="N7223" s="106" t="s">
        <v>27</v>
      </c>
      <c r="O7223" s="78"/>
      <c r="P7223" s="107">
        <v>0.3</v>
      </c>
      <c r="Q7223" s="108">
        <v>0.4</v>
      </c>
      <c r="R7223" s="45" t="str">
        <f t="shared" si="587"/>
        <v>HOFFLIGHTS</v>
      </c>
    </row>
    <row r="7224" spans="1:18" customFormat="1" ht="27" customHeight="1" x14ac:dyDescent="0.25">
      <c r="A7224" s="105" t="s">
        <v>13983</v>
      </c>
      <c r="H7224" t="s">
        <v>14786</v>
      </c>
      <c r="I7224" t="s">
        <v>14787</v>
      </c>
      <c r="J7224" s="34" t="s">
        <v>26</v>
      </c>
      <c r="K7224" s="77">
        <v>19.158750000000001</v>
      </c>
      <c r="L7224" s="12">
        <f t="shared" si="588"/>
        <v>41.510625000000012</v>
      </c>
      <c r="M7224" s="106">
        <v>1</v>
      </c>
      <c r="N7224" s="106" t="s">
        <v>27</v>
      </c>
      <c r="O7224" s="78"/>
      <c r="P7224" s="107">
        <v>0.3</v>
      </c>
      <c r="Q7224" s="108">
        <v>0.4</v>
      </c>
      <c r="R7224" s="45" t="str">
        <f t="shared" si="587"/>
        <v>HOFFLIGHTS</v>
      </c>
    </row>
    <row r="7225" spans="1:18" customFormat="1" ht="27" customHeight="1" x14ac:dyDescent="0.25">
      <c r="A7225" s="105" t="s">
        <v>13983</v>
      </c>
      <c r="H7225" t="s">
        <v>14788</v>
      </c>
      <c r="I7225" t="s">
        <v>14789</v>
      </c>
      <c r="J7225" s="34" t="s">
        <v>26</v>
      </c>
      <c r="K7225" s="77">
        <v>19.158750000000001</v>
      </c>
      <c r="L7225" s="12">
        <f t="shared" si="588"/>
        <v>41.510625000000012</v>
      </c>
      <c r="M7225" s="106">
        <v>1</v>
      </c>
      <c r="N7225" s="106" t="s">
        <v>27</v>
      </c>
      <c r="O7225" s="78"/>
      <c r="P7225" s="107">
        <v>0.3</v>
      </c>
      <c r="Q7225" s="108">
        <v>0.4</v>
      </c>
      <c r="R7225" s="45" t="str">
        <f t="shared" si="587"/>
        <v>HOFFLIGHTS</v>
      </c>
    </row>
    <row r="7226" spans="1:18" customFormat="1" ht="27" customHeight="1" x14ac:dyDescent="0.25">
      <c r="A7226" s="105" t="s">
        <v>13983</v>
      </c>
      <c r="H7226" t="s">
        <v>14790</v>
      </c>
      <c r="I7226" t="s">
        <v>14791</v>
      </c>
      <c r="J7226" s="34" t="s">
        <v>26</v>
      </c>
      <c r="K7226" s="77">
        <v>47.677499999999988</v>
      </c>
      <c r="L7226" s="12">
        <f t="shared" si="588"/>
        <v>103.30124999999998</v>
      </c>
      <c r="M7226" s="106">
        <v>1</v>
      </c>
      <c r="N7226" s="106" t="s">
        <v>27</v>
      </c>
      <c r="O7226" s="78"/>
      <c r="P7226" s="107">
        <v>0.3</v>
      </c>
      <c r="Q7226" s="108">
        <v>0.4</v>
      </c>
      <c r="R7226" s="45" t="str">
        <f t="shared" si="587"/>
        <v>HOFFLIGHTS</v>
      </c>
    </row>
    <row r="7227" spans="1:18" customFormat="1" ht="27" customHeight="1" x14ac:dyDescent="0.25">
      <c r="A7227" s="105" t="s">
        <v>13983</v>
      </c>
      <c r="H7227" t="s">
        <v>14792</v>
      </c>
      <c r="I7227" t="s">
        <v>14793</v>
      </c>
      <c r="J7227" s="34" t="s">
        <v>26</v>
      </c>
      <c r="K7227" s="77">
        <v>91.844999999999999</v>
      </c>
      <c r="L7227" s="12">
        <f t="shared" si="588"/>
        <v>198.9975</v>
      </c>
      <c r="M7227" s="106">
        <v>1</v>
      </c>
      <c r="N7227" s="106" t="s">
        <v>27</v>
      </c>
      <c r="O7227" s="78"/>
      <c r="P7227" s="107">
        <v>0.3</v>
      </c>
      <c r="Q7227" s="108">
        <v>0.4</v>
      </c>
      <c r="R7227" s="45" t="str">
        <f t="shared" si="587"/>
        <v>HOFFLIGHTS</v>
      </c>
    </row>
    <row r="7228" spans="1:18" customFormat="1" ht="27" customHeight="1" x14ac:dyDescent="0.25">
      <c r="A7228" s="105" t="s">
        <v>13983</v>
      </c>
      <c r="H7228" t="s">
        <v>14794</v>
      </c>
      <c r="I7228" t="s">
        <v>14795</v>
      </c>
      <c r="J7228" s="34" t="s">
        <v>26</v>
      </c>
      <c r="K7228" s="77">
        <v>0.78974999999999995</v>
      </c>
      <c r="L7228" s="12">
        <f t="shared" si="588"/>
        <v>1.711125</v>
      </c>
      <c r="M7228" s="106">
        <v>1</v>
      </c>
      <c r="N7228" s="106" t="s">
        <v>27</v>
      </c>
      <c r="O7228" s="78"/>
      <c r="P7228" s="107">
        <v>0.3</v>
      </c>
      <c r="Q7228" s="108">
        <v>0.4</v>
      </c>
      <c r="R7228" s="45" t="str">
        <f t="shared" si="587"/>
        <v>HOFFLIGHTS</v>
      </c>
    </row>
    <row r="7229" spans="1:18" customFormat="1" ht="27" customHeight="1" x14ac:dyDescent="0.25">
      <c r="A7229" s="105" t="s">
        <v>13983</v>
      </c>
      <c r="H7229" t="s">
        <v>14796</v>
      </c>
      <c r="I7229" t="s">
        <v>14797</v>
      </c>
      <c r="J7229" s="34" t="s">
        <v>26</v>
      </c>
      <c r="K7229" s="77">
        <v>26.032499999999999</v>
      </c>
      <c r="L7229" s="12">
        <f t="shared" si="588"/>
        <v>56.403750000000002</v>
      </c>
      <c r="M7229" s="106">
        <v>1</v>
      </c>
      <c r="N7229" s="106" t="s">
        <v>27</v>
      </c>
      <c r="O7229" s="78"/>
      <c r="P7229" s="107">
        <v>0.3</v>
      </c>
      <c r="Q7229" s="108">
        <v>0.4</v>
      </c>
      <c r="R7229" s="45" t="str">
        <f t="shared" si="587"/>
        <v>HOFFLIGHTS</v>
      </c>
    </row>
    <row r="7230" spans="1:18" customFormat="1" ht="27" customHeight="1" x14ac:dyDescent="0.25">
      <c r="A7230" s="105" t="s">
        <v>13983</v>
      </c>
      <c r="H7230" t="s">
        <v>14798</v>
      </c>
      <c r="I7230" t="s">
        <v>14799</v>
      </c>
      <c r="J7230" s="34" t="s">
        <v>26</v>
      </c>
      <c r="K7230" s="77">
        <v>26.032499999999999</v>
      </c>
      <c r="L7230" s="12">
        <f t="shared" si="588"/>
        <v>56.403750000000002</v>
      </c>
      <c r="M7230" s="106">
        <v>1</v>
      </c>
      <c r="N7230" s="106" t="s">
        <v>27</v>
      </c>
      <c r="O7230" s="78"/>
      <c r="P7230" s="107">
        <v>0.3</v>
      </c>
      <c r="Q7230" s="108">
        <v>0.4</v>
      </c>
      <c r="R7230" s="45" t="str">
        <f t="shared" ref="R7230:R7293" si="589">A7230</f>
        <v>HOFFLIGHTS</v>
      </c>
    </row>
    <row r="7231" spans="1:18" customFormat="1" ht="27" customHeight="1" x14ac:dyDescent="0.25">
      <c r="A7231" s="105" t="s">
        <v>13983</v>
      </c>
      <c r="H7231" t="s">
        <v>14800</v>
      </c>
      <c r="I7231" t="s">
        <v>14801</v>
      </c>
      <c r="J7231" s="34" t="s">
        <v>26</v>
      </c>
      <c r="K7231" s="77">
        <v>26.91</v>
      </c>
      <c r="L7231" s="12">
        <f t="shared" si="588"/>
        <v>58.305000000000007</v>
      </c>
      <c r="M7231" s="106">
        <v>1</v>
      </c>
      <c r="N7231" s="106" t="s">
        <v>27</v>
      </c>
      <c r="O7231" s="78"/>
      <c r="P7231" s="107">
        <v>0.3</v>
      </c>
      <c r="Q7231" s="108">
        <v>0.4</v>
      </c>
      <c r="R7231" s="45" t="str">
        <f t="shared" si="589"/>
        <v>HOFFLIGHTS</v>
      </c>
    </row>
    <row r="7232" spans="1:18" customFormat="1" ht="27" customHeight="1" x14ac:dyDescent="0.25">
      <c r="A7232" s="105" t="s">
        <v>13983</v>
      </c>
      <c r="H7232" t="s">
        <v>14802</v>
      </c>
      <c r="I7232" t="s">
        <v>14803</v>
      </c>
      <c r="J7232" s="34" t="s">
        <v>26</v>
      </c>
      <c r="K7232" s="77">
        <v>19.5975</v>
      </c>
      <c r="L7232" s="12">
        <f t="shared" si="588"/>
        <v>42.461250000000007</v>
      </c>
      <c r="M7232" s="106">
        <v>1</v>
      </c>
      <c r="N7232" s="106" t="s">
        <v>27</v>
      </c>
      <c r="O7232" s="78"/>
      <c r="P7232" s="107">
        <v>0.3</v>
      </c>
      <c r="Q7232" s="108">
        <v>0.4</v>
      </c>
      <c r="R7232" s="45" t="str">
        <f t="shared" si="589"/>
        <v>HOFFLIGHTS</v>
      </c>
    </row>
    <row r="7233" spans="1:18" customFormat="1" ht="27" customHeight="1" x14ac:dyDescent="0.25">
      <c r="A7233" s="105" t="s">
        <v>13983</v>
      </c>
      <c r="H7233" t="s">
        <v>14804</v>
      </c>
      <c r="I7233" t="s">
        <v>14805</v>
      </c>
      <c r="J7233" s="34" t="s">
        <v>26</v>
      </c>
      <c r="K7233" s="77">
        <v>10.5885</v>
      </c>
      <c r="L7233" s="12">
        <f t="shared" si="588"/>
        <v>22.941750000000003</v>
      </c>
      <c r="M7233" s="106">
        <v>1</v>
      </c>
      <c r="N7233" s="106" t="s">
        <v>27</v>
      </c>
      <c r="O7233" s="78"/>
      <c r="P7233" s="107">
        <v>0.3</v>
      </c>
      <c r="Q7233" s="108">
        <v>0.4</v>
      </c>
      <c r="R7233" s="45" t="str">
        <f t="shared" si="589"/>
        <v>HOFFLIGHTS</v>
      </c>
    </row>
    <row r="7234" spans="1:18" customFormat="1" ht="27" customHeight="1" x14ac:dyDescent="0.25">
      <c r="A7234" s="105" t="s">
        <v>13983</v>
      </c>
      <c r="H7234" t="s">
        <v>14806</v>
      </c>
      <c r="I7234" t="s">
        <v>14807</v>
      </c>
      <c r="J7234" s="34" t="s">
        <v>26</v>
      </c>
      <c r="K7234" s="77">
        <v>10.5885</v>
      </c>
      <c r="L7234" s="12">
        <f t="shared" si="588"/>
        <v>22.941750000000003</v>
      </c>
      <c r="M7234" s="106">
        <v>1</v>
      </c>
      <c r="N7234" s="106" t="s">
        <v>27</v>
      </c>
      <c r="O7234" s="78"/>
      <c r="P7234" s="107">
        <v>0.3</v>
      </c>
      <c r="Q7234" s="108">
        <v>0.4</v>
      </c>
      <c r="R7234" s="45" t="str">
        <f t="shared" si="589"/>
        <v>HOFFLIGHTS</v>
      </c>
    </row>
    <row r="7235" spans="1:18" customFormat="1" ht="27" customHeight="1" x14ac:dyDescent="0.25">
      <c r="A7235" s="105" t="s">
        <v>13983</v>
      </c>
      <c r="H7235" t="s">
        <v>14808</v>
      </c>
      <c r="I7235" t="s">
        <v>14809</v>
      </c>
      <c r="J7235" s="34" t="s">
        <v>26</v>
      </c>
      <c r="K7235" s="77">
        <v>16.087499999999999</v>
      </c>
      <c r="L7235" s="12">
        <f t="shared" si="588"/>
        <v>34.856250000000003</v>
      </c>
      <c r="M7235" s="106">
        <v>1</v>
      </c>
      <c r="N7235" s="106" t="s">
        <v>27</v>
      </c>
      <c r="O7235" s="78"/>
      <c r="P7235" s="107">
        <v>0.3</v>
      </c>
      <c r="Q7235" s="108">
        <v>0.4</v>
      </c>
      <c r="R7235" s="45" t="str">
        <f t="shared" si="589"/>
        <v>HOFFLIGHTS</v>
      </c>
    </row>
    <row r="7236" spans="1:18" customFormat="1" ht="27" customHeight="1" x14ac:dyDescent="0.25">
      <c r="A7236" s="105" t="s">
        <v>13983</v>
      </c>
      <c r="H7236" t="s">
        <v>14810</v>
      </c>
      <c r="I7236" t="s">
        <v>14811</v>
      </c>
      <c r="J7236" s="34" t="s">
        <v>26</v>
      </c>
      <c r="K7236" s="77">
        <v>20.036249999999999</v>
      </c>
      <c r="L7236" s="12">
        <f t="shared" si="588"/>
        <v>43.411875000000002</v>
      </c>
      <c r="M7236" s="106">
        <v>1</v>
      </c>
      <c r="N7236" s="106" t="s">
        <v>27</v>
      </c>
      <c r="O7236" s="78"/>
      <c r="P7236" s="107">
        <v>0.3</v>
      </c>
      <c r="Q7236" s="108">
        <v>0.4</v>
      </c>
      <c r="R7236" s="45" t="str">
        <f t="shared" si="589"/>
        <v>HOFFLIGHTS</v>
      </c>
    </row>
    <row r="7237" spans="1:18" customFormat="1" ht="27" customHeight="1" x14ac:dyDescent="0.25">
      <c r="A7237" s="105" t="s">
        <v>13983</v>
      </c>
      <c r="H7237" t="s">
        <v>14812</v>
      </c>
      <c r="I7237" t="s">
        <v>14813</v>
      </c>
      <c r="J7237" s="34" t="s">
        <v>26</v>
      </c>
      <c r="K7237" s="77">
        <v>20.91375</v>
      </c>
      <c r="L7237" s="12">
        <f t="shared" si="588"/>
        <v>45.313125000000007</v>
      </c>
      <c r="M7237" s="106">
        <v>1</v>
      </c>
      <c r="N7237" s="106" t="s">
        <v>27</v>
      </c>
      <c r="O7237" s="78"/>
      <c r="P7237" s="107">
        <v>0.3</v>
      </c>
      <c r="Q7237" s="108">
        <v>0.4</v>
      </c>
      <c r="R7237" s="45" t="str">
        <f t="shared" si="589"/>
        <v>HOFFLIGHTS</v>
      </c>
    </row>
    <row r="7238" spans="1:18" customFormat="1" ht="27" customHeight="1" x14ac:dyDescent="0.25">
      <c r="A7238" s="105" t="s">
        <v>13983</v>
      </c>
      <c r="H7238" t="s">
        <v>14814</v>
      </c>
      <c r="I7238" t="s">
        <v>14815</v>
      </c>
      <c r="J7238" s="34" t="s">
        <v>26</v>
      </c>
      <c r="K7238" s="77">
        <v>11.5245</v>
      </c>
      <c r="L7238" s="12">
        <f t="shared" si="588"/>
        <v>24.969750000000001</v>
      </c>
      <c r="M7238" s="106">
        <v>1</v>
      </c>
      <c r="N7238" s="106" t="s">
        <v>27</v>
      </c>
      <c r="O7238" s="78"/>
      <c r="P7238" s="107">
        <v>0.3</v>
      </c>
      <c r="Q7238" s="108">
        <v>0.4</v>
      </c>
      <c r="R7238" s="45" t="str">
        <f t="shared" si="589"/>
        <v>HOFFLIGHTS</v>
      </c>
    </row>
    <row r="7239" spans="1:18" customFormat="1" ht="27" customHeight="1" x14ac:dyDescent="0.25">
      <c r="A7239" s="105" t="s">
        <v>13983</v>
      </c>
      <c r="H7239" t="s">
        <v>14816</v>
      </c>
      <c r="I7239" t="s">
        <v>14817</v>
      </c>
      <c r="J7239" s="34" t="s">
        <v>26</v>
      </c>
      <c r="K7239" s="77">
        <v>58.441499999999998</v>
      </c>
      <c r="L7239" s="12">
        <f t="shared" si="588"/>
        <v>126.62325000000001</v>
      </c>
      <c r="M7239" s="106">
        <v>1</v>
      </c>
      <c r="N7239" s="106" t="s">
        <v>27</v>
      </c>
      <c r="O7239" s="78"/>
      <c r="P7239" s="107">
        <v>0.3</v>
      </c>
      <c r="Q7239" s="108">
        <v>0.4</v>
      </c>
      <c r="R7239" s="45" t="str">
        <f t="shared" si="589"/>
        <v>HOFFLIGHTS</v>
      </c>
    </row>
    <row r="7240" spans="1:18" customFormat="1" ht="27" customHeight="1" x14ac:dyDescent="0.25">
      <c r="A7240" s="105" t="s">
        <v>13983</v>
      </c>
      <c r="H7240" t="s">
        <v>14818</v>
      </c>
      <c r="I7240" t="s">
        <v>14819</v>
      </c>
      <c r="J7240" s="34" t="s">
        <v>26</v>
      </c>
      <c r="K7240" s="77">
        <v>70.784999999999997</v>
      </c>
      <c r="L7240" s="12">
        <f t="shared" si="588"/>
        <v>153.36750000000001</v>
      </c>
      <c r="M7240" s="106">
        <v>1</v>
      </c>
      <c r="N7240" s="106" t="s">
        <v>27</v>
      </c>
      <c r="O7240" s="78"/>
      <c r="P7240" s="107">
        <v>0.3</v>
      </c>
      <c r="Q7240" s="108">
        <v>0.4</v>
      </c>
      <c r="R7240" s="45" t="str">
        <f t="shared" si="589"/>
        <v>HOFFLIGHTS</v>
      </c>
    </row>
    <row r="7241" spans="1:18" customFormat="1" ht="27" customHeight="1" x14ac:dyDescent="0.25">
      <c r="A7241" s="105" t="s">
        <v>13983</v>
      </c>
      <c r="H7241" t="s">
        <v>14820</v>
      </c>
      <c r="I7241" t="s">
        <v>14821</v>
      </c>
      <c r="J7241" s="34" t="s">
        <v>26</v>
      </c>
      <c r="K7241" s="77">
        <v>32.467500000000001</v>
      </c>
      <c r="L7241" s="12">
        <f t="shared" si="588"/>
        <v>70.346250000000012</v>
      </c>
      <c r="M7241" s="106">
        <v>1</v>
      </c>
      <c r="N7241" s="106" t="s">
        <v>27</v>
      </c>
      <c r="O7241" s="78"/>
      <c r="P7241" s="107">
        <v>0.3</v>
      </c>
      <c r="Q7241" s="108">
        <v>0.4</v>
      </c>
      <c r="R7241" s="45" t="str">
        <f t="shared" si="589"/>
        <v>HOFFLIGHTS</v>
      </c>
    </row>
    <row r="7242" spans="1:18" customFormat="1" ht="27" customHeight="1" x14ac:dyDescent="0.25">
      <c r="A7242" s="105" t="s">
        <v>13983</v>
      </c>
      <c r="H7242" t="s">
        <v>14822</v>
      </c>
      <c r="I7242" t="s">
        <v>14823</v>
      </c>
      <c r="J7242" s="34" t="s">
        <v>26</v>
      </c>
      <c r="K7242" s="77">
        <v>21.352499999999999</v>
      </c>
      <c r="L7242" s="12">
        <f t="shared" si="588"/>
        <v>46.263750000000002</v>
      </c>
      <c r="M7242" s="106">
        <v>1</v>
      </c>
      <c r="N7242" s="106" t="s">
        <v>27</v>
      </c>
      <c r="O7242" s="78"/>
      <c r="P7242" s="107">
        <v>0.3</v>
      </c>
      <c r="Q7242" s="108">
        <v>0.4</v>
      </c>
      <c r="R7242" s="45" t="str">
        <f t="shared" si="589"/>
        <v>HOFFLIGHTS</v>
      </c>
    </row>
    <row r="7243" spans="1:18" customFormat="1" ht="27" customHeight="1" x14ac:dyDescent="0.25">
      <c r="A7243" s="105" t="s">
        <v>13983</v>
      </c>
      <c r="H7243" t="s">
        <v>14824</v>
      </c>
      <c r="I7243" t="s">
        <v>14825</v>
      </c>
      <c r="J7243" s="34" t="s">
        <v>26</v>
      </c>
      <c r="K7243" s="77">
        <v>3.5684999999999998</v>
      </c>
      <c r="L7243" s="12">
        <f t="shared" si="588"/>
        <v>7.7317500000000008</v>
      </c>
      <c r="M7243" s="106">
        <v>1</v>
      </c>
      <c r="N7243" s="106" t="s">
        <v>27</v>
      </c>
      <c r="O7243" s="78"/>
      <c r="P7243" s="107">
        <v>0.3</v>
      </c>
      <c r="Q7243" s="108">
        <v>0.4</v>
      </c>
      <c r="R7243" s="45" t="str">
        <f t="shared" si="589"/>
        <v>HOFFLIGHTS</v>
      </c>
    </row>
    <row r="7244" spans="1:18" customFormat="1" ht="27" customHeight="1" x14ac:dyDescent="0.25">
      <c r="A7244" s="105" t="s">
        <v>13983</v>
      </c>
      <c r="H7244" t="s">
        <v>14826</v>
      </c>
      <c r="I7244" t="s">
        <v>14827</v>
      </c>
      <c r="J7244" s="34" t="s">
        <v>26</v>
      </c>
      <c r="K7244" s="77">
        <v>8.7164999999999999</v>
      </c>
      <c r="L7244" s="12">
        <f t="shared" si="588"/>
        <v>18.885750000000002</v>
      </c>
      <c r="M7244" s="106">
        <v>1</v>
      </c>
      <c r="N7244" s="106" t="s">
        <v>27</v>
      </c>
      <c r="O7244" s="78"/>
      <c r="P7244" s="107">
        <v>0.3</v>
      </c>
      <c r="Q7244" s="108">
        <v>0.4</v>
      </c>
      <c r="R7244" s="45" t="str">
        <f t="shared" si="589"/>
        <v>HOFFLIGHTS</v>
      </c>
    </row>
    <row r="7245" spans="1:18" customFormat="1" ht="27" customHeight="1" x14ac:dyDescent="0.25">
      <c r="A7245" s="105" t="s">
        <v>13983</v>
      </c>
      <c r="H7245" t="s">
        <v>14828</v>
      </c>
      <c r="I7245" t="s">
        <v>14829</v>
      </c>
      <c r="J7245" s="34" t="s">
        <v>26</v>
      </c>
      <c r="K7245" s="77">
        <v>23.4</v>
      </c>
      <c r="L7245" s="12">
        <f t="shared" si="588"/>
        <v>50.699999999999996</v>
      </c>
      <c r="M7245" s="106">
        <v>1</v>
      </c>
      <c r="N7245" s="106" t="s">
        <v>27</v>
      </c>
      <c r="O7245" s="78"/>
      <c r="P7245" s="107">
        <v>0.3</v>
      </c>
      <c r="Q7245" s="108">
        <v>0.4</v>
      </c>
      <c r="R7245" s="45" t="str">
        <f t="shared" si="589"/>
        <v>HOFFLIGHTS</v>
      </c>
    </row>
    <row r="7246" spans="1:18" customFormat="1" ht="27" customHeight="1" x14ac:dyDescent="0.25">
      <c r="A7246" s="105" t="s">
        <v>13983</v>
      </c>
      <c r="H7246" t="s">
        <v>14830</v>
      </c>
      <c r="I7246" t="s">
        <v>14831</v>
      </c>
      <c r="J7246" s="34" t="s">
        <v>26</v>
      </c>
      <c r="K7246" s="77">
        <v>31.004999999999999</v>
      </c>
      <c r="L7246" s="12">
        <f t="shared" si="588"/>
        <v>67.177500000000009</v>
      </c>
      <c r="M7246" s="106">
        <v>1</v>
      </c>
      <c r="N7246" s="106" t="s">
        <v>27</v>
      </c>
      <c r="O7246" s="78"/>
      <c r="P7246" s="107">
        <v>0.3</v>
      </c>
      <c r="Q7246" s="108">
        <v>0.4</v>
      </c>
      <c r="R7246" s="45" t="str">
        <f t="shared" si="589"/>
        <v>HOFFLIGHTS</v>
      </c>
    </row>
    <row r="7247" spans="1:18" customFormat="1" ht="27" customHeight="1" x14ac:dyDescent="0.25">
      <c r="A7247" s="105" t="s">
        <v>13983</v>
      </c>
      <c r="H7247" t="s">
        <v>14832</v>
      </c>
      <c r="I7247" t="s">
        <v>14833</v>
      </c>
      <c r="J7247" s="34" t="s">
        <v>26</v>
      </c>
      <c r="K7247" s="77">
        <v>42.704999999999998</v>
      </c>
      <c r="L7247" s="12">
        <f t="shared" si="588"/>
        <v>92.527500000000003</v>
      </c>
      <c r="M7247" s="106">
        <v>1</v>
      </c>
      <c r="N7247" s="106" t="s">
        <v>27</v>
      </c>
      <c r="O7247" s="78"/>
      <c r="P7247" s="107">
        <v>0.3</v>
      </c>
      <c r="Q7247" s="108">
        <v>0.4</v>
      </c>
      <c r="R7247" s="45" t="str">
        <f t="shared" si="589"/>
        <v>HOFFLIGHTS</v>
      </c>
    </row>
    <row r="7248" spans="1:18" customFormat="1" ht="27" customHeight="1" x14ac:dyDescent="0.25">
      <c r="A7248" s="105" t="s">
        <v>13983</v>
      </c>
      <c r="H7248" t="s">
        <v>14834</v>
      </c>
      <c r="I7248" t="s">
        <v>14835</v>
      </c>
      <c r="J7248" s="34" t="s">
        <v>26</v>
      </c>
      <c r="K7248" s="77">
        <v>90.089999999999989</v>
      </c>
      <c r="L7248" s="12">
        <f t="shared" si="588"/>
        <v>195.19499999999999</v>
      </c>
      <c r="M7248" s="106">
        <v>1</v>
      </c>
      <c r="N7248" s="106" t="s">
        <v>27</v>
      </c>
      <c r="O7248" s="78"/>
      <c r="P7248" s="107">
        <v>0.3</v>
      </c>
      <c r="Q7248" s="108">
        <v>0.4</v>
      </c>
      <c r="R7248" s="45" t="str">
        <f t="shared" si="589"/>
        <v>HOFFLIGHTS</v>
      </c>
    </row>
    <row r="7249" spans="1:18" customFormat="1" ht="27" customHeight="1" x14ac:dyDescent="0.25">
      <c r="A7249" s="105" t="s">
        <v>13983</v>
      </c>
      <c r="H7249" t="s">
        <v>14836</v>
      </c>
      <c r="I7249" t="s">
        <v>14837</v>
      </c>
      <c r="J7249" s="34" t="s">
        <v>26</v>
      </c>
      <c r="K7249" s="77">
        <v>35.392499999999998</v>
      </c>
      <c r="L7249" s="12">
        <f t="shared" si="588"/>
        <v>76.683750000000003</v>
      </c>
      <c r="M7249" s="106">
        <v>1</v>
      </c>
      <c r="N7249" s="106" t="s">
        <v>27</v>
      </c>
      <c r="O7249" s="78"/>
      <c r="P7249" s="107">
        <v>0.3</v>
      </c>
      <c r="Q7249" s="108">
        <v>0.4</v>
      </c>
      <c r="R7249" s="45" t="str">
        <f t="shared" si="589"/>
        <v>HOFFLIGHTS</v>
      </c>
    </row>
    <row r="7250" spans="1:18" customFormat="1" ht="27" customHeight="1" x14ac:dyDescent="0.25">
      <c r="A7250" s="105" t="s">
        <v>13983</v>
      </c>
      <c r="H7250" t="s">
        <v>14838</v>
      </c>
      <c r="I7250" t="s">
        <v>14839</v>
      </c>
      <c r="J7250" s="34" t="s">
        <v>26</v>
      </c>
      <c r="K7250" s="77">
        <v>11.641500000000001</v>
      </c>
      <c r="L7250" s="12">
        <f t="shared" si="588"/>
        <v>25.22325</v>
      </c>
      <c r="M7250" s="106">
        <v>1</v>
      </c>
      <c r="N7250" s="106" t="s">
        <v>27</v>
      </c>
      <c r="O7250" s="78"/>
      <c r="P7250" s="107">
        <v>0.3</v>
      </c>
      <c r="Q7250" s="108">
        <v>0.4</v>
      </c>
      <c r="R7250" s="45" t="str">
        <f t="shared" si="589"/>
        <v>HOFFLIGHTS</v>
      </c>
    </row>
    <row r="7251" spans="1:18" customFormat="1" ht="27" customHeight="1" x14ac:dyDescent="0.25">
      <c r="A7251" s="105" t="s">
        <v>13983</v>
      </c>
      <c r="H7251" t="s">
        <v>14840</v>
      </c>
      <c r="I7251" t="s">
        <v>14841</v>
      </c>
      <c r="J7251" s="34" t="s">
        <v>26</v>
      </c>
      <c r="K7251" s="77">
        <v>13.7475</v>
      </c>
      <c r="L7251" s="12">
        <f t="shared" si="588"/>
        <v>29.786250000000006</v>
      </c>
      <c r="M7251" s="106">
        <v>1</v>
      </c>
      <c r="N7251" s="106" t="s">
        <v>27</v>
      </c>
      <c r="O7251" s="78"/>
      <c r="P7251" s="107">
        <v>0.3</v>
      </c>
      <c r="Q7251" s="108">
        <v>0.4</v>
      </c>
      <c r="R7251" s="45" t="str">
        <f t="shared" si="589"/>
        <v>HOFFLIGHTS</v>
      </c>
    </row>
    <row r="7252" spans="1:18" customFormat="1" ht="27" customHeight="1" x14ac:dyDescent="0.25">
      <c r="A7252" s="105" t="s">
        <v>13983</v>
      </c>
      <c r="H7252" t="s">
        <v>14842</v>
      </c>
      <c r="I7252" t="s">
        <v>14843</v>
      </c>
      <c r="J7252" s="34" t="s">
        <v>26</v>
      </c>
      <c r="K7252" s="77">
        <v>2.3692500000000001</v>
      </c>
      <c r="L7252" s="12">
        <f t="shared" si="588"/>
        <v>5.133375</v>
      </c>
      <c r="M7252" s="106">
        <v>1</v>
      </c>
      <c r="N7252" s="106" t="s">
        <v>27</v>
      </c>
      <c r="O7252" s="78"/>
      <c r="P7252" s="107">
        <v>0.3</v>
      </c>
      <c r="Q7252" s="108">
        <v>0.4</v>
      </c>
      <c r="R7252" s="45" t="str">
        <f t="shared" si="589"/>
        <v>HOFFLIGHTS</v>
      </c>
    </row>
    <row r="7253" spans="1:18" customFormat="1" ht="27" customHeight="1" x14ac:dyDescent="0.25">
      <c r="A7253" s="105" t="s">
        <v>13983</v>
      </c>
      <c r="H7253" t="s">
        <v>14844</v>
      </c>
      <c r="I7253" t="s">
        <v>14845</v>
      </c>
      <c r="J7253" s="34" t="s">
        <v>26</v>
      </c>
      <c r="K7253" s="77">
        <v>17.111249999999998</v>
      </c>
      <c r="L7253" s="12">
        <f t="shared" si="588"/>
        <v>37.074375000000003</v>
      </c>
      <c r="M7253" s="106">
        <v>1</v>
      </c>
      <c r="N7253" s="106" t="s">
        <v>27</v>
      </c>
      <c r="O7253" s="78"/>
      <c r="P7253" s="107">
        <v>0.3</v>
      </c>
      <c r="Q7253" s="108">
        <v>0.4</v>
      </c>
      <c r="R7253" s="45" t="str">
        <f t="shared" si="589"/>
        <v>HOFFLIGHTS</v>
      </c>
    </row>
    <row r="7254" spans="1:18" customFormat="1" ht="27" customHeight="1" x14ac:dyDescent="0.25">
      <c r="A7254" s="105" t="s">
        <v>13983</v>
      </c>
      <c r="H7254" t="s">
        <v>14846</v>
      </c>
      <c r="I7254" t="s">
        <v>14847</v>
      </c>
      <c r="J7254" s="34" t="s">
        <v>26</v>
      </c>
      <c r="K7254" s="77">
        <v>35.099999999999987</v>
      </c>
      <c r="L7254" s="12">
        <f t="shared" si="588"/>
        <v>76.049999999999983</v>
      </c>
      <c r="M7254" s="106">
        <v>1</v>
      </c>
      <c r="N7254" s="106" t="s">
        <v>27</v>
      </c>
      <c r="O7254" s="78"/>
      <c r="P7254" s="107">
        <v>0.3</v>
      </c>
      <c r="Q7254" s="108">
        <v>0.4</v>
      </c>
      <c r="R7254" s="45" t="str">
        <f t="shared" si="589"/>
        <v>HOFFLIGHTS</v>
      </c>
    </row>
    <row r="7255" spans="1:18" customFormat="1" ht="27" customHeight="1" x14ac:dyDescent="0.25">
      <c r="A7255" s="105" t="s">
        <v>13983</v>
      </c>
      <c r="H7255" t="s">
        <v>14848</v>
      </c>
      <c r="I7255" t="s">
        <v>14849</v>
      </c>
      <c r="J7255" s="34" t="s">
        <v>26</v>
      </c>
      <c r="K7255" s="77">
        <v>29.835000000000001</v>
      </c>
      <c r="L7255" s="12">
        <f t="shared" si="588"/>
        <v>64.642499999999998</v>
      </c>
      <c r="M7255" s="106">
        <v>1</v>
      </c>
      <c r="N7255" s="106" t="s">
        <v>27</v>
      </c>
      <c r="O7255" s="78"/>
      <c r="P7255" s="107">
        <v>0.3</v>
      </c>
      <c r="Q7255" s="108">
        <v>0.4</v>
      </c>
      <c r="R7255" s="45" t="str">
        <f t="shared" si="589"/>
        <v>HOFFLIGHTS</v>
      </c>
    </row>
    <row r="7256" spans="1:18" customFormat="1" ht="27" customHeight="1" x14ac:dyDescent="0.25">
      <c r="A7256" s="105" t="s">
        <v>13983</v>
      </c>
      <c r="H7256" t="s">
        <v>14850</v>
      </c>
      <c r="I7256" t="s">
        <v>14851</v>
      </c>
      <c r="J7256" s="34" t="s">
        <v>26</v>
      </c>
      <c r="K7256" s="77">
        <v>29.835000000000001</v>
      </c>
      <c r="L7256" s="12">
        <f t="shared" si="588"/>
        <v>64.642499999999998</v>
      </c>
      <c r="M7256" s="106">
        <v>1</v>
      </c>
      <c r="N7256" s="106" t="s">
        <v>27</v>
      </c>
      <c r="O7256" s="78"/>
      <c r="P7256" s="107">
        <v>0.3</v>
      </c>
      <c r="Q7256" s="108">
        <v>0.4</v>
      </c>
      <c r="R7256" s="45" t="str">
        <f t="shared" si="589"/>
        <v>HOFFLIGHTS</v>
      </c>
    </row>
    <row r="7257" spans="1:18" customFormat="1" ht="27" customHeight="1" x14ac:dyDescent="0.25">
      <c r="A7257" s="105" t="s">
        <v>13983</v>
      </c>
      <c r="H7257" t="s">
        <v>14852</v>
      </c>
      <c r="I7257" t="s">
        <v>14853</v>
      </c>
      <c r="J7257" s="34" t="s">
        <v>26</v>
      </c>
      <c r="K7257" s="77">
        <v>42.997500000000002</v>
      </c>
      <c r="L7257" s="12">
        <f t="shared" si="588"/>
        <v>93.16125000000001</v>
      </c>
      <c r="M7257" s="106">
        <v>1</v>
      </c>
      <c r="N7257" s="106" t="s">
        <v>27</v>
      </c>
      <c r="O7257" s="78"/>
      <c r="P7257" s="107">
        <v>0.3</v>
      </c>
      <c r="Q7257" s="108">
        <v>0.4</v>
      </c>
      <c r="R7257" s="45" t="str">
        <f t="shared" si="589"/>
        <v>HOFFLIGHTS</v>
      </c>
    </row>
    <row r="7258" spans="1:18" customFormat="1" ht="27" customHeight="1" x14ac:dyDescent="0.25">
      <c r="A7258" s="105" t="s">
        <v>13983</v>
      </c>
      <c r="H7258" t="s">
        <v>14854</v>
      </c>
      <c r="I7258" t="s">
        <v>14855</v>
      </c>
      <c r="J7258" s="34" t="s">
        <v>26</v>
      </c>
      <c r="K7258" s="77">
        <v>42.997500000000002</v>
      </c>
      <c r="L7258" s="12">
        <f t="shared" si="588"/>
        <v>93.16125000000001</v>
      </c>
      <c r="M7258" s="106">
        <v>1</v>
      </c>
      <c r="N7258" s="106" t="s">
        <v>27</v>
      </c>
      <c r="O7258" s="78"/>
      <c r="P7258" s="107">
        <v>0.3</v>
      </c>
      <c r="Q7258" s="108">
        <v>0.4</v>
      </c>
      <c r="R7258" s="45" t="str">
        <f t="shared" si="589"/>
        <v>HOFFLIGHTS</v>
      </c>
    </row>
    <row r="7259" spans="1:18" customFormat="1" ht="27" customHeight="1" x14ac:dyDescent="0.25">
      <c r="A7259" s="105" t="s">
        <v>13983</v>
      </c>
      <c r="H7259" t="s">
        <v>14856</v>
      </c>
      <c r="I7259" t="s">
        <v>14857</v>
      </c>
      <c r="J7259" s="34" t="s">
        <v>26</v>
      </c>
      <c r="K7259" s="77">
        <v>79.56</v>
      </c>
      <c r="L7259" s="12">
        <f t="shared" si="588"/>
        <v>172.38000000000002</v>
      </c>
      <c r="M7259" s="106">
        <v>1</v>
      </c>
      <c r="N7259" s="106" t="s">
        <v>27</v>
      </c>
      <c r="O7259" s="78"/>
      <c r="P7259" s="107">
        <v>0.3</v>
      </c>
      <c r="Q7259" s="108">
        <v>0.4</v>
      </c>
      <c r="R7259" s="45" t="str">
        <f t="shared" si="589"/>
        <v>HOFFLIGHTS</v>
      </c>
    </row>
    <row r="7260" spans="1:18" customFormat="1" ht="27" customHeight="1" x14ac:dyDescent="0.25">
      <c r="A7260" s="105" t="s">
        <v>13983</v>
      </c>
      <c r="H7260" t="s">
        <v>14858</v>
      </c>
      <c r="I7260" t="s">
        <v>14859</v>
      </c>
      <c r="J7260" s="34" t="s">
        <v>26</v>
      </c>
      <c r="K7260" s="77">
        <v>79.56</v>
      </c>
      <c r="L7260" s="12">
        <f t="shared" si="588"/>
        <v>172.38000000000002</v>
      </c>
      <c r="M7260" s="106">
        <v>1</v>
      </c>
      <c r="N7260" s="106" t="s">
        <v>27</v>
      </c>
      <c r="O7260" s="78"/>
      <c r="P7260" s="107">
        <v>0.3</v>
      </c>
      <c r="Q7260" s="108">
        <v>0.4</v>
      </c>
      <c r="R7260" s="45" t="str">
        <f t="shared" si="589"/>
        <v>HOFFLIGHTS</v>
      </c>
    </row>
    <row r="7261" spans="1:18" customFormat="1" ht="27" customHeight="1" x14ac:dyDescent="0.25">
      <c r="A7261" s="105" t="s">
        <v>13983</v>
      </c>
      <c r="H7261" t="s">
        <v>14860</v>
      </c>
      <c r="I7261" t="s">
        <v>14861</v>
      </c>
      <c r="J7261" s="34" t="s">
        <v>26</v>
      </c>
      <c r="K7261" s="77">
        <v>71.954999999999998</v>
      </c>
      <c r="L7261" s="12">
        <f t="shared" si="588"/>
        <v>155.9025</v>
      </c>
      <c r="M7261" s="106">
        <v>1</v>
      </c>
      <c r="N7261" s="106" t="s">
        <v>27</v>
      </c>
      <c r="O7261" s="78"/>
      <c r="P7261" s="107">
        <v>0.3</v>
      </c>
      <c r="Q7261" s="108">
        <v>0.4</v>
      </c>
      <c r="R7261" s="45" t="str">
        <f t="shared" si="589"/>
        <v>HOFFLIGHTS</v>
      </c>
    </row>
    <row r="7262" spans="1:18" customFormat="1" ht="27" customHeight="1" x14ac:dyDescent="0.25">
      <c r="A7262" s="105" t="s">
        <v>13983</v>
      </c>
      <c r="H7262" t="s">
        <v>14862</v>
      </c>
      <c r="I7262" t="s">
        <v>14863</v>
      </c>
      <c r="J7262" s="34" t="s">
        <v>26</v>
      </c>
      <c r="K7262" s="77">
        <v>71.954999999999998</v>
      </c>
      <c r="L7262" s="12">
        <f t="shared" si="588"/>
        <v>155.9025</v>
      </c>
      <c r="M7262" s="106">
        <v>1</v>
      </c>
      <c r="N7262" s="106" t="s">
        <v>27</v>
      </c>
      <c r="O7262" s="78"/>
      <c r="P7262" s="107">
        <v>0.3</v>
      </c>
      <c r="Q7262" s="108">
        <v>0.4</v>
      </c>
      <c r="R7262" s="45" t="str">
        <f t="shared" si="589"/>
        <v>HOFFLIGHTS</v>
      </c>
    </row>
    <row r="7263" spans="1:18" customFormat="1" ht="27" customHeight="1" x14ac:dyDescent="0.25">
      <c r="A7263" s="105" t="s">
        <v>13983</v>
      </c>
      <c r="H7263" t="s">
        <v>14864</v>
      </c>
      <c r="I7263" t="s">
        <v>14865</v>
      </c>
      <c r="J7263" s="34" t="s">
        <v>26</v>
      </c>
      <c r="K7263" s="77">
        <v>97.694999999999993</v>
      </c>
      <c r="L7263" s="12">
        <f t="shared" si="588"/>
        <v>211.67250000000001</v>
      </c>
      <c r="M7263" s="106">
        <v>1</v>
      </c>
      <c r="N7263" s="106" t="s">
        <v>27</v>
      </c>
      <c r="O7263" s="78"/>
      <c r="P7263" s="107">
        <v>0.3</v>
      </c>
      <c r="Q7263" s="108">
        <v>0.4</v>
      </c>
      <c r="R7263" s="45" t="str">
        <f t="shared" si="589"/>
        <v>HOFFLIGHTS</v>
      </c>
    </row>
    <row r="7264" spans="1:18" customFormat="1" ht="27" customHeight="1" x14ac:dyDescent="0.25">
      <c r="A7264" s="105" t="s">
        <v>13983</v>
      </c>
      <c r="H7264" t="s">
        <v>14866</v>
      </c>
      <c r="I7264" t="s">
        <v>14867</v>
      </c>
      <c r="J7264" s="34" t="s">
        <v>26</v>
      </c>
      <c r="K7264" s="77">
        <v>35.392499999999998</v>
      </c>
      <c r="L7264" s="12">
        <f t="shared" si="588"/>
        <v>76.683750000000003</v>
      </c>
      <c r="M7264" s="106">
        <v>1</v>
      </c>
      <c r="N7264" s="106" t="s">
        <v>27</v>
      </c>
      <c r="O7264" s="78"/>
      <c r="P7264" s="107">
        <v>0.3</v>
      </c>
      <c r="Q7264" s="108">
        <v>0.4</v>
      </c>
      <c r="R7264" s="45" t="str">
        <f t="shared" si="589"/>
        <v>HOFFLIGHTS</v>
      </c>
    </row>
    <row r="7265" spans="1:18" customFormat="1" ht="27" customHeight="1" x14ac:dyDescent="0.25">
      <c r="A7265" s="105" t="s">
        <v>13983</v>
      </c>
      <c r="H7265" t="s">
        <v>14868</v>
      </c>
      <c r="I7265" t="s">
        <v>14869</v>
      </c>
      <c r="J7265" s="34" t="s">
        <v>26</v>
      </c>
      <c r="K7265" s="77">
        <v>35.392499999999998</v>
      </c>
      <c r="L7265" s="12">
        <f t="shared" si="588"/>
        <v>76.683750000000003</v>
      </c>
      <c r="M7265" s="106">
        <v>1</v>
      </c>
      <c r="N7265" s="106" t="s">
        <v>27</v>
      </c>
      <c r="O7265" s="78"/>
      <c r="P7265" s="107">
        <v>0.3</v>
      </c>
      <c r="Q7265" s="108">
        <v>0.4</v>
      </c>
      <c r="R7265" s="45" t="str">
        <f t="shared" si="589"/>
        <v>HOFFLIGHTS</v>
      </c>
    </row>
    <row r="7266" spans="1:18" customFormat="1" ht="27" customHeight="1" x14ac:dyDescent="0.25">
      <c r="A7266" s="105" t="s">
        <v>13983</v>
      </c>
      <c r="H7266" t="s">
        <v>14870</v>
      </c>
      <c r="I7266" t="s">
        <v>14871</v>
      </c>
      <c r="J7266" s="34" t="s">
        <v>26</v>
      </c>
      <c r="K7266" s="77">
        <v>4.3289999999999997</v>
      </c>
      <c r="L7266" s="12">
        <f t="shared" si="588"/>
        <v>9.3795000000000002</v>
      </c>
      <c r="M7266" s="106">
        <v>1</v>
      </c>
      <c r="N7266" s="106" t="s">
        <v>27</v>
      </c>
      <c r="O7266" s="78"/>
      <c r="P7266" s="107">
        <v>0.3</v>
      </c>
      <c r="Q7266" s="108">
        <v>0.4</v>
      </c>
      <c r="R7266" s="45" t="str">
        <f t="shared" si="589"/>
        <v>HOFFLIGHTS</v>
      </c>
    </row>
    <row r="7267" spans="1:18" customFormat="1" ht="27" customHeight="1" x14ac:dyDescent="0.25">
      <c r="A7267" s="105" t="s">
        <v>13983</v>
      </c>
      <c r="H7267" t="s">
        <v>14872</v>
      </c>
      <c r="I7267" t="s">
        <v>14873</v>
      </c>
      <c r="J7267" s="34" t="s">
        <v>26</v>
      </c>
      <c r="K7267" s="77">
        <v>31.004999999999999</v>
      </c>
      <c r="L7267" s="12">
        <f t="shared" si="588"/>
        <v>67.177500000000009</v>
      </c>
      <c r="M7267" s="106">
        <v>1</v>
      </c>
      <c r="N7267" s="106" t="s">
        <v>27</v>
      </c>
      <c r="O7267" s="78"/>
      <c r="P7267" s="107">
        <v>0.3</v>
      </c>
      <c r="Q7267" s="108">
        <v>0.4</v>
      </c>
      <c r="R7267" s="45" t="str">
        <f t="shared" si="589"/>
        <v>HOFFLIGHTS</v>
      </c>
    </row>
    <row r="7268" spans="1:18" customFormat="1" ht="27" customHeight="1" x14ac:dyDescent="0.25">
      <c r="A7268" s="105" t="s">
        <v>13983</v>
      </c>
      <c r="H7268" t="s">
        <v>14874</v>
      </c>
      <c r="I7268" t="s">
        <v>14875</v>
      </c>
      <c r="J7268" s="34" t="s">
        <v>26</v>
      </c>
      <c r="K7268" s="77">
        <v>31.004999999999999</v>
      </c>
      <c r="L7268" s="12">
        <f t="shared" si="588"/>
        <v>67.177500000000009</v>
      </c>
      <c r="M7268" s="106">
        <v>1</v>
      </c>
      <c r="N7268" s="106" t="s">
        <v>27</v>
      </c>
      <c r="O7268" s="78"/>
      <c r="P7268" s="107">
        <v>0.3</v>
      </c>
      <c r="Q7268" s="108">
        <v>0.4</v>
      </c>
      <c r="R7268" s="45" t="str">
        <f t="shared" si="589"/>
        <v>HOFFLIGHTS</v>
      </c>
    </row>
    <row r="7269" spans="1:18" customFormat="1" ht="27" customHeight="1" x14ac:dyDescent="0.25">
      <c r="A7269" s="105" t="s">
        <v>13983</v>
      </c>
      <c r="H7269" t="s">
        <v>14876</v>
      </c>
      <c r="I7269" t="s">
        <v>14877</v>
      </c>
      <c r="J7269" s="34" t="s">
        <v>26</v>
      </c>
      <c r="K7269" s="77">
        <v>31.004999999999999</v>
      </c>
      <c r="L7269" s="12">
        <f t="shared" si="588"/>
        <v>67.177500000000009</v>
      </c>
      <c r="M7269" s="106">
        <v>1</v>
      </c>
      <c r="N7269" s="106" t="s">
        <v>27</v>
      </c>
      <c r="O7269" s="78"/>
      <c r="P7269" s="107">
        <v>0.3</v>
      </c>
      <c r="Q7269" s="108">
        <v>0.4</v>
      </c>
      <c r="R7269" s="45" t="str">
        <f t="shared" si="589"/>
        <v>HOFFLIGHTS</v>
      </c>
    </row>
    <row r="7270" spans="1:18" customFormat="1" ht="27" customHeight="1" x14ac:dyDescent="0.25">
      <c r="A7270" s="105" t="s">
        <v>13983</v>
      </c>
      <c r="H7270" t="s">
        <v>14878</v>
      </c>
      <c r="I7270" t="s">
        <v>14879</v>
      </c>
      <c r="J7270" s="34" t="s">
        <v>26</v>
      </c>
      <c r="K7270" s="77">
        <v>31.004999999999999</v>
      </c>
      <c r="L7270" s="12">
        <f t="shared" si="588"/>
        <v>67.177500000000009</v>
      </c>
      <c r="M7270" s="106">
        <v>1</v>
      </c>
      <c r="N7270" s="106" t="s">
        <v>27</v>
      </c>
      <c r="O7270" s="78"/>
      <c r="P7270" s="107">
        <v>0.3</v>
      </c>
      <c r="Q7270" s="108">
        <v>0.4</v>
      </c>
      <c r="R7270" s="45" t="str">
        <f t="shared" si="589"/>
        <v>HOFFLIGHTS</v>
      </c>
    </row>
    <row r="7271" spans="1:18" customFormat="1" ht="27" customHeight="1" x14ac:dyDescent="0.25">
      <c r="A7271" s="105" t="s">
        <v>13983</v>
      </c>
      <c r="H7271" t="s">
        <v>14880</v>
      </c>
      <c r="I7271" t="s">
        <v>14881</v>
      </c>
      <c r="J7271" s="34" t="s">
        <v>26</v>
      </c>
      <c r="K7271" s="77">
        <v>56.452499999999993</v>
      </c>
      <c r="L7271" s="12">
        <f t="shared" si="588"/>
        <v>122.31375</v>
      </c>
      <c r="M7271" s="106">
        <v>1</v>
      </c>
      <c r="N7271" s="106" t="s">
        <v>27</v>
      </c>
      <c r="O7271" s="78"/>
      <c r="P7271" s="107">
        <v>0.3</v>
      </c>
      <c r="Q7271" s="108">
        <v>0.4</v>
      </c>
      <c r="R7271" s="45" t="str">
        <f t="shared" si="589"/>
        <v>HOFFLIGHTS</v>
      </c>
    </row>
    <row r="7272" spans="1:18" customFormat="1" ht="27" customHeight="1" x14ac:dyDescent="0.25">
      <c r="A7272" s="105" t="s">
        <v>13983</v>
      </c>
      <c r="H7272" t="s">
        <v>14882</v>
      </c>
      <c r="I7272" t="s">
        <v>14883</v>
      </c>
      <c r="J7272" s="34" t="s">
        <v>26</v>
      </c>
      <c r="K7272" s="77">
        <v>56.452499999999993</v>
      </c>
      <c r="L7272" s="12">
        <f t="shared" si="588"/>
        <v>122.31375</v>
      </c>
      <c r="M7272" s="106">
        <v>1</v>
      </c>
      <c r="N7272" s="106" t="s">
        <v>27</v>
      </c>
      <c r="O7272" s="78"/>
      <c r="P7272" s="107">
        <v>0.3</v>
      </c>
      <c r="Q7272" s="108">
        <v>0.4</v>
      </c>
      <c r="R7272" s="45" t="str">
        <f t="shared" si="589"/>
        <v>HOFFLIGHTS</v>
      </c>
    </row>
    <row r="7273" spans="1:18" customFormat="1" ht="27" customHeight="1" x14ac:dyDescent="0.25">
      <c r="A7273" s="105" t="s">
        <v>13983</v>
      </c>
      <c r="H7273" t="s">
        <v>14884</v>
      </c>
      <c r="I7273" t="s">
        <v>14885</v>
      </c>
      <c r="J7273" s="34" t="s">
        <v>26</v>
      </c>
      <c r="K7273" s="77">
        <v>56.452499999999993</v>
      </c>
      <c r="L7273" s="12">
        <f t="shared" si="588"/>
        <v>122.31375</v>
      </c>
      <c r="M7273" s="106">
        <v>1</v>
      </c>
      <c r="N7273" s="106" t="s">
        <v>27</v>
      </c>
      <c r="O7273" s="78"/>
      <c r="P7273" s="107">
        <v>0.3</v>
      </c>
      <c r="Q7273" s="108">
        <v>0.4</v>
      </c>
      <c r="R7273" s="45" t="str">
        <f t="shared" si="589"/>
        <v>HOFFLIGHTS</v>
      </c>
    </row>
    <row r="7274" spans="1:18" customFormat="1" ht="27" customHeight="1" x14ac:dyDescent="0.25">
      <c r="A7274" s="105" t="s">
        <v>13983</v>
      </c>
      <c r="H7274" t="s">
        <v>14886</v>
      </c>
      <c r="I7274" t="s">
        <v>14887</v>
      </c>
      <c r="J7274" s="34" t="s">
        <v>26</v>
      </c>
      <c r="K7274" s="77">
        <v>56.452499999999993</v>
      </c>
      <c r="L7274" s="12">
        <f t="shared" ref="L7274:L7337" si="590">K7274*(1+P7274)/(1-Q7274)</f>
        <v>122.31375</v>
      </c>
      <c r="M7274" s="106">
        <v>1</v>
      </c>
      <c r="N7274" s="106" t="s">
        <v>27</v>
      </c>
      <c r="O7274" s="78"/>
      <c r="P7274" s="107">
        <v>0.3</v>
      </c>
      <c r="Q7274" s="108">
        <v>0.4</v>
      </c>
      <c r="R7274" s="45" t="str">
        <f t="shared" si="589"/>
        <v>HOFFLIGHTS</v>
      </c>
    </row>
    <row r="7275" spans="1:18" customFormat="1" ht="27" customHeight="1" x14ac:dyDescent="0.25">
      <c r="A7275" s="105" t="s">
        <v>13983</v>
      </c>
      <c r="H7275" t="s">
        <v>14888</v>
      </c>
      <c r="I7275" t="s">
        <v>14889</v>
      </c>
      <c r="J7275" s="34" t="s">
        <v>26</v>
      </c>
      <c r="K7275" s="77">
        <v>121.095</v>
      </c>
      <c r="L7275" s="12">
        <f t="shared" si="590"/>
        <v>262.3725</v>
      </c>
      <c r="M7275" s="106">
        <v>1</v>
      </c>
      <c r="N7275" s="106" t="s">
        <v>27</v>
      </c>
      <c r="O7275" s="78"/>
      <c r="P7275" s="107">
        <v>0.3</v>
      </c>
      <c r="Q7275" s="108">
        <v>0.4</v>
      </c>
      <c r="R7275" s="45" t="str">
        <f t="shared" si="589"/>
        <v>HOFFLIGHTS</v>
      </c>
    </row>
    <row r="7276" spans="1:18" customFormat="1" ht="27" customHeight="1" x14ac:dyDescent="0.25">
      <c r="A7276" s="105" t="s">
        <v>13983</v>
      </c>
      <c r="H7276" t="s">
        <v>14890</v>
      </c>
      <c r="I7276" t="s">
        <v>14891</v>
      </c>
      <c r="J7276" s="34" t="s">
        <v>26</v>
      </c>
      <c r="K7276" s="77">
        <v>121.095</v>
      </c>
      <c r="L7276" s="12">
        <f t="shared" si="590"/>
        <v>262.3725</v>
      </c>
      <c r="M7276" s="106">
        <v>1</v>
      </c>
      <c r="N7276" s="106" t="s">
        <v>27</v>
      </c>
      <c r="O7276" s="78"/>
      <c r="P7276" s="107">
        <v>0.3</v>
      </c>
      <c r="Q7276" s="108">
        <v>0.4</v>
      </c>
      <c r="R7276" s="45" t="str">
        <f t="shared" si="589"/>
        <v>HOFFLIGHTS</v>
      </c>
    </row>
    <row r="7277" spans="1:18" customFormat="1" ht="27" customHeight="1" x14ac:dyDescent="0.25">
      <c r="A7277" s="105" t="s">
        <v>13983</v>
      </c>
      <c r="H7277" t="s">
        <v>14892</v>
      </c>
      <c r="I7277" t="s">
        <v>14893</v>
      </c>
      <c r="J7277" s="34" t="s">
        <v>26</v>
      </c>
      <c r="K7277" s="77">
        <v>141.57</v>
      </c>
      <c r="L7277" s="12">
        <f t="shared" si="590"/>
        <v>306.73500000000001</v>
      </c>
      <c r="M7277" s="106">
        <v>1</v>
      </c>
      <c r="N7277" s="106" t="s">
        <v>27</v>
      </c>
      <c r="O7277" s="78"/>
      <c r="P7277" s="107">
        <v>0.3</v>
      </c>
      <c r="Q7277" s="108">
        <v>0.4</v>
      </c>
      <c r="R7277" s="45" t="str">
        <f t="shared" si="589"/>
        <v>HOFFLIGHTS</v>
      </c>
    </row>
    <row r="7278" spans="1:18" customFormat="1" ht="27" customHeight="1" x14ac:dyDescent="0.25">
      <c r="A7278" s="105" t="s">
        <v>13983</v>
      </c>
      <c r="H7278" t="s">
        <v>14894</v>
      </c>
      <c r="I7278" t="s">
        <v>14895</v>
      </c>
      <c r="J7278" s="34" t="s">
        <v>26</v>
      </c>
      <c r="K7278" s="77">
        <v>141.57</v>
      </c>
      <c r="L7278" s="12">
        <f t="shared" si="590"/>
        <v>306.73500000000001</v>
      </c>
      <c r="M7278" s="106">
        <v>1</v>
      </c>
      <c r="N7278" s="106" t="s">
        <v>27</v>
      </c>
      <c r="O7278" s="78"/>
      <c r="P7278" s="107">
        <v>0.3</v>
      </c>
      <c r="Q7278" s="108">
        <v>0.4</v>
      </c>
      <c r="R7278" s="45" t="str">
        <f t="shared" si="589"/>
        <v>HOFFLIGHTS</v>
      </c>
    </row>
    <row r="7279" spans="1:18" customFormat="1" ht="27" customHeight="1" x14ac:dyDescent="0.25">
      <c r="A7279" s="105" t="s">
        <v>13983</v>
      </c>
      <c r="H7279" t="s">
        <v>14896</v>
      </c>
      <c r="I7279" t="s">
        <v>14897</v>
      </c>
      <c r="J7279" s="34" t="s">
        <v>26</v>
      </c>
      <c r="K7279" s="77">
        <v>76.634999999999991</v>
      </c>
      <c r="L7279" s="12">
        <f t="shared" si="590"/>
        <v>166.04249999999999</v>
      </c>
      <c r="M7279" s="106">
        <v>1</v>
      </c>
      <c r="N7279" s="106" t="s">
        <v>27</v>
      </c>
      <c r="O7279" s="78"/>
      <c r="P7279" s="107">
        <v>0.3</v>
      </c>
      <c r="Q7279" s="108">
        <v>0.4</v>
      </c>
      <c r="R7279" s="45" t="str">
        <f t="shared" si="589"/>
        <v>HOFFLIGHTS</v>
      </c>
    </row>
    <row r="7280" spans="1:18" customFormat="1" ht="27" customHeight="1" x14ac:dyDescent="0.25">
      <c r="A7280" s="105" t="s">
        <v>13983</v>
      </c>
      <c r="H7280" t="s">
        <v>14898</v>
      </c>
      <c r="I7280" t="s">
        <v>14899</v>
      </c>
      <c r="J7280" s="34" t="s">
        <v>26</v>
      </c>
      <c r="K7280" s="77">
        <v>76.634999999999991</v>
      </c>
      <c r="L7280" s="12">
        <f t="shared" si="590"/>
        <v>166.04249999999999</v>
      </c>
      <c r="M7280" s="106">
        <v>1</v>
      </c>
      <c r="N7280" s="106" t="s">
        <v>27</v>
      </c>
      <c r="O7280" s="78"/>
      <c r="P7280" s="107">
        <v>0.3</v>
      </c>
      <c r="Q7280" s="108">
        <v>0.4</v>
      </c>
      <c r="R7280" s="45" t="str">
        <f t="shared" si="589"/>
        <v>HOFFLIGHTS</v>
      </c>
    </row>
    <row r="7281" spans="1:18" customFormat="1" ht="27" customHeight="1" x14ac:dyDescent="0.25">
      <c r="A7281" s="105" t="s">
        <v>13983</v>
      </c>
      <c r="H7281" t="s">
        <v>14900</v>
      </c>
      <c r="I7281" t="s">
        <v>14901</v>
      </c>
      <c r="J7281" s="34" t="s">
        <v>26</v>
      </c>
      <c r="K7281" s="77">
        <v>60.255000000000003</v>
      </c>
      <c r="L7281" s="12">
        <f t="shared" si="590"/>
        <v>130.55250000000001</v>
      </c>
      <c r="M7281" s="106">
        <v>1</v>
      </c>
      <c r="N7281" s="106" t="s">
        <v>27</v>
      </c>
      <c r="O7281" s="78"/>
      <c r="P7281" s="107">
        <v>0.3</v>
      </c>
      <c r="Q7281" s="108">
        <v>0.4</v>
      </c>
      <c r="R7281" s="45" t="str">
        <f t="shared" si="589"/>
        <v>HOFFLIGHTS</v>
      </c>
    </row>
    <row r="7282" spans="1:18" customFormat="1" ht="27" customHeight="1" x14ac:dyDescent="0.25">
      <c r="A7282" s="105" t="s">
        <v>13983</v>
      </c>
      <c r="H7282" t="s">
        <v>14902</v>
      </c>
      <c r="I7282" t="s">
        <v>14903</v>
      </c>
      <c r="J7282" s="34" t="s">
        <v>26</v>
      </c>
      <c r="K7282" s="77">
        <v>60.255000000000003</v>
      </c>
      <c r="L7282" s="12">
        <f t="shared" si="590"/>
        <v>130.55250000000001</v>
      </c>
      <c r="M7282" s="106">
        <v>1</v>
      </c>
      <c r="N7282" s="106" t="s">
        <v>27</v>
      </c>
      <c r="O7282" s="78"/>
      <c r="P7282" s="107">
        <v>0.3</v>
      </c>
      <c r="Q7282" s="108">
        <v>0.4</v>
      </c>
      <c r="R7282" s="45" t="str">
        <f t="shared" si="589"/>
        <v>HOFFLIGHTS</v>
      </c>
    </row>
    <row r="7283" spans="1:18" customFormat="1" ht="27" customHeight="1" x14ac:dyDescent="0.25">
      <c r="A7283" s="105" t="s">
        <v>13983</v>
      </c>
      <c r="H7283" t="s">
        <v>14904</v>
      </c>
      <c r="I7283" t="s">
        <v>14905</v>
      </c>
      <c r="J7283" s="34" t="s">
        <v>26</v>
      </c>
      <c r="K7283" s="77">
        <v>70.784999999999997</v>
      </c>
      <c r="L7283" s="12">
        <f t="shared" si="590"/>
        <v>153.36750000000001</v>
      </c>
      <c r="M7283" s="106">
        <v>1</v>
      </c>
      <c r="N7283" s="106" t="s">
        <v>27</v>
      </c>
      <c r="O7283" s="78"/>
      <c r="P7283" s="107">
        <v>0.3</v>
      </c>
      <c r="Q7283" s="108">
        <v>0.4</v>
      </c>
      <c r="R7283" s="45" t="str">
        <f t="shared" si="589"/>
        <v>HOFFLIGHTS</v>
      </c>
    </row>
    <row r="7284" spans="1:18" customFormat="1" ht="27" customHeight="1" x14ac:dyDescent="0.25">
      <c r="A7284" s="105" t="s">
        <v>13983</v>
      </c>
      <c r="H7284" t="s">
        <v>14906</v>
      </c>
      <c r="I7284" t="s">
        <v>14907</v>
      </c>
      <c r="J7284" s="34" t="s">
        <v>26</v>
      </c>
      <c r="K7284" s="77">
        <v>70.784999999999997</v>
      </c>
      <c r="L7284" s="12">
        <f t="shared" si="590"/>
        <v>153.36750000000001</v>
      </c>
      <c r="M7284" s="106">
        <v>1</v>
      </c>
      <c r="N7284" s="106" t="s">
        <v>27</v>
      </c>
      <c r="O7284" s="78"/>
      <c r="P7284" s="107">
        <v>0.3</v>
      </c>
      <c r="Q7284" s="108">
        <v>0.4</v>
      </c>
      <c r="R7284" s="45" t="str">
        <f t="shared" si="589"/>
        <v>HOFFLIGHTS</v>
      </c>
    </row>
    <row r="7285" spans="1:18" customFormat="1" ht="27" customHeight="1" x14ac:dyDescent="0.25">
      <c r="A7285" s="105" t="s">
        <v>13983</v>
      </c>
      <c r="H7285" t="s">
        <v>14908</v>
      </c>
      <c r="I7285" t="s">
        <v>14909</v>
      </c>
      <c r="J7285" s="34" t="s">
        <v>26</v>
      </c>
      <c r="K7285" s="77">
        <v>36.270000000000003</v>
      </c>
      <c r="L7285" s="12">
        <f t="shared" si="590"/>
        <v>78.585000000000008</v>
      </c>
      <c r="M7285" s="106">
        <v>1</v>
      </c>
      <c r="N7285" s="106" t="s">
        <v>27</v>
      </c>
      <c r="O7285" s="78"/>
      <c r="P7285" s="107">
        <v>0.3</v>
      </c>
      <c r="Q7285" s="108">
        <v>0.4</v>
      </c>
      <c r="R7285" s="45" t="str">
        <f t="shared" si="589"/>
        <v>HOFFLIGHTS</v>
      </c>
    </row>
    <row r="7286" spans="1:18" customFormat="1" ht="27" customHeight="1" x14ac:dyDescent="0.25">
      <c r="A7286" s="105" t="s">
        <v>13983</v>
      </c>
      <c r="H7286" t="s">
        <v>14910</v>
      </c>
      <c r="I7286" t="s">
        <v>14911</v>
      </c>
      <c r="J7286" s="34" t="s">
        <v>26</v>
      </c>
      <c r="K7286" s="77">
        <v>36.270000000000003</v>
      </c>
      <c r="L7286" s="12">
        <f t="shared" si="590"/>
        <v>78.585000000000008</v>
      </c>
      <c r="M7286" s="106">
        <v>1</v>
      </c>
      <c r="N7286" s="106" t="s">
        <v>27</v>
      </c>
      <c r="O7286" s="78"/>
      <c r="P7286" s="107">
        <v>0.3</v>
      </c>
      <c r="Q7286" s="108">
        <v>0.4</v>
      </c>
      <c r="R7286" s="45" t="str">
        <f t="shared" si="589"/>
        <v>HOFFLIGHTS</v>
      </c>
    </row>
    <row r="7287" spans="1:18" customFormat="1" ht="27" customHeight="1" x14ac:dyDescent="0.25">
      <c r="A7287" s="105" t="s">
        <v>13983</v>
      </c>
      <c r="H7287" t="s">
        <v>14912</v>
      </c>
      <c r="I7287" t="s">
        <v>14913</v>
      </c>
      <c r="J7287" s="34" t="s">
        <v>26</v>
      </c>
      <c r="K7287" s="77">
        <v>56.452499999999993</v>
      </c>
      <c r="L7287" s="12">
        <f t="shared" si="590"/>
        <v>122.31375</v>
      </c>
      <c r="M7287" s="106">
        <v>1</v>
      </c>
      <c r="N7287" s="106" t="s">
        <v>27</v>
      </c>
      <c r="O7287" s="78"/>
      <c r="P7287" s="107">
        <v>0.3</v>
      </c>
      <c r="Q7287" s="108">
        <v>0.4</v>
      </c>
      <c r="R7287" s="45" t="str">
        <f t="shared" si="589"/>
        <v>HOFFLIGHTS</v>
      </c>
    </row>
    <row r="7288" spans="1:18" customFormat="1" ht="27" customHeight="1" x14ac:dyDescent="0.25">
      <c r="A7288" s="105" t="s">
        <v>13983</v>
      </c>
      <c r="H7288" t="s">
        <v>14914</v>
      </c>
      <c r="I7288" t="s">
        <v>14915</v>
      </c>
      <c r="J7288" s="34" t="s">
        <v>26</v>
      </c>
      <c r="K7288" s="77">
        <v>56.452499999999993</v>
      </c>
      <c r="L7288" s="12">
        <f t="shared" si="590"/>
        <v>122.31375</v>
      </c>
      <c r="M7288" s="106">
        <v>1</v>
      </c>
      <c r="N7288" s="106" t="s">
        <v>27</v>
      </c>
      <c r="O7288" s="78"/>
      <c r="P7288" s="107">
        <v>0.3</v>
      </c>
      <c r="Q7288" s="108">
        <v>0.4</v>
      </c>
      <c r="R7288" s="45" t="str">
        <f t="shared" si="589"/>
        <v>HOFFLIGHTS</v>
      </c>
    </row>
    <row r="7289" spans="1:18" customFormat="1" ht="27" customHeight="1" x14ac:dyDescent="0.25">
      <c r="A7289" s="105" t="s">
        <v>13983</v>
      </c>
      <c r="H7289" t="s">
        <v>14916</v>
      </c>
      <c r="I7289" t="s">
        <v>14917</v>
      </c>
      <c r="J7289" s="34" t="s">
        <v>26</v>
      </c>
      <c r="K7289" s="77">
        <v>50.895000000000003</v>
      </c>
      <c r="L7289" s="12">
        <f t="shared" si="590"/>
        <v>110.27250000000002</v>
      </c>
      <c r="M7289" s="106">
        <v>1</v>
      </c>
      <c r="N7289" s="106" t="s">
        <v>27</v>
      </c>
      <c r="O7289" s="78"/>
      <c r="P7289" s="107">
        <v>0.3</v>
      </c>
      <c r="Q7289" s="108">
        <v>0.4</v>
      </c>
      <c r="R7289" s="45" t="str">
        <f t="shared" si="589"/>
        <v>HOFFLIGHTS</v>
      </c>
    </row>
    <row r="7290" spans="1:18" customFormat="1" ht="27" customHeight="1" x14ac:dyDescent="0.25">
      <c r="A7290" s="105" t="s">
        <v>13983</v>
      </c>
      <c r="H7290" t="s">
        <v>14918</v>
      </c>
      <c r="I7290" t="s">
        <v>14919</v>
      </c>
      <c r="J7290" s="34" t="s">
        <v>26</v>
      </c>
      <c r="K7290" s="77">
        <v>50.895000000000003</v>
      </c>
      <c r="L7290" s="12">
        <f t="shared" si="590"/>
        <v>110.27250000000002</v>
      </c>
      <c r="M7290" s="106">
        <v>1</v>
      </c>
      <c r="N7290" s="106" t="s">
        <v>27</v>
      </c>
      <c r="O7290" s="78"/>
      <c r="P7290" s="107">
        <v>0.3</v>
      </c>
      <c r="Q7290" s="108">
        <v>0.4</v>
      </c>
      <c r="R7290" s="45" t="str">
        <f t="shared" si="589"/>
        <v>HOFFLIGHTS</v>
      </c>
    </row>
    <row r="7291" spans="1:18" customFormat="1" ht="27" customHeight="1" x14ac:dyDescent="0.25">
      <c r="A7291" s="105" t="s">
        <v>13983</v>
      </c>
      <c r="H7291" t="s">
        <v>14920</v>
      </c>
      <c r="I7291" t="s">
        <v>14921</v>
      </c>
      <c r="J7291" s="34" t="s">
        <v>26</v>
      </c>
      <c r="K7291" s="77">
        <v>56.452499999999993</v>
      </c>
      <c r="L7291" s="12">
        <f t="shared" si="590"/>
        <v>122.31375</v>
      </c>
      <c r="M7291" s="106">
        <v>1</v>
      </c>
      <c r="N7291" s="106" t="s">
        <v>27</v>
      </c>
      <c r="O7291" s="78"/>
      <c r="P7291" s="107">
        <v>0.3</v>
      </c>
      <c r="Q7291" s="108">
        <v>0.4</v>
      </c>
      <c r="R7291" s="45" t="str">
        <f t="shared" si="589"/>
        <v>HOFFLIGHTS</v>
      </c>
    </row>
    <row r="7292" spans="1:18" customFormat="1" ht="27" customHeight="1" x14ac:dyDescent="0.25">
      <c r="A7292" s="105" t="s">
        <v>13983</v>
      </c>
      <c r="H7292" t="s">
        <v>14922</v>
      </c>
      <c r="I7292" t="s">
        <v>14923</v>
      </c>
      <c r="J7292" s="34" t="s">
        <v>26</v>
      </c>
      <c r="K7292" s="77">
        <v>56.452499999999993</v>
      </c>
      <c r="L7292" s="12">
        <f t="shared" si="590"/>
        <v>122.31375</v>
      </c>
      <c r="M7292" s="106">
        <v>1</v>
      </c>
      <c r="N7292" s="106" t="s">
        <v>27</v>
      </c>
      <c r="O7292" s="78"/>
      <c r="P7292" s="107">
        <v>0.3</v>
      </c>
      <c r="Q7292" s="108">
        <v>0.4</v>
      </c>
      <c r="R7292" s="45" t="str">
        <f t="shared" si="589"/>
        <v>HOFFLIGHTS</v>
      </c>
    </row>
    <row r="7293" spans="1:18" customFormat="1" ht="27" customHeight="1" x14ac:dyDescent="0.25">
      <c r="A7293" s="105" t="s">
        <v>13983</v>
      </c>
      <c r="H7293" t="s">
        <v>14924</v>
      </c>
      <c r="I7293" t="s">
        <v>14925</v>
      </c>
      <c r="J7293" s="34" t="s">
        <v>26</v>
      </c>
      <c r="K7293" s="77">
        <v>76.634999999999991</v>
      </c>
      <c r="L7293" s="12">
        <f t="shared" si="590"/>
        <v>166.04249999999999</v>
      </c>
      <c r="M7293" s="106">
        <v>1</v>
      </c>
      <c r="N7293" s="106" t="s">
        <v>27</v>
      </c>
      <c r="O7293" s="78"/>
      <c r="P7293" s="107">
        <v>0.3</v>
      </c>
      <c r="Q7293" s="108">
        <v>0.4</v>
      </c>
      <c r="R7293" s="45" t="str">
        <f t="shared" si="589"/>
        <v>HOFFLIGHTS</v>
      </c>
    </row>
    <row r="7294" spans="1:18" customFormat="1" ht="27" customHeight="1" x14ac:dyDescent="0.25">
      <c r="A7294" s="105" t="s">
        <v>13983</v>
      </c>
      <c r="H7294" t="s">
        <v>14926</v>
      </c>
      <c r="I7294" t="s">
        <v>14927</v>
      </c>
      <c r="J7294" s="34" t="s">
        <v>26</v>
      </c>
      <c r="K7294" s="77">
        <v>76.634999999999991</v>
      </c>
      <c r="L7294" s="12">
        <f t="shared" si="590"/>
        <v>166.04249999999999</v>
      </c>
      <c r="M7294" s="106">
        <v>1</v>
      </c>
      <c r="N7294" s="106" t="s">
        <v>27</v>
      </c>
      <c r="O7294" s="78"/>
      <c r="P7294" s="107">
        <v>0.3</v>
      </c>
      <c r="Q7294" s="108">
        <v>0.4</v>
      </c>
      <c r="R7294" s="45" t="str">
        <f t="shared" ref="R7294:R7357" si="591">A7294</f>
        <v>HOFFLIGHTS</v>
      </c>
    </row>
    <row r="7295" spans="1:18" customFormat="1" ht="27" customHeight="1" x14ac:dyDescent="0.25">
      <c r="A7295" s="105" t="s">
        <v>13983</v>
      </c>
      <c r="H7295" t="s">
        <v>14928</v>
      </c>
      <c r="I7295" t="s">
        <v>14929</v>
      </c>
      <c r="J7295" s="34" t="s">
        <v>26</v>
      </c>
      <c r="K7295" s="77">
        <v>50.895000000000003</v>
      </c>
      <c r="L7295" s="12">
        <f t="shared" si="590"/>
        <v>110.27250000000002</v>
      </c>
      <c r="M7295" s="106">
        <v>1</v>
      </c>
      <c r="N7295" s="106" t="s">
        <v>27</v>
      </c>
      <c r="O7295" s="78"/>
      <c r="P7295" s="107">
        <v>0.3</v>
      </c>
      <c r="Q7295" s="108">
        <v>0.4</v>
      </c>
      <c r="R7295" s="45" t="str">
        <f t="shared" si="591"/>
        <v>HOFFLIGHTS</v>
      </c>
    </row>
    <row r="7296" spans="1:18" customFormat="1" ht="27" customHeight="1" x14ac:dyDescent="0.25">
      <c r="A7296" s="105" t="s">
        <v>13983</v>
      </c>
      <c r="H7296" t="s">
        <v>14930</v>
      </c>
      <c r="I7296" t="s">
        <v>14931</v>
      </c>
      <c r="J7296" s="34" t="s">
        <v>26</v>
      </c>
      <c r="K7296" s="77">
        <v>50.895000000000003</v>
      </c>
      <c r="L7296" s="12">
        <f t="shared" si="590"/>
        <v>110.27250000000002</v>
      </c>
      <c r="M7296" s="106">
        <v>1</v>
      </c>
      <c r="N7296" s="106" t="s">
        <v>27</v>
      </c>
      <c r="O7296" s="78"/>
      <c r="P7296" s="107">
        <v>0.3</v>
      </c>
      <c r="Q7296" s="108">
        <v>0.4</v>
      </c>
      <c r="R7296" s="45" t="str">
        <f t="shared" si="591"/>
        <v>HOFFLIGHTS</v>
      </c>
    </row>
    <row r="7297" spans="1:18" customFormat="1" ht="27" customHeight="1" x14ac:dyDescent="0.25">
      <c r="A7297" s="105" t="s">
        <v>13983</v>
      </c>
      <c r="H7297" t="s">
        <v>14932</v>
      </c>
      <c r="I7297" t="s">
        <v>14933</v>
      </c>
      <c r="J7297" s="34" t="s">
        <v>26</v>
      </c>
      <c r="K7297" s="77">
        <v>56.452499999999993</v>
      </c>
      <c r="L7297" s="12">
        <f t="shared" si="590"/>
        <v>122.31375</v>
      </c>
      <c r="M7297" s="106">
        <v>1</v>
      </c>
      <c r="N7297" s="106" t="s">
        <v>27</v>
      </c>
      <c r="O7297" s="78"/>
      <c r="P7297" s="107">
        <v>0.3</v>
      </c>
      <c r="Q7297" s="108">
        <v>0.4</v>
      </c>
      <c r="R7297" s="45" t="str">
        <f t="shared" si="591"/>
        <v>HOFFLIGHTS</v>
      </c>
    </row>
    <row r="7298" spans="1:18" customFormat="1" ht="27" customHeight="1" x14ac:dyDescent="0.25">
      <c r="A7298" s="105" t="s">
        <v>13983</v>
      </c>
      <c r="H7298" t="s">
        <v>14934</v>
      </c>
      <c r="I7298" t="s">
        <v>14935</v>
      </c>
      <c r="J7298" s="34" t="s">
        <v>26</v>
      </c>
      <c r="K7298" s="77">
        <v>56.452499999999993</v>
      </c>
      <c r="L7298" s="12">
        <f t="shared" si="590"/>
        <v>122.31375</v>
      </c>
      <c r="M7298" s="106">
        <v>1</v>
      </c>
      <c r="N7298" s="106" t="s">
        <v>27</v>
      </c>
      <c r="O7298" s="78"/>
      <c r="P7298" s="107">
        <v>0.3</v>
      </c>
      <c r="Q7298" s="108">
        <v>0.4</v>
      </c>
      <c r="R7298" s="45" t="str">
        <f t="shared" si="591"/>
        <v>HOFFLIGHTS</v>
      </c>
    </row>
    <row r="7299" spans="1:18" customFormat="1" ht="27" customHeight="1" x14ac:dyDescent="0.25">
      <c r="A7299" s="105" t="s">
        <v>13983</v>
      </c>
      <c r="H7299" t="s">
        <v>14936</v>
      </c>
      <c r="I7299" t="s">
        <v>14937</v>
      </c>
      <c r="J7299" s="34" t="s">
        <v>26</v>
      </c>
      <c r="K7299" s="77">
        <v>56.452499999999993</v>
      </c>
      <c r="L7299" s="12">
        <f t="shared" si="590"/>
        <v>122.31375</v>
      </c>
      <c r="M7299" s="106">
        <v>1</v>
      </c>
      <c r="N7299" s="106" t="s">
        <v>27</v>
      </c>
      <c r="O7299" s="78"/>
      <c r="P7299" s="107">
        <v>0.3</v>
      </c>
      <c r="Q7299" s="108">
        <v>0.4</v>
      </c>
      <c r="R7299" s="45" t="str">
        <f t="shared" si="591"/>
        <v>HOFFLIGHTS</v>
      </c>
    </row>
    <row r="7300" spans="1:18" customFormat="1" ht="27" customHeight="1" x14ac:dyDescent="0.25">
      <c r="A7300" s="105" t="s">
        <v>13983</v>
      </c>
      <c r="H7300" t="s">
        <v>14938</v>
      </c>
      <c r="I7300" t="s">
        <v>14939</v>
      </c>
      <c r="J7300" s="34" t="s">
        <v>26</v>
      </c>
      <c r="K7300" s="77">
        <v>56.452499999999993</v>
      </c>
      <c r="L7300" s="12">
        <f t="shared" si="590"/>
        <v>122.31375</v>
      </c>
      <c r="M7300" s="106">
        <v>1</v>
      </c>
      <c r="N7300" s="106" t="s">
        <v>27</v>
      </c>
      <c r="O7300" s="78"/>
      <c r="P7300" s="107">
        <v>0.3</v>
      </c>
      <c r="Q7300" s="108">
        <v>0.4</v>
      </c>
      <c r="R7300" s="45" t="str">
        <f t="shared" si="591"/>
        <v>HOFFLIGHTS</v>
      </c>
    </row>
    <row r="7301" spans="1:18" customFormat="1" ht="27" customHeight="1" x14ac:dyDescent="0.25">
      <c r="A7301" s="105" t="s">
        <v>13983</v>
      </c>
      <c r="H7301" t="s">
        <v>14940</v>
      </c>
      <c r="I7301" t="s">
        <v>14941</v>
      </c>
      <c r="J7301" s="34" t="s">
        <v>26</v>
      </c>
      <c r="K7301" s="77">
        <v>63.764999999999993</v>
      </c>
      <c r="L7301" s="12">
        <f t="shared" si="590"/>
        <v>138.1575</v>
      </c>
      <c r="M7301" s="106">
        <v>1</v>
      </c>
      <c r="N7301" s="106" t="s">
        <v>27</v>
      </c>
      <c r="O7301" s="78"/>
      <c r="P7301" s="107">
        <v>0.3</v>
      </c>
      <c r="Q7301" s="108">
        <v>0.4</v>
      </c>
      <c r="R7301" s="45" t="str">
        <f t="shared" si="591"/>
        <v>HOFFLIGHTS</v>
      </c>
    </row>
    <row r="7302" spans="1:18" customFormat="1" ht="27" customHeight="1" x14ac:dyDescent="0.25">
      <c r="A7302" s="105" t="s">
        <v>13983</v>
      </c>
      <c r="H7302" t="s">
        <v>14942</v>
      </c>
      <c r="I7302" t="s">
        <v>14943</v>
      </c>
      <c r="J7302" s="34" t="s">
        <v>26</v>
      </c>
      <c r="K7302" s="77">
        <v>63.764999999999993</v>
      </c>
      <c r="L7302" s="12">
        <f t="shared" si="590"/>
        <v>138.1575</v>
      </c>
      <c r="M7302" s="106">
        <v>1</v>
      </c>
      <c r="N7302" s="106" t="s">
        <v>27</v>
      </c>
      <c r="O7302" s="78"/>
      <c r="P7302" s="107">
        <v>0.3</v>
      </c>
      <c r="Q7302" s="108">
        <v>0.4</v>
      </c>
      <c r="R7302" s="45" t="str">
        <f t="shared" si="591"/>
        <v>HOFFLIGHTS</v>
      </c>
    </row>
    <row r="7303" spans="1:18" customFormat="1" ht="27" customHeight="1" x14ac:dyDescent="0.25">
      <c r="A7303" s="105" t="s">
        <v>13983</v>
      </c>
      <c r="H7303" t="s">
        <v>14944</v>
      </c>
      <c r="I7303" t="s">
        <v>14945</v>
      </c>
      <c r="J7303" s="34" t="s">
        <v>26</v>
      </c>
      <c r="K7303" s="77">
        <v>89.504999999999995</v>
      </c>
      <c r="L7303" s="12">
        <f t="shared" si="590"/>
        <v>193.92750000000001</v>
      </c>
      <c r="M7303" s="106">
        <v>1</v>
      </c>
      <c r="N7303" s="106" t="s">
        <v>27</v>
      </c>
      <c r="O7303" s="78"/>
      <c r="P7303" s="107">
        <v>0.3</v>
      </c>
      <c r="Q7303" s="108">
        <v>0.4</v>
      </c>
      <c r="R7303" s="45" t="str">
        <f t="shared" si="591"/>
        <v>HOFFLIGHTS</v>
      </c>
    </row>
    <row r="7304" spans="1:18" customFormat="1" ht="27" customHeight="1" x14ac:dyDescent="0.25">
      <c r="A7304" s="105" t="s">
        <v>13983</v>
      </c>
      <c r="H7304" t="s">
        <v>14946</v>
      </c>
      <c r="I7304" t="s">
        <v>14947</v>
      </c>
      <c r="J7304" s="34" t="s">
        <v>26</v>
      </c>
      <c r="K7304" s="77">
        <v>89.504999999999995</v>
      </c>
      <c r="L7304" s="12">
        <f t="shared" si="590"/>
        <v>193.92750000000001</v>
      </c>
      <c r="M7304" s="106">
        <v>1</v>
      </c>
      <c r="N7304" s="106" t="s">
        <v>27</v>
      </c>
      <c r="O7304" s="78"/>
      <c r="P7304" s="107">
        <v>0.3</v>
      </c>
      <c r="Q7304" s="108">
        <v>0.4</v>
      </c>
      <c r="R7304" s="45" t="str">
        <f t="shared" si="591"/>
        <v>HOFFLIGHTS</v>
      </c>
    </row>
    <row r="7305" spans="1:18" customFormat="1" ht="27" customHeight="1" x14ac:dyDescent="0.25">
      <c r="A7305" s="105" t="s">
        <v>13983</v>
      </c>
      <c r="H7305" t="s">
        <v>14948</v>
      </c>
      <c r="I7305" t="s">
        <v>14949</v>
      </c>
      <c r="J7305" s="34" t="s">
        <v>26</v>
      </c>
      <c r="K7305" s="77">
        <v>90.674999999999997</v>
      </c>
      <c r="L7305" s="12">
        <f t="shared" si="590"/>
        <v>196.46250000000001</v>
      </c>
      <c r="M7305" s="106">
        <v>1</v>
      </c>
      <c r="N7305" s="106" t="s">
        <v>27</v>
      </c>
      <c r="O7305" s="78"/>
      <c r="P7305" s="107">
        <v>0.3</v>
      </c>
      <c r="Q7305" s="108">
        <v>0.4</v>
      </c>
      <c r="R7305" s="45" t="str">
        <f t="shared" si="591"/>
        <v>HOFFLIGHTS</v>
      </c>
    </row>
    <row r="7306" spans="1:18" customFormat="1" ht="27" customHeight="1" x14ac:dyDescent="0.25">
      <c r="A7306" s="105" t="s">
        <v>13983</v>
      </c>
      <c r="H7306" t="s">
        <v>14950</v>
      </c>
      <c r="I7306" t="s">
        <v>14951</v>
      </c>
      <c r="J7306" s="34" t="s">
        <v>26</v>
      </c>
      <c r="K7306" s="77">
        <v>90.674999999999997</v>
      </c>
      <c r="L7306" s="12">
        <f t="shared" si="590"/>
        <v>196.46250000000001</v>
      </c>
      <c r="M7306" s="106">
        <v>1</v>
      </c>
      <c r="N7306" s="106" t="s">
        <v>27</v>
      </c>
      <c r="O7306" s="78"/>
      <c r="P7306" s="107">
        <v>0.3</v>
      </c>
      <c r="Q7306" s="108">
        <v>0.4</v>
      </c>
      <c r="R7306" s="45" t="str">
        <f t="shared" si="591"/>
        <v>HOFFLIGHTS</v>
      </c>
    </row>
    <row r="7307" spans="1:18" customFormat="1" ht="27" customHeight="1" x14ac:dyDescent="0.25">
      <c r="A7307" s="105" t="s">
        <v>13983</v>
      </c>
      <c r="H7307" t="s">
        <v>14952</v>
      </c>
      <c r="I7307" t="s">
        <v>14953</v>
      </c>
      <c r="J7307" s="34" t="s">
        <v>26</v>
      </c>
      <c r="K7307" s="77">
        <v>31.004999999999999</v>
      </c>
      <c r="L7307" s="12">
        <f t="shared" si="590"/>
        <v>67.177500000000009</v>
      </c>
      <c r="M7307" s="106">
        <v>1</v>
      </c>
      <c r="N7307" s="106" t="s">
        <v>27</v>
      </c>
      <c r="O7307" s="78"/>
      <c r="P7307" s="107">
        <v>0.3</v>
      </c>
      <c r="Q7307" s="108">
        <v>0.4</v>
      </c>
      <c r="R7307" s="45" t="str">
        <f t="shared" si="591"/>
        <v>HOFFLIGHTS</v>
      </c>
    </row>
    <row r="7308" spans="1:18" customFormat="1" ht="27" customHeight="1" x14ac:dyDescent="0.25">
      <c r="A7308" s="105" t="s">
        <v>13983</v>
      </c>
      <c r="H7308" t="s">
        <v>14954</v>
      </c>
      <c r="I7308" t="s">
        <v>14955</v>
      </c>
      <c r="J7308" s="34" t="s">
        <v>26</v>
      </c>
      <c r="K7308" s="77">
        <v>31.004999999999999</v>
      </c>
      <c r="L7308" s="12">
        <f t="shared" si="590"/>
        <v>67.177500000000009</v>
      </c>
      <c r="M7308" s="106">
        <v>1</v>
      </c>
      <c r="N7308" s="106" t="s">
        <v>27</v>
      </c>
      <c r="O7308" s="78"/>
      <c r="P7308" s="107">
        <v>0.3</v>
      </c>
      <c r="Q7308" s="108">
        <v>0.4</v>
      </c>
      <c r="R7308" s="45" t="str">
        <f t="shared" si="591"/>
        <v>HOFFLIGHTS</v>
      </c>
    </row>
    <row r="7309" spans="1:18" customFormat="1" ht="27" customHeight="1" x14ac:dyDescent="0.25">
      <c r="A7309" s="105" t="s">
        <v>13983</v>
      </c>
      <c r="H7309" t="s">
        <v>14956</v>
      </c>
      <c r="I7309" t="s">
        <v>14957</v>
      </c>
      <c r="J7309" s="34" t="s">
        <v>26</v>
      </c>
      <c r="K7309" s="77">
        <v>31.004999999999999</v>
      </c>
      <c r="L7309" s="12">
        <f t="shared" si="590"/>
        <v>67.177500000000009</v>
      </c>
      <c r="M7309" s="106">
        <v>1</v>
      </c>
      <c r="N7309" s="106" t="s">
        <v>27</v>
      </c>
      <c r="O7309" s="78"/>
      <c r="P7309" s="107">
        <v>0.3</v>
      </c>
      <c r="Q7309" s="108">
        <v>0.4</v>
      </c>
      <c r="R7309" s="45" t="str">
        <f t="shared" si="591"/>
        <v>HOFFLIGHTS</v>
      </c>
    </row>
    <row r="7310" spans="1:18" customFormat="1" ht="27" customHeight="1" x14ac:dyDescent="0.25">
      <c r="A7310" s="105" t="s">
        <v>13983</v>
      </c>
      <c r="H7310" t="s">
        <v>14958</v>
      </c>
      <c r="I7310" t="s">
        <v>14959</v>
      </c>
      <c r="J7310" s="34" t="s">
        <v>26</v>
      </c>
      <c r="K7310" s="77">
        <v>31.004999999999999</v>
      </c>
      <c r="L7310" s="12">
        <f t="shared" si="590"/>
        <v>67.177500000000009</v>
      </c>
      <c r="M7310" s="106">
        <v>1</v>
      </c>
      <c r="N7310" s="106" t="s">
        <v>27</v>
      </c>
      <c r="O7310" s="78"/>
      <c r="P7310" s="107">
        <v>0.3</v>
      </c>
      <c r="Q7310" s="108">
        <v>0.4</v>
      </c>
      <c r="R7310" s="45" t="str">
        <f t="shared" si="591"/>
        <v>HOFFLIGHTS</v>
      </c>
    </row>
    <row r="7311" spans="1:18" customFormat="1" ht="27" customHeight="1" x14ac:dyDescent="0.25">
      <c r="A7311" s="105" t="s">
        <v>13983</v>
      </c>
      <c r="H7311" t="s">
        <v>14960</v>
      </c>
      <c r="I7311" t="s">
        <v>14961</v>
      </c>
      <c r="J7311" s="34" t="s">
        <v>26</v>
      </c>
      <c r="K7311" s="77">
        <v>31.004999999999999</v>
      </c>
      <c r="L7311" s="12">
        <f t="shared" si="590"/>
        <v>67.177500000000009</v>
      </c>
      <c r="M7311" s="106">
        <v>1</v>
      </c>
      <c r="N7311" s="106" t="s">
        <v>27</v>
      </c>
      <c r="O7311" s="78"/>
      <c r="P7311" s="107">
        <v>0.3</v>
      </c>
      <c r="Q7311" s="108">
        <v>0.4</v>
      </c>
      <c r="R7311" s="45" t="str">
        <f t="shared" si="591"/>
        <v>HOFFLIGHTS</v>
      </c>
    </row>
    <row r="7312" spans="1:18" customFormat="1" ht="27" customHeight="1" x14ac:dyDescent="0.25">
      <c r="A7312" s="105" t="s">
        <v>13983</v>
      </c>
      <c r="H7312" t="s">
        <v>14962</v>
      </c>
      <c r="I7312" t="s">
        <v>14963</v>
      </c>
      <c r="J7312" s="34" t="s">
        <v>26</v>
      </c>
      <c r="K7312" s="77">
        <v>31.004999999999999</v>
      </c>
      <c r="L7312" s="12">
        <f t="shared" si="590"/>
        <v>67.177500000000009</v>
      </c>
      <c r="M7312" s="106">
        <v>1</v>
      </c>
      <c r="N7312" s="106" t="s">
        <v>27</v>
      </c>
      <c r="O7312" s="78"/>
      <c r="P7312" s="107">
        <v>0.3</v>
      </c>
      <c r="Q7312" s="108">
        <v>0.4</v>
      </c>
      <c r="R7312" s="45" t="str">
        <f t="shared" si="591"/>
        <v>HOFFLIGHTS</v>
      </c>
    </row>
    <row r="7313" spans="1:18" customFormat="1" ht="27" customHeight="1" x14ac:dyDescent="0.25">
      <c r="A7313" s="105" t="s">
        <v>13983</v>
      </c>
      <c r="H7313" t="s">
        <v>14964</v>
      </c>
      <c r="I7313" t="s">
        <v>14965</v>
      </c>
      <c r="J7313" s="34" t="s">
        <v>26</v>
      </c>
      <c r="K7313" s="77">
        <v>80.144999999999996</v>
      </c>
      <c r="L7313" s="12">
        <f t="shared" si="590"/>
        <v>173.64750000000001</v>
      </c>
      <c r="M7313" s="106">
        <v>1</v>
      </c>
      <c r="N7313" s="106" t="s">
        <v>27</v>
      </c>
      <c r="O7313" s="78"/>
      <c r="P7313" s="107">
        <v>0.3</v>
      </c>
      <c r="Q7313" s="108">
        <v>0.4</v>
      </c>
      <c r="R7313" s="45" t="str">
        <f t="shared" si="591"/>
        <v>HOFFLIGHTS</v>
      </c>
    </row>
    <row r="7314" spans="1:18" customFormat="1" ht="27" customHeight="1" x14ac:dyDescent="0.25">
      <c r="A7314" s="105" t="s">
        <v>13983</v>
      </c>
      <c r="H7314" t="s">
        <v>14966</v>
      </c>
      <c r="I7314" t="s">
        <v>14967</v>
      </c>
      <c r="J7314" s="34" t="s">
        <v>26</v>
      </c>
      <c r="K7314" s="77">
        <v>80.144999999999996</v>
      </c>
      <c r="L7314" s="12">
        <f t="shared" si="590"/>
        <v>173.64750000000001</v>
      </c>
      <c r="M7314" s="106">
        <v>1</v>
      </c>
      <c r="N7314" s="106" t="s">
        <v>27</v>
      </c>
      <c r="O7314" s="78"/>
      <c r="P7314" s="107">
        <v>0.3</v>
      </c>
      <c r="Q7314" s="108">
        <v>0.4</v>
      </c>
      <c r="R7314" s="45" t="str">
        <f t="shared" si="591"/>
        <v>HOFFLIGHTS</v>
      </c>
    </row>
    <row r="7315" spans="1:18" customFormat="1" ht="27" customHeight="1" x14ac:dyDescent="0.25">
      <c r="A7315" s="105" t="s">
        <v>13983</v>
      </c>
      <c r="H7315" t="s">
        <v>14968</v>
      </c>
      <c r="I7315" t="s">
        <v>14969</v>
      </c>
      <c r="J7315" s="34" t="s">
        <v>26</v>
      </c>
      <c r="K7315" s="77">
        <v>99.449999999999989</v>
      </c>
      <c r="L7315" s="12">
        <f t="shared" si="590"/>
        <v>215.47499999999999</v>
      </c>
      <c r="M7315" s="106">
        <v>1</v>
      </c>
      <c r="N7315" s="106" t="s">
        <v>27</v>
      </c>
      <c r="O7315" s="78"/>
      <c r="P7315" s="107">
        <v>0.3</v>
      </c>
      <c r="Q7315" s="108">
        <v>0.4</v>
      </c>
      <c r="R7315" s="45" t="str">
        <f t="shared" si="591"/>
        <v>HOFFLIGHTS</v>
      </c>
    </row>
    <row r="7316" spans="1:18" customFormat="1" ht="27" customHeight="1" x14ac:dyDescent="0.25">
      <c r="A7316" s="105" t="s">
        <v>13983</v>
      </c>
      <c r="H7316" t="s">
        <v>14970</v>
      </c>
      <c r="I7316" t="s">
        <v>14971</v>
      </c>
      <c r="J7316" s="34" t="s">
        <v>26</v>
      </c>
      <c r="K7316" s="77">
        <v>163.80000000000001</v>
      </c>
      <c r="L7316" s="12">
        <f t="shared" si="590"/>
        <v>354.90000000000003</v>
      </c>
      <c r="M7316" s="106">
        <v>1</v>
      </c>
      <c r="N7316" s="106" t="s">
        <v>27</v>
      </c>
      <c r="O7316" s="78"/>
      <c r="P7316" s="107">
        <v>0.3</v>
      </c>
      <c r="Q7316" s="108">
        <v>0.4</v>
      </c>
      <c r="R7316" s="45" t="str">
        <f t="shared" si="591"/>
        <v>HOFFLIGHTS</v>
      </c>
    </row>
    <row r="7317" spans="1:18" customFormat="1" ht="27" customHeight="1" x14ac:dyDescent="0.25">
      <c r="A7317" s="105" t="s">
        <v>13983</v>
      </c>
      <c r="H7317" t="s">
        <v>14972</v>
      </c>
      <c r="I7317" t="s">
        <v>14973</v>
      </c>
      <c r="J7317" s="34" t="s">
        <v>26</v>
      </c>
      <c r="K7317" s="77">
        <v>163.80000000000001</v>
      </c>
      <c r="L7317" s="12">
        <f t="shared" si="590"/>
        <v>354.90000000000003</v>
      </c>
      <c r="M7317" s="106">
        <v>1</v>
      </c>
      <c r="N7317" s="106" t="s">
        <v>27</v>
      </c>
      <c r="O7317" s="78"/>
      <c r="P7317" s="107">
        <v>0.3</v>
      </c>
      <c r="Q7317" s="108">
        <v>0.4</v>
      </c>
      <c r="R7317" s="45" t="str">
        <f t="shared" si="591"/>
        <v>HOFFLIGHTS</v>
      </c>
    </row>
    <row r="7318" spans="1:18" customFormat="1" ht="27" customHeight="1" x14ac:dyDescent="0.25">
      <c r="A7318" s="105" t="s">
        <v>13983</v>
      </c>
      <c r="H7318" t="s">
        <v>14974</v>
      </c>
      <c r="I7318" t="s">
        <v>14975</v>
      </c>
      <c r="J7318" s="34" t="s">
        <v>26</v>
      </c>
      <c r="K7318" s="77">
        <v>200.07</v>
      </c>
      <c r="L7318" s="12">
        <f t="shared" si="590"/>
        <v>433.48500000000001</v>
      </c>
      <c r="M7318" s="106">
        <v>1</v>
      </c>
      <c r="N7318" s="106" t="s">
        <v>27</v>
      </c>
      <c r="O7318" s="78"/>
      <c r="P7318" s="107">
        <v>0.3</v>
      </c>
      <c r="Q7318" s="108">
        <v>0.4</v>
      </c>
      <c r="R7318" s="45" t="str">
        <f t="shared" si="591"/>
        <v>HOFFLIGHTS</v>
      </c>
    </row>
    <row r="7319" spans="1:18" customFormat="1" ht="27" customHeight="1" x14ac:dyDescent="0.25">
      <c r="A7319" s="105" t="s">
        <v>13983</v>
      </c>
      <c r="H7319" t="s">
        <v>14976</v>
      </c>
      <c r="I7319" t="s">
        <v>14977</v>
      </c>
      <c r="J7319" s="34" t="s">
        <v>26</v>
      </c>
      <c r="K7319" s="77">
        <v>200.07</v>
      </c>
      <c r="L7319" s="12">
        <f t="shared" si="590"/>
        <v>433.48500000000001</v>
      </c>
      <c r="M7319" s="106">
        <v>1</v>
      </c>
      <c r="N7319" s="106" t="s">
        <v>27</v>
      </c>
      <c r="O7319" s="78"/>
      <c r="P7319" s="107">
        <v>0.3</v>
      </c>
      <c r="Q7319" s="108">
        <v>0.4</v>
      </c>
      <c r="R7319" s="45" t="str">
        <f t="shared" si="591"/>
        <v>HOFFLIGHTS</v>
      </c>
    </row>
    <row r="7320" spans="1:18" customFormat="1" ht="27" customHeight="1" x14ac:dyDescent="0.25">
      <c r="A7320" s="105" t="s">
        <v>13983</v>
      </c>
      <c r="H7320" t="s">
        <v>14978</v>
      </c>
      <c r="I7320" t="s">
        <v>14979</v>
      </c>
      <c r="J7320" s="34" t="s">
        <v>26</v>
      </c>
      <c r="K7320" s="77">
        <v>55.575000000000003</v>
      </c>
      <c r="L7320" s="12">
        <f t="shared" si="590"/>
        <v>120.41250000000001</v>
      </c>
      <c r="M7320" s="106">
        <v>1</v>
      </c>
      <c r="N7320" s="106" t="s">
        <v>27</v>
      </c>
      <c r="O7320" s="78"/>
      <c r="P7320" s="107">
        <v>0.3</v>
      </c>
      <c r="Q7320" s="108">
        <v>0.4</v>
      </c>
      <c r="R7320" s="45" t="str">
        <f t="shared" si="591"/>
        <v>HOFFLIGHTS</v>
      </c>
    </row>
    <row r="7321" spans="1:18" customFormat="1" ht="27" customHeight="1" x14ac:dyDescent="0.25">
      <c r="A7321" s="105" t="s">
        <v>13983</v>
      </c>
      <c r="H7321" t="s">
        <v>14980</v>
      </c>
      <c r="I7321" t="s">
        <v>14981</v>
      </c>
      <c r="J7321" s="34" t="s">
        <v>26</v>
      </c>
      <c r="K7321" s="77">
        <v>23.692499999999999</v>
      </c>
      <c r="L7321" s="12">
        <f t="shared" si="590"/>
        <v>51.333750000000002</v>
      </c>
      <c r="M7321" s="106">
        <v>1</v>
      </c>
      <c r="N7321" s="106" t="s">
        <v>27</v>
      </c>
      <c r="O7321" s="78"/>
      <c r="P7321" s="107">
        <v>0.3</v>
      </c>
      <c r="Q7321" s="108">
        <v>0.4</v>
      </c>
      <c r="R7321" s="45" t="str">
        <f t="shared" si="591"/>
        <v>HOFFLIGHTS</v>
      </c>
    </row>
    <row r="7322" spans="1:18" customFormat="1" ht="27" customHeight="1" x14ac:dyDescent="0.25">
      <c r="A7322" s="105" t="s">
        <v>13983</v>
      </c>
      <c r="H7322" t="s">
        <v>14982</v>
      </c>
      <c r="I7322" t="s">
        <v>14983</v>
      </c>
      <c r="J7322" s="34" t="s">
        <v>26</v>
      </c>
      <c r="K7322" s="77">
        <v>23.692499999999999</v>
      </c>
      <c r="L7322" s="12">
        <f t="shared" si="590"/>
        <v>51.333750000000002</v>
      </c>
      <c r="M7322" s="106">
        <v>1</v>
      </c>
      <c r="N7322" s="106" t="s">
        <v>27</v>
      </c>
      <c r="O7322" s="78"/>
      <c r="P7322" s="107">
        <v>0.3</v>
      </c>
      <c r="Q7322" s="108">
        <v>0.4</v>
      </c>
      <c r="R7322" s="45" t="str">
        <f t="shared" si="591"/>
        <v>HOFFLIGHTS</v>
      </c>
    </row>
    <row r="7323" spans="1:18" customFormat="1" ht="27" customHeight="1" x14ac:dyDescent="0.25">
      <c r="A7323" s="105" t="s">
        <v>13983</v>
      </c>
      <c r="H7323" t="s">
        <v>14984</v>
      </c>
      <c r="I7323" t="s">
        <v>14985</v>
      </c>
      <c r="J7323" s="34" t="s">
        <v>26</v>
      </c>
      <c r="K7323" s="77">
        <v>27.348749999999999</v>
      </c>
      <c r="L7323" s="12">
        <f t="shared" si="590"/>
        <v>59.255625000000009</v>
      </c>
      <c r="M7323" s="106">
        <v>1</v>
      </c>
      <c r="N7323" s="106" t="s">
        <v>27</v>
      </c>
      <c r="O7323" s="78"/>
      <c r="P7323" s="107">
        <v>0.3</v>
      </c>
      <c r="Q7323" s="108">
        <v>0.4</v>
      </c>
      <c r="R7323" s="45" t="str">
        <f t="shared" si="591"/>
        <v>HOFFLIGHTS</v>
      </c>
    </row>
    <row r="7324" spans="1:18" customFormat="1" ht="27" customHeight="1" x14ac:dyDescent="0.25">
      <c r="A7324" s="105" t="s">
        <v>13983</v>
      </c>
      <c r="H7324" t="s">
        <v>14986</v>
      </c>
      <c r="I7324" t="s">
        <v>14987</v>
      </c>
      <c r="J7324" s="34" t="s">
        <v>26</v>
      </c>
      <c r="K7324" s="77">
        <v>27.348749999999999</v>
      </c>
      <c r="L7324" s="12">
        <f t="shared" si="590"/>
        <v>59.255625000000009</v>
      </c>
      <c r="M7324" s="106">
        <v>1</v>
      </c>
      <c r="N7324" s="106" t="s">
        <v>27</v>
      </c>
      <c r="O7324" s="78"/>
      <c r="P7324" s="107">
        <v>0.3</v>
      </c>
      <c r="Q7324" s="108">
        <v>0.4</v>
      </c>
      <c r="R7324" s="45" t="str">
        <f t="shared" si="591"/>
        <v>HOFFLIGHTS</v>
      </c>
    </row>
    <row r="7325" spans="1:18" customFormat="1" ht="27" customHeight="1" x14ac:dyDescent="0.25">
      <c r="A7325" s="105" t="s">
        <v>13983</v>
      </c>
      <c r="H7325" t="s">
        <v>14988</v>
      </c>
      <c r="I7325" t="s">
        <v>14989</v>
      </c>
      <c r="J7325" s="34" t="s">
        <v>26</v>
      </c>
      <c r="K7325" s="77">
        <v>23.692499999999999</v>
      </c>
      <c r="L7325" s="12">
        <f t="shared" si="590"/>
        <v>51.333750000000002</v>
      </c>
      <c r="M7325" s="106">
        <v>1</v>
      </c>
      <c r="N7325" s="106" t="s">
        <v>27</v>
      </c>
      <c r="O7325" s="78"/>
      <c r="P7325" s="107">
        <v>0.3</v>
      </c>
      <c r="Q7325" s="108">
        <v>0.4</v>
      </c>
      <c r="R7325" s="45" t="str">
        <f t="shared" si="591"/>
        <v>HOFFLIGHTS</v>
      </c>
    </row>
    <row r="7326" spans="1:18" customFormat="1" ht="27" customHeight="1" x14ac:dyDescent="0.25">
      <c r="A7326" s="105" t="s">
        <v>13983</v>
      </c>
      <c r="H7326" t="s">
        <v>14990</v>
      </c>
      <c r="I7326" t="s">
        <v>14991</v>
      </c>
      <c r="J7326" s="34" t="s">
        <v>26</v>
      </c>
      <c r="K7326" s="77">
        <v>23.692499999999999</v>
      </c>
      <c r="L7326" s="12">
        <f t="shared" si="590"/>
        <v>51.333750000000002</v>
      </c>
      <c r="M7326" s="106">
        <v>1</v>
      </c>
      <c r="N7326" s="106" t="s">
        <v>27</v>
      </c>
      <c r="O7326" s="78"/>
      <c r="P7326" s="107">
        <v>0.3</v>
      </c>
      <c r="Q7326" s="108">
        <v>0.4</v>
      </c>
      <c r="R7326" s="45" t="str">
        <f t="shared" si="591"/>
        <v>HOFFLIGHTS</v>
      </c>
    </row>
    <row r="7327" spans="1:18" customFormat="1" ht="27" customHeight="1" x14ac:dyDescent="0.25">
      <c r="A7327" s="105" t="s">
        <v>13983</v>
      </c>
      <c r="H7327" t="s">
        <v>14992</v>
      </c>
      <c r="I7327" t="s">
        <v>14993</v>
      </c>
      <c r="J7327" s="34" t="s">
        <v>26</v>
      </c>
      <c r="K7327" s="77">
        <v>27.348749999999999</v>
      </c>
      <c r="L7327" s="12">
        <f t="shared" si="590"/>
        <v>59.255625000000009</v>
      </c>
      <c r="M7327" s="106">
        <v>1</v>
      </c>
      <c r="N7327" s="106" t="s">
        <v>27</v>
      </c>
      <c r="O7327" s="78"/>
      <c r="P7327" s="107">
        <v>0.3</v>
      </c>
      <c r="Q7327" s="108">
        <v>0.4</v>
      </c>
      <c r="R7327" s="45" t="str">
        <f t="shared" si="591"/>
        <v>HOFFLIGHTS</v>
      </c>
    </row>
    <row r="7328" spans="1:18" customFormat="1" ht="27" customHeight="1" x14ac:dyDescent="0.25">
      <c r="A7328" s="105" t="s">
        <v>13983</v>
      </c>
      <c r="H7328" t="s">
        <v>14994</v>
      </c>
      <c r="I7328" t="s">
        <v>14995</v>
      </c>
      <c r="J7328" s="34" t="s">
        <v>26</v>
      </c>
      <c r="K7328" s="77">
        <v>27.348749999999999</v>
      </c>
      <c r="L7328" s="12">
        <f t="shared" si="590"/>
        <v>59.255625000000009</v>
      </c>
      <c r="M7328" s="106">
        <v>1</v>
      </c>
      <c r="N7328" s="106" t="s">
        <v>27</v>
      </c>
      <c r="O7328" s="78"/>
      <c r="P7328" s="107">
        <v>0.3</v>
      </c>
      <c r="Q7328" s="108">
        <v>0.4</v>
      </c>
      <c r="R7328" s="45" t="str">
        <f t="shared" si="591"/>
        <v>HOFFLIGHTS</v>
      </c>
    </row>
    <row r="7329" spans="1:18" customFormat="1" ht="27" customHeight="1" x14ac:dyDescent="0.25">
      <c r="A7329" s="105" t="s">
        <v>13983</v>
      </c>
      <c r="H7329" t="s">
        <v>14996</v>
      </c>
      <c r="I7329" t="s">
        <v>14997</v>
      </c>
      <c r="J7329" s="34" t="s">
        <v>26</v>
      </c>
      <c r="K7329" s="77">
        <v>50.895000000000003</v>
      </c>
      <c r="L7329" s="12">
        <f t="shared" si="590"/>
        <v>110.27250000000002</v>
      </c>
      <c r="M7329" s="106">
        <v>1</v>
      </c>
      <c r="N7329" s="106" t="s">
        <v>27</v>
      </c>
      <c r="O7329" s="78"/>
      <c r="P7329" s="107">
        <v>0.3</v>
      </c>
      <c r="Q7329" s="108">
        <v>0.4</v>
      </c>
      <c r="R7329" s="45" t="str">
        <f t="shared" si="591"/>
        <v>HOFFLIGHTS</v>
      </c>
    </row>
    <row r="7330" spans="1:18" customFormat="1" ht="27" customHeight="1" x14ac:dyDescent="0.25">
      <c r="A7330" s="105" t="s">
        <v>13983</v>
      </c>
      <c r="H7330" t="s">
        <v>14998</v>
      </c>
      <c r="I7330" t="s">
        <v>14999</v>
      </c>
      <c r="J7330" s="34" t="s">
        <v>26</v>
      </c>
      <c r="K7330" s="77">
        <v>50.895000000000003</v>
      </c>
      <c r="L7330" s="12">
        <f t="shared" si="590"/>
        <v>110.27250000000002</v>
      </c>
      <c r="M7330" s="106">
        <v>1</v>
      </c>
      <c r="N7330" s="106" t="s">
        <v>27</v>
      </c>
      <c r="O7330" s="78"/>
      <c r="P7330" s="107">
        <v>0.3</v>
      </c>
      <c r="Q7330" s="108">
        <v>0.4</v>
      </c>
      <c r="R7330" s="45" t="str">
        <f t="shared" si="591"/>
        <v>HOFFLIGHTS</v>
      </c>
    </row>
    <row r="7331" spans="1:18" customFormat="1" ht="27" customHeight="1" x14ac:dyDescent="0.25">
      <c r="A7331" s="105" t="s">
        <v>13983</v>
      </c>
      <c r="H7331" t="s">
        <v>15000</v>
      </c>
      <c r="I7331" t="s">
        <v>15001</v>
      </c>
      <c r="J7331" s="34" t="s">
        <v>26</v>
      </c>
      <c r="K7331" s="77">
        <v>50.895000000000003</v>
      </c>
      <c r="L7331" s="12">
        <f t="shared" si="590"/>
        <v>110.27250000000002</v>
      </c>
      <c r="M7331" s="106">
        <v>1</v>
      </c>
      <c r="N7331" s="106" t="s">
        <v>27</v>
      </c>
      <c r="O7331" s="78"/>
      <c r="P7331" s="107">
        <v>0.3</v>
      </c>
      <c r="Q7331" s="108">
        <v>0.4</v>
      </c>
      <c r="R7331" s="45" t="str">
        <f t="shared" si="591"/>
        <v>HOFFLIGHTS</v>
      </c>
    </row>
    <row r="7332" spans="1:18" customFormat="1" ht="27" customHeight="1" x14ac:dyDescent="0.25">
      <c r="A7332" s="105" t="s">
        <v>13983</v>
      </c>
      <c r="H7332" t="s">
        <v>15002</v>
      </c>
      <c r="I7332" t="s">
        <v>15003</v>
      </c>
      <c r="J7332" s="34" t="s">
        <v>26</v>
      </c>
      <c r="K7332" s="77">
        <v>50.895000000000003</v>
      </c>
      <c r="L7332" s="12">
        <f t="shared" si="590"/>
        <v>110.27250000000002</v>
      </c>
      <c r="M7332" s="106">
        <v>1</v>
      </c>
      <c r="N7332" s="106" t="s">
        <v>27</v>
      </c>
      <c r="O7332" s="78"/>
      <c r="P7332" s="107">
        <v>0.3</v>
      </c>
      <c r="Q7332" s="108">
        <v>0.4</v>
      </c>
      <c r="R7332" s="45" t="str">
        <f t="shared" si="591"/>
        <v>HOFFLIGHTS</v>
      </c>
    </row>
    <row r="7333" spans="1:18" customFormat="1" ht="27" customHeight="1" x14ac:dyDescent="0.25">
      <c r="A7333" s="105" t="s">
        <v>13983</v>
      </c>
      <c r="H7333" t="s">
        <v>15004</v>
      </c>
      <c r="I7333" t="s">
        <v>15005</v>
      </c>
      <c r="J7333" s="34" t="s">
        <v>26</v>
      </c>
      <c r="K7333" s="77">
        <v>50.895000000000003</v>
      </c>
      <c r="L7333" s="12">
        <f t="shared" si="590"/>
        <v>110.27250000000002</v>
      </c>
      <c r="M7333" s="106">
        <v>1</v>
      </c>
      <c r="N7333" s="106" t="s">
        <v>27</v>
      </c>
      <c r="O7333" s="78"/>
      <c r="P7333" s="107">
        <v>0.3</v>
      </c>
      <c r="Q7333" s="108">
        <v>0.4</v>
      </c>
      <c r="R7333" s="45" t="str">
        <f t="shared" si="591"/>
        <v>HOFFLIGHTS</v>
      </c>
    </row>
    <row r="7334" spans="1:18" customFormat="1" ht="27" customHeight="1" x14ac:dyDescent="0.25">
      <c r="A7334" s="105" t="s">
        <v>13983</v>
      </c>
      <c r="H7334" t="s">
        <v>15006</v>
      </c>
      <c r="I7334" t="s">
        <v>15007</v>
      </c>
      <c r="J7334" s="34" t="s">
        <v>26</v>
      </c>
      <c r="K7334" s="77">
        <v>50.895000000000003</v>
      </c>
      <c r="L7334" s="12">
        <f t="shared" si="590"/>
        <v>110.27250000000002</v>
      </c>
      <c r="M7334" s="106">
        <v>1</v>
      </c>
      <c r="N7334" s="106" t="s">
        <v>27</v>
      </c>
      <c r="O7334" s="78"/>
      <c r="P7334" s="107">
        <v>0.3</v>
      </c>
      <c r="Q7334" s="108">
        <v>0.4</v>
      </c>
      <c r="R7334" s="45" t="str">
        <f t="shared" si="591"/>
        <v>HOFFLIGHTS</v>
      </c>
    </row>
    <row r="7335" spans="1:18" customFormat="1" ht="27" customHeight="1" x14ac:dyDescent="0.25">
      <c r="A7335" s="105" t="s">
        <v>13983</v>
      </c>
      <c r="H7335" t="s">
        <v>15008</v>
      </c>
      <c r="I7335" t="s">
        <v>15009</v>
      </c>
      <c r="J7335" s="34" t="s">
        <v>26</v>
      </c>
      <c r="K7335" s="77">
        <v>56.452499999999993</v>
      </c>
      <c r="L7335" s="12">
        <f t="shared" si="590"/>
        <v>122.31375</v>
      </c>
      <c r="M7335" s="106">
        <v>1</v>
      </c>
      <c r="N7335" s="106" t="s">
        <v>27</v>
      </c>
      <c r="O7335" s="78"/>
      <c r="P7335" s="107">
        <v>0.3</v>
      </c>
      <c r="Q7335" s="108">
        <v>0.4</v>
      </c>
      <c r="R7335" s="45" t="str">
        <f t="shared" si="591"/>
        <v>HOFFLIGHTS</v>
      </c>
    </row>
    <row r="7336" spans="1:18" customFormat="1" ht="27" customHeight="1" x14ac:dyDescent="0.25">
      <c r="A7336" s="105" t="s">
        <v>13983</v>
      </c>
      <c r="H7336" t="s">
        <v>15010</v>
      </c>
      <c r="I7336" t="s">
        <v>15011</v>
      </c>
      <c r="J7336" s="34" t="s">
        <v>26</v>
      </c>
      <c r="K7336" s="77">
        <v>56.452499999999993</v>
      </c>
      <c r="L7336" s="12">
        <f t="shared" si="590"/>
        <v>122.31375</v>
      </c>
      <c r="M7336" s="106">
        <v>1</v>
      </c>
      <c r="N7336" s="106" t="s">
        <v>27</v>
      </c>
      <c r="O7336" s="78"/>
      <c r="P7336" s="107">
        <v>0.3</v>
      </c>
      <c r="Q7336" s="108">
        <v>0.4</v>
      </c>
      <c r="R7336" s="45" t="str">
        <f t="shared" si="591"/>
        <v>HOFFLIGHTS</v>
      </c>
    </row>
    <row r="7337" spans="1:18" customFormat="1" ht="27" customHeight="1" x14ac:dyDescent="0.25">
      <c r="A7337" s="105" t="s">
        <v>13983</v>
      </c>
      <c r="H7337" t="s">
        <v>15012</v>
      </c>
      <c r="I7337" t="s">
        <v>15013</v>
      </c>
      <c r="J7337" s="34" t="s">
        <v>26</v>
      </c>
      <c r="K7337" s="77">
        <v>32.76</v>
      </c>
      <c r="L7337" s="12">
        <f t="shared" si="590"/>
        <v>70.98</v>
      </c>
      <c r="M7337" s="106">
        <v>1</v>
      </c>
      <c r="N7337" s="106" t="s">
        <v>27</v>
      </c>
      <c r="O7337" s="78"/>
      <c r="P7337" s="107">
        <v>0.3</v>
      </c>
      <c r="Q7337" s="108">
        <v>0.4</v>
      </c>
      <c r="R7337" s="45" t="str">
        <f t="shared" si="591"/>
        <v>HOFFLIGHTS</v>
      </c>
    </row>
    <row r="7338" spans="1:18" customFormat="1" ht="27" customHeight="1" x14ac:dyDescent="0.25">
      <c r="A7338" s="105" t="s">
        <v>13983</v>
      </c>
      <c r="H7338" t="s">
        <v>15014</v>
      </c>
      <c r="I7338" t="s">
        <v>15015</v>
      </c>
      <c r="J7338" s="34" t="s">
        <v>26</v>
      </c>
      <c r="K7338" s="77">
        <v>32.76</v>
      </c>
      <c r="L7338" s="12">
        <f t="shared" ref="L7338:L7401" si="592">K7338*(1+P7338)/(1-Q7338)</f>
        <v>70.98</v>
      </c>
      <c r="M7338" s="106">
        <v>1</v>
      </c>
      <c r="N7338" s="106" t="s">
        <v>27</v>
      </c>
      <c r="O7338" s="78"/>
      <c r="P7338" s="107">
        <v>0.3</v>
      </c>
      <c r="Q7338" s="108">
        <v>0.4</v>
      </c>
      <c r="R7338" s="45" t="str">
        <f t="shared" si="591"/>
        <v>HOFFLIGHTS</v>
      </c>
    </row>
    <row r="7339" spans="1:18" customFormat="1" ht="27" customHeight="1" x14ac:dyDescent="0.25">
      <c r="A7339" s="105" t="s">
        <v>13983</v>
      </c>
      <c r="H7339" t="s">
        <v>15016</v>
      </c>
      <c r="I7339" t="s">
        <v>15017</v>
      </c>
      <c r="J7339" s="34" t="s">
        <v>26</v>
      </c>
      <c r="K7339" s="77">
        <v>32.76</v>
      </c>
      <c r="L7339" s="12">
        <f t="shared" si="592"/>
        <v>70.98</v>
      </c>
      <c r="M7339" s="106">
        <v>1</v>
      </c>
      <c r="N7339" s="106" t="s">
        <v>27</v>
      </c>
      <c r="O7339" s="78"/>
      <c r="P7339" s="107">
        <v>0.3</v>
      </c>
      <c r="Q7339" s="108">
        <v>0.4</v>
      </c>
      <c r="R7339" s="45" t="str">
        <f t="shared" si="591"/>
        <v>HOFFLIGHTS</v>
      </c>
    </row>
    <row r="7340" spans="1:18" customFormat="1" ht="27" customHeight="1" x14ac:dyDescent="0.25">
      <c r="A7340" s="105" t="s">
        <v>13983</v>
      </c>
      <c r="H7340" t="s">
        <v>15018</v>
      </c>
      <c r="I7340" t="s">
        <v>15019</v>
      </c>
      <c r="J7340" s="34" t="s">
        <v>26</v>
      </c>
      <c r="K7340" s="77">
        <v>32.76</v>
      </c>
      <c r="L7340" s="12">
        <f t="shared" si="592"/>
        <v>70.98</v>
      </c>
      <c r="M7340" s="106">
        <v>1</v>
      </c>
      <c r="N7340" s="106" t="s">
        <v>27</v>
      </c>
      <c r="O7340" s="78"/>
      <c r="P7340" s="107">
        <v>0.3</v>
      </c>
      <c r="Q7340" s="108">
        <v>0.4</v>
      </c>
      <c r="R7340" s="45" t="str">
        <f t="shared" si="591"/>
        <v>HOFFLIGHTS</v>
      </c>
    </row>
    <row r="7341" spans="1:18" customFormat="1" ht="27" customHeight="1" x14ac:dyDescent="0.25">
      <c r="A7341" s="105" t="s">
        <v>13983</v>
      </c>
      <c r="H7341" t="s">
        <v>15020</v>
      </c>
      <c r="I7341" t="s">
        <v>15021</v>
      </c>
      <c r="J7341" s="34" t="s">
        <v>26</v>
      </c>
      <c r="K7341" s="77">
        <v>50.895000000000003</v>
      </c>
      <c r="L7341" s="12">
        <f t="shared" si="592"/>
        <v>110.27250000000002</v>
      </c>
      <c r="M7341" s="106">
        <v>1</v>
      </c>
      <c r="N7341" s="106" t="s">
        <v>27</v>
      </c>
      <c r="O7341" s="78"/>
      <c r="P7341" s="107">
        <v>0.3</v>
      </c>
      <c r="Q7341" s="108">
        <v>0.4</v>
      </c>
      <c r="R7341" s="45" t="str">
        <f t="shared" si="591"/>
        <v>HOFFLIGHTS</v>
      </c>
    </row>
    <row r="7342" spans="1:18" customFormat="1" ht="27" customHeight="1" x14ac:dyDescent="0.25">
      <c r="A7342" s="105" t="s">
        <v>13983</v>
      </c>
      <c r="H7342" t="s">
        <v>15022</v>
      </c>
      <c r="I7342" t="s">
        <v>15023</v>
      </c>
      <c r="J7342" s="34" t="s">
        <v>26</v>
      </c>
      <c r="K7342" s="77">
        <v>50.895000000000003</v>
      </c>
      <c r="L7342" s="12">
        <f t="shared" si="592"/>
        <v>110.27250000000002</v>
      </c>
      <c r="M7342" s="106">
        <v>1</v>
      </c>
      <c r="N7342" s="106" t="s">
        <v>27</v>
      </c>
      <c r="O7342" s="78"/>
      <c r="P7342" s="107">
        <v>0.3</v>
      </c>
      <c r="Q7342" s="108">
        <v>0.4</v>
      </c>
      <c r="R7342" s="45" t="str">
        <f t="shared" si="591"/>
        <v>HOFFLIGHTS</v>
      </c>
    </row>
    <row r="7343" spans="1:18" customFormat="1" ht="27" customHeight="1" x14ac:dyDescent="0.25">
      <c r="A7343" s="105" t="s">
        <v>13983</v>
      </c>
      <c r="H7343" t="s">
        <v>15024</v>
      </c>
      <c r="I7343" t="s">
        <v>15025</v>
      </c>
      <c r="J7343" s="34" t="s">
        <v>26</v>
      </c>
      <c r="K7343" s="77">
        <v>56.452499999999993</v>
      </c>
      <c r="L7343" s="12">
        <f t="shared" si="592"/>
        <v>122.31375</v>
      </c>
      <c r="M7343" s="106">
        <v>1</v>
      </c>
      <c r="N7343" s="106" t="s">
        <v>27</v>
      </c>
      <c r="O7343" s="78"/>
      <c r="P7343" s="107">
        <v>0.3</v>
      </c>
      <c r="Q7343" s="108">
        <v>0.4</v>
      </c>
      <c r="R7343" s="45" t="str">
        <f t="shared" si="591"/>
        <v>HOFFLIGHTS</v>
      </c>
    </row>
    <row r="7344" spans="1:18" customFormat="1" ht="27" customHeight="1" x14ac:dyDescent="0.25">
      <c r="A7344" s="105" t="s">
        <v>13983</v>
      </c>
      <c r="H7344" t="s">
        <v>15026</v>
      </c>
      <c r="I7344" t="s">
        <v>15027</v>
      </c>
      <c r="J7344" s="34" t="s">
        <v>26</v>
      </c>
      <c r="K7344" s="77">
        <v>56.452499999999993</v>
      </c>
      <c r="L7344" s="12">
        <f t="shared" si="592"/>
        <v>122.31375</v>
      </c>
      <c r="M7344" s="106">
        <v>1</v>
      </c>
      <c r="N7344" s="106" t="s">
        <v>27</v>
      </c>
      <c r="O7344" s="78"/>
      <c r="P7344" s="107">
        <v>0.3</v>
      </c>
      <c r="Q7344" s="108">
        <v>0.4</v>
      </c>
      <c r="R7344" s="45" t="str">
        <f t="shared" si="591"/>
        <v>HOFFLIGHTS</v>
      </c>
    </row>
    <row r="7345" spans="1:18" customFormat="1" ht="27" customHeight="1" x14ac:dyDescent="0.25">
      <c r="A7345" s="105" t="s">
        <v>13983</v>
      </c>
      <c r="H7345" t="s">
        <v>15028</v>
      </c>
      <c r="I7345" t="s">
        <v>15029</v>
      </c>
      <c r="J7345" s="34" t="s">
        <v>26</v>
      </c>
      <c r="K7345" s="77">
        <v>56.452499999999993</v>
      </c>
      <c r="L7345" s="12">
        <f t="shared" si="592"/>
        <v>122.31375</v>
      </c>
      <c r="M7345" s="106">
        <v>1</v>
      </c>
      <c r="N7345" s="106" t="s">
        <v>27</v>
      </c>
      <c r="O7345" s="78"/>
      <c r="P7345" s="107">
        <v>0.3</v>
      </c>
      <c r="Q7345" s="108">
        <v>0.4</v>
      </c>
      <c r="R7345" s="45" t="str">
        <f t="shared" si="591"/>
        <v>HOFFLIGHTS</v>
      </c>
    </row>
    <row r="7346" spans="1:18" customFormat="1" ht="27" customHeight="1" x14ac:dyDescent="0.25">
      <c r="A7346" s="105" t="s">
        <v>13983</v>
      </c>
      <c r="H7346" t="s">
        <v>15030</v>
      </c>
      <c r="I7346" t="s">
        <v>15031</v>
      </c>
      <c r="J7346" s="34" t="s">
        <v>26</v>
      </c>
      <c r="K7346" s="77">
        <v>56.452499999999993</v>
      </c>
      <c r="L7346" s="12">
        <f t="shared" si="592"/>
        <v>122.31375</v>
      </c>
      <c r="M7346" s="106">
        <v>1</v>
      </c>
      <c r="N7346" s="106" t="s">
        <v>27</v>
      </c>
      <c r="O7346" s="78"/>
      <c r="P7346" s="107">
        <v>0.3</v>
      </c>
      <c r="Q7346" s="108">
        <v>0.4</v>
      </c>
      <c r="R7346" s="45" t="str">
        <f t="shared" si="591"/>
        <v>HOFFLIGHTS</v>
      </c>
    </row>
    <row r="7347" spans="1:18" customFormat="1" ht="27" customHeight="1" x14ac:dyDescent="0.25">
      <c r="A7347" s="105" t="s">
        <v>13983</v>
      </c>
      <c r="H7347" t="s">
        <v>15032</v>
      </c>
      <c r="I7347" t="s">
        <v>15033</v>
      </c>
      <c r="J7347" s="34" t="s">
        <v>26</v>
      </c>
      <c r="K7347" s="77">
        <v>39.195</v>
      </c>
      <c r="L7347" s="12">
        <f t="shared" si="592"/>
        <v>84.922500000000014</v>
      </c>
      <c r="M7347" s="106">
        <v>1</v>
      </c>
      <c r="N7347" s="106" t="s">
        <v>27</v>
      </c>
      <c r="O7347" s="78"/>
      <c r="P7347" s="107">
        <v>0.3</v>
      </c>
      <c r="Q7347" s="108">
        <v>0.4</v>
      </c>
      <c r="R7347" s="45" t="str">
        <f t="shared" si="591"/>
        <v>HOFFLIGHTS</v>
      </c>
    </row>
    <row r="7348" spans="1:18" customFormat="1" ht="27" customHeight="1" x14ac:dyDescent="0.25">
      <c r="A7348" s="105" t="s">
        <v>13983</v>
      </c>
      <c r="H7348" t="s">
        <v>15034</v>
      </c>
      <c r="I7348" t="s">
        <v>15035</v>
      </c>
      <c r="J7348" s="34" t="s">
        <v>26</v>
      </c>
      <c r="K7348" s="77">
        <v>39.195</v>
      </c>
      <c r="L7348" s="12">
        <f t="shared" si="592"/>
        <v>84.922500000000014</v>
      </c>
      <c r="M7348" s="106">
        <v>1</v>
      </c>
      <c r="N7348" s="106" t="s">
        <v>27</v>
      </c>
      <c r="O7348" s="78"/>
      <c r="P7348" s="107">
        <v>0.3</v>
      </c>
      <c r="Q7348" s="108">
        <v>0.4</v>
      </c>
      <c r="R7348" s="45" t="str">
        <f t="shared" si="591"/>
        <v>HOFFLIGHTS</v>
      </c>
    </row>
    <row r="7349" spans="1:18" customFormat="1" ht="27" customHeight="1" x14ac:dyDescent="0.25">
      <c r="A7349" s="105" t="s">
        <v>13983</v>
      </c>
      <c r="H7349" t="s">
        <v>15036</v>
      </c>
      <c r="I7349" t="s">
        <v>15037</v>
      </c>
      <c r="J7349" s="34" t="s">
        <v>26</v>
      </c>
      <c r="K7349" s="77">
        <v>43.875</v>
      </c>
      <c r="L7349" s="12">
        <f t="shared" si="592"/>
        <v>95.0625</v>
      </c>
      <c r="M7349" s="106">
        <v>1</v>
      </c>
      <c r="N7349" s="106" t="s">
        <v>27</v>
      </c>
      <c r="O7349" s="78"/>
      <c r="P7349" s="107">
        <v>0.3</v>
      </c>
      <c r="Q7349" s="108">
        <v>0.4</v>
      </c>
      <c r="R7349" s="45" t="str">
        <f t="shared" si="591"/>
        <v>HOFFLIGHTS</v>
      </c>
    </row>
    <row r="7350" spans="1:18" customFormat="1" ht="27" customHeight="1" x14ac:dyDescent="0.25">
      <c r="A7350" s="105" t="s">
        <v>13983</v>
      </c>
      <c r="H7350" t="s">
        <v>15038</v>
      </c>
      <c r="I7350" t="s">
        <v>15039</v>
      </c>
      <c r="J7350" s="34" t="s">
        <v>26</v>
      </c>
      <c r="K7350" s="77">
        <v>5.6452499999999999</v>
      </c>
      <c r="L7350" s="12">
        <f t="shared" si="592"/>
        <v>12.231375</v>
      </c>
      <c r="M7350" s="106">
        <v>1</v>
      </c>
      <c r="N7350" s="106" t="s">
        <v>27</v>
      </c>
      <c r="O7350" s="78"/>
      <c r="P7350" s="107">
        <v>0.3</v>
      </c>
      <c r="Q7350" s="108">
        <v>0.4</v>
      </c>
      <c r="R7350" s="45" t="str">
        <f t="shared" si="591"/>
        <v>HOFFLIGHTS</v>
      </c>
    </row>
    <row r="7351" spans="1:18" customFormat="1" ht="27" customHeight="1" x14ac:dyDescent="0.25">
      <c r="A7351" s="105" t="s">
        <v>13983</v>
      </c>
      <c r="H7351" t="s">
        <v>15040</v>
      </c>
      <c r="I7351" t="s">
        <v>15041</v>
      </c>
      <c r="J7351" s="34" t="s">
        <v>26</v>
      </c>
      <c r="K7351" s="77">
        <v>53.527500000000003</v>
      </c>
      <c r="L7351" s="12">
        <f t="shared" si="592"/>
        <v>115.97625000000001</v>
      </c>
      <c r="M7351" s="106">
        <v>1</v>
      </c>
      <c r="N7351" s="106" t="s">
        <v>27</v>
      </c>
      <c r="O7351" s="78"/>
      <c r="P7351" s="107">
        <v>0.3</v>
      </c>
      <c r="Q7351" s="108">
        <v>0.4</v>
      </c>
      <c r="R7351" s="45" t="str">
        <f t="shared" si="591"/>
        <v>HOFFLIGHTS</v>
      </c>
    </row>
    <row r="7352" spans="1:18" customFormat="1" ht="27" customHeight="1" x14ac:dyDescent="0.25">
      <c r="A7352" s="105" t="s">
        <v>13983</v>
      </c>
      <c r="H7352" t="s">
        <v>15042</v>
      </c>
      <c r="I7352" t="s">
        <v>15043</v>
      </c>
      <c r="J7352" s="34" t="s">
        <v>26</v>
      </c>
      <c r="K7352" s="77">
        <v>89.504999999999995</v>
      </c>
      <c r="L7352" s="12">
        <f t="shared" si="592"/>
        <v>193.92750000000001</v>
      </c>
      <c r="M7352" s="106">
        <v>1</v>
      </c>
      <c r="N7352" s="106" t="s">
        <v>27</v>
      </c>
      <c r="O7352" s="78"/>
      <c r="P7352" s="107">
        <v>0.3</v>
      </c>
      <c r="Q7352" s="108">
        <v>0.4</v>
      </c>
      <c r="R7352" s="45" t="str">
        <f t="shared" si="591"/>
        <v>HOFFLIGHTS</v>
      </c>
    </row>
    <row r="7353" spans="1:18" customFormat="1" ht="27" customHeight="1" x14ac:dyDescent="0.25">
      <c r="A7353" s="105" t="s">
        <v>13983</v>
      </c>
      <c r="H7353" t="s">
        <v>15044</v>
      </c>
      <c r="I7353" t="s">
        <v>15045</v>
      </c>
      <c r="J7353" s="34" t="s">
        <v>26</v>
      </c>
      <c r="K7353" s="77">
        <v>112.905</v>
      </c>
      <c r="L7353" s="12">
        <f t="shared" si="592"/>
        <v>244.6275</v>
      </c>
      <c r="M7353" s="106">
        <v>1</v>
      </c>
      <c r="N7353" s="106" t="s">
        <v>27</v>
      </c>
      <c r="O7353" s="78"/>
      <c r="P7353" s="107">
        <v>0.3</v>
      </c>
      <c r="Q7353" s="108">
        <v>0.4</v>
      </c>
      <c r="R7353" s="45" t="str">
        <f t="shared" si="591"/>
        <v>HOFFLIGHTS</v>
      </c>
    </row>
    <row r="7354" spans="1:18" customFormat="1" ht="27" customHeight="1" x14ac:dyDescent="0.25">
      <c r="A7354" s="105" t="s">
        <v>13983</v>
      </c>
      <c r="H7354" t="s">
        <v>15046</v>
      </c>
      <c r="I7354" t="s">
        <v>15047</v>
      </c>
      <c r="J7354" s="34" t="s">
        <v>26</v>
      </c>
      <c r="K7354" s="77">
        <v>88.919999999999987</v>
      </c>
      <c r="L7354" s="12">
        <f t="shared" si="592"/>
        <v>192.66</v>
      </c>
      <c r="M7354" s="106">
        <v>1</v>
      </c>
      <c r="N7354" s="106" t="s">
        <v>27</v>
      </c>
      <c r="O7354" s="78"/>
      <c r="P7354" s="107">
        <v>0.3</v>
      </c>
      <c r="Q7354" s="108">
        <v>0.4</v>
      </c>
      <c r="R7354" s="45" t="str">
        <f t="shared" si="591"/>
        <v>HOFFLIGHTS</v>
      </c>
    </row>
    <row r="7355" spans="1:18" customFormat="1" ht="27" customHeight="1" x14ac:dyDescent="0.25">
      <c r="A7355" s="105" t="s">
        <v>13983</v>
      </c>
      <c r="H7355" t="s">
        <v>15048</v>
      </c>
      <c r="I7355" t="s">
        <v>15049</v>
      </c>
      <c r="J7355" s="34" t="s">
        <v>26</v>
      </c>
      <c r="K7355" s="77">
        <v>135.72</v>
      </c>
      <c r="L7355" s="12">
        <f t="shared" si="592"/>
        <v>294.06</v>
      </c>
      <c r="M7355" s="106">
        <v>1</v>
      </c>
      <c r="N7355" s="106" t="s">
        <v>27</v>
      </c>
      <c r="O7355" s="78"/>
      <c r="P7355" s="107">
        <v>0.3</v>
      </c>
      <c r="Q7355" s="108">
        <v>0.4</v>
      </c>
      <c r="R7355" s="45" t="str">
        <f t="shared" si="591"/>
        <v>HOFFLIGHTS</v>
      </c>
    </row>
    <row r="7356" spans="1:18" customFormat="1" ht="27" customHeight="1" x14ac:dyDescent="0.25">
      <c r="A7356" s="105" t="s">
        <v>13983</v>
      </c>
      <c r="H7356" t="s">
        <v>15050</v>
      </c>
      <c r="I7356" t="s">
        <v>15051</v>
      </c>
      <c r="J7356" s="34" t="s">
        <v>26</v>
      </c>
      <c r="K7356" s="77">
        <v>107.64</v>
      </c>
      <c r="L7356" s="12">
        <f t="shared" si="592"/>
        <v>233.22000000000003</v>
      </c>
      <c r="M7356" s="106">
        <v>1</v>
      </c>
      <c r="N7356" s="106" t="s">
        <v>27</v>
      </c>
      <c r="O7356" s="78"/>
      <c r="P7356" s="107">
        <v>0.3</v>
      </c>
      <c r="Q7356" s="108">
        <v>0.4</v>
      </c>
      <c r="R7356" s="45" t="str">
        <f t="shared" si="591"/>
        <v>HOFFLIGHTS</v>
      </c>
    </row>
    <row r="7357" spans="1:18" customFormat="1" ht="27" customHeight="1" x14ac:dyDescent="0.25">
      <c r="A7357" s="105" t="s">
        <v>13983</v>
      </c>
      <c r="H7357" t="s">
        <v>15052</v>
      </c>
      <c r="I7357" t="s">
        <v>15053</v>
      </c>
      <c r="J7357" s="34" t="s">
        <v>26</v>
      </c>
      <c r="K7357" s="77">
        <v>34.515000000000001</v>
      </c>
      <c r="L7357" s="12">
        <f t="shared" si="592"/>
        <v>74.782500000000013</v>
      </c>
      <c r="M7357" s="106">
        <v>1</v>
      </c>
      <c r="N7357" s="106" t="s">
        <v>27</v>
      </c>
      <c r="O7357" s="78"/>
      <c r="P7357" s="107">
        <v>0.3</v>
      </c>
      <c r="Q7357" s="108">
        <v>0.4</v>
      </c>
      <c r="R7357" s="45" t="str">
        <f t="shared" si="591"/>
        <v>HOFFLIGHTS</v>
      </c>
    </row>
    <row r="7358" spans="1:18" customFormat="1" ht="27" customHeight="1" x14ac:dyDescent="0.25">
      <c r="A7358" s="105" t="s">
        <v>13983</v>
      </c>
      <c r="H7358" t="s">
        <v>15054</v>
      </c>
      <c r="I7358" t="s">
        <v>15055</v>
      </c>
      <c r="J7358" s="34" t="s">
        <v>26</v>
      </c>
      <c r="K7358" s="77">
        <v>44.167499999999997</v>
      </c>
      <c r="L7358" s="12">
        <f t="shared" si="592"/>
        <v>95.696250000000006</v>
      </c>
      <c r="M7358" s="106">
        <v>1</v>
      </c>
      <c r="N7358" s="106" t="s">
        <v>27</v>
      </c>
      <c r="O7358" s="78"/>
      <c r="P7358" s="107">
        <v>0.3</v>
      </c>
      <c r="Q7358" s="108">
        <v>0.4</v>
      </c>
      <c r="R7358" s="45" t="str">
        <f t="shared" ref="R7358:R7421" si="593">A7358</f>
        <v>HOFFLIGHTS</v>
      </c>
    </row>
    <row r="7359" spans="1:18" customFormat="1" ht="27" customHeight="1" x14ac:dyDescent="0.25">
      <c r="A7359" s="105" t="s">
        <v>13983</v>
      </c>
      <c r="H7359" t="s">
        <v>15056</v>
      </c>
      <c r="I7359" t="s">
        <v>15057</v>
      </c>
      <c r="J7359" s="34" t="s">
        <v>26</v>
      </c>
      <c r="K7359" s="77">
        <v>46.215000000000003</v>
      </c>
      <c r="L7359" s="12">
        <f t="shared" si="592"/>
        <v>100.13250000000001</v>
      </c>
      <c r="M7359" s="106">
        <v>1</v>
      </c>
      <c r="N7359" s="106" t="s">
        <v>27</v>
      </c>
      <c r="O7359" s="78"/>
      <c r="P7359" s="107">
        <v>0.3</v>
      </c>
      <c r="Q7359" s="108">
        <v>0.4</v>
      </c>
      <c r="R7359" s="45" t="str">
        <f t="shared" si="593"/>
        <v>HOFFLIGHTS</v>
      </c>
    </row>
    <row r="7360" spans="1:18" customFormat="1" ht="27" customHeight="1" x14ac:dyDescent="0.25">
      <c r="A7360" s="105" t="s">
        <v>13983</v>
      </c>
      <c r="H7360" t="s">
        <v>15058</v>
      </c>
      <c r="I7360" t="s">
        <v>15059</v>
      </c>
      <c r="J7360" s="34" t="s">
        <v>26</v>
      </c>
      <c r="K7360" s="77">
        <v>102.375</v>
      </c>
      <c r="L7360" s="12">
        <f t="shared" si="592"/>
        <v>221.81250000000003</v>
      </c>
      <c r="M7360" s="106">
        <v>1</v>
      </c>
      <c r="N7360" s="106" t="s">
        <v>27</v>
      </c>
      <c r="O7360" s="78"/>
      <c r="P7360" s="107">
        <v>0.3</v>
      </c>
      <c r="Q7360" s="108">
        <v>0.4</v>
      </c>
      <c r="R7360" s="45" t="str">
        <f t="shared" si="593"/>
        <v>HOFFLIGHTS</v>
      </c>
    </row>
    <row r="7361" spans="1:18" customFormat="1" ht="27" customHeight="1" x14ac:dyDescent="0.25">
      <c r="A7361" s="105" t="s">
        <v>13983</v>
      </c>
      <c r="H7361" t="s">
        <v>15060</v>
      </c>
      <c r="I7361" t="s">
        <v>15061</v>
      </c>
      <c r="J7361" s="34" t="s">
        <v>26</v>
      </c>
      <c r="K7361" s="77">
        <v>145.66499999999999</v>
      </c>
      <c r="L7361" s="12">
        <f t="shared" si="592"/>
        <v>315.60750000000002</v>
      </c>
      <c r="M7361" s="106">
        <v>1</v>
      </c>
      <c r="N7361" s="106" t="s">
        <v>27</v>
      </c>
      <c r="O7361" s="78"/>
      <c r="P7361" s="107">
        <v>0.3</v>
      </c>
      <c r="Q7361" s="108">
        <v>0.4</v>
      </c>
      <c r="R7361" s="45" t="str">
        <f t="shared" si="593"/>
        <v>HOFFLIGHTS</v>
      </c>
    </row>
    <row r="7362" spans="1:18" customFormat="1" ht="27" customHeight="1" x14ac:dyDescent="0.25">
      <c r="A7362" s="105" t="s">
        <v>13983</v>
      </c>
      <c r="H7362" t="s">
        <v>15062</v>
      </c>
      <c r="I7362" t="s">
        <v>15063</v>
      </c>
      <c r="J7362" s="34" t="s">
        <v>26</v>
      </c>
      <c r="K7362" s="77">
        <v>81.899999999999991</v>
      </c>
      <c r="L7362" s="12">
        <f t="shared" si="592"/>
        <v>177.45000000000002</v>
      </c>
      <c r="M7362" s="106">
        <v>1</v>
      </c>
      <c r="N7362" s="106" t="s">
        <v>27</v>
      </c>
      <c r="O7362" s="78"/>
      <c r="P7362" s="107">
        <v>0.3</v>
      </c>
      <c r="Q7362" s="108">
        <v>0.4</v>
      </c>
      <c r="R7362" s="45" t="str">
        <f t="shared" si="593"/>
        <v>HOFFLIGHTS</v>
      </c>
    </row>
    <row r="7363" spans="1:18" customFormat="1" ht="27" customHeight="1" x14ac:dyDescent="0.25">
      <c r="A7363" s="105" t="s">
        <v>13983</v>
      </c>
      <c r="H7363" t="s">
        <v>15064</v>
      </c>
      <c r="I7363" t="s">
        <v>15065</v>
      </c>
      <c r="J7363" s="34" t="s">
        <v>26</v>
      </c>
      <c r="K7363" s="77">
        <v>74.295000000000002</v>
      </c>
      <c r="L7363" s="12">
        <f t="shared" si="592"/>
        <v>160.9725</v>
      </c>
      <c r="M7363" s="106">
        <v>1</v>
      </c>
      <c r="N7363" s="106" t="s">
        <v>27</v>
      </c>
      <c r="O7363" s="78"/>
      <c r="P7363" s="107">
        <v>0.3</v>
      </c>
      <c r="Q7363" s="108">
        <v>0.4</v>
      </c>
      <c r="R7363" s="45" t="str">
        <f t="shared" si="593"/>
        <v>HOFFLIGHTS</v>
      </c>
    </row>
    <row r="7364" spans="1:18" customFormat="1" ht="27" customHeight="1" x14ac:dyDescent="0.25">
      <c r="A7364" s="105" t="s">
        <v>13983</v>
      </c>
      <c r="H7364" t="s">
        <v>15066</v>
      </c>
      <c r="I7364" t="s">
        <v>15067</v>
      </c>
      <c r="J7364" s="34" t="s">
        <v>26</v>
      </c>
      <c r="K7364" s="77">
        <v>84.24</v>
      </c>
      <c r="L7364" s="12">
        <f t="shared" si="592"/>
        <v>182.52</v>
      </c>
      <c r="M7364" s="106">
        <v>1</v>
      </c>
      <c r="N7364" s="106" t="s">
        <v>27</v>
      </c>
      <c r="O7364" s="78"/>
      <c r="P7364" s="107">
        <v>0.3</v>
      </c>
      <c r="Q7364" s="108">
        <v>0.4</v>
      </c>
      <c r="R7364" s="45" t="str">
        <f t="shared" si="593"/>
        <v>HOFFLIGHTS</v>
      </c>
    </row>
    <row r="7365" spans="1:18" customFormat="1" ht="27" customHeight="1" x14ac:dyDescent="0.25">
      <c r="A7365" s="105" t="s">
        <v>13983</v>
      </c>
      <c r="H7365" t="s">
        <v>15068</v>
      </c>
      <c r="I7365" t="s">
        <v>15069</v>
      </c>
      <c r="J7365" s="34" t="s">
        <v>26</v>
      </c>
      <c r="K7365" s="77">
        <v>135.72</v>
      </c>
      <c r="L7365" s="12">
        <f t="shared" si="592"/>
        <v>294.06</v>
      </c>
      <c r="M7365" s="106">
        <v>1</v>
      </c>
      <c r="N7365" s="106" t="s">
        <v>27</v>
      </c>
      <c r="O7365" s="78"/>
      <c r="P7365" s="107">
        <v>0.3</v>
      </c>
      <c r="Q7365" s="108">
        <v>0.4</v>
      </c>
      <c r="R7365" s="45" t="str">
        <f t="shared" si="593"/>
        <v>HOFFLIGHTS</v>
      </c>
    </row>
    <row r="7366" spans="1:18" customFormat="1" ht="27" customHeight="1" x14ac:dyDescent="0.25">
      <c r="A7366" s="105" t="s">
        <v>13983</v>
      </c>
      <c r="H7366" t="s">
        <v>15070</v>
      </c>
      <c r="I7366" t="s">
        <v>15071</v>
      </c>
      <c r="J7366" s="34" t="s">
        <v>26</v>
      </c>
      <c r="K7366" s="77">
        <v>149.76</v>
      </c>
      <c r="L7366" s="12">
        <f t="shared" si="592"/>
        <v>324.48</v>
      </c>
      <c r="M7366" s="106">
        <v>1</v>
      </c>
      <c r="N7366" s="106" t="s">
        <v>27</v>
      </c>
      <c r="O7366" s="78"/>
      <c r="P7366" s="107">
        <v>0.3</v>
      </c>
      <c r="Q7366" s="108">
        <v>0.4</v>
      </c>
      <c r="R7366" s="45" t="str">
        <f t="shared" si="593"/>
        <v>HOFFLIGHTS</v>
      </c>
    </row>
    <row r="7367" spans="1:18" customFormat="1" ht="27" customHeight="1" x14ac:dyDescent="0.25">
      <c r="A7367" s="105" t="s">
        <v>13983</v>
      </c>
      <c r="H7367" t="s">
        <v>15072</v>
      </c>
      <c r="I7367" t="s">
        <v>15073</v>
      </c>
      <c r="J7367" s="34" t="s">
        <v>26</v>
      </c>
      <c r="K7367" s="77">
        <v>117.58499999999999</v>
      </c>
      <c r="L7367" s="12">
        <f t="shared" si="592"/>
        <v>254.76750000000001</v>
      </c>
      <c r="M7367" s="106">
        <v>1</v>
      </c>
      <c r="N7367" s="106" t="s">
        <v>27</v>
      </c>
      <c r="O7367" s="78"/>
      <c r="P7367" s="107">
        <v>0.3</v>
      </c>
      <c r="Q7367" s="108">
        <v>0.4</v>
      </c>
      <c r="R7367" s="45" t="str">
        <f t="shared" si="593"/>
        <v>HOFFLIGHTS</v>
      </c>
    </row>
    <row r="7368" spans="1:18" customFormat="1" ht="27" customHeight="1" x14ac:dyDescent="0.25">
      <c r="A7368" s="105" t="s">
        <v>13983</v>
      </c>
      <c r="H7368" t="s">
        <v>15074</v>
      </c>
      <c r="I7368" t="s">
        <v>15075</v>
      </c>
      <c r="J7368" s="34" t="s">
        <v>26</v>
      </c>
      <c r="K7368" s="77">
        <v>112.905</v>
      </c>
      <c r="L7368" s="12">
        <f t="shared" si="592"/>
        <v>244.6275</v>
      </c>
      <c r="M7368" s="106">
        <v>1</v>
      </c>
      <c r="N7368" s="106" t="s">
        <v>27</v>
      </c>
      <c r="O7368" s="78"/>
      <c r="P7368" s="107">
        <v>0.3</v>
      </c>
      <c r="Q7368" s="108">
        <v>0.4</v>
      </c>
      <c r="R7368" s="45" t="str">
        <f t="shared" si="593"/>
        <v>HOFFLIGHTS</v>
      </c>
    </row>
    <row r="7369" spans="1:18" customFormat="1" ht="27" customHeight="1" x14ac:dyDescent="0.25">
      <c r="A7369" s="105" t="s">
        <v>13983</v>
      </c>
      <c r="H7369" t="s">
        <v>15076</v>
      </c>
      <c r="I7369" t="s">
        <v>15077</v>
      </c>
      <c r="J7369" s="34" t="s">
        <v>26</v>
      </c>
      <c r="K7369" s="77">
        <v>34.515000000000001</v>
      </c>
      <c r="L7369" s="12">
        <f t="shared" si="592"/>
        <v>74.782500000000013</v>
      </c>
      <c r="M7369" s="106">
        <v>1</v>
      </c>
      <c r="N7369" s="106" t="s">
        <v>27</v>
      </c>
      <c r="O7369" s="78"/>
      <c r="P7369" s="107">
        <v>0.3</v>
      </c>
      <c r="Q7369" s="108">
        <v>0.4</v>
      </c>
      <c r="R7369" s="45" t="str">
        <f t="shared" si="593"/>
        <v>HOFFLIGHTS</v>
      </c>
    </row>
    <row r="7370" spans="1:18" customFormat="1" ht="27" customHeight="1" x14ac:dyDescent="0.25">
      <c r="A7370" s="105" t="s">
        <v>13983</v>
      </c>
      <c r="H7370" t="s">
        <v>15078</v>
      </c>
      <c r="I7370" t="s">
        <v>15079</v>
      </c>
      <c r="J7370" s="34" t="s">
        <v>26</v>
      </c>
      <c r="K7370" s="77">
        <v>50.895000000000003</v>
      </c>
      <c r="L7370" s="12">
        <f t="shared" si="592"/>
        <v>110.27250000000002</v>
      </c>
      <c r="M7370" s="106">
        <v>1</v>
      </c>
      <c r="N7370" s="106" t="s">
        <v>27</v>
      </c>
      <c r="O7370" s="78"/>
      <c r="P7370" s="107">
        <v>0.3</v>
      </c>
      <c r="Q7370" s="108">
        <v>0.4</v>
      </c>
      <c r="R7370" s="45" t="str">
        <f t="shared" si="593"/>
        <v>HOFFLIGHTS</v>
      </c>
    </row>
    <row r="7371" spans="1:18" customFormat="1" ht="27" customHeight="1" x14ac:dyDescent="0.25">
      <c r="A7371" s="105" t="s">
        <v>13983</v>
      </c>
      <c r="H7371" t="s">
        <v>15080</v>
      </c>
      <c r="I7371" t="s">
        <v>15081</v>
      </c>
      <c r="J7371" s="34" t="s">
        <v>26</v>
      </c>
      <c r="K7371" s="77">
        <v>80.144999999999996</v>
      </c>
      <c r="L7371" s="12">
        <f t="shared" si="592"/>
        <v>173.64750000000001</v>
      </c>
      <c r="M7371" s="106">
        <v>1</v>
      </c>
      <c r="N7371" s="106" t="s">
        <v>27</v>
      </c>
      <c r="O7371" s="78"/>
      <c r="P7371" s="107">
        <v>0.3</v>
      </c>
      <c r="Q7371" s="108">
        <v>0.4</v>
      </c>
      <c r="R7371" s="45" t="str">
        <f t="shared" si="593"/>
        <v>HOFFLIGHTS</v>
      </c>
    </row>
    <row r="7372" spans="1:18" customFormat="1" ht="27" customHeight="1" x14ac:dyDescent="0.25">
      <c r="A7372" s="105" t="s">
        <v>13983</v>
      </c>
      <c r="H7372" t="s">
        <v>15082</v>
      </c>
      <c r="I7372" t="s">
        <v>15083</v>
      </c>
      <c r="J7372" s="34" t="s">
        <v>26</v>
      </c>
      <c r="K7372" s="77">
        <v>87.75</v>
      </c>
      <c r="L7372" s="12">
        <f t="shared" si="592"/>
        <v>190.125</v>
      </c>
      <c r="M7372" s="106">
        <v>1</v>
      </c>
      <c r="N7372" s="106" t="s">
        <v>27</v>
      </c>
      <c r="O7372" s="78"/>
      <c r="P7372" s="107">
        <v>0.3</v>
      </c>
      <c r="Q7372" s="108">
        <v>0.4</v>
      </c>
      <c r="R7372" s="45" t="str">
        <f t="shared" si="593"/>
        <v>HOFFLIGHTS</v>
      </c>
    </row>
    <row r="7373" spans="1:18" customFormat="1" ht="27" customHeight="1" x14ac:dyDescent="0.25">
      <c r="A7373" s="105" t="s">
        <v>13983</v>
      </c>
      <c r="H7373" t="s">
        <v>15084</v>
      </c>
      <c r="I7373" t="s">
        <v>15085</v>
      </c>
      <c r="J7373" s="34" t="s">
        <v>26</v>
      </c>
      <c r="K7373" s="77">
        <v>94.77</v>
      </c>
      <c r="L7373" s="12">
        <f t="shared" si="592"/>
        <v>205.33500000000001</v>
      </c>
      <c r="M7373" s="106">
        <v>1</v>
      </c>
      <c r="N7373" s="106" t="s">
        <v>27</v>
      </c>
      <c r="O7373" s="78"/>
      <c r="P7373" s="107">
        <v>0.3</v>
      </c>
      <c r="Q7373" s="108">
        <v>0.4</v>
      </c>
      <c r="R7373" s="45" t="str">
        <f t="shared" si="593"/>
        <v>HOFFLIGHTS</v>
      </c>
    </row>
    <row r="7374" spans="1:18" customFormat="1" ht="27" customHeight="1" x14ac:dyDescent="0.25">
      <c r="A7374" s="105" t="s">
        <v>13983</v>
      </c>
      <c r="H7374" t="s">
        <v>15086</v>
      </c>
      <c r="I7374" t="s">
        <v>15087</v>
      </c>
      <c r="J7374" s="34" t="s">
        <v>26</v>
      </c>
      <c r="K7374" s="77">
        <v>74.88</v>
      </c>
      <c r="L7374" s="12">
        <f t="shared" si="592"/>
        <v>162.24</v>
      </c>
      <c r="M7374" s="106">
        <v>1</v>
      </c>
      <c r="N7374" s="106" t="s">
        <v>27</v>
      </c>
      <c r="O7374" s="78"/>
      <c r="P7374" s="107">
        <v>0.3</v>
      </c>
      <c r="Q7374" s="108">
        <v>0.4</v>
      </c>
      <c r="R7374" s="45" t="str">
        <f t="shared" si="593"/>
        <v>HOFFLIGHTS</v>
      </c>
    </row>
    <row r="7375" spans="1:18" customFormat="1" ht="27" customHeight="1" x14ac:dyDescent="0.25">
      <c r="A7375" s="105" t="s">
        <v>13983</v>
      </c>
      <c r="H7375" t="s">
        <v>15088</v>
      </c>
      <c r="I7375" t="s">
        <v>15089</v>
      </c>
      <c r="J7375" s="34" t="s">
        <v>26</v>
      </c>
      <c r="K7375" s="77">
        <v>74.88</v>
      </c>
      <c r="L7375" s="12">
        <f t="shared" si="592"/>
        <v>162.24</v>
      </c>
      <c r="M7375" s="106">
        <v>1</v>
      </c>
      <c r="N7375" s="106" t="s">
        <v>27</v>
      </c>
      <c r="O7375" s="78"/>
      <c r="P7375" s="107">
        <v>0.3</v>
      </c>
      <c r="Q7375" s="108">
        <v>0.4</v>
      </c>
      <c r="R7375" s="45" t="str">
        <f t="shared" si="593"/>
        <v>HOFFLIGHTS</v>
      </c>
    </row>
    <row r="7376" spans="1:18" customFormat="1" ht="27" customHeight="1" x14ac:dyDescent="0.25">
      <c r="A7376" s="105" t="s">
        <v>13983</v>
      </c>
      <c r="H7376" t="s">
        <v>15090</v>
      </c>
      <c r="I7376" t="s">
        <v>15091</v>
      </c>
      <c r="J7376" s="34" t="s">
        <v>26</v>
      </c>
      <c r="K7376" s="77">
        <v>94.77</v>
      </c>
      <c r="L7376" s="12">
        <f t="shared" si="592"/>
        <v>205.33500000000001</v>
      </c>
      <c r="M7376" s="106">
        <v>1</v>
      </c>
      <c r="N7376" s="106" t="s">
        <v>27</v>
      </c>
      <c r="O7376" s="78"/>
      <c r="P7376" s="107">
        <v>0.3</v>
      </c>
      <c r="Q7376" s="108">
        <v>0.4</v>
      </c>
      <c r="R7376" s="45" t="str">
        <f t="shared" si="593"/>
        <v>HOFFLIGHTS</v>
      </c>
    </row>
    <row r="7377" spans="1:18" customFormat="1" ht="27" customHeight="1" x14ac:dyDescent="0.25">
      <c r="A7377" s="105" t="s">
        <v>13983</v>
      </c>
      <c r="H7377" t="s">
        <v>15092</v>
      </c>
      <c r="I7377" t="s">
        <v>15093</v>
      </c>
      <c r="J7377" s="34" t="s">
        <v>26</v>
      </c>
      <c r="K7377" s="77">
        <v>94.77</v>
      </c>
      <c r="L7377" s="12">
        <f t="shared" si="592"/>
        <v>205.33500000000001</v>
      </c>
      <c r="M7377" s="106">
        <v>1</v>
      </c>
      <c r="N7377" s="106" t="s">
        <v>27</v>
      </c>
      <c r="O7377" s="78"/>
      <c r="P7377" s="107">
        <v>0.3</v>
      </c>
      <c r="Q7377" s="108">
        <v>0.4</v>
      </c>
      <c r="R7377" s="45" t="str">
        <f t="shared" si="593"/>
        <v>HOFFLIGHTS</v>
      </c>
    </row>
    <row r="7378" spans="1:18" customFormat="1" ht="27" customHeight="1" x14ac:dyDescent="0.25">
      <c r="A7378" s="105" t="s">
        <v>13983</v>
      </c>
      <c r="H7378" t="s">
        <v>15094</v>
      </c>
      <c r="I7378" t="s">
        <v>15095</v>
      </c>
      <c r="J7378" s="34" t="s">
        <v>26</v>
      </c>
      <c r="K7378" s="77">
        <v>131.04</v>
      </c>
      <c r="L7378" s="12">
        <f t="shared" si="592"/>
        <v>283.92</v>
      </c>
      <c r="M7378" s="106">
        <v>1</v>
      </c>
      <c r="N7378" s="106" t="s">
        <v>27</v>
      </c>
      <c r="O7378" s="78"/>
      <c r="P7378" s="107">
        <v>0.3</v>
      </c>
      <c r="Q7378" s="108">
        <v>0.4</v>
      </c>
      <c r="R7378" s="45" t="str">
        <f t="shared" si="593"/>
        <v>HOFFLIGHTS</v>
      </c>
    </row>
    <row r="7379" spans="1:18" customFormat="1" ht="27" customHeight="1" x14ac:dyDescent="0.25">
      <c r="A7379" s="105" t="s">
        <v>13983</v>
      </c>
      <c r="H7379" t="s">
        <v>15096</v>
      </c>
      <c r="I7379" t="s">
        <v>15097</v>
      </c>
      <c r="J7379" s="34" t="s">
        <v>26</v>
      </c>
      <c r="K7379" s="77">
        <v>131.04</v>
      </c>
      <c r="L7379" s="12">
        <f t="shared" si="592"/>
        <v>283.92</v>
      </c>
      <c r="M7379" s="106">
        <v>1</v>
      </c>
      <c r="N7379" s="106" t="s">
        <v>27</v>
      </c>
      <c r="O7379" s="78"/>
      <c r="P7379" s="107">
        <v>0.3</v>
      </c>
      <c r="Q7379" s="108">
        <v>0.4</v>
      </c>
      <c r="R7379" s="45" t="str">
        <f t="shared" si="593"/>
        <v>HOFFLIGHTS</v>
      </c>
    </row>
    <row r="7380" spans="1:18" customFormat="1" ht="27" customHeight="1" x14ac:dyDescent="0.25">
      <c r="A7380" s="105" t="s">
        <v>13983</v>
      </c>
      <c r="H7380" t="s">
        <v>15098</v>
      </c>
      <c r="I7380" t="s">
        <v>15099</v>
      </c>
      <c r="J7380" s="34" t="s">
        <v>26</v>
      </c>
      <c r="K7380" s="77">
        <v>128.11500000000001</v>
      </c>
      <c r="L7380" s="12">
        <f t="shared" si="592"/>
        <v>277.58250000000004</v>
      </c>
      <c r="M7380" s="106">
        <v>1</v>
      </c>
      <c r="N7380" s="106" t="s">
        <v>27</v>
      </c>
      <c r="O7380" s="78"/>
      <c r="P7380" s="107">
        <v>0.3</v>
      </c>
      <c r="Q7380" s="108">
        <v>0.4</v>
      </c>
      <c r="R7380" s="45" t="str">
        <f t="shared" si="593"/>
        <v>HOFFLIGHTS</v>
      </c>
    </row>
    <row r="7381" spans="1:18" customFormat="1" ht="27" customHeight="1" x14ac:dyDescent="0.25">
      <c r="A7381" s="105" t="s">
        <v>13983</v>
      </c>
      <c r="H7381" t="s">
        <v>15100</v>
      </c>
      <c r="I7381" t="s">
        <v>15101</v>
      </c>
      <c r="J7381" s="34" t="s">
        <v>26</v>
      </c>
      <c r="K7381" s="77">
        <v>162.63</v>
      </c>
      <c r="L7381" s="12">
        <f t="shared" si="592"/>
        <v>352.36500000000001</v>
      </c>
      <c r="M7381" s="106">
        <v>1</v>
      </c>
      <c r="N7381" s="106" t="s">
        <v>27</v>
      </c>
      <c r="O7381" s="78"/>
      <c r="P7381" s="107">
        <v>0.3</v>
      </c>
      <c r="Q7381" s="108">
        <v>0.4</v>
      </c>
      <c r="R7381" s="45" t="str">
        <f t="shared" si="593"/>
        <v>HOFFLIGHTS</v>
      </c>
    </row>
    <row r="7382" spans="1:18" customFormat="1" ht="27" customHeight="1" x14ac:dyDescent="0.25">
      <c r="A7382" s="105" t="s">
        <v>13983</v>
      </c>
      <c r="H7382" t="s">
        <v>15102</v>
      </c>
      <c r="I7382" t="s">
        <v>15103</v>
      </c>
      <c r="J7382" s="34" t="s">
        <v>26</v>
      </c>
      <c r="K7382" s="77">
        <v>142.155</v>
      </c>
      <c r="L7382" s="12">
        <f t="shared" si="592"/>
        <v>308.0025</v>
      </c>
      <c r="M7382" s="106">
        <v>1</v>
      </c>
      <c r="N7382" s="106" t="s">
        <v>27</v>
      </c>
      <c r="O7382" s="78"/>
      <c r="P7382" s="107">
        <v>0.3</v>
      </c>
      <c r="Q7382" s="108">
        <v>0.4</v>
      </c>
      <c r="R7382" s="45" t="str">
        <f t="shared" si="593"/>
        <v>HOFFLIGHTS</v>
      </c>
    </row>
    <row r="7383" spans="1:18" customFormat="1" ht="27" customHeight="1" x14ac:dyDescent="0.25">
      <c r="A7383" s="105" t="s">
        <v>13983</v>
      </c>
      <c r="H7383" t="s">
        <v>15104</v>
      </c>
      <c r="I7383" t="s">
        <v>15105</v>
      </c>
      <c r="J7383" s="34" t="s">
        <v>26</v>
      </c>
      <c r="K7383" s="77">
        <v>179.01</v>
      </c>
      <c r="L7383" s="12">
        <f t="shared" si="592"/>
        <v>387.85500000000002</v>
      </c>
      <c r="M7383" s="106">
        <v>1</v>
      </c>
      <c r="N7383" s="106" t="s">
        <v>27</v>
      </c>
      <c r="O7383" s="78"/>
      <c r="P7383" s="107">
        <v>0.3</v>
      </c>
      <c r="Q7383" s="108">
        <v>0.4</v>
      </c>
      <c r="R7383" s="45" t="str">
        <f t="shared" si="593"/>
        <v>HOFFLIGHTS</v>
      </c>
    </row>
    <row r="7384" spans="1:18" customFormat="1" ht="27" customHeight="1" x14ac:dyDescent="0.25">
      <c r="A7384" s="105" t="s">
        <v>13983</v>
      </c>
      <c r="H7384" t="s">
        <v>15106</v>
      </c>
      <c r="I7384" t="s">
        <v>15107</v>
      </c>
      <c r="J7384" s="34" t="s">
        <v>26</v>
      </c>
      <c r="K7384" s="77">
        <v>3.01275</v>
      </c>
      <c r="L7384" s="12">
        <f t="shared" si="592"/>
        <v>6.5276250000000005</v>
      </c>
      <c r="M7384" s="106">
        <v>1</v>
      </c>
      <c r="N7384" s="106" t="s">
        <v>27</v>
      </c>
      <c r="O7384" s="78"/>
      <c r="P7384" s="107">
        <v>0.3</v>
      </c>
      <c r="Q7384" s="108">
        <v>0.4</v>
      </c>
      <c r="R7384" s="45" t="str">
        <f t="shared" si="593"/>
        <v>HOFFLIGHTS</v>
      </c>
    </row>
    <row r="7385" spans="1:18" customFormat="1" ht="27" customHeight="1" x14ac:dyDescent="0.25">
      <c r="A7385" s="105" t="s">
        <v>13983</v>
      </c>
      <c r="H7385" t="s">
        <v>15108</v>
      </c>
      <c r="I7385" t="s">
        <v>15109</v>
      </c>
      <c r="J7385" s="34" t="s">
        <v>26</v>
      </c>
      <c r="K7385" s="77">
        <v>3.01275</v>
      </c>
      <c r="L7385" s="12">
        <f t="shared" si="592"/>
        <v>6.5276250000000005</v>
      </c>
      <c r="M7385" s="106">
        <v>1</v>
      </c>
      <c r="N7385" s="106" t="s">
        <v>27</v>
      </c>
      <c r="O7385" s="78"/>
      <c r="P7385" s="107">
        <v>0.3</v>
      </c>
      <c r="Q7385" s="108">
        <v>0.4</v>
      </c>
      <c r="R7385" s="45" t="str">
        <f t="shared" si="593"/>
        <v>HOFFLIGHTS</v>
      </c>
    </row>
    <row r="7386" spans="1:18" customFormat="1" ht="27" customHeight="1" x14ac:dyDescent="0.25">
      <c r="A7386" s="105" t="s">
        <v>13983</v>
      </c>
      <c r="H7386" t="s">
        <v>15110</v>
      </c>
      <c r="I7386" t="s">
        <v>15111</v>
      </c>
      <c r="J7386" s="34" t="s">
        <v>26</v>
      </c>
      <c r="K7386" s="77">
        <v>5.2649999999999997</v>
      </c>
      <c r="L7386" s="12">
        <f t="shared" si="592"/>
        <v>11.407500000000001</v>
      </c>
      <c r="M7386" s="106">
        <v>1</v>
      </c>
      <c r="N7386" s="106" t="s">
        <v>27</v>
      </c>
      <c r="O7386" s="78"/>
      <c r="P7386" s="107">
        <v>0.3</v>
      </c>
      <c r="Q7386" s="108">
        <v>0.4</v>
      </c>
      <c r="R7386" s="45" t="str">
        <f t="shared" si="593"/>
        <v>HOFFLIGHTS</v>
      </c>
    </row>
    <row r="7387" spans="1:18" customFormat="1" ht="27" customHeight="1" x14ac:dyDescent="0.25">
      <c r="A7387" s="105" t="s">
        <v>13983</v>
      </c>
      <c r="H7387" t="s">
        <v>15112</v>
      </c>
      <c r="I7387" t="s">
        <v>15113</v>
      </c>
      <c r="J7387" s="34" t="s">
        <v>26</v>
      </c>
      <c r="K7387" s="77">
        <v>4.5337500000000004</v>
      </c>
      <c r="L7387" s="12">
        <f t="shared" si="592"/>
        <v>9.823125000000001</v>
      </c>
      <c r="M7387" s="106">
        <v>1</v>
      </c>
      <c r="N7387" s="106" t="s">
        <v>27</v>
      </c>
      <c r="O7387" s="78"/>
      <c r="P7387" s="107">
        <v>0.3</v>
      </c>
      <c r="Q7387" s="108">
        <v>0.4</v>
      </c>
      <c r="R7387" s="45" t="str">
        <f t="shared" si="593"/>
        <v>HOFFLIGHTS</v>
      </c>
    </row>
    <row r="7388" spans="1:18" customFormat="1" ht="27" customHeight="1" x14ac:dyDescent="0.25">
      <c r="A7388" s="105" t="s">
        <v>13983</v>
      </c>
      <c r="H7388" t="s">
        <v>15114</v>
      </c>
      <c r="I7388" t="s">
        <v>15115</v>
      </c>
      <c r="J7388" s="34" t="s">
        <v>26</v>
      </c>
      <c r="K7388" s="77">
        <v>9.9450000000000003</v>
      </c>
      <c r="L7388" s="12">
        <f t="shared" si="592"/>
        <v>21.547500000000003</v>
      </c>
      <c r="M7388" s="106">
        <v>1</v>
      </c>
      <c r="N7388" s="106" t="s">
        <v>27</v>
      </c>
      <c r="O7388" s="78"/>
      <c r="P7388" s="107">
        <v>0.3</v>
      </c>
      <c r="Q7388" s="108">
        <v>0.4</v>
      </c>
      <c r="R7388" s="45" t="str">
        <f t="shared" si="593"/>
        <v>HOFFLIGHTS</v>
      </c>
    </row>
    <row r="7389" spans="1:18" customFormat="1" ht="27" customHeight="1" x14ac:dyDescent="0.25">
      <c r="A7389" s="105" t="s">
        <v>13983</v>
      </c>
      <c r="H7389" t="s">
        <v>15116</v>
      </c>
      <c r="I7389" t="s">
        <v>15117</v>
      </c>
      <c r="J7389" s="34" t="s">
        <v>26</v>
      </c>
      <c r="K7389" s="77">
        <v>13.455</v>
      </c>
      <c r="L7389" s="12">
        <f t="shared" si="592"/>
        <v>29.152500000000003</v>
      </c>
      <c r="M7389" s="106">
        <v>1</v>
      </c>
      <c r="N7389" s="106" t="s">
        <v>27</v>
      </c>
      <c r="O7389" s="78"/>
      <c r="P7389" s="107">
        <v>0.3</v>
      </c>
      <c r="Q7389" s="108">
        <v>0.4</v>
      </c>
      <c r="R7389" s="45" t="str">
        <f t="shared" si="593"/>
        <v>HOFFLIGHTS</v>
      </c>
    </row>
    <row r="7390" spans="1:18" customFormat="1" ht="27" customHeight="1" x14ac:dyDescent="0.25">
      <c r="A7390" s="105" t="s">
        <v>13983</v>
      </c>
      <c r="H7390" t="s">
        <v>15118</v>
      </c>
      <c r="I7390" t="s">
        <v>15119</v>
      </c>
      <c r="J7390" s="34" t="s">
        <v>26</v>
      </c>
      <c r="K7390" s="77">
        <v>4.7384999999999993</v>
      </c>
      <c r="L7390" s="12">
        <f t="shared" si="592"/>
        <v>10.266749999999998</v>
      </c>
      <c r="M7390" s="106">
        <v>1</v>
      </c>
      <c r="N7390" s="106" t="s">
        <v>27</v>
      </c>
      <c r="O7390" s="78"/>
      <c r="P7390" s="107">
        <v>0.3</v>
      </c>
      <c r="Q7390" s="108">
        <v>0.4</v>
      </c>
      <c r="R7390" s="45" t="str">
        <f t="shared" si="593"/>
        <v>HOFFLIGHTS</v>
      </c>
    </row>
    <row r="7391" spans="1:18" customFormat="1" ht="27" customHeight="1" x14ac:dyDescent="0.25">
      <c r="A7391" s="105" t="s">
        <v>13983</v>
      </c>
      <c r="H7391" t="s">
        <v>15120</v>
      </c>
      <c r="I7391" t="s">
        <v>15121</v>
      </c>
      <c r="J7391" s="34" t="s">
        <v>26</v>
      </c>
      <c r="K7391" s="77">
        <v>8.4239999999999995</v>
      </c>
      <c r="L7391" s="12">
        <f t="shared" si="592"/>
        <v>18.252000000000002</v>
      </c>
      <c r="M7391" s="106">
        <v>1</v>
      </c>
      <c r="N7391" s="106" t="s">
        <v>27</v>
      </c>
      <c r="O7391" s="78"/>
      <c r="P7391" s="107">
        <v>0.3</v>
      </c>
      <c r="Q7391" s="108">
        <v>0.4</v>
      </c>
      <c r="R7391" s="45" t="str">
        <f t="shared" si="593"/>
        <v>HOFFLIGHTS</v>
      </c>
    </row>
    <row r="7392" spans="1:18" customFormat="1" ht="27" customHeight="1" x14ac:dyDescent="0.25">
      <c r="A7392" s="105" t="s">
        <v>13983</v>
      </c>
      <c r="H7392" t="s">
        <v>15122</v>
      </c>
      <c r="I7392" t="s">
        <v>15123</v>
      </c>
      <c r="J7392" s="34" t="s">
        <v>26</v>
      </c>
      <c r="K7392" s="77">
        <v>9.2430000000000003</v>
      </c>
      <c r="L7392" s="12">
        <f t="shared" si="592"/>
        <v>20.026500000000002</v>
      </c>
      <c r="M7392" s="106">
        <v>1</v>
      </c>
      <c r="N7392" s="106" t="s">
        <v>27</v>
      </c>
      <c r="O7392" s="78"/>
      <c r="P7392" s="107">
        <v>0.3</v>
      </c>
      <c r="Q7392" s="108">
        <v>0.4</v>
      </c>
      <c r="R7392" s="45" t="str">
        <f t="shared" si="593"/>
        <v>HOFFLIGHTS</v>
      </c>
    </row>
    <row r="7393" spans="1:18" customFormat="1" ht="27" customHeight="1" x14ac:dyDescent="0.25">
      <c r="A7393" s="105" t="s">
        <v>13983</v>
      </c>
      <c r="H7393" t="s">
        <v>15124</v>
      </c>
      <c r="I7393" t="s">
        <v>15125</v>
      </c>
      <c r="J7393" s="34" t="s">
        <v>26</v>
      </c>
      <c r="K7393" s="77">
        <v>14.625</v>
      </c>
      <c r="L7393" s="12">
        <f t="shared" si="592"/>
        <v>31.6875</v>
      </c>
      <c r="M7393" s="106">
        <v>1</v>
      </c>
      <c r="N7393" s="106" t="s">
        <v>27</v>
      </c>
      <c r="O7393" s="78"/>
      <c r="P7393" s="107">
        <v>0.3</v>
      </c>
      <c r="Q7393" s="108">
        <v>0.4</v>
      </c>
      <c r="R7393" s="45" t="str">
        <f t="shared" si="593"/>
        <v>HOFFLIGHTS</v>
      </c>
    </row>
    <row r="7394" spans="1:18" customFormat="1" ht="27" customHeight="1" x14ac:dyDescent="0.25">
      <c r="A7394" s="105" t="s">
        <v>13983</v>
      </c>
      <c r="H7394" t="s">
        <v>15126</v>
      </c>
      <c r="I7394" t="s">
        <v>15127</v>
      </c>
      <c r="J7394" s="34" t="s">
        <v>26</v>
      </c>
      <c r="K7394" s="77">
        <v>3.01275</v>
      </c>
      <c r="L7394" s="12">
        <f t="shared" si="592"/>
        <v>6.5276250000000005</v>
      </c>
      <c r="M7394" s="106">
        <v>1</v>
      </c>
      <c r="N7394" s="106" t="s">
        <v>27</v>
      </c>
      <c r="O7394" s="78"/>
      <c r="P7394" s="107">
        <v>0.3</v>
      </c>
      <c r="Q7394" s="108">
        <v>0.4</v>
      </c>
      <c r="R7394" s="45" t="str">
        <f t="shared" si="593"/>
        <v>HOFFLIGHTS</v>
      </c>
    </row>
    <row r="7395" spans="1:18" customFormat="1" ht="27" customHeight="1" x14ac:dyDescent="0.25">
      <c r="A7395" s="105" t="s">
        <v>13983</v>
      </c>
      <c r="H7395" t="s">
        <v>15128</v>
      </c>
      <c r="I7395" t="s">
        <v>15129</v>
      </c>
      <c r="J7395" s="34" t="s">
        <v>26</v>
      </c>
      <c r="K7395" s="77">
        <v>9.7110000000000003</v>
      </c>
      <c r="L7395" s="12">
        <f t="shared" si="592"/>
        <v>21.040500000000005</v>
      </c>
      <c r="M7395" s="106">
        <v>1</v>
      </c>
      <c r="N7395" s="106" t="s">
        <v>27</v>
      </c>
      <c r="O7395" s="78"/>
      <c r="P7395" s="107">
        <v>0.3</v>
      </c>
      <c r="Q7395" s="108">
        <v>0.4</v>
      </c>
      <c r="R7395" s="45" t="str">
        <f t="shared" si="593"/>
        <v>HOFFLIGHTS</v>
      </c>
    </row>
    <row r="7396" spans="1:18" customFormat="1" ht="27" customHeight="1" x14ac:dyDescent="0.25">
      <c r="A7396" s="105" t="s">
        <v>13983</v>
      </c>
      <c r="H7396" t="s">
        <v>15130</v>
      </c>
      <c r="I7396" t="s">
        <v>15131</v>
      </c>
      <c r="J7396" s="34" t="s">
        <v>26</v>
      </c>
      <c r="K7396" s="77">
        <v>4.5337500000000004</v>
      </c>
      <c r="L7396" s="12">
        <f t="shared" si="592"/>
        <v>9.823125000000001</v>
      </c>
      <c r="M7396" s="106">
        <v>1</v>
      </c>
      <c r="N7396" s="106" t="s">
        <v>27</v>
      </c>
      <c r="O7396" s="78"/>
      <c r="P7396" s="107">
        <v>0.3</v>
      </c>
      <c r="Q7396" s="108">
        <v>0.4</v>
      </c>
      <c r="R7396" s="45" t="str">
        <f t="shared" si="593"/>
        <v>HOFFLIGHTS</v>
      </c>
    </row>
    <row r="7397" spans="1:18" customFormat="1" ht="27" customHeight="1" x14ac:dyDescent="0.25">
      <c r="A7397" s="105" t="s">
        <v>13983</v>
      </c>
      <c r="H7397" t="s">
        <v>15132</v>
      </c>
      <c r="I7397" t="s">
        <v>15133</v>
      </c>
      <c r="J7397" s="34" t="s">
        <v>26</v>
      </c>
      <c r="K7397" s="77">
        <v>14.625</v>
      </c>
      <c r="L7397" s="12">
        <f t="shared" si="592"/>
        <v>31.6875</v>
      </c>
      <c r="M7397" s="106">
        <v>1</v>
      </c>
      <c r="N7397" s="106" t="s">
        <v>27</v>
      </c>
      <c r="O7397" s="78"/>
      <c r="P7397" s="107">
        <v>0.3</v>
      </c>
      <c r="Q7397" s="108">
        <v>0.4</v>
      </c>
      <c r="R7397" s="45" t="str">
        <f t="shared" si="593"/>
        <v>HOFFLIGHTS</v>
      </c>
    </row>
    <row r="7398" spans="1:18" customFormat="1" ht="27" customHeight="1" x14ac:dyDescent="0.25">
      <c r="A7398" s="105" t="s">
        <v>13983</v>
      </c>
      <c r="H7398" t="s">
        <v>15134</v>
      </c>
      <c r="I7398" t="s">
        <v>15135</v>
      </c>
      <c r="J7398" s="34" t="s">
        <v>26</v>
      </c>
      <c r="K7398" s="77">
        <v>12.43125</v>
      </c>
      <c r="L7398" s="12">
        <f t="shared" si="592"/>
        <v>26.934374999999999</v>
      </c>
      <c r="M7398" s="106">
        <v>1</v>
      </c>
      <c r="N7398" s="106" t="s">
        <v>27</v>
      </c>
      <c r="O7398" s="78"/>
      <c r="P7398" s="107">
        <v>0.3</v>
      </c>
      <c r="Q7398" s="108">
        <v>0.4</v>
      </c>
      <c r="R7398" s="45" t="str">
        <f t="shared" si="593"/>
        <v>HOFFLIGHTS</v>
      </c>
    </row>
    <row r="7399" spans="1:18" customFormat="1" ht="27" customHeight="1" x14ac:dyDescent="0.25">
      <c r="A7399" s="105" t="s">
        <v>13983</v>
      </c>
      <c r="H7399" t="s">
        <v>15136</v>
      </c>
      <c r="I7399" t="s">
        <v>15137</v>
      </c>
      <c r="J7399" s="34" t="s">
        <v>26</v>
      </c>
      <c r="K7399" s="77">
        <v>11.583</v>
      </c>
      <c r="L7399" s="12">
        <f t="shared" si="592"/>
        <v>25.096500000000002</v>
      </c>
      <c r="M7399" s="106">
        <v>1</v>
      </c>
      <c r="N7399" s="106" t="s">
        <v>27</v>
      </c>
      <c r="O7399" s="78"/>
      <c r="P7399" s="107">
        <v>0.3</v>
      </c>
      <c r="Q7399" s="108">
        <v>0.4</v>
      </c>
      <c r="R7399" s="45" t="str">
        <f t="shared" si="593"/>
        <v>HOFFLIGHTS</v>
      </c>
    </row>
    <row r="7400" spans="1:18" customFormat="1" ht="27" customHeight="1" x14ac:dyDescent="0.25">
      <c r="A7400" s="105" t="s">
        <v>13983</v>
      </c>
      <c r="H7400" t="s">
        <v>15138</v>
      </c>
      <c r="I7400" t="s">
        <v>15139</v>
      </c>
      <c r="J7400" s="34" t="s">
        <v>26</v>
      </c>
      <c r="K7400" s="77">
        <v>3.01275</v>
      </c>
      <c r="L7400" s="12">
        <f t="shared" si="592"/>
        <v>6.5276250000000005</v>
      </c>
      <c r="M7400" s="106">
        <v>1</v>
      </c>
      <c r="N7400" s="106" t="s">
        <v>27</v>
      </c>
      <c r="O7400" s="78"/>
      <c r="P7400" s="107">
        <v>0.3</v>
      </c>
      <c r="Q7400" s="108">
        <v>0.4</v>
      </c>
      <c r="R7400" s="45" t="str">
        <f t="shared" si="593"/>
        <v>HOFFLIGHTS</v>
      </c>
    </row>
    <row r="7401" spans="1:18" customFormat="1" ht="27" customHeight="1" x14ac:dyDescent="0.25">
      <c r="A7401" s="105" t="s">
        <v>13983</v>
      </c>
      <c r="H7401" t="s">
        <v>15140</v>
      </c>
      <c r="I7401" t="s">
        <v>15141</v>
      </c>
      <c r="J7401" s="34" t="s">
        <v>26</v>
      </c>
      <c r="K7401" s="77">
        <v>3.01275</v>
      </c>
      <c r="L7401" s="12">
        <f t="shared" si="592"/>
        <v>6.5276250000000005</v>
      </c>
      <c r="M7401" s="106">
        <v>1</v>
      </c>
      <c r="N7401" s="106" t="s">
        <v>27</v>
      </c>
      <c r="O7401" s="78"/>
      <c r="P7401" s="107">
        <v>0.3</v>
      </c>
      <c r="Q7401" s="108">
        <v>0.4</v>
      </c>
      <c r="R7401" s="45" t="str">
        <f t="shared" si="593"/>
        <v>HOFFLIGHTS</v>
      </c>
    </row>
    <row r="7402" spans="1:18" customFormat="1" ht="27" customHeight="1" x14ac:dyDescent="0.25">
      <c r="A7402" s="105" t="s">
        <v>13983</v>
      </c>
      <c r="H7402" t="s">
        <v>15142</v>
      </c>
      <c r="I7402" t="s">
        <v>15143</v>
      </c>
      <c r="J7402" s="34" t="s">
        <v>26</v>
      </c>
      <c r="K7402" s="77">
        <v>20.475000000000001</v>
      </c>
      <c r="L7402" s="12">
        <f t="shared" ref="L7402:L7465" si="594">K7402*(1+P7402)/(1-Q7402)</f>
        <v>44.362500000000004</v>
      </c>
      <c r="M7402" s="106">
        <v>1</v>
      </c>
      <c r="N7402" s="106" t="s">
        <v>27</v>
      </c>
      <c r="O7402" s="78"/>
      <c r="P7402" s="107">
        <v>0.3</v>
      </c>
      <c r="Q7402" s="108">
        <v>0.4</v>
      </c>
      <c r="R7402" s="45" t="str">
        <f t="shared" si="593"/>
        <v>HOFFLIGHTS</v>
      </c>
    </row>
    <row r="7403" spans="1:18" customFormat="1" ht="27" customHeight="1" x14ac:dyDescent="0.25">
      <c r="A7403" s="105" t="s">
        <v>13983</v>
      </c>
      <c r="H7403" t="s">
        <v>15144</v>
      </c>
      <c r="I7403" t="s">
        <v>15145</v>
      </c>
      <c r="J7403" s="34" t="s">
        <v>26</v>
      </c>
      <c r="K7403" s="77">
        <v>4.12425</v>
      </c>
      <c r="L7403" s="12">
        <f t="shared" si="594"/>
        <v>8.9358750000000011</v>
      </c>
      <c r="M7403" s="106">
        <v>1</v>
      </c>
      <c r="N7403" s="106" t="s">
        <v>27</v>
      </c>
      <c r="O7403" s="78"/>
      <c r="P7403" s="107">
        <v>0.3</v>
      </c>
      <c r="Q7403" s="108">
        <v>0.4</v>
      </c>
      <c r="R7403" s="45" t="str">
        <f t="shared" si="593"/>
        <v>HOFFLIGHTS</v>
      </c>
    </row>
    <row r="7404" spans="1:18" customFormat="1" ht="27" customHeight="1" x14ac:dyDescent="0.25">
      <c r="A7404" s="105" t="s">
        <v>13983</v>
      </c>
      <c r="H7404" t="s">
        <v>15146</v>
      </c>
      <c r="I7404" t="s">
        <v>15147</v>
      </c>
      <c r="J7404" s="34" t="s">
        <v>26</v>
      </c>
      <c r="K7404" s="77">
        <v>6.2009999999999996</v>
      </c>
      <c r="L7404" s="12">
        <f t="shared" si="594"/>
        <v>13.435499999999999</v>
      </c>
      <c r="M7404" s="106">
        <v>1</v>
      </c>
      <c r="N7404" s="106" t="s">
        <v>27</v>
      </c>
      <c r="O7404" s="78"/>
      <c r="P7404" s="107">
        <v>0.3</v>
      </c>
      <c r="Q7404" s="108">
        <v>0.4</v>
      </c>
      <c r="R7404" s="45" t="str">
        <f t="shared" si="593"/>
        <v>HOFFLIGHTS</v>
      </c>
    </row>
    <row r="7405" spans="1:18" customFormat="1" ht="27" customHeight="1" x14ac:dyDescent="0.25">
      <c r="A7405" s="105" t="s">
        <v>13983</v>
      </c>
      <c r="H7405" t="s">
        <v>15148</v>
      </c>
      <c r="I7405" t="s">
        <v>15149</v>
      </c>
      <c r="J7405" s="34" t="s">
        <v>26</v>
      </c>
      <c r="K7405" s="77">
        <v>39.78</v>
      </c>
      <c r="L7405" s="12">
        <f t="shared" si="594"/>
        <v>86.190000000000012</v>
      </c>
      <c r="M7405" s="106">
        <v>1</v>
      </c>
      <c r="N7405" s="106" t="s">
        <v>27</v>
      </c>
      <c r="O7405" s="78"/>
      <c r="P7405" s="107">
        <v>0.3</v>
      </c>
      <c r="Q7405" s="108">
        <v>0.4</v>
      </c>
      <c r="R7405" s="45" t="str">
        <f t="shared" si="593"/>
        <v>HOFFLIGHTS</v>
      </c>
    </row>
    <row r="7406" spans="1:18" customFormat="1" ht="27" customHeight="1" x14ac:dyDescent="0.25">
      <c r="A7406" s="105" t="s">
        <v>13983</v>
      </c>
      <c r="H7406" t="s">
        <v>15150</v>
      </c>
      <c r="I7406" t="s">
        <v>15151</v>
      </c>
      <c r="J7406" s="34" t="s">
        <v>26</v>
      </c>
      <c r="K7406" s="77">
        <v>22.668749999999999</v>
      </c>
      <c r="L7406" s="12">
        <f t="shared" si="594"/>
        <v>49.115625000000001</v>
      </c>
      <c r="M7406" s="106">
        <v>1</v>
      </c>
      <c r="N7406" s="106" t="s">
        <v>27</v>
      </c>
      <c r="O7406" s="78"/>
      <c r="P7406" s="107">
        <v>0.3</v>
      </c>
      <c r="Q7406" s="108">
        <v>0.4</v>
      </c>
      <c r="R7406" s="45" t="str">
        <f t="shared" si="593"/>
        <v>HOFFLIGHTS</v>
      </c>
    </row>
    <row r="7407" spans="1:18" customFormat="1" ht="27" customHeight="1" x14ac:dyDescent="0.25">
      <c r="A7407" s="105" t="s">
        <v>13983</v>
      </c>
      <c r="H7407" t="s">
        <v>15152</v>
      </c>
      <c r="I7407" t="s">
        <v>15153</v>
      </c>
      <c r="J7407" s="34" t="s">
        <v>26</v>
      </c>
      <c r="K7407" s="77">
        <v>31.004999999999999</v>
      </c>
      <c r="L7407" s="12">
        <f t="shared" si="594"/>
        <v>67.177500000000009</v>
      </c>
      <c r="M7407" s="106">
        <v>1</v>
      </c>
      <c r="N7407" s="106" t="s">
        <v>27</v>
      </c>
      <c r="O7407" s="78"/>
      <c r="P7407" s="107">
        <v>0.3</v>
      </c>
      <c r="Q7407" s="108">
        <v>0.4</v>
      </c>
      <c r="R7407" s="45" t="str">
        <f t="shared" si="593"/>
        <v>HOFFLIGHTS</v>
      </c>
    </row>
    <row r="7408" spans="1:18" customFormat="1" ht="27" customHeight="1" x14ac:dyDescent="0.25">
      <c r="A7408" s="105" t="s">
        <v>13983</v>
      </c>
      <c r="H7408" t="s">
        <v>15154</v>
      </c>
      <c r="I7408" t="s">
        <v>15155</v>
      </c>
      <c r="J7408" s="34" t="s">
        <v>26</v>
      </c>
      <c r="K7408" s="77">
        <v>30.42</v>
      </c>
      <c r="L7408" s="12">
        <f t="shared" si="594"/>
        <v>65.910000000000011</v>
      </c>
      <c r="M7408" s="106">
        <v>1</v>
      </c>
      <c r="N7408" s="106" t="s">
        <v>27</v>
      </c>
      <c r="O7408" s="78"/>
      <c r="P7408" s="107">
        <v>0.3</v>
      </c>
      <c r="Q7408" s="108">
        <v>0.4</v>
      </c>
      <c r="R7408" s="45" t="str">
        <f t="shared" si="593"/>
        <v>HOFFLIGHTS</v>
      </c>
    </row>
    <row r="7409" spans="1:18" customFormat="1" ht="27" customHeight="1" x14ac:dyDescent="0.25">
      <c r="A7409" s="105" t="s">
        <v>13983</v>
      </c>
      <c r="H7409" t="s">
        <v>15156</v>
      </c>
      <c r="I7409" t="s">
        <v>15157</v>
      </c>
      <c r="J7409" s="34" t="s">
        <v>26</v>
      </c>
      <c r="K7409" s="77">
        <v>31.8825</v>
      </c>
      <c r="L7409" s="12">
        <f t="shared" si="594"/>
        <v>69.078750000000014</v>
      </c>
      <c r="M7409" s="106">
        <v>1</v>
      </c>
      <c r="N7409" s="106" t="s">
        <v>27</v>
      </c>
      <c r="O7409" s="78"/>
      <c r="P7409" s="107">
        <v>0.3</v>
      </c>
      <c r="Q7409" s="108">
        <v>0.4</v>
      </c>
      <c r="R7409" s="45" t="str">
        <f t="shared" si="593"/>
        <v>HOFFLIGHTS</v>
      </c>
    </row>
    <row r="7410" spans="1:18" customFormat="1" ht="27" customHeight="1" x14ac:dyDescent="0.25">
      <c r="A7410" s="105" t="s">
        <v>13983</v>
      </c>
      <c r="H7410" t="s">
        <v>15158</v>
      </c>
      <c r="I7410" t="s">
        <v>15159</v>
      </c>
      <c r="J7410" s="34" t="s">
        <v>26</v>
      </c>
      <c r="K7410" s="77">
        <v>21.352499999999999</v>
      </c>
      <c r="L7410" s="12">
        <f t="shared" si="594"/>
        <v>46.263750000000002</v>
      </c>
      <c r="M7410" s="106">
        <v>1</v>
      </c>
      <c r="N7410" s="106" t="s">
        <v>27</v>
      </c>
      <c r="O7410" s="78"/>
      <c r="P7410" s="107">
        <v>0.3</v>
      </c>
      <c r="Q7410" s="108">
        <v>0.4</v>
      </c>
      <c r="R7410" s="45" t="str">
        <f t="shared" si="593"/>
        <v>HOFFLIGHTS</v>
      </c>
    </row>
    <row r="7411" spans="1:18" customFormat="1" ht="27" customHeight="1" x14ac:dyDescent="0.25">
      <c r="A7411" s="105" t="s">
        <v>13983</v>
      </c>
      <c r="H7411" t="s">
        <v>15160</v>
      </c>
      <c r="I7411" t="s">
        <v>15161</v>
      </c>
      <c r="J7411" s="34" t="s">
        <v>26</v>
      </c>
      <c r="K7411" s="77">
        <v>38.61</v>
      </c>
      <c r="L7411" s="12">
        <f t="shared" si="594"/>
        <v>83.655000000000001</v>
      </c>
      <c r="M7411" s="106">
        <v>1</v>
      </c>
      <c r="N7411" s="106" t="s">
        <v>27</v>
      </c>
      <c r="O7411" s="78"/>
      <c r="P7411" s="107">
        <v>0.3</v>
      </c>
      <c r="Q7411" s="108">
        <v>0.4</v>
      </c>
      <c r="R7411" s="45" t="str">
        <f t="shared" si="593"/>
        <v>HOFFLIGHTS</v>
      </c>
    </row>
    <row r="7412" spans="1:18" customFormat="1" ht="27" customHeight="1" x14ac:dyDescent="0.25">
      <c r="A7412" s="105" t="s">
        <v>13983</v>
      </c>
      <c r="H7412" t="s">
        <v>15162</v>
      </c>
      <c r="I7412" t="s">
        <v>15163</v>
      </c>
      <c r="J7412" s="34" t="s">
        <v>26</v>
      </c>
      <c r="K7412" s="77">
        <v>41.534999999999997</v>
      </c>
      <c r="L7412" s="12">
        <f t="shared" si="594"/>
        <v>89.992500000000007</v>
      </c>
      <c r="M7412" s="106">
        <v>1</v>
      </c>
      <c r="N7412" s="106" t="s">
        <v>27</v>
      </c>
      <c r="O7412" s="78"/>
      <c r="P7412" s="107">
        <v>0.3</v>
      </c>
      <c r="Q7412" s="108">
        <v>0.4</v>
      </c>
      <c r="R7412" s="45" t="str">
        <f t="shared" si="593"/>
        <v>HOFFLIGHTS</v>
      </c>
    </row>
    <row r="7413" spans="1:18" customFormat="1" ht="27" customHeight="1" x14ac:dyDescent="0.25">
      <c r="A7413" s="105" t="s">
        <v>13983</v>
      </c>
      <c r="H7413" t="s">
        <v>15164</v>
      </c>
      <c r="I7413" t="s">
        <v>15165</v>
      </c>
      <c r="J7413" s="34" t="s">
        <v>26</v>
      </c>
      <c r="K7413" s="77">
        <v>15.21</v>
      </c>
      <c r="L7413" s="12">
        <f t="shared" si="594"/>
        <v>32.955000000000005</v>
      </c>
      <c r="M7413" s="106">
        <v>1</v>
      </c>
      <c r="N7413" s="106" t="s">
        <v>27</v>
      </c>
      <c r="O7413" s="78"/>
      <c r="P7413" s="107">
        <v>0.3</v>
      </c>
      <c r="Q7413" s="108">
        <v>0.4</v>
      </c>
      <c r="R7413" s="45" t="str">
        <f t="shared" si="593"/>
        <v>HOFFLIGHTS</v>
      </c>
    </row>
    <row r="7414" spans="1:18" customFormat="1" ht="27" customHeight="1" x14ac:dyDescent="0.25">
      <c r="A7414" s="105" t="s">
        <v>13983</v>
      </c>
      <c r="H7414" t="s">
        <v>15166</v>
      </c>
      <c r="I7414" t="s">
        <v>15167</v>
      </c>
      <c r="J7414" s="34" t="s">
        <v>26</v>
      </c>
      <c r="K7414" s="77">
        <v>29.191500000000001</v>
      </c>
      <c r="L7414" s="12">
        <f t="shared" si="594"/>
        <v>63.248250000000006</v>
      </c>
      <c r="M7414" s="106">
        <v>1</v>
      </c>
      <c r="N7414" s="106" t="s">
        <v>27</v>
      </c>
      <c r="O7414" s="78"/>
      <c r="P7414" s="107">
        <v>0.3</v>
      </c>
      <c r="Q7414" s="108">
        <v>0.4</v>
      </c>
      <c r="R7414" s="45" t="str">
        <f t="shared" si="593"/>
        <v>HOFFLIGHTS</v>
      </c>
    </row>
    <row r="7415" spans="1:18" customFormat="1" ht="27" customHeight="1" x14ac:dyDescent="0.25">
      <c r="A7415" s="105" t="s">
        <v>13983</v>
      </c>
      <c r="H7415" t="s">
        <v>15168</v>
      </c>
      <c r="I7415" t="s">
        <v>15169</v>
      </c>
      <c r="J7415" s="34" t="s">
        <v>26</v>
      </c>
      <c r="K7415" s="77">
        <v>60.84</v>
      </c>
      <c r="L7415" s="12">
        <f t="shared" si="594"/>
        <v>131.82000000000002</v>
      </c>
      <c r="M7415" s="106">
        <v>1</v>
      </c>
      <c r="N7415" s="106" t="s">
        <v>27</v>
      </c>
      <c r="O7415" s="78"/>
      <c r="P7415" s="107">
        <v>0.3</v>
      </c>
      <c r="Q7415" s="108">
        <v>0.4</v>
      </c>
      <c r="R7415" s="45" t="str">
        <f t="shared" si="593"/>
        <v>HOFFLIGHTS</v>
      </c>
    </row>
    <row r="7416" spans="1:18" customFormat="1" ht="27" customHeight="1" x14ac:dyDescent="0.25">
      <c r="A7416" s="105" t="s">
        <v>13983</v>
      </c>
      <c r="H7416" t="s">
        <v>15170</v>
      </c>
      <c r="I7416" t="s">
        <v>15171</v>
      </c>
      <c r="J7416" s="34" t="s">
        <v>26</v>
      </c>
      <c r="K7416" s="77">
        <v>73.709999999999994</v>
      </c>
      <c r="L7416" s="12">
        <f t="shared" si="594"/>
        <v>159.70499999999998</v>
      </c>
      <c r="M7416" s="106">
        <v>1</v>
      </c>
      <c r="N7416" s="106" t="s">
        <v>27</v>
      </c>
      <c r="O7416" s="78"/>
      <c r="P7416" s="107">
        <v>0.3</v>
      </c>
      <c r="Q7416" s="108">
        <v>0.4</v>
      </c>
      <c r="R7416" s="45" t="str">
        <f t="shared" si="593"/>
        <v>HOFFLIGHTS</v>
      </c>
    </row>
    <row r="7417" spans="1:18" customFormat="1" ht="27" customHeight="1" x14ac:dyDescent="0.25">
      <c r="A7417" s="105" t="s">
        <v>13983</v>
      </c>
      <c r="H7417" t="s">
        <v>15172</v>
      </c>
      <c r="I7417" t="s">
        <v>15173</v>
      </c>
      <c r="J7417" s="34" t="s">
        <v>26</v>
      </c>
      <c r="K7417" s="77">
        <v>205.33500000000001</v>
      </c>
      <c r="L7417" s="12">
        <f t="shared" si="594"/>
        <v>444.8925000000001</v>
      </c>
      <c r="M7417" s="106">
        <v>1</v>
      </c>
      <c r="N7417" s="106" t="s">
        <v>27</v>
      </c>
      <c r="O7417" s="78"/>
      <c r="P7417" s="107">
        <v>0.3</v>
      </c>
      <c r="Q7417" s="108">
        <v>0.4</v>
      </c>
      <c r="R7417" s="45" t="str">
        <f t="shared" si="593"/>
        <v>HOFFLIGHTS</v>
      </c>
    </row>
    <row r="7418" spans="1:18" customFormat="1" ht="27" customHeight="1" x14ac:dyDescent="0.25">
      <c r="A7418" s="105" t="s">
        <v>13983</v>
      </c>
      <c r="H7418" t="s">
        <v>15174</v>
      </c>
      <c r="I7418" t="s">
        <v>15175</v>
      </c>
      <c r="J7418" s="34" t="s">
        <v>26</v>
      </c>
      <c r="K7418" s="77">
        <v>66.10499999999999</v>
      </c>
      <c r="L7418" s="12">
        <f t="shared" si="594"/>
        <v>143.22749999999999</v>
      </c>
      <c r="M7418" s="106">
        <v>1</v>
      </c>
      <c r="N7418" s="106" t="s">
        <v>27</v>
      </c>
      <c r="O7418" s="78"/>
      <c r="P7418" s="107">
        <v>0.3</v>
      </c>
      <c r="Q7418" s="108">
        <v>0.4</v>
      </c>
      <c r="R7418" s="45" t="str">
        <f t="shared" si="593"/>
        <v>HOFFLIGHTS</v>
      </c>
    </row>
    <row r="7419" spans="1:18" customFormat="1" ht="27" customHeight="1" x14ac:dyDescent="0.25">
      <c r="A7419" s="105" t="s">
        <v>13983</v>
      </c>
      <c r="H7419" t="s">
        <v>15176</v>
      </c>
      <c r="I7419" t="s">
        <v>15177</v>
      </c>
      <c r="J7419" s="34" t="s">
        <v>26</v>
      </c>
      <c r="K7419" s="77">
        <v>10.939500000000001</v>
      </c>
      <c r="L7419" s="12">
        <f t="shared" si="594"/>
        <v>23.702250000000003</v>
      </c>
      <c r="M7419" s="106">
        <v>1</v>
      </c>
      <c r="N7419" s="106" t="s">
        <v>27</v>
      </c>
      <c r="O7419" s="78"/>
      <c r="P7419" s="107">
        <v>0.3</v>
      </c>
      <c r="Q7419" s="108">
        <v>0.4</v>
      </c>
      <c r="R7419" s="45" t="str">
        <f t="shared" si="593"/>
        <v>HOFFLIGHTS</v>
      </c>
    </row>
    <row r="7420" spans="1:18" customFormat="1" ht="27" customHeight="1" x14ac:dyDescent="0.25">
      <c r="A7420" s="105" t="s">
        <v>13983</v>
      </c>
      <c r="H7420" t="s">
        <v>15178</v>
      </c>
      <c r="I7420" t="s">
        <v>15179</v>
      </c>
      <c r="J7420" s="34" t="s">
        <v>26</v>
      </c>
      <c r="K7420" s="77">
        <v>12.43125</v>
      </c>
      <c r="L7420" s="12">
        <f t="shared" si="594"/>
        <v>26.934374999999999</v>
      </c>
      <c r="M7420" s="106">
        <v>1</v>
      </c>
      <c r="N7420" s="106" t="s">
        <v>27</v>
      </c>
      <c r="O7420" s="78"/>
      <c r="P7420" s="107">
        <v>0.3</v>
      </c>
      <c r="Q7420" s="108">
        <v>0.4</v>
      </c>
      <c r="R7420" s="45" t="str">
        <f t="shared" si="593"/>
        <v>HOFFLIGHTS</v>
      </c>
    </row>
    <row r="7421" spans="1:18" customFormat="1" ht="27" customHeight="1" x14ac:dyDescent="0.25">
      <c r="A7421" s="105" t="s">
        <v>13983</v>
      </c>
      <c r="H7421" t="s">
        <v>15180</v>
      </c>
      <c r="I7421" t="s">
        <v>15181</v>
      </c>
      <c r="J7421" s="34" t="s">
        <v>26</v>
      </c>
      <c r="K7421" s="77">
        <v>12.13875</v>
      </c>
      <c r="L7421" s="12">
        <f t="shared" si="594"/>
        <v>26.300625000000004</v>
      </c>
      <c r="M7421" s="106">
        <v>1</v>
      </c>
      <c r="N7421" s="106" t="s">
        <v>27</v>
      </c>
      <c r="O7421" s="78"/>
      <c r="P7421" s="107">
        <v>0.3</v>
      </c>
      <c r="Q7421" s="108">
        <v>0.4</v>
      </c>
      <c r="R7421" s="45" t="str">
        <f t="shared" si="593"/>
        <v>HOFFLIGHTS</v>
      </c>
    </row>
    <row r="7422" spans="1:18" customFormat="1" ht="27" customHeight="1" x14ac:dyDescent="0.25">
      <c r="A7422" s="105" t="s">
        <v>13983</v>
      </c>
      <c r="H7422" t="s">
        <v>15182</v>
      </c>
      <c r="I7422" t="s">
        <v>15183</v>
      </c>
      <c r="J7422" s="34" t="s">
        <v>26</v>
      </c>
      <c r="K7422" s="77">
        <v>14.77125</v>
      </c>
      <c r="L7422" s="12">
        <f t="shared" si="594"/>
        <v>32.004375000000003</v>
      </c>
      <c r="M7422" s="106">
        <v>1</v>
      </c>
      <c r="N7422" s="106" t="s">
        <v>27</v>
      </c>
      <c r="O7422" s="78"/>
      <c r="P7422" s="107">
        <v>0.3</v>
      </c>
      <c r="Q7422" s="108">
        <v>0.4</v>
      </c>
      <c r="R7422" s="45" t="str">
        <f t="shared" ref="R7422:R7485" si="595">A7422</f>
        <v>HOFFLIGHTS</v>
      </c>
    </row>
    <row r="7423" spans="1:18" customFormat="1" ht="27" customHeight="1" x14ac:dyDescent="0.25">
      <c r="A7423" s="105" t="s">
        <v>13983</v>
      </c>
      <c r="H7423" t="s">
        <v>15184</v>
      </c>
      <c r="I7423" t="s">
        <v>15185</v>
      </c>
      <c r="J7423" s="34" t="s">
        <v>26</v>
      </c>
      <c r="K7423" s="77">
        <v>19.012499999999999</v>
      </c>
      <c r="L7423" s="12">
        <f t="shared" si="594"/>
        <v>41.193750000000001</v>
      </c>
      <c r="M7423" s="106">
        <v>1</v>
      </c>
      <c r="N7423" s="106" t="s">
        <v>27</v>
      </c>
      <c r="O7423" s="78"/>
      <c r="P7423" s="107">
        <v>0.3</v>
      </c>
      <c r="Q7423" s="108">
        <v>0.4</v>
      </c>
      <c r="R7423" s="45" t="str">
        <f t="shared" si="595"/>
        <v>HOFFLIGHTS</v>
      </c>
    </row>
    <row r="7424" spans="1:18" customFormat="1" ht="27" customHeight="1" x14ac:dyDescent="0.25">
      <c r="A7424" s="105" t="s">
        <v>13983</v>
      </c>
      <c r="H7424" t="s">
        <v>15186</v>
      </c>
      <c r="I7424" t="s">
        <v>15187</v>
      </c>
      <c r="J7424" s="34" t="s">
        <v>26</v>
      </c>
      <c r="K7424" s="77">
        <v>12.43125</v>
      </c>
      <c r="L7424" s="12">
        <f t="shared" si="594"/>
        <v>26.934374999999999</v>
      </c>
      <c r="M7424" s="106">
        <v>1</v>
      </c>
      <c r="N7424" s="106" t="s">
        <v>27</v>
      </c>
      <c r="O7424" s="78"/>
      <c r="P7424" s="107">
        <v>0.3</v>
      </c>
      <c r="Q7424" s="108">
        <v>0.4</v>
      </c>
      <c r="R7424" s="45" t="str">
        <f t="shared" si="595"/>
        <v>HOFFLIGHTS</v>
      </c>
    </row>
    <row r="7425" spans="1:18" customFormat="1" ht="27" customHeight="1" x14ac:dyDescent="0.25">
      <c r="A7425" s="105" t="s">
        <v>13983</v>
      </c>
      <c r="H7425" t="s">
        <v>15188</v>
      </c>
      <c r="I7425" t="s">
        <v>15189</v>
      </c>
      <c r="J7425" s="34" t="s">
        <v>26</v>
      </c>
      <c r="K7425" s="77">
        <v>14.47875</v>
      </c>
      <c r="L7425" s="12">
        <f t="shared" si="594"/>
        <v>31.370625000000004</v>
      </c>
      <c r="M7425" s="106">
        <v>1</v>
      </c>
      <c r="N7425" s="106" t="s">
        <v>27</v>
      </c>
      <c r="O7425" s="78"/>
      <c r="P7425" s="107">
        <v>0.3</v>
      </c>
      <c r="Q7425" s="108">
        <v>0.4</v>
      </c>
      <c r="R7425" s="45" t="str">
        <f t="shared" si="595"/>
        <v>HOFFLIGHTS</v>
      </c>
    </row>
    <row r="7426" spans="1:18" customFormat="1" ht="27" customHeight="1" x14ac:dyDescent="0.25">
      <c r="A7426" s="105" t="s">
        <v>13983</v>
      </c>
      <c r="H7426" t="s">
        <v>15190</v>
      </c>
      <c r="I7426" t="s">
        <v>15191</v>
      </c>
      <c r="J7426" s="34" t="s">
        <v>26</v>
      </c>
      <c r="K7426" s="77">
        <v>40.657499999999999</v>
      </c>
      <c r="L7426" s="12">
        <f t="shared" si="594"/>
        <v>88.091250000000002</v>
      </c>
      <c r="M7426" s="106">
        <v>1</v>
      </c>
      <c r="N7426" s="106" t="s">
        <v>27</v>
      </c>
      <c r="O7426" s="78"/>
      <c r="P7426" s="107">
        <v>0.3</v>
      </c>
      <c r="Q7426" s="108">
        <v>0.4</v>
      </c>
      <c r="R7426" s="45" t="str">
        <f t="shared" si="595"/>
        <v>HOFFLIGHTS</v>
      </c>
    </row>
    <row r="7427" spans="1:18" customFormat="1" ht="27" customHeight="1" x14ac:dyDescent="0.25">
      <c r="A7427" s="105" t="s">
        <v>13983</v>
      </c>
      <c r="H7427" t="s">
        <v>15192</v>
      </c>
      <c r="I7427" t="s">
        <v>15193</v>
      </c>
      <c r="J7427" s="34" t="s">
        <v>26</v>
      </c>
      <c r="K7427" s="77">
        <v>13.1625</v>
      </c>
      <c r="L7427" s="12">
        <f t="shared" si="594"/>
        <v>28.518750000000004</v>
      </c>
      <c r="M7427" s="106">
        <v>1</v>
      </c>
      <c r="N7427" s="106" t="s">
        <v>27</v>
      </c>
      <c r="O7427" s="78"/>
      <c r="P7427" s="107">
        <v>0.3</v>
      </c>
      <c r="Q7427" s="108">
        <v>0.4</v>
      </c>
      <c r="R7427" s="45" t="str">
        <f t="shared" si="595"/>
        <v>HOFFLIGHTS</v>
      </c>
    </row>
    <row r="7428" spans="1:18" customFormat="1" ht="27" customHeight="1" x14ac:dyDescent="0.25">
      <c r="A7428" s="105" t="s">
        <v>13983</v>
      </c>
      <c r="H7428" t="s">
        <v>15194</v>
      </c>
      <c r="I7428" t="s">
        <v>15195</v>
      </c>
      <c r="J7428" s="34" t="s">
        <v>26</v>
      </c>
      <c r="K7428" s="77">
        <v>13.60125</v>
      </c>
      <c r="L7428" s="12">
        <f t="shared" si="594"/>
        <v>29.469375000000003</v>
      </c>
      <c r="M7428" s="106">
        <v>1</v>
      </c>
      <c r="N7428" s="106" t="s">
        <v>27</v>
      </c>
      <c r="O7428" s="78"/>
      <c r="P7428" s="107">
        <v>0.3</v>
      </c>
      <c r="Q7428" s="108">
        <v>0.4</v>
      </c>
      <c r="R7428" s="45" t="str">
        <f t="shared" si="595"/>
        <v>HOFFLIGHTS</v>
      </c>
    </row>
    <row r="7429" spans="1:18" customFormat="1" ht="27" customHeight="1" x14ac:dyDescent="0.25">
      <c r="A7429" s="105" t="s">
        <v>13983</v>
      </c>
      <c r="H7429" t="s">
        <v>15196</v>
      </c>
      <c r="I7429" t="s">
        <v>15197</v>
      </c>
      <c r="J7429" s="34" t="s">
        <v>26</v>
      </c>
      <c r="K7429" s="77">
        <v>20.036249999999999</v>
      </c>
      <c r="L7429" s="12">
        <f t="shared" si="594"/>
        <v>43.411875000000002</v>
      </c>
      <c r="M7429" s="106">
        <v>1</v>
      </c>
      <c r="N7429" s="106" t="s">
        <v>27</v>
      </c>
      <c r="O7429" s="78"/>
      <c r="P7429" s="107">
        <v>0.3</v>
      </c>
      <c r="Q7429" s="108">
        <v>0.4</v>
      </c>
      <c r="R7429" s="45" t="str">
        <f t="shared" si="595"/>
        <v>HOFFLIGHTS</v>
      </c>
    </row>
    <row r="7430" spans="1:18" customFormat="1" ht="27" customHeight="1" x14ac:dyDescent="0.25">
      <c r="A7430" s="105" t="s">
        <v>13983</v>
      </c>
      <c r="H7430" t="s">
        <v>15198</v>
      </c>
      <c r="I7430" t="s">
        <v>15199</v>
      </c>
      <c r="J7430" s="34" t="s">
        <v>26</v>
      </c>
      <c r="K7430" s="77">
        <v>40.950000000000003</v>
      </c>
      <c r="L7430" s="12">
        <f t="shared" si="594"/>
        <v>88.725000000000009</v>
      </c>
      <c r="M7430" s="106">
        <v>1</v>
      </c>
      <c r="N7430" s="106" t="s">
        <v>27</v>
      </c>
      <c r="O7430" s="78"/>
      <c r="P7430" s="107">
        <v>0.3</v>
      </c>
      <c r="Q7430" s="108">
        <v>0.4</v>
      </c>
      <c r="R7430" s="45" t="str">
        <f t="shared" si="595"/>
        <v>HOFFLIGHTS</v>
      </c>
    </row>
    <row r="7431" spans="1:18" customFormat="1" ht="27" customHeight="1" x14ac:dyDescent="0.25">
      <c r="A7431" s="105" t="s">
        <v>13983</v>
      </c>
      <c r="H7431" t="s">
        <v>15200</v>
      </c>
      <c r="I7431" t="s">
        <v>15201</v>
      </c>
      <c r="J7431" s="34" t="s">
        <v>26</v>
      </c>
      <c r="K7431" s="77">
        <v>15.063750000000001</v>
      </c>
      <c r="L7431" s="12">
        <f t="shared" si="594"/>
        <v>32.638125000000002</v>
      </c>
      <c r="M7431" s="106">
        <v>1</v>
      </c>
      <c r="N7431" s="106" t="s">
        <v>27</v>
      </c>
      <c r="O7431" s="78"/>
      <c r="P7431" s="107">
        <v>0.3</v>
      </c>
      <c r="Q7431" s="108">
        <v>0.4</v>
      </c>
      <c r="R7431" s="45" t="str">
        <f t="shared" si="595"/>
        <v>HOFFLIGHTS</v>
      </c>
    </row>
    <row r="7432" spans="1:18" customFormat="1" ht="27" customHeight="1" x14ac:dyDescent="0.25">
      <c r="A7432" s="105" t="s">
        <v>13983</v>
      </c>
      <c r="H7432" t="s">
        <v>15202</v>
      </c>
      <c r="I7432" t="s">
        <v>15203</v>
      </c>
      <c r="J7432" s="34" t="s">
        <v>26</v>
      </c>
      <c r="K7432" s="77">
        <v>12.43125</v>
      </c>
      <c r="L7432" s="12">
        <f t="shared" si="594"/>
        <v>26.934374999999999</v>
      </c>
      <c r="M7432" s="106">
        <v>1</v>
      </c>
      <c r="N7432" s="106" t="s">
        <v>27</v>
      </c>
      <c r="O7432" s="78"/>
      <c r="P7432" s="107">
        <v>0.3</v>
      </c>
      <c r="Q7432" s="108">
        <v>0.4</v>
      </c>
      <c r="R7432" s="45" t="str">
        <f t="shared" si="595"/>
        <v>HOFFLIGHTS</v>
      </c>
    </row>
    <row r="7433" spans="1:18" customFormat="1" ht="27" customHeight="1" x14ac:dyDescent="0.25">
      <c r="A7433" s="105" t="s">
        <v>13983</v>
      </c>
      <c r="H7433" t="s">
        <v>15204</v>
      </c>
      <c r="I7433" t="s">
        <v>15205</v>
      </c>
      <c r="J7433" s="34" t="s">
        <v>26</v>
      </c>
      <c r="K7433" s="77">
        <v>14.9175</v>
      </c>
      <c r="L7433" s="12">
        <f t="shared" si="594"/>
        <v>32.321249999999999</v>
      </c>
      <c r="M7433" s="106">
        <v>1</v>
      </c>
      <c r="N7433" s="106" t="s">
        <v>27</v>
      </c>
      <c r="O7433" s="78"/>
      <c r="P7433" s="107">
        <v>0.3</v>
      </c>
      <c r="Q7433" s="108">
        <v>0.4</v>
      </c>
      <c r="R7433" s="45" t="str">
        <f t="shared" si="595"/>
        <v>HOFFLIGHTS</v>
      </c>
    </row>
    <row r="7434" spans="1:18" customFormat="1" ht="27" customHeight="1" x14ac:dyDescent="0.25">
      <c r="A7434" s="105" t="s">
        <v>13983</v>
      </c>
      <c r="H7434" t="s">
        <v>15206</v>
      </c>
      <c r="I7434" t="s">
        <v>15207</v>
      </c>
      <c r="J7434" s="34" t="s">
        <v>26</v>
      </c>
      <c r="K7434" s="77">
        <v>36.270000000000003</v>
      </c>
      <c r="L7434" s="12">
        <f t="shared" si="594"/>
        <v>78.585000000000008</v>
      </c>
      <c r="M7434" s="106">
        <v>1</v>
      </c>
      <c r="N7434" s="106" t="s">
        <v>27</v>
      </c>
      <c r="O7434" s="78"/>
      <c r="P7434" s="107">
        <v>0.3</v>
      </c>
      <c r="Q7434" s="108">
        <v>0.4</v>
      </c>
      <c r="R7434" s="45" t="str">
        <f t="shared" si="595"/>
        <v>HOFFLIGHTS</v>
      </c>
    </row>
    <row r="7435" spans="1:18" customFormat="1" ht="27" customHeight="1" x14ac:dyDescent="0.25">
      <c r="A7435" s="105" t="s">
        <v>13983</v>
      </c>
      <c r="H7435" t="s">
        <v>15208</v>
      </c>
      <c r="I7435" t="s">
        <v>15209</v>
      </c>
      <c r="J7435" s="34" t="s">
        <v>26</v>
      </c>
      <c r="K7435" s="77">
        <v>55.575000000000003</v>
      </c>
      <c r="L7435" s="12">
        <f t="shared" si="594"/>
        <v>120.41250000000001</v>
      </c>
      <c r="M7435" s="106">
        <v>1</v>
      </c>
      <c r="N7435" s="106" t="s">
        <v>27</v>
      </c>
      <c r="O7435" s="78"/>
      <c r="P7435" s="107">
        <v>0.3</v>
      </c>
      <c r="Q7435" s="108">
        <v>0.4</v>
      </c>
      <c r="R7435" s="45" t="str">
        <f t="shared" si="595"/>
        <v>HOFFLIGHTS</v>
      </c>
    </row>
    <row r="7436" spans="1:18" customFormat="1" ht="27" customHeight="1" x14ac:dyDescent="0.25">
      <c r="A7436" s="105" t="s">
        <v>13983</v>
      </c>
      <c r="H7436" t="s">
        <v>15210</v>
      </c>
      <c r="I7436" t="s">
        <v>15211</v>
      </c>
      <c r="J7436" s="34" t="s">
        <v>26</v>
      </c>
      <c r="K7436" s="77">
        <v>40.950000000000003</v>
      </c>
      <c r="L7436" s="12">
        <f t="shared" si="594"/>
        <v>88.725000000000009</v>
      </c>
      <c r="M7436" s="106">
        <v>1</v>
      </c>
      <c r="N7436" s="106" t="s">
        <v>27</v>
      </c>
      <c r="O7436" s="78"/>
      <c r="P7436" s="107">
        <v>0.3</v>
      </c>
      <c r="Q7436" s="108">
        <v>0.4</v>
      </c>
      <c r="R7436" s="45" t="str">
        <f t="shared" si="595"/>
        <v>HOFFLIGHTS</v>
      </c>
    </row>
    <row r="7437" spans="1:18" customFormat="1" ht="27" customHeight="1" x14ac:dyDescent="0.25">
      <c r="A7437" s="105" t="s">
        <v>13983</v>
      </c>
      <c r="H7437" t="s">
        <v>15212</v>
      </c>
      <c r="I7437" t="s">
        <v>15213</v>
      </c>
      <c r="J7437" s="34" t="s">
        <v>26</v>
      </c>
      <c r="K7437" s="77">
        <v>108.22499999999999</v>
      </c>
      <c r="L7437" s="12">
        <f t="shared" si="594"/>
        <v>234.48750000000001</v>
      </c>
      <c r="M7437" s="106">
        <v>1</v>
      </c>
      <c r="N7437" s="106" t="s">
        <v>27</v>
      </c>
      <c r="O7437" s="78"/>
      <c r="P7437" s="107">
        <v>0.3</v>
      </c>
      <c r="Q7437" s="108">
        <v>0.4</v>
      </c>
      <c r="R7437" s="45" t="str">
        <f t="shared" si="595"/>
        <v>HOFFLIGHTS</v>
      </c>
    </row>
    <row r="7438" spans="1:18" customFormat="1" ht="27" customHeight="1" x14ac:dyDescent="0.25">
      <c r="A7438" s="105" t="s">
        <v>13983</v>
      </c>
      <c r="H7438" t="s">
        <v>15214</v>
      </c>
      <c r="I7438" t="s">
        <v>15215</v>
      </c>
      <c r="J7438" s="34" t="s">
        <v>26</v>
      </c>
      <c r="K7438" s="77">
        <v>94.77</v>
      </c>
      <c r="L7438" s="12">
        <f t="shared" si="594"/>
        <v>205.33500000000001</v>
      </c>
      <c r="M7438" s="106">
        <v>1</v>
      </c>
      <c r="N7438" s="106" t="s">
        <v>27</v>
      </c>
      <c r="O7438" s="78"/>
      <c r="P7438" s="107">
        <v>0.3</v>
      </c>
      <c r="Q7438" s="108">
        <v>0.4</v>
      </c>
      <c r="R7438" s="45" t="str">
        <f t="shared" si="595"/>
        <v>HOFFLIGHTS</v>
      </c>
    </row>
    <row r="7439" spans="1:18" customFormat="1" ht="27" customHeight="1" x14ac:dyDescent="0.25">
      <c r="A7439" s="105" t="s">
        <v>13983</v>
      </c>
      <c r="H7439" t="s">
        <v>15216</v>
      </c>
      <c r="I7439" t="s">
        <v>15215</v>
      </c>
      <c r="J7439" s="34" t="s">
        <v>26</v>
      </c>
      <c r="K7439" s="77">
        <v>82.484999999999999</v>
      </c>
      <c r="L7439" s="12">
        <f t="shared" si="594"/>
        <v>178.71750000000003</v>
      </c>
      <c r="M7439" s="106">
        <v>1</v>
      </c>
      <c r="N7439" s="106" t="s">
        <v>27</v>
      </c>
      <c r="O7439" s="78"/>
      <c r="P7439" s="107">
        <v>0.3</v>
      </c>
      <c r="Q7439" s="108">
        <v>0.4</v>
      </c>
      <c r="R7439" s="45" t="str">
        <f t="shared" si="595"/>
        <v>HOFFLIGHTS</v>
      </c>
    </row>
    <row r="7440" spans="1:18" customFormat="1" ht="27" customHeight="1" x14ac:dyDescent="0.25">
      <c r="A7440" s="105" t="s">
        <v>13983</v>
      </c>
      <c r="H7440" t="s">
        <v>15217</v>
      </c>
      <c r="I7440" t="s">
        <v>15218</v>
      </c>
      <c r="J7440" s="34" t="s">
        <v>26</v>
      </c>
      <c r="K7440" s="77">
        <v>222.3</v>
      </c>
      <c r="L7440" s="12">
        <f t="shared" si="594"/>
        <v>481.65000000000003</v>
      </c>
      <c r="M7440" s="106">
        <v>1</v>
      </c>
      <c r="N7440" s="106" t="s">
        <v>27</v>
      </c>
      <c r="O7440" s="78"/>
      <c r="P7440" s="107">
        <v>0.3</v>
      </c>
      <c r="Q7440" s="108">
        <v>0.4</v>
      </c>
      <c r="R7440" s="45" t="str">
        <f t="shared" si="595"/>
        <v>HOFFLIGHTS</v>
      </c>
    </row>
    <row r="7441" spans="1:18" customFormat="1" ht="27" customHeight="1" x14ac:dyDescent="0.25">
      <c r="A7441" s="105" t="s">
        <v>13983</v>
      </c>
      <c r="H7441" t="s">
        <v>15219</v>
      </c>
      <c r="I7441" t="s">
        <v>15220</v>
      </c>
      <c r="J7441" s="34" t="s">
        <v>26</v>
      </c>
      <c r="K7441" s="77">
        <v>211.77</v>
      </c>
      <c r="L7441" s="12">
        <f t="shared" si="594"/>
        <v>458.83500000000009</v>
      </c>
      <c r="M7441" s="106">
        <v>1</v>
      </c>
      <c r="N7441" s="106" t="s">
        <v>27</v>
      </c>
      <c r="O7441" s="78"/>
      <c r="P7441" s="107">
        <v>0.3</v>
      </c>
      <c r="Q7441" s="108">
        <v>0.4</v>
      </c>
      <c r="R7441" s="45" t="str">
        <f t="shared" si="595"/>
        <v>HOFFLIGHTS</v>
      </c>
    </row>
    <row r="7442" spans="1:18" customFormat="1" ht="27" customHeight="1" x14ac:dyDescent="0.25">
      <c r="A7442" s="105" t="s">
        <v>13983</v>
      </c>
      <c r="H7442" t="s">
        <v>15221</v>
      </c>
      <c r="I7442" t="s">
        <v>15222</v>
      </c>
      <c r="J7442" s="34" t="s">
        <v>26</v>
      </c>
      <c r="K7442" s="77">
        <v>116.41500000000001</v>
      </c>
      <c r="L7442" s="12">
        <f t="shared" si="594"/>
        <v>252.23250000000004</v>
      </c>
      <c r="M7442" s="106">
        <v>1</v>
      </c>
      <c r="N7442" s="106" t="s">
        <v>27</v>
      </c>
      <c r="O7442" s="78"/>
      <c r="P7442" s="107">
        <v>0.3</v>
      </c>
      <c r="Q7442" s="108">
        <v>0.4</v>
      </c>
      <c r="R7442" s="45" t="str">
        <f t="shared" si="595"/>
        <v>HOFFLIGHTS</v>
      </c>
    </row>
    <row r="7443" spans="1:18" customFormat="1" ht="27" customHeight="1" x14ac:dyDescent="0.25">
      <c r="A7443" s="105" t="s">
        <v>13983</v>
      </c>
      <c r="H7443" t="s">
        <v>15223</v>
      </c>
      <c r="I7443" t="s">
        <v>15224</v>
      </c>
      <c r="J7443" s="34" t="s">
        <v>26</v>
      </c>
      <c r="K7443" s="77">
        <v>154.44</v>
      </c>
      <c r="L7443" s="12">
        <f t="shared" si="594"/>
        <v>334.62</v>
      </c>
      <c r="M7443" s="106">
        <v>1</v>
      </c>
      <c r="N7443" s="106" t="s">
        <v>27</v>
      </c>
      <c r="O7443" s="78"/>
      <c r="P7443" s="107">
        <v>0.3</v>
      </c>
      <c r="Q7443" s="108">
        <v>0.4</v>
      </c>
      <c r="R7443" s="45" t="str">
        <f t="shared" si="595"/>
        <v>HOFFLIGHTS</v>
      </c>
    </row>
    <row r="7444" spans="1:18" customFormat="1" ht="27" customHeight="1" x14ac:dyDescent="0.25">
      <c r="A7444" s="105" t="s">
        <v>13983</v>
      </c>
      <c r="H7444" t="s">
        <v>15225</v>
      </c>
      <c r="I7444" t="s">
        <v>15226</v>
      </c>
      <c r="J7444" s="34" t="s">
        <v>26</v>
      </c>
      <c r="K7444" s="77">
        <v>288.99</v>
      </c>
      <c r="L7444" s="12">
        <f t="shared" si="594"/>
        <v>626.1450000000001</v>
      </c>
      <c r="M7444" s="106">
        <v>1</v>
      </c>
      <c r="N7444" s="106" t="s">
        <v>27</v>
      </c>
      <c r="O7444" s="78"/>
      <c r="P7444" s="107">
        <v>0.3</v>
      </c>
      <c r="Q7444" s="108">
        <v>0.4</v>
      </c>
      <c r="R7444" s="45" t="str">
        <f t="shared" si="595"/>
        <v>HOFFLIGHTS</v>
      </c>
    </row>
    <row r="7445" spans="1:18" customFormat="1" ht="27" customHeight="1" x14ac:dyDescent="0.25">
      <c r="A7445" s="105" t="s">
        <v>13983</v>
      </c>
      <c r="H7445" t="s">
        <v>15227</v>
      </c>
      <c r="I7445" t="s">
        <v>15228</v>
      </c>
      <c r="J7445" s="34" t="s">
        <v>26</v>
      </c>
      <c r="K7445" s="77">
        <v>561.01499999999999</v>
      </c>
      <c r="L7445" s="12">
        <f t="shared" si="594"/>
        <v>1215.5325000000003</v>
      </c>
      <c r="M7445" s="106">
        <v>1</v>
      </c>
      <c r="N7445" s="106" t="s">
        <v>27</v>
      </c>
      <c r="O7445" s="78"/>
      <c r="P7445" s="107">
        <v>0.3</v>
      </c>
      <c r="Q7445" s="108">
        <v>0.4</v>
      </c>
      <c r="R7445" s="45" t="str">
        <f t="shared" si="595"/>
        <v>HOFFLIGHTS</v>
      </c>
    </row>
    <row r="7446" spans="1:18" customFormat="1" ht="27" customHeight="1" x14ac:dyDescent="0.25">
      <c r="A7446" s="105" t="s">
        <v>13983</v>
      </c>
      <c r="H7446" t="s">
        <v>15229</v>
      </c>
      <c r="I7446" t="s">
        <v>15230</v>
      </c>
      <c r="J7446" s="34" t="s">
        <v>26</v>
      </c>
      <c r="K7446" s="77">
        <v>172.57499999999999</v>
      </c>
      <c r="L7446" s="12">
        <f t="shared" si="594"/>
        <v>373.91250000000002</v>
      </c>
      <c r="M7446" s="106">
        <v>1</v>
      </c>
      <c r="N7446" s="106" t="s">
        <v>27</v>
      </c>
      <c r="O7446" s="78"/>
      <c r="P7446" s="107">
        <v>0.3</v>
      </c>
      <c r="Q7446" s="108">
        <v>0.4</v>
      </c>
      <c r="R7446" s="45" t="str">
        <f t="shared" si="595"/>
        <v>HOFFLIGHTS</v>
      </c>
    </row>
    <row r="7447" spans="1:18" customFormat="1" ht="27" customHeight="1" x14ac:dyDescent="0.25">
      <c r="A7447" s="105" t="s">
        <v>13983</v>
      </c>
      <c r="H7447" t="s">
        <v>15231</v>
      </c>
      <c r="I7447" t="s">
        <v>15232</v>
      </c>
      <c r="J7447" s="34" t="s">
        <v>26</v>
      </c>
      <c r="K7447" s="77">
        <v>208.845</v>
      </c>
      <c r="L7447" s="12">
        <f t="shared" si="594"/>
        <v>452.49750000000006</v>
      </c>
      <c r="M7447" s="106">
        <v>1</v>
      </c>
      <c r="N7447" s="106" t="s">
        <v>27</v>
      </c>
      <c r="O7447" s="78"/>
      <c r="P7447" s="107">
        <v>0.3</v>
      </c>
      <c r="Q7447" s="108">
        <v>0.4</v>
      </c>
      <c r="R7447" s="45" t="str">
        <f t="shared" si="595"/>
        <v>HOFFLIGHTS</v>
      </c>
    </row>
    <row r="7448" spans="1:18" customFormat="1" ht="27" customHeight="1" x14ac:dyDescent="0.25">
      <c r="A7448" s="105" t="s">
        <v>13983</v>
      </c>
      <c r="H7448" t="s">
        <v>15233</v>
      </c>
      <c r="I7448" t="s">
        <v>15234</v>
      </c>
      <c r="J7448" s="34" t="s">
        <v>26</v>
      </c>
      <c r="K7448" s="77">
        <v>167.31</v>
      </c>
      <c r="L7448" s="12">
        <f t="shared" si="594"/>
        <v>362.50500000000005</v>
      </c>
      <c r="M7448" s="106">
        <v>1</v>
      </c>
      <c r="N7448" s="106" t="s">
        <v>27</v>
      </c>
      <c r="O7448" s="78"/>
      <c r="P7448" s="107">
        <v>0.3</v>
      </c>
      <c r="Q7448" s="108">
        <v>0.4</v>
      </c>
      <c r="R7448" s="45" t="str">
        <f t="shared" si="595"/>
        <v>HOFFLIGHTS</v>
      </c>
    </row>
    <row r="7449" spans="1:18" customFormat="1" ht="27" customHeight="1" x14ac:dyDescent="0.25">
      <c r="A7449" s="105" t="s">
        <v>13983</v>
      </c>
      <c r="H7449" t="s">
        <v>15235</v>
      </c>
      <c r="I7449" t="s">
        <v>15236</v>
      </c>
      <c r="J7449" s="34" t="s">
        <v>26</v>
      </c>
      <c r="K7449" s="77">
        <v>172.57499999999999</v>
      </c>
      <c r="L7449" s="12">
        <f t="shared" si="594"/>
        <v>373.91250000000002</v>
      </c>
      <c r="M7449" s="106">
        <v>1</v>
      </c>
      <c r="N7449" s="106" t="s">
        <v>27</v>
      </c>
      <c r="O7449" s="78"/>
      <c r="P7449" s="107">
        <v>0.3</v>
      </c>
      <c r="Q7449" s="108">
        <v>0.4</v>
      </c>
      <c r="R7449" s="45" t="str">
        <f t="shared" si="595"/>
        <v>HOFFLIGHTS</v>
      </c>
    </row>
    <row r="7450" spans="1:18" customFormat="1" ht="27" customHeight="1" x14ac:dyDescent="0.25">
      <c r="A7450" s="105" t="s">
        <v>13983</v>
      </c>
      <c r="H7450" t="s">
        <v>15237</v>
      </c>
      <c r="I7450" t="s">
        <v>15238</v>
      </c>
      <c r="J7450" s="34" t="s">
        <v>26</v>
      </c>
      <c r="K7450" s="77">
        <v>168.48</v>
      </c>
      <c r="L7450" s="12">
        <f t="shared" si="594"/>
        <v>365.04</v>
      </c>
      <c r="M7450" s="106">
        <v>1</v>
      </c>
      <c r="N7450" s="106" t="s">
        <v>27</v>
      </c>
      <c r="O7450" s="78"/>
      <c r="P7450" s="107">
        <v>0.3</v>
      </c>
      <c r="Q7450" s="108">
        <v>0.4</v>
      </c>
      <c r="R7450" s="45" t="str">
        <f t="shared" si="595"/>
        <v>HOFFLIGHTS</v>
      </c>
    </row>
    <row r="7451" spans="1:18" customFormat="1" ht="27" customHeight="1" x14ac:dyDescent="0.25">
      <c r="A7451" s="105" t="s">
        <v>13983</v>
      </c>
      <c r="H7451" t="s">
        <v>15239</v>
      </c>
      <c r="I7451" t="s">
        <v>15240</v>
      </c>
      <c r="J7451" s="34" t="s">
        <v>26</v>
      </c>
      <c r="K7451" s="77">
        <v>239.85</v>
      </c>
      <c r="L7451" s="12">
        <f t="shared" si="594"/>
        <v>519.67500000000007</v>
      </c>
      <c r="M7451" s="106">
        <v>1</v>
      </c>
      <c r="N7451" s="106" t="s">
        <v>27</v>
      </c>
      <c r="O7451" s="78"/>
      <c r="P7451" s="107">
        <v>0.3</v>
      </c>
      <c r="Q7451" s="108">
        <v>0.4</v>
      </c>
      <c r="R7451" s="45" t="str">
        <f t="shared" si="595"/>
        <v>HOFFLIGHTS</v>
      </c>
    </row>
    <row r="7452" spans="1:18" customFormat="1" ht="27" customHeight="1" x14ac:dyDescent="0.25">
      <c r="A7452" s="105" t="s">
        <v>13983</v>
      </c>
      <c r="H7452" t="s">
        <v>15241</v>
      </c>
      <c r="I7452" t="s">
        <v>15242</v>
      </c>
      <c r="J7452" s="34" t="s">
        <v>26</v>
      </c>
      <c r="K7452" s="77">
        <v>255.64500000000001</v>
      </c>
      <c r="L7452" s="12">
        <f t="shared" si="594"/>
        <v>553.89750000000004</v>
      </c>
      <c r="M7452" s="106">
        <v>1</v>
      </c>
      <c r="N7452" s="106" t="s">
        <v>27</v>
      </c>
      <c r="O7452" s="78"/>
      <c r="P7452" s="107">
        <v>0.3</v>
      </c>
      <c r="Q7452" s="108">
        <v>0.4</v>
      </c>
      <c r="R7452" s="45" t="str">
        <f t="shared" si="595"/>
        <v>HOFFLIGHTS</v>
      </c>
    </row>
    <row r="7453" spans="1:18" customFormat="1" ht="27" customHeight="1" x14ac:dyDescent="0.25">
      <c r="A7453" s="105" t="s">
        <v>13983</v>
      </c>
      <c r="H7453" t="s">
        <v>15243</v>
      </c>
      <c r="I7453" t="s">
        <v>15244</v>
      </c>
      <c r="J7453" s="34" t="s">
        <v>26</v>
      </c>
      <c r="K7453" s="77">
        <v>55.282499999999999</v>
      </c>
      <c r="L7453" s="12">
        <f t="shared" si="594"/>
        <v>119.77875</v>
      </c>
      <c r="M7453" s="106">
        <v>1</v>
      </c>
      <c r="N7453" s="106" t="s">
        <v>27</v>
      </c>
      <c r="O7453" s="78"/>
      <c r="P7453" s="107">
        <v>0.3</v>
      </c>
      <c r="Q7453" s="108">
        <v>0.4</v>
      </c>
      <c r="R7453" s="45" t="str">
        <f t="shared" si="595"/>
        <v>HOFFLIGHTS</v>
      </c>
    </row>
    <row r="7454" spans="1:18" customFormat="1" ht="27" customHeight="1" x14ac:dyDescent="0.25">
      <c r="A7454" s="105" t="s">
        <v>13983</v>
      </c>
      <c r="H7454" t="s">
        <v>15245</v>
      </c>
      <c r="I7454" t="s">
        <v>15246</v>
      </c>
      <c r="J7454" s="34" t="s">
        <v>26</v>
      </c>
      <c r="K7454" s="77">
        <v>55.282499999999999</v>
      </c>
      <c r="L7454" s="12">
        <f t="shared" si="594"/>
        <v>119.77875</v>
      </c>
      <c r="M7454" s="106">
        <v>1</v>
      </c>
      <c r="N7454" s="106" t="s">
        <v>27</v>
      </c>
      <c r="O7454" s="78"/>
      <c r="P7454" s="107">
        <v>0.3</v>
      </c>
      <c r="Q7454" s="108">
        <v>0.4</v>
      </c>
      <c r="R7454" s="45" t="str">
        <f t="shared" si="595"/>
        <v>HOFFLIGHTS</v>
      </c>
    </row>
    <row r="7455" spans="1:18" customFormat="1" ht="27" customHeight="1" x14ac:dyDescent="0.25">
      <c r="A7455" s="105" t="s">
        <v>13983</v>
      </c>
      <c r="H7455" t="s">
        <v>15247</v>
      </c>
      <c r="I7455" t="s">
        <v>15248</v>
      </c>
      <c r="J7455" s="34" t="s">
        <v>26</v>
      </c>
      <c r="K7455" s="77">
        <v>163.80000000000001</v>
      </c>
      <c r="L7455" s="12">
        <f t="shared" si="594"/>
        <v>354.90000000000003</v>
      </c>
      <c r="M7455" s="106">
        <v>1</v>
      </c>
      <c r="N7455" s="106" t="s">
        <v>27</v>
      </c>
      <c r="O7455" s="78"/>
      <c r="P7455" s="107">
        <v>0.3</v>
      </c>
      <c r="Q7455" s="108">
        <v>0.4</v>
      </c>
      <c r="R7455" s="45" t="str">
        <f t="shared" si="595"/>
        <v>HOFFLIGHTS</v>
      </c>
    </row>
    <row r="7456" spans="1:18" customFormat="1" ht="27" customHeight="1" x14ac:dyDescent="0.25">
      <c r="A7456" s="105" t="s">
        <v>13983</v>
      </c>
      <c r="H7456" t="s">
        <v>15249</v>
      </c>
      <c r="I7456" t="s">
        <v>15250</v>
      </c>
      <c r="J7456" s="34" t="s">
        <v>26</v>
      </c>
      <c r="K7456" s="77">
        <v>232.245</v>
      </c>
      <c r="L7456" s="12">
        <f t="shared" si="594"/>
        <v>503.19749999999999</v>
      </c>
      <c r="M7456" s="106">
        <v>1</v>
      </c>
      <c r="N7456" s="106" t="s">
        <v>27</v>
      </c>
      <c r="O7456" s="78"/>
      <c r="P7456" s="107">
        <v>0.3</v>
      </c>
      <c r="Q7456" s="108">
        <v>0.4</v>
      </c>
      <c r="R7456" s="45" t="str">
        <f t="shared" si="595"/>
        <v>HOFFLIGHTS</v>
      </c>
    </row>
    <row r="7457" spans="1:19" customFormat="1" ht="27" customHeight="1" x14ac:dyDescent="0.25">
      <c r="A7457" s="105" t="s">
        <v>13983</v>
      </c>
      <c r="H7457" t="s">
        <v>15251</v>
      </c>
      <c r="I7457" t="s">
        <v>15252</v>
      </c>
      <c r="J7457" s="34" t="s">
        <v>26</v>
      </c>
      <c r="K7457" s="77">
        <v>232.245</v>
      </c>
      <c r="L7457" s="12">
        <f t="shared" si="594"/>
        <v>503.19749999999999</v>
      </c>
      <c r="M7457" s="106">
        <v>1</v>
      </c>
      <c r="N7457" s="106" t="s">
        <v>27</v>
      </c>
      <c r="O7457" s="78"/>
      <c r="P7457" s="107">
        <v>0.3</v>
      </c>
      <c r="Q7457" s="108">
        <v>0.4</v>
      </c>
      <c r="R7457" s="45" t="str">
        <f t="shared" si="595"/>
        <v>HOFFLIGHTS</v>
      </c>
    </row>
    <row r="7458" spans="1:19" customFormat="1" ht="27" customHeight="1" x14ac:dyDescent="0.25">
      <c r="A7458" s="105" t="s">
        <v>13983</v>
      </c>
      <c r="H7458" t="s">
        <v>15253</v>
      </c>
      <c r="I7458" t="s">
        <v>15254</v>
      </c>
      <c r="J7458" s="34" t="s">
        <v>26</v>
      </c>
      <c r="K7458" s="77">
        <v>13.016249999999999</v>
      </c>
      <c r="L7458" s="12">
        <f t="shared" si="594"/>
        <v>28.201875000000001</v>
      </c>
      <c r="M7458" s="106">
        <v>1</v>
      </c>
      <c r="N7458" s="106" t="s">
        <v>27</v>
      </c>
      <c r="O7458" s="78"/>
      <c r="P7458" s="107">
        <v>0.3</v>
      </c>
      <c r="Q7458" s="108">
        <v>0.4</v>
      </c>
      <c r="R7458" s="45" t="str">
        <f t="shared" si="595"/>
        <v>HOFFLIGHTS</v>
      </c>
    </row>
    <row r="7459" spans="1:19" customFormat="1" ht="27" customHeight="1" x14ac:dyDescent="0.25">
      <c r="A7459" s="105" t="s">
        <v>13983</v>
      </c>
      <c r="H7459" t="s">
        <v>15255</v>
      </c>
      <c r="I7459" t="s">
        <v>15256</v>
      </c>
      <c r="J7459" s="34" t="s">
        <v>26</v>
      </c>
      <c r="K7459" s="77">
        <v>13.016249999999999</v>
      </c>
      <c r="L7459" s="12">
        <f t="shared" si="594"/>
        <v>28.201875000000001</v>
      </c>
      <c r="M7459" s="106">
        <v>1</v>
      </c>
      <c r="N7459" s="106" t="s">
        <v>27</v>
      </c>
      <c r="O7459" s="78"/>
      <c r="P7459" s="107">
        <v>0.3</v>
      </c>
      <c r="Q7459" s="108">
        <v>0.4</v>
      </c>
      <c r="R7459" s="45" t="str">
        <f t="shared" si="595"/>
        <v>HOFFLIGHTS</v>
      </c>
    </row>
    <row r="7460" spans="1:19" customFormat="1" ht="27" customHeight="1" x14ac:dyDescent="0.25">
      <c r="A7460" s="105" t="s">
        <v>13983</v>
      </c>
      <c r="H7460" t="s">
        <v>15257</v>
      </c>
      <c r="I7460" t="s">
        <v>15258</v>
      </c>
      <c r="J7460" s="34" t="s">
        <v>26</v>
      </c>
      <c r="K7460" s="77">
        <v>353.92500000000001</v>
      </c>
      <c r="L7460" s="12">
        <f t="shared" si="594"/>
        <v>766.83750000000009</v>
      </c>
      <c r="M7460" s="106">
        <v>1</v>
      </c>
      <c r="N7460" s="106" t="s">
        <v>27</v>
      </c>
      <c r="O7460" s="78"/>
      <c r="P7460" s="107">
        <v>0.3</v>
      </c>
      <c r="Q7460" s="108">
        <v>0.4</v>
      </c>
      <c r="R7460" s="45" t="str">
        <f t="shared" si="595"/>
        <v>HOFFLIGHTS</v>
      </c>
    </row>
    <row r="7461" spans="1:19" customFormat="1" ht="27" customHeight="1" x14ac:dyDescent="0.25">
      <c r="A7461" s="105" t="s">
        <v>13983</v>
      </c>
      <c r="H7461" t="s">
        <v>15259</v>
      </c>
      <c r="I7461" t="s">
        <v>15260</v>
      </c>
      <c r="J7461" s="34" t="s">
        <v>26</v>
      </c>
      <c r="K7461" s="77">
        <v>338.71499999999997</v>
      </c>
      <c r="L7461" s="12">
        <f t="shared" si="594"/>
        <v>733.88250000000005</v>
      </c>
      <c r="M7461" s="106">
        <v>1</v>
      </c>
      <c r="N7461" s="106" t="s">
        <v>27</v>
      </c>
      <c r="O7461" s="78"/>
      <c r="P7461" s="107">
        <v>0.3</v>
      </c>
      <c r="Q7461" s="108">
        <v>0.4</v>
      </c>
      <c r="R7461" s="45" t="str">
        <f t="shared" si="595"/>
        <v>HOFFLIGHTS</v>
      </c>
    </row>
    <row r="7462" spans="1:19" customFormat="1" ht="27" customHeight="1" x14ac:dyDescent="0.25">
      <c r="A7462" s="105" t="s">
        <v>13983</v>
      </c>
      <c r="H7462" t="s">
        <v>15245</v>
      </c>
      <c r="I7462" t="s">
        <v>15246</v>
      </c>
      <c r="J7462" s="34" t="s">
        <v>26</v>
      </c>
      <c r="K7462" s="77">
        <v>55.282499999999999</v>
      </c>
      <c r="L7462" s="12">
        <f t="shared" si="594"/>
        <v>119.77875</v>
      </c>
      <c r="M7462" s="106">
        <v>1</v>
      </c>
      <c r="N7462" s="106" t="s">
        <v>27</v>
      </c>
      <c r="O7462" s="78"/>
      <c r="P7462" s="107">
        <v>0.3</v>
      </c>
      <c r="Q7462" s="108">
        <v>0.4</v>
      </c>
      <c r="R7462" s="45" t="str">
        <f t="shared" si="595"/>
        <v>HOFFLIGHTS</v>
      </c>
    </row>
    <row r="7463" spans="1:19" customFormat="1" ht="27" customHeight="1" x14ac:dyDescent="0.25">
      <c r="A7463" s="105" t="s">
        <v>13983</v>
      </c>
      <c r="H7463" t="s">
        <v>15261</v>
      </c>
      <c r="I7463" t="s">
        <v>15262</v>
      </c>
      <c r="J7463" s="34" t="s">
        <v>26</v>
      </c>
      <c r="K7463" s="77">
        <v>55.282499999999999</v>
      </c>
      <c r="L7463" s="12">
        <f t="shared" si="594"/>
        <v>119.77875</v>
      </c>
      <c r="M7463" s="106">
        <v>1</v>
      </c>
      <c r="N7463" s="106" t="s">
        <v>27</v>
      </c>
      <c r="O7463" s="78"/>
      <c r="P7463" s="107">
        <v>0.3</v>
      </c>
      <c r="Q7463" s="108">
        <v>0.4</v>
      </c>
      <c r="R7463" s="45" t="str">
        <f t="shared" si="595"/>
        <v>HOFFLIGHTS</v>
      </c>
    </row>
    <row r="7464" spans="1:19" customFormat="1" ht="27" customHeight="1" x14ac:dyDescent="0.25">
      <c r="A7464" s="105" t="s">
        <v>13983</v>
      </c>
      <c r="H7464" t="s">
        <v>15263</v>
      </c>
      <c r="I7464" t="s">
        <v>15264</v>
      </c>
      <c r="J7464" s="34" t="s">
        <v>26</v>
      </c>
      <c r="K7464" s="77">
        <v>250.965</v>
      </c>
      <c r="L7464" s="12">
        <f t="shared" si="594"/>
        <v>543.75750000000005</v>
      </c>
      <c r="M7464" s="106">
        <v>1</v>
      </c>
      <c r="N7464" s="106" t="s">
        <v>27</v>
      </c>
      <c r="O7464" s="78"/>
      <c r="P7464" s="107">
        <v>0.3</v>
      </c>
      <c r="Q7464" s="108">
        <v>0.4</v>
      </c>
      <c r="R7464" s="45" t="str">
        <f t="shared" si="595"/>
        <v>HOFFLIGHTS</v>
      </c>
    </row>
    <row r="7465" spans="1:19" customFormat="1" ht="27" customHeight="1" x14ac:dyDescent="0.25">
      <c r="A7465" s="105" t="s">
        <v>8836</v>
      </c>
      <c r="H7465" t="s">
        <v>15265</v>
      </c>
      <c r="I7465" t="s">
        <v>15266</v>
      </c>
      <c r="J7465" s="34" t="s">
        <v>33</v>
      </c>
      <c r="K7465" s="42">
        <f>83500*0.9</f>
        <v>75150</v>
      </c>
      <c r="L7465" s="12">
        <f t="shared" si="594"/>
        <v>162825</v>
      </c>
      <c r="M7465" s="106">
        <v>1</v>
      </c>
      <c r="N7465" s="106" t="s">
        <v>27</v>
      </c>
      <c r="O7465" s="78"/>
      <c r="P7465" s="107">
        <v>0.3</v>
      </c>
      <c r="Q7465" s="108">
        <v>0.4</v>
      </c>
      <c r="R7465" s="45" t="str">
        <f t="shared" si="595"/>
        <v>TECNOLITE</v>
      </c>
    </row>
    <row r="7466" spans="1:19" customFormat="1" ht="27" customHeight="1" x14ac:dyDescent="0.25">
      <c r="A7466" s="105" t="s">
        <v>1867</v>
      </c>
      <c r="H7466" t="s">
        <v>15267</v>
      </c>
      <c r="I7466" t="s">
        <v>15268</v>
      </c>
      <c r="J7466" s="34" t="s">
        <v>26</v>
      </c>
      <c r="K7466" s="42">
        <v>635</v>
      </c>
      <c r="L7466" s="12">
        <f t="shared" ref="L7466:L7471" si="596">K7466*(1+P7466)/(1-Q7466)</f>
        <v>1058.3333333333335</v>
      </c>
      <c r="M7466" s="106">
        <v>1</v>
      </c>
      <c r="N7466" s="106" t="s">
        <v>27</v>
      </c>
      <c r="O7466" s="78"/>
      <c r="P7466" s="107">
        <v>0</v>
      </c>
      <c r="Q7466" s="108">
        <v>0.4</v>
      </c>
      <c r="R7466" s="45" t="str">
        <f t="shared" si="595"/>
        <v>DENON</v>
      </c>
    </row>
    <row r="7467" spans="1:19" customFormat="1" ht="27" customHeight="1" x14ac:dyDescent="0.25">
      <c r="A7467" s="105" t="s">
        <v>11808</v>
      </c>
      <c r="H7467" t="s">
        <v>11813</v>
      </c>
      <c r="I7467" t="s">
        <v>15269</v>
      </c>
      <c r="J7467" s="34" t="s">
        <v>26</v>
      </c>
      <c r="K7467" s="42">
        <v>177</v>
      </c>
      <c r="L7467" s="12">
        <f t="shared" si="596"/>
        <v>295</v>
      </c>
      <c r="M7467" s="106">
        <v>1</v>
      </c>
      <c r="N7467" s="106" t="s">
        <v>27</v>
      </c>
      <c r="O7467" s="78"/>
      <c r="P7467" s="107">
        <v>0</v>
      </c>
      <c r="Q7467" s="108">
        <v>0.4</v>
      </c>
      <c r="R7467" s="45" t="str">
        <f t="shared" si="595"/>
        <v>POLK</v>
      </c>
    </row>
    <row r="7468" spans="1:19" customFormat="1" ht="27" customHeight="1" x14ac:dyDescent="0.25">
      <c r="A7468" s="105" t="s">
        <v>11808</v>
      </c>
      <c r="H7468" t="s">
        <v>15270</v>
      </c>
      <c r="I7468" t="s">
        <v>15271</v>
      </c>
      <c r="J7468" s="34" t="s">
        <v>26</v>
      </c>
      <c r="K7468" s="42">
        <v>266</v>
      </c>
      <c r="L7468" s="12">
        <f t="shared" si="596"/>
        <v>443.33333333333337</v>
      </c>
      <c r="M7468" s="106">
        <v>1</v>
      </c>
      <c r="N7468" s="106" t="s">
        <v>27</v>
      </c>
      <c r="O7468" s="78"/>
      <c r="P7468" s="107">
        <v>0</v>
      </c>
      <c r="Q7468" s="108">
        <v>0.4</v>
      </c>
      <c r="R7468" s="45" t="str">
        <f t="shared" si="595"/>
        <v>POLK</v>
      </c>
    </row>
    <row r="7469" spans="1:19" customFormat="1" ht="27" customHeight="1" x14ac:dyDescent="0.25">
      <c r="A7469" s="105" t="s">
        <v>11808</v>
      </c>
      <c r="H7469" t="s">
        <v>15272</v>
      </c>
      <c r="I7469" t="s">
        <v>15273</v>
      </c>
      <c r="J7469" s="34" t="s">
        <v>26</v>
      </c>
      <c r="K7469" s="42">
        <v>434</v>
      </c>
      <c r="L7469" s="12">
        <f t="shared" si="596"/>
        <v>723.33333333333337</v>
      </c>
      <c r="M7469" s="106">
        <v>1</v>
      </c>
      <c r="N7469" s="106" t="s">
        <v>27</v>
      </c>
      <c r="O7469" s="78"/>
      <c r="P7469" s="107">
        <v>0</v>
      </c>
      <c r="Q7469" s="108">
        <v>0.4</v>
      </c>
      <c r="R7469" s="45" t="str">
        <f t="shared" si="595"/>
        <v>POLK</v>
      </c>
    </row>
    <row r="7470" spans="1:19" customFormat="1" ht="27" customHeight="1" x14ac:dyDescent="0.25">
      <c r="A7470" s="32" t="s">
        <v>2512</v>
      </c>
      <c r="H7470" s="32" t="s">
        <v>15274</v>
      </c>
      <c r="I7470" s="33" t="s">
        <v>15275</v>
      </c>
      <c r="J7470" s="34" t="s">
        <v>33</v>
      </c>
      <c r="K7470" s="42">
        <v>950000</v>
      </c>
      <c r="L7470" s="12">
        <f t="shared" si="596"/>
        <v>1357142.8571428573</v>
      </c>
      <c r="M7470" s="106">
        <v>1</v>
      </c>
      <c r="N7470" s="106" t="s">
        <v>27</v>
      </c>
      <c r="O7470" s="78"/>
      <c r="P7470" s="107">
        <v>0</v>
      </c>
      <c r="Q7470" s="108">
        <v>0.3</v>
      </c>
      <c r="R7470" s="45" t="str">
        <f t="shared" si="595"/>
        <v>GENERAL</v>
      </c>
      <c r="S7470" s="76"/>
    </row>
    <row r="7471" spans="1:19" customFormat="1" ht="27" customHeight="1" x14ac:dyDescent="0.25">
      <c r="A7471" s="105" t="s">
        <v>15276</v>
      </c>
      <c r="H7471" t="s">
        <v>15277</v>
      </c>
      <c r="I7471" t="s">
        <v>15278</v>
      </c>
      <c r="J7471" s="34" t="s">
        <v>33</v>
      </c>
      <c r="K7471" s="42">
        <v>730667</v>
      </c>
      <c r="L7471" s="12">
        <f t="shared" si="596"/>
        <v>913333.75</v>
      </c>
      <c r="M7471" s="106">
        <v>1</v>
      </c>
      <c r="N7471" s="106" t="s">
        <v>27</v>
      </c>
      <c r="O7471" s="78"/>
      <c r="P7471" s="107">
        <v>0</v>
      </c>
      <c r="Q7471" s="108">
        <v>0.2</v>
      </c>
      <c r="R7471" s="45" t="str">
        <f t="shared" si="595"/>
        <v>LEDVANCE</v>
      </c>
    </row>
    <row r="7472" spans="1:19" customFormat="1" ht="27" customHeight="1" x14ac:dyDescent="0.25">
      <c r="A7472" s="32" t="s">
        <v>13983</v>
      </c>
      <c r="H7472" t="s">
        <v>15259</v>
      </c>
      <c r="I7472" s="33" t="s">
        <v>15279</v>
      </c>
      <c r="J7472" s="34" t="s">
        <v>26</v>
      </c>
      <c r="K7472" s="42">
        <v>269.39999999999998</v>
      </c>
      <c r="L7472" s="12">
        <f>IF(J7472="P",ROUNDUP(K7472/(1-Q7472),-2),K7472*(1+P7472)/(1-Q7472))</f>
        <v>449</v>
      </c>
      <c r="M7472" s="8">
        <v>1</v>
      </c>
      <c r="N7472" s="8" t="s">
        <v>27</v>
      </c>
      <c r="O7472" s="13">
        <f>F7472</f>
        <v>0</v>
      </c>
      <c r="P7472" s="110">
        <v>0</v>
      </c>
      <c r="Q7472" s="111">
        <v>0.4</v>
      </c>
      <c r="R7472" s="64" t="str">
        <f t="shared" si="595"/>
        <v>HOFFLIGHTS</v>
      </c>
      <c r="S7472">
        <f>384*1.17</f>
        <v>449.28</v>
      </c>
    </row>
    <row r="7473" spans="1:20" customFormat="1" ht="27" customHeight="1" x14ac:dyDescent="0.25">
      <c r="A7473" s="8" t="s">
        <v>5672</v>
      </c>
      <c r="B7473" s="9"/>
      <c r="C7473" s="9"/>
      <c r="D7473" s="8" t="s">
        <v>45</v>
      </c>
      <c r="E7473" s="8"/>
      <c r="F7473" s="8" t="s">
        <v>22</v>
      </c>
      <c r="G7473" s="10" t="s">
        <v>6517</v>
      </c>
      <c r="H7473" s="8" t="s">
        <v>15280</v>
      </c>
      <c r="I7473" s="10" t="s">
        <v>6519</v>
      </c>
      <c r="J7473" s="11" t="s">
        <v>26</v>
      </c>
      <c r="K7473" s="57">
        <v>125.4</v>
      </c>
      <c r="L7473" s="12">
        <f>IF(J7473="P",ROUNDUP(K7473/(1-Q7473),-2),K7473*(1+P7473)/(1-Q7473))</f>
        <v>209</v>
      </c>
      <c r="M7473" s="8">
        <v>1</v>
      </c>
      <c r="N7473" s="8" t="s">
        <v>27</v>
      </c>
      <c r="O7473" s="13" t="s">
        <v>588</v>
      </c>
      <c r="P7473" s="14">
        <v>0.2</v>
      </c>
      <c r="Q7473" s="15">
        <v>0.28000000000000003</v>
      </c>
      <c r="R7473" s="16" t="str">
        <f t="shared" si="595"/>
        <v>LUTRON</v>
      </c>
      <c r="S7473" s="17"/>
      <c r="T7473" s="10" t="str">
        <f>G7473</f>
        <v>DIMMER DE FASE ADAPTATIVA PARA CARGAS INCANDESCENTES O LED HASTA POR 250W.</v>
      </c>
    </row>
    <row r="7474" spans="1:20" customFormat="1" ht="27" customHeight="1" x14ac:dyDescent="0.25">
      <c r="A7474" s="8" t="s">
        <v>5672</v>
      </c>
      <c r="B7474" s="9" t="s">
        <v>5666</v>
      </c>
      <c r="C7474" s="9"/>
      <c r="D7474" s="8" t="s">
        <v>6178</v>
      </c>
      <c r="E7474" s="8">
        <v>7</v>
      </c>
      <c r="F7474" s="8" t="s">
        <v>22</v>
      </c>
      <c r="G7474" s="10" t="s">
        <v>6192</v>
      </c>
      <c r="H7474" s="8" t="s">
        <v>15281</v>
      </c>
      <c r="I7474" s="10" t="s">
        <v>6194</v>
      </c>
      <c r="J7474" s="11" t="s">
        <v>26</v>
      </c>
      <c r="K7474" s="57">
        <v>107.4</v>
      </c>
      <c r="L7474" s="12">
        <f t="shared" ref="L7474:L7481" si="597">ROUNDUP(K7474*(1+P7474)/(1-Q7474),0)</f>
        <v>179</v>
      </c>
      <c r="M7474" s="8">
        <v>1</v>
      </c>
      <c r="N7474" s="8" t="s">
        <v>27</v>
      </c>
      <c r="O7474" s="13"/>
      <c r="P7474" s="14">
        <v>0.2</v>
      </c>
      <c r="Q7474" s="15">
        <v>0.28000000000000003</v>
      </c>
      <c r="R7474" s="16" t="str">
        <f t="shared" si="595"/>
        <v>LUTRON</v>
      </c>
      <c r="S7474" s="17" t="str">
        <f>A7474</f>
        <v>LUTRON</v>
      </c>
      <c r="T7474" s="10" t="str">
        <f>G7474</f>
        <v>INTERRUPTOR CON OPERACIÓN INALÁMBRICA PARA SISTEMA RADIO RA2.</v>
      </c>
    </row>
    <row r="7475" spans="1:20" customFormat="1" ht="27" customHeight="1" x14ac:dyDescent="0.25">
      <c r="A7475" s="32" t="s">
        <v>5672</v>
      </c>
      <c r="H7475" s="32" t="s">
        <v>15282</v>
      </c>
      <c r="I7475" s="33" t="s">
        <v>15283</v>
      </c>
      <c r="J7475" s="34" t="s">
        <v>26</v>
      </c>
      <c r="K7475" s="42">
        <v>114.5</v>
      </c>
      <c r="L7475" s="12">
        <f t="shared" si="597"/>
        <v>229</v>
      </c>
      <c r="M7475" s="8">
        <v>1</v>
      </c>
      <c r="N7475" s="8" t="s">
        <v>27</v>
      </c>
      <c r="O7475" s="13"/>
      <c r="P7475" s="14">
        <v>0.2</v>
      </c>
      <c r="Q7475" s="15">
        <v>0.4</v>
      </c>
      <c r="R7475" s="16" t="str">
        <f t="shared" si="595"/>
        <v>LUTRON</v>
      </c>
    </row>
    <row r="7476" spans="1:20" customFormat="1" ht="27" customHeight="1" x14ac:dyDescent="0.25">
      <c r="A7476" s="32" t="s">
        <v>2124</v>
      </c>
      <c r="H7476" s="32" t="s">
        <v>15284</v>
      </c>
      <c r="I7476" s="33" t="s">
        <v>15285</v>
      </c>
      <c r="J7476" s="34" t="s">
        <v>33</v>
      </c>
      <c r="K7476" s="42">
        <v>295000</v>
      </c>
      <c r="L7476" s="12">
        <f t="shared" si="597"/>
        <v>421429</v>
      </c>
      <c r="M7476" s="8">
        <v>1</v>
      </c>
      <c r="N7476" s="8" t="s">
        <v>27</v>
      </c>
      <c r="O7476" s="13"/>
      <c r="P7476" s="14">
        <v>0</v>
      </c>
      <c r="Q7476" s="15">
        <v>0.3</v>
      </c>
      <c r="R7476" s="16" t="str">
        <f t="shared" si="595"/>
        <v>ECOLUZ</v>
      </c>
    </row>
    <row r="7477" spans="1:20" customFormat="1" ht="27" customHeight="1" x14ac:dyDescent="0.25">
      <c r="A7477" s="32" t="s">
        <v>2124</v>
      </c>
      <c r="H7477" s="32" t="s">
        <v>15286</v>
      </c>
      <c r="I7477" s="33" t="s">
        <v>15287</v>
      </c>
      <c r="J7477" s="34" t="s">
        <v>33</v>
      </c>
      <c r="K7477" s="42">
        <v>295000</v>
      </c>
      <c r="L7477" s="12">
        <f t="shared" si="597"/>
        <v>421429</v>
      </c>
      <c r="M7477" s="8">
        <v>1</v>
      </c>
      <c r="N7477" s="8" t="s">
        <v>27</v>
      </c>
      <c r="O7477" s="13"/>
      <c r="P7477" s="14">
        <v>0</v>
      </c>
      <c r="Q7477" s="15">
        <v>0.3</v>
      </c>
      <c r="R7477" s="16" t="str">
        <f t="shared" si="595"/>
        <v>ECOLUZ</v>
      </c>
    </row>
    <row r="7478" spans="1:20" customFormat="1" ht="27" customHeight="1" x14ac:dyDescent="0.25">
      <c r="A7478" s="32" t="s">
        <v>2124</v>
      </c>
      <c r="H7478" s="32" t="s">
        <v>15288</v>
      </c>
      <c r="I7478" s="33" t="s">
        <v>15289</v>
      </c>
      <c r="J7478" s="34" t="s">
        <v>33</v>
      </c>
      <c r="K7478" s="42">
        <v>330000</v>
      </c>
      <c r="L7478" s="12">
        <f t="shared" si="597"/>
        <v>471429</v>
      </c>
      <c r="M7478" s="8">
        <v>1</v>
      </c>
      <c r="N7478" s="8" t="s">
        <v>27</v>
      </c>
      <c r="O7478" s="13"/>
      <c r="P7478" s="14">
        <v>0</v>
      </c>
      <c r="Q7478" s="15">
        <v>0.3</v>
      </c>
      <c r="R7478" s="16" t="str">
        <f t="shared" si="595"/>
        <v>ECOLUZ</v>
      </c>
    </row>
    <row r="7479" spans="1:20" customFormat="1" ht="27" customHeight="1" x14ac:dyDescent="0.25">
      <c r="A7479" s="32" t="s">
        <v>2124</v>
      </c>
      <c r="H7479" s="32" t="s">
        <v>15290</v>
      </c>
      <c r="I7479" s="33" t="s">
        <v>15291</v>
      </c>
      <c r="J7479" s="34" t="s">
        <v>33</v>
      </c>
      <c r="K7479" s="42">
        <v>285000</v>
      </c>
      <c r="L7479" s="12">
        <f t="shared" si="597"/>
        <v>407143</v>
      </c>
      <c r="M7479" s="8">
        <v>1</v>
      </c>
      <c r="N7479" s="8" t="s">
        <v>27</v>
      </c>
      <c r="O7479" s="13"/>
      <c r="P7479" s="14">
        <v>0</v>
      </c>
      <c r="Q7479" s="15">
        <v>0.3</v>
      </c>
      <c r="R7479" s="16" t="str">
        <f t="shared" si="595"/>
        <v>ECOLUZ</v>
      </c>
    </row>
    <row r="7480" spans="1:20" customFormat="1" ht="27" customHeight="1" x14ac:dyDescent="0.25">
      <c r="A7480" s="32" t="s">
        <v>2124</v>
      </c>
      <c r="H7480" s="32" t="s">
        <v>15292</v>
      </c>
      <c r="I7480" s="33" t="s">
        <v>15293</v>
      </c>
      <c r="J7480" s="34" t="s">
        <v>33</v>
      </c>
      <c r="K7480" s="42">
        <v>175000</v>
      </c>
      <c r="L7480" s="12">
        <f t="shared" si="597"/>
        <v>250000</v>
      </c>
      <c r="M7480" s="8">
        <v>1</v>
      </c>
      <c r="N7480" s="8" t="s">
        <v>27</v>
      </c>
      <c r="O7480" s="13"/>
      <c r="P7480" s="14">
        <v>0</v>
      </c>
      <c r="Q7480" s="15">
        <v>0.3</v>
      </c>
      <c r="R7480" s="16" t="str">
        <f t="shared" si="595"/>
        <v>ECOLUZ</v>
      </c>
    </row>
    <row r="7481" spans="1:20" customFormat="1" ht="27" customHeight="1" x14ac:dyDescent="0.25">
      <c r="A7481" s="32" t="s">
        <v>2124</v>
      </c>
      <c r="H7481" s="32" t="s">
        <v>15294</v>
      </c>
      <c r="I7481" s="33" t="s">
        <v>15295</v>
      </c>
      <c r="J7481" s="34" t="s">
        <v>33</v>
      </c>
      <c r="K7481" s="42">
        <v>22500</v>
      </c>
      <c r="L7481" s="12">
        <f t="shared" si="597"/>
        <v>32143</v>
      </c>
      <c r="M7481" s="8">
        <v>1</v>
      </c>
      <c r="N7481" s="8" t="s">
        <v>27</v>
      </c>
      <c r="O7481" s="13"/>
      <c r="P7481" s="14">
        <v>0</v>
      </c>
      <c r="Q7481" s="15">
        <v>0.3</v>
      </c>
      <c r="R7481" s="16" t="str">
        <f t="shared" si="595"/>
        <v>ECOLUZ</v>
      </c>
    </row>
    <row r="7482" spans="1:20" customFormat="1" ht="27" customHeight="1" x14ac:dyDescent="0.25">
      <c r="A7482" s="32" t="s">
        <v>3685</v>
      </c>
      <c r="H7482" s="32" t="s">
        <v>15296</v>
      </c>
      <c r="I7482" s="33" t="s">
        <v>15297</v>
      </c>
      <c r="J7482" s="34" t="s">
        <v>33</v>
      </c>
      <c r="K7482" s="42">
        <v>125000</v>
      </c>
      <c r="L7482" s="12">
        <f>IF(J7482="P",ROUNDUP(K7482/(1-Q7482),-2),K7482*(1+P7482)/(1-Q7482))</f>
        <v>178600</v>
      </c>
      <c r="M7482" s="8">
        <v>1</v>
      </c>
      <c r="N7482" s="8" t="s">
        <v>27</v>
      </c>
      <c r="O7482" s="13">
        <f>F7482</f>
        <v>0</v>
      </c>
      <c r="P7482" s="14">
        <v>0</v>
      </c>
      <c r="Q7482" s="15">
        <v>0.3</v>
      </c>
      <c r="R7482" s="16" t="str">
        <f t="shared" si="595"/>
        <v>ILUMINARTE</v>
      </c>
    </row>
    <row r="7483" spans="1:20" customFormat="1" ht="27" customHeight="1" x14ac:dyDescent="0.25">
      <c r="A7483" s="32" t="s">
        <v>3685</v>
      </c>
      <c r="H7483" s="32" t="s">
        <v>15298</v>
      </c>
      <c r="I7483" s="33" t="s">
        <v>15299</v>
      </c>
      <c r="J7483" s="34" t="s">
        <v>33</v>
      </c>
      <c r="K7483" s="42">
        <v>195000</v>
      </c>
      <c r="L7483" s="12">
        <f>IF(J7483="P",ROUNDUP(K7483/(1-Q7483),-2),K7483*(1+P7483)/(1-Q7483))</f>
        <v>278600</v>
      </c>
      <c r="M7483" s="8">
        <v>1</v>
      </c>
      <c r="N7483" s="8" t="s">
        <v>27</v>
      </c>
      <c r="O7483" s="13">
        <f>F7483</f>
        <v>0</v>
      </c>
      <c r="P7483" s="14">
        <v>0</v>
      </c>
      <c r="Q7483" s="15">
        <v>0.3</v>
      </c>
      <c r="R7483" s="16" t="str">
        <f t="shared" si="595"/>
        <v>ILUMINARTE</v>
      </c>
    </row>
    <row r="7484" spans="1:20" customFormat="1" ht="27" customHeight="1" x14ac:dyDescent="0.25">
      <c r="A7484" s="32" t="s">
        <v>7989</v>
      </c>
      <c r="H7484" s="32" t="s">
        <v>15300</v>
      </c>
      <c r="I7484" s="33" t="s">
        <v>15301</v>
      </c>
      <c r="J7484" s="34" t="s">
        <v>26</v>
      </c>
      <c r="K7484" s="42">
        <v>236</v>
      </c>
      <c r="L7484" s="12">
        <f t="shared" ref="L7484:L7489" si="598">K7484*(1+P7484)/(1-Q7484)</f>
        <v>363.07692307692304</v>
      </c>
      <c r="M7484" s="8">
        <v>1</v>
      </c>
      <c r="N7484" s="8" t="s">
        <v>27</v>
      </c>
      <c r="O7484" s="13"/>
      <c r="P7484" s="14">
        <v>0</v>
      </c>
      <c r="Q7484" s="15">
        <v>0.35</v>
      </c>
      <c r="R7484" s="16" t="str">
        <f t="shared" si="595"/>
        <v>RUSSOUND</v>
      </c>
    </row>
    <row r="7485" spans="1:20" customFormat="1" ht="27" customHeight="1" x14ac:dyDescent="0.25">
      <c r="A7485" t="s">
        <v>3977</v>
      </c>
      <c r="H7485" t="s">
        <v>15302</v>
      </c>
      <c r="I7485" t="s">
        <v>15303</v>
      </c>
      <c r="J7485" t="s">
        <v>33</v>
      </c>
      <c r="K7485" s="42">
        <v>350000</v>
      </c>
      <c r="L7485" s="12">
        <f t="shared" si="598"/>
        <v>500000.00000000006</v>
      </c>
      <c r="M7485" s="106">
        <v>1</v>
      </c>
      <c r="N7485" s="106" t="s">
        <v>27</v>
      </c>
      <c r="O7485" s="78"/>
      <c r="P7485" s="107">
        <v>0</v>
      </c>
      <c r="Q7485" s="108">
        <v>0.3</v>
      </c>
      <c r="R7485" s="10" t="str">
        <f t="shared" si="595"/>
        <v>KOMODO</v>
      </c>
    </row>
    <row r="7486" spans="1:20" customFormat="1" ht="27" customHeight="1" x14ac:dyDescent="0.25">
      <c r="A7486" s="32" t="s">
        <v>2512</v>
      </c>
      <c r="H7486" s="32" t="s">
        <v>15304</v>
      </c>
      <c r="I7486" s="33" t="s">
        <v>15305</v>
      </c>
      <c r="J7486" s="34" t="s">
        <v>33</v>
      </c>
      <c r="K7486" s="42">
        <v>39000</v>
      </c>
      <c r="L7486" s="12">
        <f t="shared" si="598"/>
        <v>55714.285714285717</v>
      </c>
      <c r="M7486" s="106">
        <v>1</v>
      </c>
      <c r="N7486" s="106" t="s">
        <v>27</v>
      </c>
      <c r="O7486" s="78"/>
      <c r="P7486" s="107">
        <v>0</v>
      </c>
      <c r="Q7486" s="108">
        <v>0.3</v>
      </c>
      <c r="R7486" s="10" t="str">
        <f t="shared" ref="R7486:R7494" si="599">A7486</f>
        <v>GENERAL</v>
      </c>
    </row>
    <row r="7487" spans="1:20" customFormat="1" ht="27" customHeight="1" x14ac:dyDescent="0.25">
      <c r="A7487" s="32" t="s">
        <v>11685</v>
      </c>
      <c r="H7487" s="32" t="s">
        <v>15306</v>
      </c>
      <c r="I7487" s="33" t="s">
        <v>15307</v>
      </c>
      <c r="J7487" s="34" t="s">
        <v>33</v>
      </c>
      <c r="K7487" s="42">
        <v>274000</v>
      </c>
      <c r="L7487" s="12">
        <f t="shared" si="598"/>
        <v>391428.57142857148</v>
      </c>
      <c r="M7487" s="106">
        <v>1</v>
      </c>
      <c r="N7487" s="106" t="s">
        <v>27</v>
      </c>
      <c r="O7487" s="78"/>
      <c r="P7487" s="107">
        <v>0</v>
      </c>
      <c r="Q7487" s="108">
        <v>0.3</v>
      </c>
      <c r="R7487" s="10" t="str">
        <f t="shared" si="599"/>
        <v>RUIJIE</v>
      </c>
    </row>
    <row r="7488" spans="1:20" customFormat="1" ht="27" customHeight="1" x14ac:dyDescent="0.25">
      <c r="A7488" s="32" t="s">
        <v>5672</v>
      </c>
      <c r="H7488" s="32" t="s">
        <v>15308</v>
      </c>
      <c r="I7488" s="33" t="s">
        <v>15309</v>
      </c>
      <c r="J7488" s="34" t="s">
        <v>26</v>
      </c>
      <c r="K7488" s="42">
        <v>990</v>
      </c>
      <c r="L7488" s="12">
        <f t="shared" si="598"/>
        <v>1980</v>
      </c>
      <c r="M7488" s="106">
        <v>1</v>
      </c>
      <c r="N7488" s="106" t="s">
        <v>27</v>
      </c>
      <c r="O7488" s="78"/>
      <c r="P7488" s="107">
        <v>0.2</v>
      </c>
      <c r="Q7488" s="108">
        <v>0.4</v>
      </c>
      <c r="R7488" s="10" t="str">
        <f t="shared" si="599"/>
        <v>LUTRON</v>
      </c>
    </row>
    <row r="7489" spans="1:29" ht="27" customHeight="1" x14ac:dyDescent="0.25">
      <c r="A7489" s="32" t="s">
        <v>15310</v>
      </c>
      <c r="H7489" s="32" t="s">
        <v>15311</v>
      </c>
      <c r="I7489" s="33" t="s">
        <v>15312</v>
      </c>
      <c r="J7489" s="34" t="s">
        <v>26</v>
      </c>
      <c r="K7489" s="42">
        <v>206</v>
      </c>
      <c r="L7489" s="12">
        <f t="shared" si="598"/>
        <v>294.28571428571428</v>
      </c>
      <c r="M7489" s="106">
        <v>1</v>
      </c>
      <c r="N7489" s="106" t="s">
        <v>27</v>
      </c>
      <c r="O7489" s="78"/>
      <c r="P7489" s="107">
        <v>0</v>
      </c>
      <c r="Q7489" s="108">
        <v>0.3</v>
      </c>
      <c r="R7489" s="10" t="str">
        <f t="shared" si="599"/>
        <v>GENESIS</v>
      </c>
    </row>
    <row r="7490" spans="1:29" ht="27" customHeight="1" x14ac:dyDescent="0.25">
      <c r="A7490" s="32" t="s">
        <v>15313</v>
      </c>
      <c r="H7490" s="32" t="s">
        <v>15314</v>
      </c>
      <c r="I7490" s="33" t="s">
        <v>15315</v>
      </c>
      <c r="R7490" s="45" t="str">
        <f t="shared" si="599"/>
        <v>LIGHTING SOLUTION</v>
      </c>
      <c r="AB7490" s="112">
        <v>1</v>
      </c>
      <c r="AC7490" s="76" t="s">
        <v>15316</v>
      </c>
    </row>
    <row r="7491" spans="1:29" ht="27" customHeight="1" x14ac:dyDescent="0.25">
      <c r="A7491" s="32" t="s">
        <v>3611</v>
      </c>
      <c r="H7491">
        <v>735022</v>
      </c>
      <c r="I7491" s="33" t="s">
        <v>15317</v>
      </c>
      <c r="R7491" s="40" t="str">
        <f t="shared" si="599"/>
        <v>IDEA</v>
      </c>
      <c r="AB7491" s="112">
        <v>1</v>
      </c>
      <c r="AC7491" s="76" t="s">
        <v>15316</v>
      </c>
    </row>
    <row r="7492" spans="1:29" ht="27" customHeight="1" x14ac:dyDescent="0.25">
      <c r="A7492" s="32" t="s">
        <v>15318</v>
      </c>
      <c r="H7492" s="32" t="s">
        <v>15319</v>
      </c>
      <c r="I7492" s="33" t="s">
        <v>15320</v>
      </c>
      <c r="R7492" s="45" t="str">
        <f t="shared" si="599"/>
        <v>TECNO_LAMP</v>
      </c>
      <c r="AB7492" s="112">
        <v>1</v>
      </c>
      <c r="AC7492" s="76" t="s">
        <v>15316</v>
      </c>
    </row>
    <row r="7493" spans="1:29" ht="27" customHeight="1" x14ac:dyDescent="0.25">
      <c r="A7493" s="32" t="s">
        <v>15321</v>
      </c>
      <c r="H7493" s="32" t="s">
        <v>15322</v>
      </c>
      <c r="I7493" s="33" t="s">
        <v>15323</v>
      </c>
      <c r="R7493" s="45" t="str">
        <f t="shared" si="599"/>
        <v>HERDIO</v>
      </c>
      <c r="AB7493" s="112">
        <v>1</v>
      </c>
      <c r="AC7493" s="76" t="s">
        <v>15316</v>
      </c>
    </row>
    <row r="7494" spans="1:29" ht="27" customHeight="1" x14ac:dyDescent="0.25">
      <c r="A7494" s="32" t="s">
        <v>6853</v>
      </c>
      <c r="H7494" s="32" t="s">
        <v>15324</v>
      </c>
      <c r="I7494" s="33" t="s">
        <v>15325</v>
      </c>
      <c r="J7494" t="s">
        <v>33</v>
      </c>
      <c r="K7494" s="42">
        <v>1990000</v>
      </c>
      <c r="L7494" s="12">
        <f>K7494*(1+P7494)/(1-Q7494)</f>
        <v>2842857.1428571432</v>
      </c>
      <c r="M7494" s="106">
        <v>1</v>
      </c>
      <c r="N7494" s="106" t="s">
        <v>27</v>
      </c>
      <c r="O7494" s="78"/>
      <c r="P7494" s="107">
        <v>0</v>
      </c>
      <c r="Q7494" s="108">
        <v>0.3</v>
      </c>
      <c r="R7494" s="10" t="str">
        <f t="shared" si="599"/>
        <v>MAXHUB</v>
      </c>
    </row>
    <row r="7495" spans="1:29" ht="27" customHeight="1" x14ac:dyDescent="0.25">
      <c r="A7495" s="32" t="s">
        <v>791</v>
      </c>
      <c r="H7495" s="32" t="s">
        <v>15326</v>
      </c>
      <c r="I7495" s="33" t="s">
        <v>15327</v>
      </c>
      <c r="AB7495" s="112">
        <v>2</v>
      </c>
      <c r="AC7495" s="76" t="s">
        <v>15316</v>
      </c>
    </row>
    <row r="7496" spans="1:29" ht="27" customHeight="1" x14ac:dyDescent="0.25">
      <c r="A7496" s="32" t="s">
        <v>130</v>
      </c>
      <c r="H7496" s="32" t="s">
        <v>15328</v>
      </c>
      <c r="I7496" s="33" t="s">
        <v>15329</v>
      </c>
      <c r="AB7496" s="112">
        <v>3</v>
      </c>
      <c r="AC7496" s="76" t="s">
        <v>15316</v>
      </c>
    </row>
    <row r="7497" spans="1:29" ht="27" customHeight="1" x14ac:dyDescent="0.25">
      <c r="A7497" s="32" t="s">
        <v>5672</v>
      </c>
      <c r="H7497" s="32" t="s">
        <v>15330</v>
      </c>
      <c r="I7497" s="33" t="s">
        <v>15331</v>
      </c>
      <c r="AB7497" s="112">
        <v>1</v>
      </c>
      <c r="AC7497" s="76" t="s">
        <v>15316</v>
      </c>
    </row>
    <row r="7498" spans="1:29" ht="27" customHeight="1" x14ac:dyDescent="0.25">
      <c r="A7498" s="32" t="s">
        <v>6990</v>
      </c>
      <c r="H7498" s="32" t="s">
        <v>15332</v>
      </c>
      <c r="I7498" s="33" t="s">
        <v>15333</v>
      </c>
      <c r="AB7498" s="112">
        <v>1</v>
      </c>
      <c r="AC7498" s="76" t="s">
        <v>15334</v>
      </c>
    </row>
    <row r="7499" spans="1:29" ht="27" customHeight="1" x14ac:dyDescent="0.25">
      <c r="A7499" s="32" t="s">
        <v>5672</v>
      </c>
      <c r="H7499" s="32" t="s">
        <v>15335</v>
      </c>
      <c r="I7499" s="33" t="s">
        <v>15336</v>
      </c>
      <c r="AB7499" s="112">
        <v>1</v>
      </c>
      <c r="AC7499" s="76" t="s">
        <v>15316</v>
      </c>
    </row>
    <row r="7500" spans="1:29" ht="27" customHeight="1" x14ac:dyDescent="0.25">
      <c r="A7500" s="32" t="s">
        <v>5672</v>
      </c>
      <c r="H7500" s="32" t="s">
        <v>15337</v>
      </c>
      <c r="I7500" s="33" t="s">
        <v>15338</v>
      </c>
      <c r="AB7500" s="112">
        <v>1</v>
      </c>
      <c r="AC7500" s="76" t="s">
        <v>15316</v>
      </c>
    </row>
    <row r="7501" spans="1:29" ht="27" customHeight="1" x14ac:dyDescent="0.25">
      <c r="A7501" s="32" t="s">
        <v>5672</v>
      </c>
      <c r="H7501" s="32" t="s">
        <v>15337</v>
      </c>
      <c r="I7501" s="33" t="s">
        <v>15339</v>
      </c>
      <c r="AB7501" s="112">
        <v>1</v>
      </c>
      <c r="AC7501" s="76" t="s">
        <v>15316</v>
      </c>
    </row>
    <row r="7502" spans="1:29" ht="27" customHeight="1" x14ac:dyDescent="0.25">
      <c r="A7502" s="32" t="s">
        <v>11685</v>
      </c>
      <c r="H7502" s="32" t="s">
        <v>15340</v>
      </c>
      <c r="I7502" s="33" t="s">
        <v>15341</v>
      </c>
      <c r="J7502" s="34" t="s">
        <v>26</v>
      </c>
      <c r="K7502" s="42">
        <v>138.6</v>
      </c>
      <c r="L7502" s="12">
        <f>K7502*(1+P7502)/(1-Q7502)</f>
        <v>198</v>
      </c>
      <c r="M7502" s="106">
        <v>1</v>
      </c>
      <c r="N7502" s="106" t="s">
        <v>27</v>
      </c>
      <c r="O7502" s="78"/>
      <c r="P7502" s="107">
        <v>0</v>
      </c>
      <c r="Q7502" s="108">
        <v>0.3</v>
      </c>
      <c r="R7502" s="10" t="str">
        <f t="shared" ref="R7502:R7533" si="600">A7502</f>
        <v>RUIJIE</v>
      </c>
    </row>
    <row r="7503" spans="1:29" ht="27" customHeight="1" x14ac:dyDescent="0.25">
      <c r="A7503" s="8" t="s">
        <v>1561</v>
      </c>
      <c r="B7503" s="9"/>
      <c r="C7503" s="9"/>
      <c r="D7503" s="8"/>
      <c r="E7503" s="8"/>
      <c r="F7503" s="8" t="s">
        <v>22</v>
      </c>
      <c r="G7503" s="10" t="s">
        <v>1576</v>
      </c>
      <c r="H7503" s="8" t="s">
        <v>15342</v>
      </c>
      <c r="I7503" s="10" t="s">
        <v>1576</v>
      </c>
      <c r="J7503" s="11" t="s">
        <v>33</v>
      </c>
      <c r="K7503" s="18">
        <v>697000</v>
      </c>
      <c r="L7503" s="12">
        <f t="shared" ref="L7503:L7514" si="601">IF(J7503="P",ROUNDUP(K7503/(1-Q7503),-2),K7503*(1+P7503)/(1-Q7503))</f>
        <v>1161700</v>
      </c>
      <c r="M7503" s="8">
        <v>1</v>
      </c>
      <c r="N7503" s="8" t="s">
        <v>27</v>
      </c>
      <c r="O7503" s="13"/>
      <c r="P7503" s="14">
        <v>0.2</v>
      </c>
      <c r="Q7503" s="15">
        <v>0.4</v>
      </c>
      <c r="R7503" s="16" t="str">
        <f t="shared" si="600"/>
        <v>DAHUA</v>
      </c>
      <c r="S7503" s="17"/>
      <c r="T7503" s="10" t="str">
        <f>G7503</f>
        <v>NVR DE 16 CANALES, SALIDAS HDMI Y VGA.</v>
      </c>
    </row>
    <row r="7504" spans="1:29" ht="27" customHeight="1" x14ac:dyDescent="0.25">
      <c r="A7504" s="32" t="s">
        <v>5001</v>
      </c>
      <c r="H7504" s="32" t="s">
        <v>15343</v>
      </c>
      <c r="I7504" s="33" t="s">
        <v>15344</v>
      </c>
      <c r="J7504" t="s">
        <v>33</v>
      </c>
      <c r="K7504" s="42">
        <v>6000</v>
      </c>
      <c r="L7504" s="12">
        <f t="shared" si="601"/>
        <v>10000</v>
      </c>
      <c r="M7504" s="8">
        <v>1</v>
      </c>
      <c r="N7504" s="8" t="s">
        <v>27</v>
      </c>
      <c r="O7504" s="13"/>
      <c r="P7504" s="14">
        <v>0.2</v>
      </c>
      <c r="Q7504" s="15">
        <v>0.4</v>
      </c>
      <c r="R7504" s="16" t="str">
        <f t="shared" si="600"/>
        <v>LANPRO</v>
      </c>
      <c r="S7504" s="17"/>
      <c r="T7504" s="10">
        <f>G7504</f>
        <v>0</v>
      </c>
    </row>
    <row r="7505" spans="1:20" customFormat="1" ht="27" customHeight="1" x14ac:dyDescent="0.25">
      <c r="A7505" s="32" t="s">
        <v>3977</v>
      </c>
      <c r="H7505" s="32" t="s">
        <v>15345</v>
      </c>
      <c r="I7505" s="33" t="s">
        <v>15346</v>
      </c>
      <c r="J7505" t="s">
        <v>33</v>
      </c>
      <c r="K7505" s="42">
        <v>30000</v>
      </c>
      <c r="L7505" s="12">
        <f t="shared" si="601"/>
        <v>50000</v>
      </c>
      <c r="M7505" s="8">
        <v>1</v>
      </c>
      <c r="N7505" s="8" t="s">
        <v>27</v>
      </c>
      <c r="O7505" s="13"/>
      <c r="P7505" s="14">
        <v>0.2</v>
      </c>
      <c r="Q7505" s="15">
        <v>0.4</v>
      </c>
      <c r="R7505" s="16" t="str">
        <f t="shared" si="600"/>
        <v>KOMODO</v>
      </c>
      <c r="S7505" s="17"/>
      <c r="T7505" s="10">
        <f>G7505</f>
        <v>0</v>
      </c>
    </row>
    <row r="7506" spans="1:20" customFormat="1" ht="27" customHeight="1" x14ac:dyDescent="0.25">
      <c r="A7506" s="32" t="s">
        <v>2413</v>
      </c>
      <c r="H7506" s="32" t="s">
        <v>15347</v>
      </c>
      <c r="I7506" s="38" t="s">
        <v>15348</v>
      </c>
      <c r="J7506" t="s">
        <v>26</v>
      </c>
      <c r="K7506" s="42">
        <f>70.1*1.1</f>
        <v>77.11</v>
      </c>
      <c r="L7506" s="12">
        <f t="shared" si="601"/>
        <v>96.387499999999989</v>
      </c>
      <c r="M7506" s="8">
        <v>1</v>
      </c>
      <c r="N7506" s="8" t="s">
        <v>27</v>
      </c>
      <c r="O7506" s="13"/>
      <c r="P7506" s="14">
        <v>0</v>
      </c>
      <c r="Q7506" s="15">
        <v>0.2</v>
      </c>
      <c r="R7506" s="16" t="str">
        <f t="shared" si="600"/>
        <v>FLOS</v>
      </c>
      <c r="S7506" t="s">
        <v>15349</v>
      </c>
    </row>
    <row r="7507" spans="1:20" customFormat="1" ht="27" customHeight="1" x14ac:dyDescent="0.25">
      <c r="A7507" s="32" t="s">
        <v>2413</v>
      </c>
      <c r="H7507" s="32" t="s">
        <v>15350</v>
      </c>
      <c r="I7507" s="33" t="s">
        <v>15351</v>
      </c>
      <c r="J7507" t="s">
        <v>26</v>
      </c>
      <c r="K7507" s="42">
        <f>35.2*1.1</f>
        <v>38.720000000000006</v>
      </c>
      <c r="L7507" s="12">
        <f t="shared" si="601"/>
        <v>48.400000000000006</v>
      </c>
      <c r="M7507" s="8">
        <v>1</v>
      </c>
      <c r="N7507" s="8" t="s">
        <v>27</v>
      </c>
      <c r="O7507" s="13"/>
      <c r="P7507" s="14">
        <v>0</v>
      </c>
      <c r="Q7507" s="15">
        <v>0.2</v>
      </c>
      <c r="R7507" s="16" t="str">
        <f t="shared" si="600"/>
        <v>FLOS</v>
      </c>
      <c r="S7507" t="s">
        <v>15349</v>
      </c>
    </row>
    <row r="7508" spans="1:20" customFormat="1" ht="27" customHeight="1" x14ac:dyDescent="0.25">
      <c r="A7508" s="32" t="s">
        <v>2413</v>
      </c>
      <c r="H7508" s="32" t="s">
        <v>15352</v>
      </c>
      <c r="I7508" s="38" t="s">
        <v>15353</v>
      </c>
      <c r="J7508" t="s">
        <v>26</v>
      </c>
      <c r="K7508" s="42">
        <f>137*1.1</f>
        <v>150.70000000000002</v>
      </c>
      <c r="L7508" s="12">
        <f t="shared" si="601"/>
        <v>188.375</v>
      </c>
      <c r="M7508" s="8">
        <v>1</v>
      </c>
      <c r="N7508" s="8" t="s">
        <v>27</v>
      </c>
      <c r="O7508" s="13"/>
      <c r="P7508" s="14">
        <v>0</v>
      </c>
      <c r="Q7508" s="15">
        <v>0.2</v>
      </c>
      <c r="R7508" s="16" t="str">
        <f t="shared" si="600"/>
        <v>FLOS</v>
      </c>
      <c r="S7508" t="s">
        <v>15349</v>
      </c>
    </row>
    <row r="7509" spans="1:20" customFormat="1" ht="27" customHeight="1" x14ac:dyDescent="0.25">
      <c r="A7509" s="32" t="s">
        <v>2413</v>
      </c>
      <c r="H7509" s="32" t="s">
        <v>15354</v>
      </c>
      <c r="I7509" s="33" t="s">
        <v>15355</v>
      </c>
      <c r="J7509" t="s">
        <v>26</v>
      </c>
      <c r="K7509" s="42">
        <f>47.1*1.1</f>
        <v>51.81</v>
      </c>
      <c r="L7509" s="12">
        <f t="shared" si="601"/>
        <v>64.762500000000003</v>
      </c>
      <c r="M7509" s="8">
        <v>1</v>
      </c>
      <c r="N7509" s="8" t="s">
        <v>27</v>
      </c>
      <c r="O7509" s="13"/>
      <c r="P7509" s="14">
        <v>0</v>
      </c>
      <c r="Q7509" s="15">
        <v>0.2</v>
      </c>
      <c r="R7509" s="16" t="str">
        <f t="shared" si="600"/>
        <v>FLOS</v>
      </c>
      <c r="S7509" t="s">
        <v>15349</v>
      </c>
    </row>
    <row r="7510" spans="1:20" customFormat="1" ht="27" customHeight="1" x14ac:dyDescent="0.25">
      <c r="A7510" s="32" t="s">
        <v>15356</v>
      </c>
      <c r="H7510" s="32" t="s">
        <v>15357</v>
      </c>
      <c r="I7510" s="33" t="s">
        <v>15358</v>
      </c>
      <c r="J7510" s="34" t="s">
        <v>33</v>
      </c>
      <c r="K7510" s="42">
        <f>4292000*0.9</f>
        <v>3862800</v>
      </c>
      <c r="L7510" s="12">
        <f t="shared" si="601"/>
        <v>4292000</v>
      </c>
      <c r="M7510" s="8">
        <v>1</v>
      </c>
      <c r="N7510" s="8" t="s">
        <v>27</v>
      </c>
      <c r="O7510" s="13"/>
      <c r="P7510" s="14">
        <v>0</v>
      </c>
      <c r="Q7510" s="15">
        <v>0.1</v>
      </c>
      <c r="R7510" s="40" t="str">
        <f t="shared" si="600"/>
        <v>FOSCARINI</v>
      </c>
    </row>
    <row r="7511" spans="1:20" customFormat="1" ht="27" customHeight="1" x14ac:dyDescent="0.25">
      <c r="A7511" s="32" t="s">
        <v>15356</v>
      </c>
      <c r="H7511" s="32" t="s">
        <v>15359</v>
      </c>
      <c r="I7511" s="33" t="s">
        <v>15360</v>
      </c>
      <c r="J7511" s="34" t="s">
        <v>33</v>
      </c>
      <c r="K7511" s="42">
        <f>3012000*0.9</f>
        <v>2710800</v>
      </c>
      <c r="L7511" s="12">
        <f t="shared" si="601"/>
        <v>3012000</v>
      </c>
      <c r="M7511" s="8">
        <v>1</v>
      </c>
      <c r="N7511" s="8" t="s">
        <v>27</v>
      </c>
      <c r="O7511" s="13"/>
      <c r="P7511" s="14">
        <v>0</v>
      </c>
      <c r="Q7511" s="15">
        <v>0.1</v>
      </c>
      <c r="R7511" s="40" t="str">
        <f t="shared" si="600"/>
        <v>FOSCARINI</v>
      </c>
    </row>
    <row r="7512" spans="1:20" customFormat="1" ht="27" customHeight="1" x14ac:dyDescent="0.25">
      <c r="A7512" s="32" t="s">
        <v>9452</v>
      </c>
      <c r="H7512" s="32" t="s">
        <v>15361</v>
      </c>
      <c r="I7512" s="33" t="s">
        <v>15362</v>
      </c>
      <c r="J7512" s="34" t="s">
        <v>33</v>
      </c>
      <c r="K7512" s="42">
        <f>5934000*0.9</f>
        <v>5340600</v>
      </c>
      <c r="L7512" s="12">
        <f t="shared" si="601"/>
        <v>5934000</v>
      </c>
      <c r="M7512" s="8">
        <v>1</v>
      </c>
      <c r="N7512" s="8" t="s">
        <v>27</v>
      </c>
      <c r="O7512" s="13"/>
      <c r="P7512" s="14">
        <v>0</v>
      </c>
      <c r="Q7512" s="15">
        <v>0.1</v>
      </c>
      <c r="R7512" s="40" t="str">
        <f t="shared" si="600"/>
        <v>VIBIA</v>
      </c>
    </row>
    <row r="7513" spans="1:20" customFormat="1" ht="27" customHeight="1" x14ac:dyDescent="0.25">
      <c r="A7513" s="32" t="s">
        <v>2413</v>
      </c>
      <c r="H7513" s="32" t="s">
        <v>15363</v>
      </c>
      <c r="I7513" s="38" t="s">
        <v>15364</v>
      </c>
      <c r="J7513" s="34" t="s">
        <v>26</v>
      </c>
      <c r="K7513" s="42">
        <f>271*1.1</f>
        <v>298.10000000000002</v>
      </c>
      <c r="L7513" s="12">
        <f t="shared" si="601"/>
        <v>372.625</v>
      </c>
      <c r="M7513" s="8">
        <v>1</v>
      </c>
      <c r="N7513" s="8" t="s">
        <v>27</v>
      </c>
      <c r="O7513" s="13"/>
      <c r="P7513" s="14">
        <v>0</v>
      </c>
      <c r="Q7513" s="15">
        <v>0.2</v>
      </c>
      <c r="R7513" s="16" t="str">
        <f t="shared" si="600"/>
        <v>FLOS</v>
      </c>
    </row>
    <row r="7514" spans="1:20" customFormat="1" ht="27" customHeight="1" x14ac:dyDescent="0.25">
      <c r="A7514" s="32" t="s">
        <v>2413</v>
      </c>
      <c r="H7514" s="32" t="s">
        <v>15365</v>
      </c>
      <c r="I7514" s="33" t="s">
        <v>15366</v>
      </c>
      <c r="J7514" s="34" t="s">
        <v>26</v>
      </c>
      <c r="K7514" s="42">
        <f>70.1*1.1</f>
        <v>77.11</v>
      </c>
      <c r="L7514" s="12">
        <f t="shared" si="601"/>
        <v>96.387499999999989</v>
      </c>
      <c r="M7514" s="8">
        <v>1</v>
      </c>
      <c r="N7514" s="8" t="s">
        <v>27</v>
      </c>
      <c r="O7514" s="13"/>
      <c r="P7514" s="14">
        <v>0</v>
      </c>
      <c r="Q7514" s="15">
        <v>0.2</v>
      </c>
      <c r="R7514" s="16" t="str">
        <f t="shared" si="600"/>
        <v>FLOS</v>
      </c>
    </row>
    <row r="7515" spans="1:20" customFormat="1" ht="27" customHeight="1" x14ac:dyDescent="0.25">
      <c r="A7515" s="32" t="s">
        <v>11856</v>
      </c>
      <c r="H7515" s="32" t="s">
        <v>15367</v>
      </c>
      <c r="I7515" s="33" t="s">
        <v>15368</v>
      </c>
      <c r="J7515" s="34" t="s">
        <v>26</v>
      </c>
      <c r="K7515" s="42">
        <v>30.99</v>
      </c>
      <c r="L7515" s="12">
        <f>K7515*(1+P7515)/(1-Q7515)</f>
        <v>57.552857142857142</v>
      </c>
      <c r="M7515" s="8">
        <v>1</v>
      </c>
      <c r="N7515" s="8" t="s">
        <v>27</v>
      </c>
      <c r="O7515" s="13"/>
      <c r="P7515" s="14">
        <v>0.3</v>
      </c>
      <c r="Q7515" s="15">
        <v>0.3</v>
      </c>
      <c r="R7515" s="16" t="str">
        <f t="shared" si="600"/>
        <v>PAUTIX</v>
      </c>
      <c r="S7515" t="s">
        <v>15369</v>
      </c>
    </row>
    <row r="7516" spans="1:20" customFormat="1" ht="27" customHeight="1" x14ac:dyDescent="0.25">
      <c r="A7516" s="32" t="s">
        <v>10370</v>
      </c>
      <c r="H7516" s="32" t="s">
        <v>15370</v>
      </c>
      <c r="I7516" s="33" t="s">
        <v>15371</v>
      </c>
      <c r="J7516" s="34" t="s">
        <v>26</v>
      </c>
      <c r="K7516" s="42">
        <v>108</v>
      </c>
      <c r="L7516" s="12">
        <f>K7516*(1+P7516)/(1-Q7516)</f>
        <v>185.14285714285714</v>
      </c>
      <c r="M7516" s="8">
        <v>1</v>
      </c>
      <c r="N7516" s="8" t="s">
        <v>27</v>
      </c>
      <c r="O7516" s="13"/>
      <c r="P7516" s="14">
        <v>0.2</v>
      </c>
      <c r="Q7516" s="15">
        <v>0.3</v>
      </c>
      <c r="R7516" s="16" t="str">
        <f t="shared" si="600"/>
        <v>LEDYI</v>
      </c>
      <c r="S7516" t="s">
        <v>15372</v>
      </c>
    </row>
    <row r="7517" spans="1:20" customFormat="1" ht="27" customHeight="1" x14ac:dyDescent="0.25">
      <c r="A7517" s="32" t="s">
        <v>13983</v>
      </c>
      <c r="H7517" s="32" t="s">
        <v>15373</v>
      </c>
      <c r="I7517" s="33" t="s">
        <v>15374</v>
      </c>
      <c r="J7517" s="34" t="s">
        <v>26</v>
      </c>
      <c r="K7517" s="42">
        <f>25.88625*1.4</f>
        <v>36.240749999999998</v>
      </c>
      <c r="L7517" s="12">
        <f>K7517*(1+P7517)/(1-Q7517)</f>
        <v>62.126999999999995</v>
      </c>
      <c r="M7517" s="8">
        <v>1</v>
      </c>
      <c r="N7517" s="8" t="s">
        <v>27</v>
      </c>
      <c r="O7517" s="13"/>
      <c r="P7517" s="14">
        <v>0.2</v>
      </c>
      <c r="Q7517" s="15">
        <v>0.3</v>
      </c>
      <c r="R7517" s="16" t="str">
        <f t="shared" si="600"/>
        <v>HOFFLIGHTS</v>
      </c>
    </row>
    <row r="7518" spans="1:20" customFormat="1" ht="27" customHeight="1" x14ac:dyDescent="0.25">
      <c r="A7518" s="32" t="s">
        <v>11856</v>
      </c>
      <c r="H7518" s="32" t="s">
        <v>15375</v>
      </c>
      <c r="I7518" s="33" t="s">
        <v>15376</v>
      </c>
      <c r="J7518" s="34" t="s">
        <v>26</v>
      </c>
      <c r="K7518" s="42">
        <v>36</v>
      </c>
      <c r="L7518" s="12">
        <f>K7518*(1+P7518)/(1-Q7518)</f>
        <v>61.714285714285715</v>
      </c>
      <c r="M7518" s="8">
        <v>1</v>
      </c>
      <c r="N7518" s="8" t="s">
        <v>27</v>
      </c>
      <c r="O7518" s="13"/>
      <c r="P7518" s="14">
        <v>0.2</v>
      </c>
      <c r="Q7518" s="15">
        <v>0.3</v>
      </c>
      <c r="R7518" s="16" t="str">
        <f t="shared" si="600"/>
        <v>PAUTIX</v>
      </c>
      <c r="S7518" t="s">
        <v>15377</v>
      </c>
    </row>
    <row r="7519" spans="1:20" customFormat="1" ht="27" customHeight="1" x14ac:dyDescent="0.25">
      <c r="A7519" s="32" t="s">
        <v>904</v>
      </c>
      <c r="H7519" s="32" t="s">
        <v>15378</v>
      </c>
      <c r="I7519" s="33" t="s">
        <v>15379</v>
      </c>
      <c r="J7519" s="34" t="s">
        <v>26</v>
      </c>
      <c r="K7519" s="42">
        <v>195</v>
      </c>
      <c r="L7519" s="12">
        <f>K7519*(1+P7519)/(1-Q7519)</f>
        <v>390</v>
      </c>
      <c r="M7519" s="8">
        <v>1</v>
      </c>
      <c r="N7519" s="8" t="s">
        <v>27</v>
      </c>
      <c r="O7519" s="13"/>
      <c r="P7519" s="14">
        <v>0.2</v>
      </c>
      <c r="Q7519" s="15">
        <v>0.4</v>
      </c>
      <c r="R7519" s="16" t="str">
        <f t="shared" si="600"/>
        <v>BOWER AND WILKINS</v>
      </c>
    </row>
    <row r="7520" spans="1:20" customFormat="1" ht="27" customHeight="1" x14ac:dyDescent="0.25">
      <c r="A7520" s="32" t="s">
        <v>3977</v>
      </c>
      <c r="H7520" s="32" t="s">
        <v>15380</v>
      </c>
      <c r="I7520" s="33" t="s">
        <v>15381</v>
      </c>
      <c r="J7520" s="34" t="s">
        <v>33</v>
      </c>
      <c r="K7520" s="42">
        <v>80000</v>
      </c>
      <c r="L7520" s="12">
        <f>ROUNDUP(K7520*(1+P7520)/(1-Q7520),0)</f>
        <v>114286</v>
      </c>
      <c r="M7520" s="8">
        <v>1</v>
      </c>
      <c r="N7520" s="8" t="s">
        <v>27</v>
      </c>
      <c r="O7520" s="13"/>
      <c r="P7520" s="14">
        <v>0</v>
      </c>
      <c r="Q7520" s="15">
        <v>0.3</v>
      </c>
      <c r="R7520" s="16" t="str">
        <f t="shared" si="600"/>
        <v>KOMODO</v>
      </c>
    </row>
    <row r="7521" spans="1:20" customFormat="1" ht="27" customHeight="1" x14ac:dyDescent="0.25">
      <c r="A7521" s="32" t="s">
        <v>3533</v>
      </c>
      <c r="H7521" s="32" t="s">
        <v>15382</v>
      </c>
      <c r="I7521" s="33" t="s">
        <v>15383</v>
      </c>
      <c r="J7521" s="34" t="s">
        <v>33</v>
      </c>
      <c r="K7521" s="42">
        <v>399900</v>
      </c>
      <c r="L7521" s="12">
        <f>ROUNDUP(K7521*(1+P7521)/(1-Q7521),0)</f>
        <v>499875</v>
      </c>
      <c r="M7521" s="8">
        <v>1</v>
      </c>
      <c r="N7521" s="8" t="s">
        <v>27</v>
      </c>
      <c r="O7521" s="13"/>
      <c r="P7521" s="14">
        <v>0</v>
      </c>
      <c r="Q7521" s="15">
        <v>0.2</v>
      </c>
      <c r="R7521" s="16" t="str">
        <f t="shared" si="600"/>
        <v>HP</v>
      </c>
    </row>
    <row r="7522" spans="1:20" customFormat="1" ht="27" customHeight="1" x14ac:dyDescent="0.25">
      <c r="A7522" s="112" t="s">
        <v>3977</v>
      </c>
      <c r="B7522" s="112"/>
      <c r="C7522" s="112"/>
      <c r="D7522" s="112"/>
      <c r="E7522" s="112"/>
      <c r="F7522" s="112"/>
      <c r="G7522" s="112"/>
      <c r="H7522" s="112" t="s">
        <v>15384</v>
      </c>
      <c r="I7522" s="115" t="s">
        <v>15385</v>
      </c>
      <c r="J7522" s="115" t="s">
        <v>33</v>
      </c>
      <c r="K7522" s="116">
        <v>275000</v>
      </c>
      <c r="L7522" s="27">
        <f t="shared" ref="L7522:L7527" si="602">IF(J7522="P",ROUNDUP(K7522/(1-Q7522),-2),K7522*(1+P7522)/(1-Q7522))</f>
        <v>458400</v>
      </c>
      <c r="M7522" s="8">
        <v>1</v>
      </c>
      <c r="N7522" s="8" t="s">
        <v>27</v>
      </c>
      <c r="O7522" s="117"/>
      <c r="P7522" s="14">
        <v>0</v>
      </c>
      <c r="Q7522" s="15">
        <v>0.4</v>
      </c>
      <c r="R7522" s="16" t="str">
        <f t="shared" si="600"/>
        <v>KOMODO</v>
      </c>
      <c r="S7522" s="17"/>
      <c r="T7522" s="10">
        <f>G7522</f>
        <v>0</v>
      </c>
    </row>
    <row r="7523" spans="1:20" customFormat="1" ht="27" customHeight="1" x14ac:dyDescent="0.25">
      <c r="A7523" s="32" t="s">
        <v>3977</v>
      </c>
      <c r="H7523" s="32" t="s">
        <v>15386</v>
      </c>
      <c r="I7523" s="33" t="s">
        <v>15387</v>
      </c>
      <c r="J7523" s="34" t="s">
        <v>33</v>
      </c>
      <c r="K7523" s="42">
        <v>140000</v>
      </c>
      <c r="L7523" s="27">
        <f t="shared" si="602"/>
        <v>233400</v>
      </c>
      <c r="M7523" s="8">
        <v>1</v>
      </c>
      <c r="N7523" s="8" t="s">
        <v>27</v>
      </c>
      <c r="O7523" s="117"/>
      <c r="P7523" s="14">
        <v>0</v>
      </c>
      <c r="Q7523" s="15">
        <v>0.4</v>
      </c>
      <c r="R7523" s="16" t="str">
        <f t="shared" si="600"/>
        <v>KOMODO</v>
      </c>
      <c r="S7523" s="17"/>
      <c r="T7523" s="10">
        <f>G7523</f>
        <v>0</v>
      </c>
    </row>
    <row r="7524" spans="1:20" customFormat="1" ht="27" customHeight="1" x14ac:dyDescent="0.25">
      <c r="A7524" s="32" t="s">
        <v>2512</v>
      </c>
      <c r="H7524" s="32" t="s">
        <v>15388</v>
      </c>
      <c r="I7524" s="33" t="s">
        <v>15389</v>
      </c>
      <c r="J7524" s="34" t="s">
        <v>33</v>
      </c>
      <c r="K7524" s="42">
        <v>240000</v>
      </c>
      <c r="L7524" s="27">
        <f t="shared" si="602"/>
        <v>369300</v>
      </c>
      <c r="M7524" s="8">
        <v>1</v>
      </c>
      <c r="N7524" s="8" t="s">
        <v>27</v>
      </c>
      <c r="O7524" s="117"/>
      <c r="P7524" s="14">
        <v>0</v>
      </c>
      <c r="Q7524" s="15">
        <v>0.35</v>
      </c>
      <c r="R7524" s="16" t="str">
        <f t="shared" si="600"/>
        <v>GENERAL</v>
      </c>
      <c r="S7524" s="17" t="s">
        <v>15390</v>
      </c>
      <c r="T7524" s="10">
        <f>G7524</f>
        <v>0</v>
      </c>
    </row>
    <row r="7525" spans="1:20" customFormat="1" ht="27" customHeight="1" x14ac:dyDescent="0.25">
      <c r="A7525" s="32" t="s">
        <v>15391</v>
      </c>
      <c r="H7525" s="32" t="s">
        <v>15392</v>
      </c>
      <c r="I7525" s="33" t="s">
        <v>15393</v>
      </c>
      <c r="J7525" s="34" t="s">
        <v>33</v>
      </c>
      <c r="K7525" s="42">
        <f>1359000/1.19</f>
        <v>1142016.8067226892</v>
      </c>
      <c r="L7525" s="27">
        <f t="shared" si="602"/>
        <v>1757000</v>
      </c>
      <c r="M7525" s="8">
        <v>1</v>
      </c>
      <c r="N7525" s="8" t="s">
        <v>27</v>
      </c>
      <c r="O7525" s="117"/>
      <c r="P7525" s="14">
        <v>0</v>
      </c>
      <c r="Q7525" s="15">
        <v>0.35</v>
      </c>
      <c r="R7525" s="16" t="str">
        <f t="shared" si="600"/>
        <v>STARLINK</v>
      </c>
    </row>
    <row r="7526" spans="1:20" customFormat="1" ht="27" customHeight="1" x14ac:dyDescent="0.25">
      <c r="A7526" s="32" t="s">
        <v>15391</v>
      </c>
      <c r="H7526" s="32" t="s">
        <v>15394</v>
      </c>
      <c r="I7526" s="33" t="s">
        <v>15395</v>
      </c>
      <c r="J7526" s="34" t="s">
        <v>26</v>
      </c>
      <c r="K7526" s="42">
        <v>65</v>
      </c>
      <c r="L7526" s="27">
        <f t="shared" si="602"/>
        <v>92.857142857142861</v>
      </c>
      <c r="M7526" s="8">
        <v>1</v>
      </c>
      <c r="N7526" s="8" t="s">
        <v>27</v>
      </c>
      <c r="O7526" s="117"/>
      <c r="P7526" s="14">
        <v>0</v>
      </c>
      <c r="Q7526" s="15">
        <v>0.3</v>
      </c>
      <c r="R7526" s="16" t="str">
        <f t="shared" si="600"/>
        <v>STARLINK</v>
      </c>
      <c r="S7526" t="s">
        <v>15396</v>
      </c>
    </row>
    <row r="7527" spans="1:20" customFormat="1" ht="27" customHeight="1" x14ac:dyDescent="0.25">
      <c r="A7527" s="32" t="s">
        <v>11685</v>
      </c>
      <c r="H7527" s="32" t="s">
        <v>15397</v>
      </c>
      <c r="I7527" s="33" t="s">
        <v>15398</v>
      </c>
      <c r="J7527" s="34" t="s">
        <v>26</v>
      </c>
      <c r="K7527" s="42">
        <v>76</v>
      </c>
      <c r="L7527" s="27">
        <f t="shared" si="602"/>
        <v>108.57142857142858</v>
      </c>
      <c r="M7527" s="8">
        <v>1</v>
      </c>
      <c r="N7527" s="8" t="s">
        <v>27</v>
      </c>
      <c r="O7527" s="117"/>
      <c r="P7527" s="14">
        <v>0</v>
      </c>
      <c r="Q7527" s="15">
        <v>0.3</v>
      </c>
      <c r="R7527" s="16" t="str">
        <f t="shared" si="600"/>
        <v>RUIJIE</v>
      </c>
    </row>
    <row r="7528" spans="1:20" customFormat="1" ht="27" customHeight="1" x14ac:dyDescent="0.25">
      <c r="A7528" s="32" t="s">
        <v>13919</v>
      </c>
      <c r="H7528" s="32" t="s">
        <v>15399</v>
      </c>
      <c r="I7528" s="33" t="s">
        <v>15400</v>
      </c>
      <c r="J7528" s="34" t="s">
        <v>26</v>
      </c>
      <c r="K7528" s="42">
        <v>157</v>
      </c>
      <c r="L7528" s="12">
        <f t="shared" ref="L7528:L7533" si="603">K7528*(1+P7528)/(1-Q7528)</f>
        <v>196.25</v>
      </c>
      <c r="M7528" s="8">
        <v>1</v>
      </c>
      <c r="N7528" s="8" t="s">
        <v>27</v>
      </c>
      <c r="O7528" s="13"/>
      <c r="P7528" s="14">
        <v>0</v>
      </c>
      <c r="Q7528" s="15">
        <v>0.2</v>
      </c>
      <c r="R7528" s="16" t="str">
        <f t="shared" si="600"/>
        <v>ICE</v>
      </c>
    </row>
    <row r="7529" spans="1:20" customFormat="1" ht="27" customHeight="1" x14ac:dyDescent="0.25">
      <c r="A7529" s="32" t="s">
        <v>15401</v>
      </c>
      <c r="H7529" s="32" t="s">
        <v>15402</v>
      </c>
      <c r="I7529" s="38" t="s">
        <v>15403</v>
      </c>
      <c r="J7529" s="34" t="s">
        <v>26</v>
      </c>
      <c r="K7529" s="42">
        <v>590</v>
      </c>
      <c r="L7529" s="12">
        <f t="shared" si="603"/>
        <v>1134.6153846153845</v>
      </c>
      <c r="M7529" s="8">
        <v>1</v>
      </c>
      <c r="N7529" s="8" t="s">
        <v>27</v>
      </c>
      <c r="O7529" s="13"/>
      <c r="P7529" s="14">
        <v>0.25</v>
      </c>
      <c r="Q7529" s="15">
        <v>0.35</v>
      </c>
      <c r="R7529" s="16" t="str">
        <f t="shared" si="600"/>
        <v>NAKYMATONE</v>
      </c>
    </row>
    <row r="7530" spans="1:20" customFormat="1" ht="27" customHeight="1" x14ac:dyDescent="0.25">
      <c r="A7530" s="32" t="s">
        <v>904</v>
      </c>
      <c r="H7530" s="32" t="s">
        <v>15404</v>
      </c>
      <c r="I7530" s="33" t="s">
        <v>15405</v>
      </c>
      <c r="J7530" s="34" t="s">
        <v>26</v>
      </c>
      <c r="K7530" s="42">
        <v>256.5</v>
      </c>
      <c r="L7530" s="12">
        <f t="shared" si="603"/>
        <v>366.42857142857144</v>
      </c>
      <c r="M7530" s="8">
        <v>1</v>
      </c>
      <c r="N7530" s="8" t="s">
        <v>27</v>
      </c>
      <c r="O7530" s="13"/>
      <c r="P7530" s="14">
        <v>0</v>
      </c>
      <c r="Q7530" s="15">
        <v>0.3</v>
      </c>
      <c r="R7530" s="16" t="str">
        <f t="shared" si="600"/>
        <v>BOWER AND WILKINS</v>
      </c>
    </row>
    <row r="7531" spans="1:20" customFormat="1" ht="27" customHeight="1" x14ac:dyDescent="0.25">
      <c r="A7531" s="32" t="s">
        <v>11720</v>
      </c>
      <c r="H7531" t="s">
        <v>15406</v>
      </c>
      <c r="I7531" s="33" t="s">
        <v>15407</v>
      </c>
      <c r="J7531" s="34" t="s">
        <v>26</v>
      </c>
      <c r="K7531" s="42">
        <v>535000</v>
      </c>
      <c r="L7531" s="12">
        <f t="shared" si="603"/>
        <v>764285.71428571432</v>
      </c>
      <c r="M7531" s="8">
        <v>1</v>
      </c>
      <c r="N7531" s="8" t="s">
        <v>27</v>
      </c>
      <c r="O7531" s="13"/>
      <c r="P7531" s="14">
        <v>0</v>
      </c>
      <c r="Q7531" s="15">
        <v>0.3</v>
      </c>
      <c r="R7531" s="16" t="str">
        <f t="shared" si="600"/>
        <v>LEXMANA</v>
      </c>
    </row>
    <row r="7532" spans="1:20" customFormat="1" ht="27" customHeight="1" x14ac:dyDescent="0.25">
      <c r="A7532" s="32" t="s">
        <v>7761</v>
      </c>
      <c r="H7532" s="32" t="s">
        <v>15408</v>
      </c>
      <c r="I7532" s="33" t="s">
        <v>15409</v>
      </c>
      <c r="J7532" s="34" t="s">
        <v>33</v>
      </c>
      <c r="K7532" s="42">
        <v>150000</v>
      </c>
      <c r="L7532" s="12">
        <f t="shared" si="603"/>
        <v>214285.71428571429</v>
      </c>
      <c r="M7532" s="8">
        <v>1</v>
      </c>
      <c r="N7532" s="8" t="s">
        <v>27</v>
      </c>
      <c r="O7532" s="13"/>
      <c r="P7532" s="14">
        <v>0</v>
      </c>
      <c r="Q7532" s="15">
        <v>0.3</v>
      </c>
      <c r="R7532" s="40" t="str">
        <f t="shared" si="600"/>
        <v>POWEST</v>
      </c>
      <c r="S7532" s="39" t="s">
        <v>15410</v>
      </c>
    </row>
    <row r="7533" spans="1:20" customFormat="1" ht="27" customHeight="1" x14ac:dyDescent="0.25">
      <c r="A7533" s="32" t="s">
        <v>2095</v>
      </c>
      <c r="H7533" s="32" t="s">
        <v>15411</v>
      </c>
      <c r="I7533" s="33" t="s">
        <v>15412</v>
      </c>
      <c r="J7533" s="34" t="s">
        <v>33</v>
      </c>
      <c r="K7533" s="42">
        <f>73000*0.9</f>
        <v>65700</v>
      </c>
      <c r="L7533" s="12">
        <f t="shared" si="603"/>
        <v>93857.14285714287</v>
      </c>
      <c r="M7533" s="8">
        <v>1</v>
      </c>
      <c r="N7533" s="8" t="s">
        <v>27</v>
      </c>
      <c r="O7533" s="13"/>
      <c r="P7533" s="14">
        <v>0</v>
      </c>
      <c r="Q7533" s="15">
        <v>0.3</v>
      </c>
      <c r="R7533" s="40" t="str">
        <f t="shared" si="600"/>
        <v>ECOLITE</v>
      </c>
    </row>
    <row r="7534" spans="1:20" customFormat="1" ht="27" customHeight="1" x14ac:dyDescent="0.25">
      <c r="A7534" s="8" t="s">
        <v>2124</v>
      </c>
      <c r="B7534" s="9"/>
      <c r="C7534" s="9"/>
      <c r="D7534" s="8"/>
      <c r="E7534" s="8"/>
      <c r="F7534" s="8" t="s">
        <v>22</v>
      </c>
      <c r="G7534" s="10" t="s">
        <v>2141</v>
      </c>
      <c r="H7534" s="8" t="s">
        <v>15413</v>
      </c>
      <c r="I7534" s="10" t="s">
        <v>15414</v>
      </c>
      <c r="J7534" s="11" t="s">
        <v>33</v>
      </c>
      <c r="K7534" s="18">
        <v>1000000</v>
      </c>
      <c r="L7534" s="12">
        <f t="shared" ref="L7534:L7554" si="604">IF(J7534="P",ROUNDUP(K7534/(1-Q7534),-2),K7534*(1+P7534)/(1-Q7534))</f>
        <v>1428600</v>
      </c>
      <c r="M7534" s="8">
        <v>1</v>
      </c>
      <c r="N7534" s="8" t="s">
        <v>27</v>
      </c>
      <c r="O7534" s="13"/>
      <c r="P7534" s="14">
        <v>0</v>
      </c>
      <c r="Q7534" s="15">
        <v>0.3</v>
      </c>
      <c r="R7534" s="16" t="str">
        <f t="shared" ref="R7534:R7565" si="605">A7534</f>
        <v>ECOLUZ</v>
      </c>
    </row>
    <row r="7535" spans="1:20" customFormat="1" ht="27" customHeight="1" x14ac:dyDescent="0.25">
      <c r="A7535" s="8" t="s">
        <v>2124</v>
      </c>
      <c r="B7535" s="9"/>
      <c r="C7535" s="9"/>
      <c r="D7535" s="8"/>
      <c r="E7535" s="8"/>
      <c r="F7535" s="8" t="s">
        <v>22</v>
      </c>
      <c r="G7535" s="10" t="s">
        <v>2141</v>
      </c>
      <c r="H7535" s="8" t="s">
        <v>15415</v>
      </c>
      <c r="I7535" s="10" t="s">
        <v>15416</v>
      </c>
      <c r="J7535" s="11" t="s">
        <v>33</v>
      </c>
      <c r="K7535" s="18">
        <v>2200000</v>
      </c>
      <c r="L7535" s="12">
        <f t="shared" si="604"/>
        <v>3142900</v>
      </c>
      <c r="M7535" s="8">
        <v>1</v>
      </c>
      <c r="N7535" s="8" t="s">
        <v>27</v>
      </c>
      <c r="O7535" s="13"/>
      <c r="P7535" s="14">
        <v>0</v>
      </c>
      <c r="Q7535" s="15">
        <v>0.3</v>
      </c>
      <c r="R7535" s="16" t="str">
        <f t="shared" si="605"/>
        <v>ECOLUZ</v>
      </c>
    </row>
    <row r="7536" spans="1:20" customFormat="1" ht="27" customHeight="1" x14ac:dyDescent="0.25">
      <c r="A7536" s="8" t="s">
        <v>8836</v>
      </c>
      <c r="B7536" s="87"/>
      <c r="C7536" s="87"/>
      <c r="D7536" s="87"/>
      <c r="E7536" s="87"/>
      <c r="F7536" s="87"/>
      <c r="G7536" s="87"/>
      <c r="H7536" s="8" t="s">
        <v>15417</v>
      </c>
      <c r="I7536" s="10" t="s">
        <v>15418</v>
      </c>
      <c r="J7536" s="11" t="s">
        <v>33</v>
      </c>
      <c r="K7536" s="118">
        <f>252000*0.9</f>
        <v>226800</v>
      </c>
      <c r="L7536" s="12">
        <f t="shared" si="604"/>
        <v>324000</v>
      </c>
      <c r="M7536" s="8">
        <v>1</v>
      </c>
      <c r="N7536" s="8" t="s">
        <v>27</v>
      </c>
      <c r="O7536" s="13"/>
      <c r="P7536" s="14">
        <v>0</v>
      </c>
      <c r="Q7536" s="14">
        <v>0.3</v>
      </c>
      <c r="R7536" s="16" t="str">
        <f t="shared" si="605"/>
        <v>TECNOLITE</v>
      </c>
    </row>
    <row r="7537" spans="1:20" customFormat="1" ht="27" customHeight="1" x14ac:dyDescent="0.25">
      <c r="A7537" s="8" t="s">
        <v>4994</v>
      </c>
      <c r="B7537" s="87"/>
      <c r="C7537" s="87"/>
      <c r="D7537" s="87"/>
      <c r="E7537" s="87"/>
      <c r="F7537" s="87"/>
      <c r="G7537" s="87"/>
      <c r="H7537" s="8" t="s">
        <v>15419</v>
      </c>
      <c r="I7537" s="119" t="s">
        <v>15420</v>
      </c>
      <c r="J7537" s="11" t="s">
        <v>33</v>
      </c>
      <c r="K7537" s="118">
        <v>579114</v>
      </c>
      <c r="L7537" s="12">
        <f t="shared" si="604"/>
        <v>827400</v>
      </c>
      <c r="M7537" s="8">
        <v>1</v>
      </c>
      <c r="N7537" s="8" t="s">
        <v>27</v>
      </c>
      <c r="O7537" s="13"/>
      <c r="P7537" s="14">
        <v>0</v>
      </c>
      <c r="Q7537" s="14">
        <v>0.3</v>
      </c>
      <c r="R7537" s="16" t="str">
        <f t="shared" si="605"/>
        <v>LAMP</v>
      </c>
    </row>
    <row r="7538" spans="1:20" customFormat="1" ht="27" customHeight="1" x14ac:dyDescent="0.25">
      <c r="A7538" s="8" t="s">
        <v>2095</v>
      </c>
      <c r="B7538" s="87"/>
      <c r="C7538" s="87"/>
      <c r="D7538" s="87"/>
      <c r="E7538" s="87"/>
      <c r="F7538" s="87"/>
      <c r="G7538" s="87"/>
      <c r="H7538" s="8" t="s">
        <v>15421</v>
      </c>
      <c r="I7538" s="10" t="s">
        <v>15422</v>
      </c>
      <c r="J7538" s="11" t="s">
        <v>33</v>
      </c>
      <c r="K7538" s="118">
        <v>79000</v>
      </c>
      <c r="L7538" s="12">
        <f t="shared" si="604"/>
        <v>112900</v>
      </c>
      <c r="M7538" s="8">
        <v>1</v>
      </c>
      <c r="N7538" s="8" t="s">
        <v>27</v>
      </c>
      <c r="O7538" s="13"/>
      <c r="P7538" s="14">
        <v>0</v>
      </c>
      <c r="Q7538" s="14">
        <v>0.3</v>
      </c>
      <c r="R7538" s="16" t="str">
        <f t="shared" si="605"/>
        <v>ECOLITE</v>
      </c>
    </row>
    <row r="7539" spans="1:20" customFormat="1" ht="27" customHeight="1" x14ac:dyDescent="0.25">
      <c r="A7539" s="8" t="s">
        <v>2095</v>
      </c>
      <c r="B7539" s="87"/>
      <c r="C7539" s="87"/>
      <c r="D7539" s="87"/>
      <c r="E7539" s="87"/>
      <c r="F7539" s="87"/>
      <c r="G7539" s="87"/>
      <c r="H7539" s="8" t="s">
        <v>15423</v>
      </c>
      <c r="I7539" s="10" t="s">
        <v>15424</v>
      </c>
      <c r="J7539" s="11" t="s">
        <v>33</v>
      </c>
      <c r="K7539" s="118">
        <v>53200</v>
      </c>
      <c r="L7539" s="12">
        <f t="shared" si="604"/>
        <v>76000</v>
      </c>
      <c r="M7539" s="8">
        <v>1</v>
      </c>
      <c r="N7539" s="8" t="s">
        <v>27</v>
      </c>
      <c r="O7539" s="13"/>
      <c r="P7539" s="14">
        <v>0</v>
      </c>
      <c r="Q7539" s="14">
        <v>0.3</v>
      </c>
      <c r="R7539" s="16" t="str">
        <f t="shared" si="605"/>
        <v>ECOLITE</v>
      </c>
    </row>
    <row r="7540" spans="1:20" customFormat="1" ht="27" customHeight="1" x14ac:dyDescent="0.25">
      <c r="A7540" s="8" t="s">
        <v>2095</v>
      </c>
      <c r="B7540" s="87"/>
      <c r="C7540" s="87"/>
      <c r="D7540" s="87"/>
      <c r="E7540" s="87"/>
      <c r="F7540" s="87"/>
      <c r="G7540" s="87"/>
      <c r="H7540" s="8" t="s">
        <v>15425</v>
      </c>
      <c r="I7540" s="10" t="s">
        <v>15426</v>
      </c>
      <c r="J7540" s="11" t="s">
        <v>33</v>
      </c>
      <c r="K7540" s="118">
        <f>18500*0.8</f>
        <v>14800</v>
      </c>
      <c r="L7540" s="12">
        <f t="shared" si="604"/>
        <v>21200</v>
      </c>
      <c r="M7540" s="8">
        <v>1</v>
      </c>
      <c r="N7540" s="8" t="s">
        <v>27</v>
      </c>
      <c r="O7540" s="13"/>
      <c r="P7540" s="14">
        <v>0</v>
      </c>
      <c r="Q7540" s="14">
        <v>0.3</v>
      </c>
      <c r="R7540" s="16" t="str">
        <f t="shared" si="605"/>
        <v>ECOLITE</v>
      </c>
    </row>
    <row r="7541" spans="1:20" customFormat="1" ht="27" customHeight="1" x14ac:dyDescent="0.25">
      <c r="A7541" s="8" t="s">
        <v>2095</v>
      </c>
      <c r="B7541" s="120"/>
      <c r="C7541" s="120"/>
      <c r="D7541" s="120"/>
      <c r="E7541" s="120"/>
      <c r="F7541" s="120"/>
      <c r="G7541" s="120"/>
      <c r="H7541" s="8" t="s">
        <v>15427</v>
      </c>
      <c r="I7541" s="10" t="s">
        <v>15428</v>
      </c>
      <c r="J7541" s="11" t="s">
        <v>33</v>
      </c>
      <c r="K7541" s="121">
        <v>153100</v>
      </c>
      <c r="L7541" s="12">
        <f t="shared" si="604"/>
        <v>218800</v>
      </c>
      <c r="M7541" s="8">
        <v>1</v>
      </c>
      <c r="N7541" s="8" t="s">
        <v>27</v>
      </c>
      <c r="O7541" s="78"/>
      <c r="P7541" s="14">
        <v>0</v>
      </c>
      <c r="Q7541" s="14">
        <v>0.3</v>
      </c>
      <c r="R7541" s="16" t="str">
        <f t="shared" si="605"/>
        <v>ECOLITE</v>
      </c>
    </row>
    <row r="7542" spans="1:20" customFormat="1" ht="27" customHeight="1" x14ac:dyDescent="0.25">
      <c r="A7542" s="8" t="s">
        <v>2124</v>
      </c>
      <c r="B7542" s="8"/>
      <c r="C7542" s="8"/>
      <c r="D7542" s="8"/>
      <c r="E7542" s="8"/>
      <c r="F7542" s="8" t="s">
        <v>22</v>
      </c>
      <c r="G7542" s="10" t="s">
        <v>2150</v>
      </c>
      <c r="H7542" s="8" t="s">
        <v>15429</v>
      </c>
      <c r="I7542" s="10" t="s">
        <v>15430</v>
      </c>
      <c r="J7542" s="11" t="s">
        <v>33</v>
      </c>
      <c r="K7542" s="18">
        <v>1050000</v>
      </c>
      <c r="L7542" s="12">
        <f t="shared" si="604"/>
        <v>1312500</v>
      </c>
      <c r="M7542" s="8">
        <v>1</v>
      </c>
      <c r="N7542" s="8" t="s">
        <v>27</v>
      </c>
      <c r="O7542" s="13"/>
      <c r="P7542" s="14">
        <v>0</v>
      </c>
      <c r="Q7542" s="14">
        <v>0.2</v>
      </c>
      <c r="R7542" s="16" t="str">
        <f t="shared" si="605"/>
        <v>ECOLUZ</v>
      </c>
      <c r="S7542" s="17"/>
      <c r="T7542" s="10" t="str">
        <f>G7542</f>
        <v>LUMINARIA LINEAL LED DE 4100K, 4.48M DE LARGO. PARA CONFIGURACIÓN EN TANDEM.</v>
      </c>
    </row>
    <row r="7543" spans="1:20" customFormat="1" ht="27" customHeight="1" x14ac:dyDescent="0.25">
      <c r="A7543" s="8" t="s">
        <v>8836</v>
      </c>
      <c r="B7543" s="87"/>
      <c r="C7543" s="87"/>
      <c r="D7543" s="87"/>
      <c r="E7543" s="87"/>
      <c r="F7543" s="87"/>
      <c r="G7543" s="87"/>
      <c r="H7543" s="8" t="s">
        <v>15431</v>
      </c>
      <c r="I7543" s="10" t="s">
        <v>15432</v>
      </c>
      <c r="J7543" s="11" t="s">
        <v>33</v>
      </c>
      <c r="K7543" s="118">
        <v>68900</v>
      </c>
      <c r="L7543" s="12">
        <f t="shared" si="604"/>
        <v>86200</v>
      </c>
      <c r="M7543" s="8">
        <v>1</v>
      </c>
      <c r="N7543" s="8" t="s">
        <v>27</v>
      </c>
      <c r="O7543" s="13"/>
      <c r="P7543" s="14">
        <v>0</v>
      </c>
      <c r="Q7543" s="14">
        <v>0.2</v>
      </c>
      <c r="R7543" s="16" t="str">
        <f t="shared" si="605"/>
        <v>TECNOLITE</v>
      </c>
    </row>
    <row r="7544" spans="1:20" customFormat="1" ht="27" customHeight="1" x14ac:dyDescent="0.25">
      <c r="A7544" s="44" t="s">
        <v>13983</v>
      </c>
      <c r="H7544" s="44" t="s">
        <v>15433</v>
      </c>
      <c r="I7544" s="45" t="s">
        <v>15434</v>
      </c>
      <c r="J7544" s="41" t="s">
        <v>26</v>
      </c>
      <c r="K7544" s="118">
        <f>29*1.1</f>
        <v>31.900000000000002</v>
      </c>
      <c r="L7544" s="12">
        <f t="shared" si="604"/>
        <v>59.242857142857154</v>
      </c>
      <c r="M7544" s="8">
        <v>1</v>
      </c>
      <c r="N7544" s="8" t="s">
        <v>27</v>
      </c>
      <c r="O7544" s="13"/>
      <c r="P7544" s="14">
        <v>0.3</v>
      </c>
      <c r="Q7544" s="14">
        <v>0.3</v>
      </c>
      <c r="R7544" s="16" t="str">
        <f t="shared" si="605"/>
        <v>HOFFLIGHTS</v>
      </c>
    </row>
    <row r="7545" spans="1:20" customFormat="1" ht="27" customHeight="1" x14ac:dyDescent="0.25">
      <c r="A7545" s="44" t="s">
        <v>11808</v>
      </c>
      <c r="H7545" s="44" t="s">
        <v>15435</v>
      </c>
      <c r="I7545" s="45" t="s">
        <v>15436</v>
      </c>
      <c r="J7545" s="41" t="s">
        <v>26</v>
      </c>
      <c r="K7545" s="42">
        <v>121</v>
      </c>
      <c r="L7545" s="12">
        <f t="shared" si="604"/>
        <v>201.66666666666669</v>
      </c>
      <c r="M7545" s="8">
        <v>1</v>
      </c>
      <c r="N7545" s="8" t="s">
        <v>27</v>
      </c>
      <c r="O7545" s="13"/>
      <c r="P7545" s="14">
        <v>0</v>
      </c>
      <c r="Q7545" s="14">
        <v>0.4</v>
      </c>
      <c r="R7545" s="16" t="str">
        <f t="shared" si="605"/>
        <v>POLK</v>
      </c>
    </row>
    <row r="7546" spans="1:20" customFormat="1" ht="27" customHeight="1" x14ac:dyDescent="0.25">
      <c r="A7546" s="44" t="s">
        <v>11808</v>
      </c>
      <c r="H7546" s="44" t="s">
        <v>15437</v>
      </c>
      <c r="I7546" s="45" t="s">
        <v>15438</v>
      </c>
      <c r="J7546" s="41" t="s">
        <v>26</v>
      </c>
      <c r="K7546" s="42">
        <v>81</v>
      </c>
      <c r="L7546" s="12">
        <f t="shared" si="604"/>
        <v>135</v>
      </c>
      <c r="M7546" s="8">
        <v>1</v>
      </c>
      <c r="N7546" s="8" t="s">
        <v>27</v>
      </c>
      <c r="O7546" s="13"/>
      <c r="P7546" s="14">
        <v>0</v>
      </c>
      <c r="Q7546" s="14">
        <v>0.4</v>
      </c>
      <c r="R7546" s="16" t="str">
        <f t="shared" si="605"/>
        <v>POLK</v>
      </c>
    </row>
    <row r="7547" spans="1:20" customFormat="1" ht="27" customHeight="1" x14ac:dyDescent="0.25">
      <c r="A7547" s="44" t="s">
        <v>11685</v>
      </c>
      <c r="H7547" s="44" t="s">
        <v>15439</v>
      </c>
      <c r="I7547" s="45" t="s">
        <v>15440</v>
      </c>
      <c r="J7547" s="41" t="s">
        <v>33</v>
      </c>
      <c r="K7547" s="42">
        <v>1142000</v>
      </c>
      <c r="L7547" s="12">
        <f t="shared" si="604"/>
        <v>1903400</v>
      </c>
      <c r="M7547" s="8">
        <v>1</v>
      </c>
      <c r="N7547" s="8" t="s">
        <v>27</v>
      </c>
      <c r="O7547" s="13"/>
      <c r="P7547" s="14">
        <v>0</v>
      </c>
      <c r="Q7547" s="14">
        <v>0.4</v>
      </c>
      <c r="R7547" s="16" t="str">
        <f t="shared" si="605"/>
        <v>RUIJIE</v>
      </c>
    </row>
    <row r="7548" spans="1:20" customFormat="1" ht="27" customHeight="1" x14ac:dyDescent="0.25">
      <c r="A7548" s="44" t="s">
        <v>1561</v>
      </c>
      <c r="H7548" s="44" t="s">
        <v>15441</v>
      </c>
      <c r="I7548" s="45" t="s">
        <v>1748</v>
      </c>
      <c r="J7548" s="41" t="s">
        <v>33</v>
      </c>
      <c r="K7548" s="42">
        <v>956000</v>
      </c>
      <c r="L7548" s="12">
        <f t="shared" si="604"/>
        <v>1593400</v>
      </c>
      <c r="M7548" s="8">
        <v>1</v>
      </c>
      <c r="N7548" s="8" t="s">
        <v>27</v>
      </c>
      <c r="O7548" s="13"/>
      <c r="P7548" s="14">
        <v>0</v>
      </c>
      <c r="Q7548" s="14">
        <v>0.4</v>
      </c>
      <c r="R7548" s="16" t="str">
        <f t="shared" si="605"/>
        <v>DAHUA</v>
      </c>
    </row>
    <row r="7549" spans="1:20" customFormat="1" ht="27" customHeight="1" x14ac:dyDescent="0.25">
      <c r="A7549" s="44" t="s">
        <v>1555</v>
      </c>
      <c r="H7549" s="44" t="s">
        <v>15442</v>
      </c>
      <c r="I7549" s="45" t="s">
        <v>15443</v>
      </c>
      <c r="J7549" s="41" t="s">
        <v>33</v>
      </c>
      <c r="K7549" s="42">
        <v>390000</v>
      </c>
      <c r="L7549" s="12">
        <f t="shared" si="604"/>
        <v>487500</v>
      </c>
      <c r="M7549" s="8">
        <v>1</v>
      </c>
      <c r="N7549" s="8" t="s">
        <v>27</v>
      </c>
      <c r="O7549" s="13"/>
      <c r="P7549" s="14">
        <v>0</v>
      </c>
      <c r="Q7549" s="14">
        <v>0.2</v>
      </c>
      <c r="R7549" s="16" t="str">
        <f t="shared" si="605"/>
        <v>D_LINK</v>
      </c>
    </row>
    <row r="7550" spans="1:20" customFormat="1" ht="27" customHeight="1" x14ac:dyDescent="0.25">
      <c r="A7550" s="44" t="s">
        <v>3977</v>
      </c>
      <c r="H7550" s="44" t="s">
        <v>15444</v>
      </c>
      <c r="I7550" s="45" t="s">
        <v>15445</v>
      </c>
      <c r="J7550" s="41" t="s">
        <v>33</v>
      </c>
      <c r="K7550" s="42">
        <f>51000*12</f>
        <v>612000</v>
      </c>
      <c r="L7550" s="12">
        <f t="shared" si="604"/>
        <v>1112800</v>
      </c>
      <c r="M7550" s="8">
        <v>1</v>
      </c>
      <c r="N7550" s="8" t="s">
        <v>27</v>
      </c>
      <c r="O7550" s="13"/>
      <c r="P7550" s="14">
        <v>0</v>
      </c>
      <c r="Q7550" s="14">
        <v>0.45</v>
      </c>
      <c r="R7550" s="16" t="str">
        <f t="shared" si="605"/>
        <v>KOMODO</v>
      </c>
      <c r="S7550" s="39" t="s">
        <v>15446</v>
      </c>
    </row>
    <row r="7551" spans="1:20" customFormat="1" ht="27" customHeight="1" x14ac:dyDescent="0.25">
      <c r="A7551" s="44" t="s">
        <v>7931</v>
      </c>
      <c r="H7551" s="44" t="s">
        <v>15447</v>
      </c>
      <c r="I7551" s="45" t="s">
        <v>15448</v>
      </c>
      <c r="J7551" s="41" t="s">
        <v>33</v>
      </c>
      <c r="K7551" s="42">
        <v>13915</v>
      </c>
      <c r="L7551" s="12">
        <f t="shared" si="604"/>
        <v>19900</v>
      </c>
      <c r="M7551" s="8">
        <v>1</v>
      </c>
      <c r="N7551" s="8" t="s">
        <v>27</v>
      </c>
      <c r="O7551" s="13"/>
      <c r="P7551" s="14">
        <v>0</v>
      </c>
      <c r="Q7551" s="14">
        <v>0.3</v>
      </c>
      <c r="R7551" s="16" t="str">
        <f t="shared" si="605"/>
        <v>SYLVANIA</v>
      </c>
    </row>
    <row r="7552" spans="1:20" customFormat="1" ht="27" customHeight="1" x14ac:dyDescent="0.25">
      <c r="A7552" s="44" t="s">
        <v>2095</v>
      </c>
      <c r="H7552" s="44" t="s">
        <v>15449</v>
      </c>
      <c r="I7552" s="45" t="s">
        <v>15450</v>
      </c>
      <c r="J7552" s="41" t="s">
        <v>33</v>
      </c>
      <c r="K7552" s="42">
        <f>129000*0.9</f>
        <v>116100</v>
      </c>
      <c r="L7552" s="12">
        <f t="shared" si="604"/>
        <v>165900</v>
      </c>
      <c r="M7552" s="8">
        <v>1</v>
      </c>
      <c r="N7552" s="8" t="s">
        <v>27</v>
      </c>
      <c r="O7552" s="13"/>
      <c r="P7552" s="14">
        <v>0</v>
      </c>
      <c r="Q7552" s="14">
        <v>0.3</v>
      </c>
      <c r="R7552" s="16" t="str">
        <f t="shared" si="605"/>
        <v>ECOLITE</v>
      </c>
    </row>
    <row r="7553" spans="1:19" customFormat="1" ht="27" customHeight="1" x14ac:dyDescent="0.25">
      <c r="A7553" s="44" t="s">
        <v>13983</v>
      </c>
      <c r="H7553" s="44" t="s">
        <v>15451</v>
      </c>
      <c r="I7553" s="45" t="s">
        <v>15452</v>
      </c>
      <c r="J7553" s="41" t="s">
        <v>26</v>
      </c>
      <c r="K7553" s="42">
        <f>99.9*1.1</f>
        <v>109.89000000000001</v>
      </c>
      <c r="L7553" s="12">
        <f t="shared" si="604"/>
        <v>156.98571428571432</v>
      </c>
      <c r="M7553" s="8">
        <v>1</v>
      </c>
      <c r="N7553" s="8" t="s">
        <v>27</v>
      </c>
      <c r="O7553" s="13"/>
      <c r="P7553" s="14">
        <v>0</v>
      </c>
      <c r="Q7553" s="14">
        <v>0.3</v>
      </c>
      <c r="R7553" s="16" t="str">
        <f t="shared" si="605"/>
        <v>HOFFLIGHTS</v>
      </c>
    </row>
    <row r="7554" spans="1:19" customFormat="1" ht="27" customHeight="1" x14ac:dyDescent="0.25">
      <c r="A7554" s="44" t="s">
        <v>15391</v>
      </c>
      <c r="H7554" s="44" t="s">
        <v>15453</v>
      </c>
      <c r="I7554" s="45" t="s">
        <v>15454</v>
      </c>
      <c r="J7554" s="41" t="s">
        <v>33</v>
      </c>
      <c r="K7554" s="42">
        <v>288235</v>
      </c>
      <c r="L7554" s="12">
        <f t="shared" si="604"/>
        <v>411800</v>
      </c>
      <c r="M7554" s="8">
        <v>1</v>
      </c>
      <c r="N7554" s="8" t="s">
        <v>27</v>
      </c>
      <c r="O7554" s="13"/>
      <c r="P7554" s="14">
        <v>0</v>
      </c>
      <c r="Q7554" s="14">
        <v>0.3</v>
      </c>
      <c r="R7554" s="16" t="str">
        <f t="shared" si="605"/>
        <v>STARLINK</v>
      </c>
    </row>
    <row r="7555" spans="1:19" customFormat="1" ht="27" customHeight="1" x14ac:dyDescent="0.25">
      <c r="A7555" s="8" t="s">
        <v>5672</v>
      </c>
      <c r="B7555" s="9"/>
      <c r="C7555" s="9"/>
      <c r="D7555" s="8"/>
      <c r="E7555" s="8"/>
      <c r="F7555" s="8"/>
      <c r="G7555" s="10"/>
      <c r="H7555" s="8" t="s">
        <v>15455</v>
      </c>
      <c r="I7555" s="10" t="s">
        <v>15456</v>
      </c>
      <c r="J7555" s="11" t="s">
        <v>26</v>
      </c>
      <c r="K7555" s="57">
        <v>13.1</v>
      </c>
      <c r="L7555" s="12">
        <f>K7555*(1+P7555)/(1-Q7555)</f>
        <v>26.2</v>
      </c>
      <c r="M7555" s="8">
        <v>1</v>
      </c>
      <c r="N7555" s="8" t="s">
        <v>27</v>
      </c>
      <c r="O7555" s="13"/>
      <c r="P7555" s="14">
        <v>0.2</v>
      </c>
      <c r="Q7555" s="15">
        <v>0.4</v>
      </c>
      <c r="R7555" s="40" t="str">
        <f t="shared" si="605"/>
        <v>LUTRON</v>
      </c>
    </row>
    <row r="7556" spans="1:19" customFormat="1" ht="27" customHeight="1" x14ac:dyDescent="0.25">
      <c r="A7556" s="44" t="s">
        <v>3977</v>
      </c>
      <c r="H7556" s="44" t="s">
        <v>15457</v>
      </c>
      <c r="I7556" s="45" t="s">
        <v>15458</v>
      </c>
      <c r="J7556" s="41" t="s">
        <v>33</v>
      </c>
      <c r="K7556" s="42">
        <f>51000</f>
        <v>51000</v>
      </c>
      <c r="L7556" s="12">
        <f>IF(J7556="P",ROUNDUP(K7556/(1-Q7556),-2),K7556*(1+P7556)/(1-Q7556))</f>
        <v>92800</v>
      </c>
      <c r="M7556" s="8">
        <v>1</v>
      </c>
      <c r="N7556" s="8" t="s">
        <v>27</v>
      </c>
      <c r="O7556" s="13"/>
      <c r="P7556" s="14">
        <v>0</v>
      </c>
      <c r="Q7556" s="14">
        <v>0.45</v>
      </c>
      <c r="R7556" s="16" t="str">
        <f t="shared" si="605"/>
        <v>KOMODO</v>
      </c>
      <c r="S7556" s="39" t="s">
        <v>15446</v>
      </c>
    </row>
    <row r="7557" spans="1:19" customFormat="1" ht="27" customHeight="1" x14ac:dyDescent="0.25">
      <c r="A7557" s="32" t="s">
        <v>5672</v>
      </c>
      <c r="H7557" s="44" t="s">
        <v>15459</v>
      </c>
      <c r="I7557" s="33" t="s">
        <v>15460</v>
      </c>
      <c r="J7557" s="34" t="s">
        <v>26</v>
      </c>
      <c r="K7557" s="42">
        <v>28.7</v>
      </c>
      <c r="L7557" s="12">
        <f>K7557*(1+P7557)/(1-Q7557)</f>
        <v>57.4</v>
      </c>
      <c r="M7557" s="8">
        <v>1</v>
      </c>
      <c r="N7557" s="8" t="s">
        <v>27</v>
      </c>
      <c r="O7557" s="13"/>
      <c r="P7557" s="14">
        <v>0.2</v>
      </c>
      <c r="Q7557" s="15">
        <v>0.4</v>
      </c>
      <c r="R7557" s="40" t="str">
        <f t="shared" si="605"/>
        <v>LUTRON</v>
      </c>
    </row>
    <row r="7558" spans="1:19" customFormat="1" ht="27" customHeight="1" x14ac:dyDescent="0.25">
      <c r="A7558" s="23" t="s">
        <v>4994</v>
      </c>
      <c r="B7558" s="24"/>
      <c r="C7558" s="24"/>
      <c r="D7558" s="24"/>
      <c r="E7558" s="24"/>
      <c r="F7558" s="24"/>
      <c r="G7558" s="24"/>
      <c r="H7558" s="44" t="s">
        <v>15461</v>
      </c>
      <c r="I7558" s="60" t="s">
        <v>15462</v>
      </c>
      <c r="J7558" s="25" t="s">
        <v>33</v>
      </c>
      <c r="K7558" s="73">
        <v>555573</v>
      </c>
      <c r="L7558" s="12">
        <f t="shared" ref="L7558:L7567" si="606">IF(J7558="P",ROUNDUP(K7558/(1-Q7558),-2),K7558*(1+P7558)/(1-Q7558))</f>
        <v>861000</v>
      </c>
      <c r="M7558" s="8">
        <v>1</v>
      </c>
      <c r="N7558" s="8" t="s">
        <v>27</v>
      </c>
      <c r="O7558" s="13">
        <f t="shared" ref="O7558:O7567" si="607">F7558</f>
        <v>0</v>
      </c>
      <c r="P7558" s="14">
        <v>0</v>
      </c>
      <c r="Q7558" s="15">
        <v>0.35470440767243089</v>
      </c>
      <c r="R7558" s="50" t="str">
        <f t="shared" si="605"/>
        <v>LAMP</v>
      </c>
    </row>
    <row r="7559" spans="1:19" customFormat="1" ht="27" customHeight="1" x14ac:dyDescent="0.25">
      <c r="A7559" s="23" t="s">
        <v>4994</v>
      </c>
      <c r="B7559" s="19"/>
      <c r="C7559" s="19"/>
      <c r="D7559" s="19"/>
      <c r="E7559" s="19"/>
      <c r="F7559" s="19"/>
      <c r="G7559" s="19"/>
      <c r="H7559" s="44" t="s">
        <v>15463</v>
      </c>
      <c r="I7559" s="60" t="s">
        <v>15464</v>
      </c>
      <c r="J7559" s="25" t="s">
        <v>33</v>
      </c>
      <c r="K7559" s="59">
        <v>555573</v>
      </c>
      <c r="L7559" s="12">
        <f t="shared" si="606"/>
        <v>861000</v>
      </c>
      <c r="M7559" s="8">
        <v>1</v>
      </c>
      <c r="N7559" s="8" t="s">
        <v>27</v>
      </c>
      <c r="O7559" s="13">
        <f t="shared" si="607"/>
        <v>0</v>
      </c>
      <c r="P7559" s="14">
        <v>0</v>
      </c>
      <c r="Q7559" s="15">
        <v>0.35470440767243089</v>
      </c>
      <c r="R7559" s="50" t="str">
        <f t="shared" si="605"/>
        <v>LAMP</v>
      </c>
    </row>
    <row r="7560" spans="1:19" customFormat="1" ht="27" customHeight="1" x14ac:dyDescent="0.25">
      <c r="A7560" s="23" t="s">
        <v>4994</v>
      </c>
      <c r="B7560" s="24"/>
      <c r="C7560" s="24"/>
      <c r="D7560" s="24"/>
      <c r="E7560" s="24"/>
      <c r="F7560" s="24"/>
      <c r="G7560" s="24"/>
      <c r="H7560" s="44" t="s">
        <v>15465</v>
      </c>
      <c r="I7560" s="60" t="s">
        <v>15466</v>
      </c>
      <c r="J7560" s="25" t="s">
        <v>33</v>
      </c>
      <c r="K7560" s="73">
        <v>315147</v>
      </c>
      <c r="L7560" s="12">
        <f t="shared" si="606"/>
        <v>488400</v>
      </c>
      <c r="M7560" s="8">
        <v>1</v>
      </c>
      <c r="N7560" s="8" t="s">
        <v>27</v>
      </c>
      <c r="O7560" s="13">
        <f t="shared" si="607"/>
        <v>0</v>
      </c>
      <c r="P7560" s="14">
        <v>0</v>
      </c>
      <c r="Q7560" s="15">
        <v>0.35470440767243089</v>
      </c>
      <c r="R7560" s="50" t="str">
        <f t="shared" si="605"/>
        <v>LAMP</v>
      </c>
    </row>
    <row r="7561" spans="1:19" customFormat="1" ht="27" customHeight="1" x14ac:dyDescent="0.25">
      <c r="A7561" s="23" t="s">
        <v>4994</v>
      </c>
      <c r="B7561" s="19"/>
      <c r="C7561" s="19"/>
      <c r="D7561" s="19"/>
      <c r="E7561" s="19"/>
      <c r="F7561" s="19"/>
      <c r="G7561" s="19"/>
      <c r="H7561" s="44" t="s">
        <v>15467</v>
      </c>
      <c r="I7561" s="60" t="s">
        <v>15468</v>
      </c>
      <c r="J7561" s="25" t="s">
        <v>33</v>
      </c>
      <c r="K7561" s="59">
        <v>61091</v>
      </c>
      <c r="L7561" s="12">
        <f t="shared" si="606"/>
        <v>94700</v>
      </c>
      <c r="M7561" s="8">
        <v>1</v>
      </c>
      <c r="N7561" s="8" t="s">
        <v>27</v>
      </c>
      <c r="O7561" s="13">
        <f t="shared" si="607"/>
        <v>0</v>
      </c>
      <c r="P7561" s="14">
        <v>0</v>
      </c>
      <c r="Q7561" s="15">
        <v>0.35470440767243089</v>
      </c>
      <c r="R7561" s="50" t="str">
        <f t="shared" si="605"/>
        <v>LAMP</v>
      </c>
    </row>
    <row r="7562" spans="1:19" customFormat="1" ht="27" customHeight="1" x14ac:dyDescent="0.25">
      <c r="A7562" s="23" t="s">
        <v>4994</v>
      </c>
      <c r="B7562" s="24"/>
      <c r="C7562" s="24"/>
      <c r="D7562" s="24"/>
      <c r="E7562" s="24"/>
      <c r="F7562" s="24"/>
      <c r="G7562" s="24"/>
      <c r="H7562" s="44" t="s">
        <v>15469</v>
      </c>
      <c r="I7562" s="60" t="s">
        <v>15470</v>
      </c>
      <c r="J7562" s="25" t="s">
        <v>33</v>
      </c>
      <c r="K7562" s="73">
        <v>148845</v>
      </c>
      <c r="L7562" s="12">
        <f t="shared" si="606"/>
        <v>230700</v>
      </c>
      <c r="M7562" s="8">
        <v>1</v>
      </c>
      <c r="N7562" s="8" t="s">
        <v>27</v>
      </c>
      <c r="O7562" s="13">
        <f t="shared" si="607"/>
        <v>0</v>
      </c>
      <c r="P7562" s="14">
        <v>0</v>
      </c>
      <c r="Q7562" s="15">
        <v>0.35470440767243089</v>
      </c>
      <c r="R7562" s="50" t="str">
        <f t="shared" si="605"/>
        <v>LAMP</v>
      </c>
    </row>
    <row r="7563" spans="1:19" customFormat="1" ht="27" customHeight="1" x14ac:dyDescent="0.25">
      <c r="A7563" s="23" t="s">
        <v>4994</v>
      </c>
      <c r="B7563" s="19"/>
      <c r="C7563" s="19"/>
      <c r="D7563" s="19"/>
      <c r="E7563" s="19"/>
      <c r="F7563" s="19"/>
      <c r="G7563" s="19"/>
      <c r="H7563" s="44" t="s">
        <v>15471</v>
      </c>
      <c r="I7563" s="60" t="s">
        <v>15472</v>
      </c>
      <c r="J7563" s="25" t="s">
        <v>33</v>
      </c>
      <c r="K7563" s="59">
        <v>61091</v>
      </c>
      <c r="L7563" s="12">
        <f t="shared" si="606"/>
        <v>94700</v>
      </c>
      <c r="M7563" s="8">
        <v>1</v>
      </c>
      <c r="N7563" s="8" t="s">
        <v>27</v>
      </c>
      <c r="O7563" s="13">
        <f t="shared" si="607"/>
        <v>0</v>
      </c>
      <c r="P7563" s="14">
        <v>0</v>
      </c>
      <c r="Q7563" s="15">
        <v>0.35470440767243089</v>
      </c>
      <c r="R7563" s="50" t="str">
        <f t="shared" si="605"/>
        <v>LAMP</v>
      </c>
    </row>
    <row r="7564" spans="1:19" customFormat="1" ht="27" customHeight="1" x14ac:dyDescent="0.25">
      <c r="A7564" s="23" t="s">
        <v>4994</v>
      </c>
      <c r="B7564" s="24"/>
      <c r="C7564" s="24"/>
      <c r="D7564" s="24"/>
      <c r="E7564" s="24"/>
      <c r="F7564" s="24"/>
      <c r="G7564" s="24"/>
      <c r="H7564" s="44" t="s">
        <v>15473</v>
      </c>
      <c r="I7564" s="60" t="s">
        <v>15474</v>
      </c>
      <c r="J7564" s="25" t="s">
        <v>33</v>
      </c>
      <c r="K7564" s="73">
        <v>700000</v>
      </c>
      <c r="L7564" s="12">
        <f t="shared" si="606"/>
        <v>1084800</v>
      </c>
      <c r="M7564" s="8">
        <v>1</v>
      </c>
      <c r="N7564" s="8" t="s">
        <v>27</v>
      </c>
      <c r="O7564" s="13">
        <f t="shared" si="607"/>
        <v>0</v>
      </c>
      <c r="P7564" s="14">
        <v>0</v>
      </c>
      <c r="Q7564" s="15">
        <v>0.35470440767243089</v>
      </c>
      <c r="R7564" s="50" t="str">
        <f t="shared" si="605"/>
        <v>LAMP</v>
      </c>
    </row>
    <row r="7565" spans="1:19" customFormat="1" ht="27" customHeight="1" x14ac:dyDescent="0.25">
      <c r="A7565" s="23" t="s">
        <v>4994</v>
      </c>
      <c r="B7565" s="19"/>
      <c r="C7565" s="19"/>
      <c r="D7565" s="19"/>
      <c r="E7565" s="19"/>
      <c r="F7565" s="19"/>
      <c r="G7565" s="19"/>
      <c r="H7565" s="44" t="s">
        <v>15475</v>
      </c>
      <c r="I7565" s="60" t="s">
        <v>15476</v>
      </c>
      <c r="J7565" s="25" t="s">
        <v>33</v>
      </c>
      <c r="K7565" s="59">
        <v>45000</v>
      </c>
      <c r="L7565" s="12">
        <f t="shared" si="606"/>
        <v>69800</v>
      </c>
      <c r="M7565" s="8">
        <v>1</v>
      </c>
      <c r="N7565" s="8" t="s">
        <v>27</v>
      </c>
      <c r="O7565" s="13">
        <f t="shared" si="607"/>
        <v>0</v>
      </c>
      <c r="P7565" s="14">
        <v>0</v>
      </c>
      <c r="Q7565" s="15">
        <v>0.35470440767243089</v>
      </c>
      <c r="R7565" s="50" t="str">
        <f t="shared" si="605"/>
        <v>LAMP</v>
      </c>
    </row>
    <row r="7566" spans="1:19" customFormat="1" ht="27" customHeight="1" x14ac:dyDescent="0.25">
      <c r="A7566" s="23" t="s">
        <v>6886</v>
      </c>
      <c r="B7566" s="24"/>
      <c r="C7566" s="24"/>
      <c r="D7566" s="24"/>
      <c r="E7566" s="24"/>
      <c r="F7566" s="24"/>
      <c r="G7566" s="24"/>
      <c r="H7566" s="44" t="s">
        <v>15477</v>
      </c>
      <c r="I7566" s="60" t="s">
        <v>15478</v>
      </c>
      <c r="J7566" s="25" t="s">
        <v>33</v>
      </c>
      <c r="K7566" s="73">
        <f>145000/1.19</f>
        <v>121848.73949579832</v>
      </c>
      <c r="L7566" s="12">
        <f t="shared" si="606"/>
        <v>203100</v>
      </c>
      <c r="M7566" s="8">
        <v>1</v>
      </c>
      <c r="N7566" s="8" t="s">
        <v>27</v>
      </c>
      <c r="O7566" s="13">
        <f t="shared" si="607"/>
        <v>0</v>
      </c>
      <c r="P7566" s="14">
        <v>0</v>
      </c>
      <c r="Q7566" s="15">
        <v>0.4</v>
      </c>
      <c r="R7566" s="50" t="str">
        <f t="shared" ref="R7566:R7597" si="608">A7566</f>
        <v>MEANWELL</v>
      </c>
      <c r="S7566" s="20"/>
    </row>
    <row r="7567" spans="1:19" customFormat="1" ht="27" customHeight="1" x14ac:dyDescent="0.25">
      <c r="A7567" s="23" t="s">
        <v>6908</v>
      </c>
      <c r="B7567" s="19"/>
      <c r="C7567" s="19"/>
      <c r="D7567" s="19"/>
      <c r="E7567" s="19"/>
      <c r="F7567" s="19"/>
      <c r="G7567" s="19"/>
      <c r="H7567" s="44" t="s">
        <v>15479</v>
      </c>
      <c r="I7567" s="60" t="s">
        <v>15480</v>
      </c>
      <c r="J7567" s="25" t="s">
        <v>33</v>
      </c>
      <c r="K7567" s="59">
        <v>20400</v>
      </c>
      <c r="L7567" s="12">
        <f t="shared" si="606"/>
        <v>29200</v>
      </c>
      <c r="M7567" s="8">
        <v>1</v>
      </c>
      <c r="N7567" s="8" t="s">
        <v>27</v>
      </c>
      <c r="O7567" s="13">
        <f t="shared" si="607"/>
        <v>0</v>
      </c>
      <c r="P7567" s="14">
        <v>0</v>
      </c>
      <c r="Q7567" s="15">
        <v>0.3</v>
      </c>
      <c r="R7567" s="50" t="str">
        <f t="shared" si="608"/>
        <v>MERCURY</v>
      </c>
    </row>
    <row r="7568" spans="1:19" customFormat="1" ht="27" customHeight="1" x14ac:dyDescent="0.25">
      <c r="A7568" s="23" t="s">
        <v>8836</v>
      </c>
      <c r="B7568" s="24"/>
      <c r="C7568" s="24"/>
      <c r="D7568" s="24"/>
      <c r="E7568" s="24"/>
      <c r="F7568" s="24"/>
      <c r="G7568" s="24"/>
      <c r="H7568" s="44" t="s">
        <v>13643</v>
      </c>
      <c r="I7568" s="60" t="s">
        <v>13644</v>
      </c>
      <c r="J7568" s="25" t="s">
        <v>33</v>
      </c>
      <c r="K7568" s="73">
        <v>33030</v>
      </c>
      <c r="L7568" s="12">
        <f>K7568*(1+P7568)/(1-Q7568)</f>
        <v>36700</v>
      </c>
      <c r="M7568" s="8">
        <v>1</v>
      </c>
      <c r="N7568" s="8" t="s">
        <v>27</v>
      </c>
      <c r="O7568" s="13"/>
      <c r="P7568" s="14">
        <v>0</v>
      </c>
      <c r="Q7568" s="15">
        <v>0.1</v>
      </c>
      <c r="R7568" s="50" t="str">
        <f t="shared" si="608"/>
        <v>TECNOLITE</v>
      </c>
    </row>
    <row r="7569" spans="1:18" customFormat="1" ht="27" customHeight="1" x14ac:dyDescent="0.25">
      <c r="A7569" s="122" t="s">
        <v>2512</v>
      </c>
      <c r="H7569" s="44" t="s">
        <v>15481</v>
      </c>
      <c r="I7569" s="33" t="s">
        <v>15482</v>
      </c>
      <c r="J7569" s="34" t="s">
        <v>33</v>
      </c>
      <c r="K7569" s="42">
        <v>179000</v>
      </c>
      <c r="L7569" s="12">
        <f>K7569*(1+P7569)/(1-Q7569)</f>
        <v>275384.61538461538</v>
      </c>
      <c r="M7569" s="8">
        <v>1</v>
      </c>
      <c r="N7569" s="8" t="s">
        <v>27</v>
      </c>
      <c r="O7569" s="13"/>
      <c r="P7569" s="14">
        <v>0</v>
      </c>
      <c r="Q7569" s="15">
        <v>0.35</v>
      </c>
      <c r="R7569" s="50" t="str">
        <f t="shared" si="608"/>
        <v>GENERAL</v>
      </c>
    </row>
    <row r="7570" spans="1:18" customFormat="1" ht="27" customHeight="1" x14ac:dyDescent="0.25">
      <c r="A7570" s="122" t="s">
        <v>15483</v>
      </c>
      <c r="H7570" s="44" t="s">
        <v>15484</v>
      </c>
      <c r="I7570" s="33" t="s">
        <v>15485</v>
      </c>
      <c r="J7570" s="34" t="s">
        <v>33</v>
      </c>
      <c r="K7570" s="42">
        <f>9632800*0.8</f>
        <v>7706240</v>
      </c>
      <c r="L7570" s="12">
        <f>K7570*(1+P7570)/(1-Q7570)</f>
        <v>8562488.8888888881</v>
      </c>
      <c r="M7570" s="8">
        <v>1</v>
      </c>
      <c r="N7570" s="8" t="s">
        <v>27</v>
      </c>
      <c r="O7570" s="13"/>
      <c r="P7570" s="14">
        <v>0</v>
      </c>
      <c r="Q7570" s="15">
        <v>0.1</v>
      </c>
      <c r="R7570" s="50" t="str">
        <f t="shared" si="608"/>
        <v>SKY</v>
      </c>
    </row>
    <row r="7571" spans="1:18" customFormat="1" ht="27" customHeight="1" x14ac:dyDescent="0.25">
      <c r="A7571" s="122" t="s">
        <v>5672</v>
      </c>
      <c r="H7571" s="44" t="s">
        <v>15486</v>
      </c>
      <c r="I7571" s="33" t="s">
        <v>15487</v>
      </c>
      <c r="J7571" s="34" t="s">
        <v>26</v>
      </c>
      <c r="K7571" s="42">
        <v>28.7</v>
      </c>
      <c r="L7571" s="12">
        <f>K7571*(1+P7571)/(1-Q7571)</f>
        <v>57.4</v>
      </c>
      <c r="M7571" s="8">
        <v>1</v>
      </c>
      <c r="N7571" s="8" t="s">
        <v>27</v>
      </c>
      <c r="O7571" s="13"/>
      <c r="P7571" s="14">
        <v>0.2</v>
      </c>
      <c r="Q7571" s="15">
        <v>0.4</v>
      </c>
      <c r="R7571" s="50" t="str">
        <f t="shared" si="608"/>
        <v>LUTRON</v>
      </c>
    </row>
    <row r="7572" spans="1:18" customFormat="1" ht="27" customHeight="1" x14ac:dyDescent="0.25">
      <c r="A7572" s="44" t="s">
        <v>11685</v>
      </c>
      <c r="H7572" s="32" t="s">
        <v>15488</v>
      </c>
      <c r="I7572" s="33" t="s">
        <v>15489</v>
      </c>
      <c r="J7572" s="34" t="s">
        <v>26</v>
      </c>
      <c r="K7572" s="42">
        <v>88</v>
      </c>
      <c r="L7572" s="12">
        <f t="shared" ref="L7572:L7610" si="609">IF(J7572="P",ROUNDUP(K7572/(1-Q7572),-2),K7572*(1+P7572)/(1-Q7572))</f>
        <v>146.66666666666669</v>
      </c>
      <c r="M7572" s="8">
        <v>1</v>
      </c>
      <c r="N7572" s="8" t="s">
        <v>27</v>
      </c>
      <c r="O7572" s="13"/>
      <c r="P7572" s="14">
        <v>0</v>
      </c>
      <c r="Q7572" s="14">
        <v>0.4</v>
      </c>
      <c r="R7572" s="16" t="str">
        <f t="shared" si="608"/>
        <v>RUIJIE</v>
      </c>
    </row>
    <row r="7573" spans="1:18" customFormat="1" ht="27" customHeight="1" x14ac:dyDescent="0.25">
      <c r="A7573" s="44" t="s">
        <v>11685</v>
      </c>
      <c r="H7573" s="32" t="s">
        <v>15490</v>
      </c>
      <c r="I7573" s="33" t="s">
        <v>15491</v>
      </c>
      <c r="J7573" s="34" t="s">
        <v>26</v>
      </c>
      <c r="K7573" s="42">
        <v>161</v>
      </c>
      <c r="L7573" s="12">
        <f t="shared" si="609"/>
        <v>268.33333333333337</v>
      </c>
      <c r="M7573" s="8">
        <v>1</v>
      </c>
      <c r="N7573" s="8" t="s">
        <v>27</v>
      </c>
      <c r="O7573" s="13"/>
      <c r="P7573" s="14">
        <v>0</v>
      </c>
      <c r="Q7573" s="14">
        <v>0.4</v>
      </c>
      <c r="R7573" s="16" t="str">
        <f t="shared" si="608"/>
        <v>RUIJIE</v>
      </c>
    </row>
    <row r="7574" spans="1:18" customFormat="1" ht="27" customHeight="1" x14ac:dyDescent="0.25">
      <c r="A7574" s="32" t="s">
        <v>15492</v>
      </c>
      <c r="H7574" s="32" t="s">
        <v>15493</v>
      </c>
      <c r="I7574" s="33" t="s">
        <v>15494</v>
      </c>
      <c r="J7574" s="34" t="s">
        <v>33</v>
      </c>
      <c r="K7574" s="42">
        <v>13500</v>
      </c>
      <c r="L7574" s="12">
        <f t="shared" si="609"/>
        <v>22500</v>
      </c>
      <c r="M7574" s="8">
        <v>1</v>
      </c>
      <c r="N7574" s="8" t="s">
        <v>27</v>
      </c>
      <c r="O7574" s="13"/>
      <c r="P7574" s="14">
        <v>0</v>
      </c>
      <c r="Q7574" s="14">
        <v>0.4</v>
      </c>
      <c r="R7574" s="16" t="str">
        <f t="shared" si="608"/>
        <v>OFILED</v>
      </c>
    </row>
    <row r="7575" spans="1:18" customFormat="1" ht="27" customHeight="1" x14ac:dyDescent="0.25">
      <c r="A7575" s="32" t="s">
        <v>2095</v>
      </c>
      <c r="H7575" s="32" t="s">
        <v>15495</v>
      </c>
      <c r="I7575" s="33" t="s">
        <v>15496</v>
      </c>
      <c r="J7575" s="34" t="s">
        <v>33</v>
      </c>
      <c r="K7575" s="42">
        <v>65400</v>
      </c>
      <c r="L7575" s="12">
        <f t="shared" si="609"/>
        <v>93500</v>
      </c>
      <c r="M7575" s="8">
        <v>1</v>
      </c>
      <c r="N7575" s="8" t="s">
        <v>27</v>
      </c>
      <c r="O7575" s="13"/>
      <c r="P7575" s="14">
        <v>0</v>
      </c>
      <c r="Q7575" s="14">
        <v>0.3</v>
      </c>
      <c r="R7575" s="16" t="str">
        <f t="shared" si="608"/>
        <v>ECOLITE</v>
      </c>
    </row>
    <row r="7576" spans="1:18" customFormat="1" ht="27" customHeight="1" x14ac:dyDescent="0.25">
      <c r="A7576" s="32" t="s">
        <v>2512</v>
      </c>
      <c r="H7576" s="32" t="s">
        <v>15497</v>
      </c>
      <c r="I7576" s="33" t="s">
        <v>15498</v>
      </c>
      <c r="J7576" s="34" t="s">
        <v>33</v>
      </c>
      <c r="K7576" s="42">
        <v>115000</v>
      </c>
      <c r="L7576" s="12">
        <f t="shared" si="609"/>
        <v>230000</v>
      </c>
      <c r="M7576" s="8">
        <v>1</v>
      </c>
      <c r="N7576" s="8" t="s">
        <v>27</v>
      </c>
      <c r="O7576" s="13"/>
      <c r="P7576" s="14">
        <v>0</v>
      </c>
      <c r="Q7576" s="14">
        <v>0.5</v>
      </c>
      <c r="R7576" s="40" t="str">
        <f t="shared" si="608"/>
        <v>GENERAL</v>
      </c>
    </row>
    <row r="7577" spans="1:18" customFormat="1" ht="27" customHeight="1" x14ac:dyDescent="0.25">
      <c r="A7577" s="122" t="s">
        <v>15499</v>
      </c>
      <c r="H7577" s="44" t="s">
        <v>15500</v>
      </c>
      <c r="I7577" s="33" t="s">
        <v>15501</v>
      </c>
      <c r="J7577" s="25" t="s">
        <v>33</v>
      </c>
      <c r="K7577" s="42">
        <v>22000</v>
      </c>
      <c r="L7577" s="12">
        <f t="shared" si="609"/>
        <v>24500</v>
      </c>
      <c r="M7577" s="8">
        <v>1</v>
      </c>
      <c r="N7577" s="8" t="s">
        <v>27</v>
      </c>
      <c r="O7577" s="13">
        <f t="shared" ref="O7577:O7609" si="610">F7577</f>
        <v>0</v>
      </c>
      <c r="P7577" s="14">
        <v>0</v>
      </c>
      <c r="Q7577" s="15">
        <v>0.1</v>
      </c>
      <c r="R7577" s="50" t="str">
        <f t="shared" si="608"/>
        <v>EMBLEMA</v>
      </c>
    </row>
    <row r="7578" spans="1:18" customFormat="1" ht="27" customHeight="1" x14ac:dyDescent="0.25">
      <c r="A7578" s="122" t="s">
        <v>15499</v>
      </c>
      <c r="H7578" s="44" t="s">
        <v>15502</v>
      </c>
      <c r="I7578" s="33" t="s">
        <v>15501</v>
      </c>
      <c r="J7578" s="25" t="s">
        <v>33</v>
      </c>
      <c r="K7578" s="42">
        <v>29000</v>
      </c>
      <c r="L7578" s="12">
        <f t="shared" si="609"/>
        <v>32300</v>
      </c>
      <c r="M7578" s="8">
        <v>1</v>
      </c>
      <c r="N7578" s="8" t="s">
        <v>27</v>
      </c>
      <c r="O7578" s="13">
        <f t="shared" si="610"/>
        <v>0</v>
      </c>
      <c r="P7578" s="14">
        <v>0</v>
      </c>
      <c r="Q7578" s="15">
        <v>0.1</v>
      </c>
      <c r="R7578" s="50" t="str">
        <f t="shared" si="608"/>
        <v>EMBLEMA</v>
      </c>
    </row>
    <row r="7579" spans="1:18" customFormat="1" ht="27" customHeight="1" x14ac:dyDescent="0.25">
      <c r="A7579" s="122" t="s">
        <v>15499</v>
      </c>
      <c r="H7579" s="44" t="s">
        <v>15503</v>
      </c>
      <c r="I7579" s="33" t="s">
        <v>15504</v>
      </c>
      <c r="J7579" s="25" t="s">
        <v>33</v>
      </c>
      <c r="K7579" s="42">
        <v>22000</v>
      </c>
      <c r="L7579" s="12">
        <f t="shared" si="609"/>
        <v>24500</v>
      </c>
      <c r="M7579" s="8">
        <v>1</v>
      </c>
      <c r="N7579" s="8" t="s">
        <v>27</v>
      </c>
      <c r="O7579" s="13">
        <f t="shared" si="610"/>
        <v>0</v>
      </c>
      <c r="P7579" s="14">
        <v>0</v>
      </c>
      <c r="Q7579" s="15">
        <v>0.1</v>
      </c>
      <c r="R7579" s="50" t="str">
        <f t="shared" si="608"/>
        <v>EMBLEMA</v>
      </c>
    </row>
    <row r="7580" spans="1:18" customFormat="1" ht="27" customHeight="1" x14ac:dyDescent="0.25">
      <c r="A7580" s="122" t="s">
        <v>15499</v>
      </c>
      <c r="H7580" s="44" t="s">
        <v>15505</v>
      </c>
      <c r="I7580" s="33" t="s">
        <v>15504</v>
      </c>
      <c r="J7580" s="25" t="s">
        <v>33</v>
      </c>
      <c r="K7580" s="42">
        <v>31000</v>
      </c>
      <c r="L7580" s="12">
        <f t="shared" si="609"/>
        <v>34500</v>
      </c>
      <c r="M7580" s="8">
        <v>1</v>
      </c>
      <c r="N7580" s="8" t="s">
        <v>27</v>
      </c>
      <c r="O7580" s="13">
        <f t="shared" si="610"/>
        <v>0</v>
      </c>
      <c r="P7580" s="14">
        <v>0</v>
      </c>
      <c r="Q7580" s="15">
        <v>0.1</v>
      </c>
      <c r="R7580" s="50" t="str">
        <f t="shared" si="608"/>
        <v>EMBLEMA</v>
      </c>
    </row>
    <row r="7581" spans="1:18" customFormat="1" ht="27" customHeight="1" x14ac:dyDescent="0.25">
      <c r="A7581" s="122" t="s">
        <v>15499</v>
      </c>
      <c r="H7581" s="44" t="s">
        <v>15506</v>
      </c>
      <c r="I7581" s="33" t="s">
        <v>15507</v>
      </c>
      <c r="J7581" s="25" t="s">
        <v>33</v>
      </c>
      <c r="K7581" s="42">
        <v>19000</v>
      </c>
      <c r="L7581" s="12">
        <f t="shared" si="609"/>
        <v>21200</v>
      </c>
      <c r="M7581" s="8">
        <v>1</v>
      </c>
      <c r="N7581" s="8" t="s">
        <v>27</v>
      </c>
      <c r="O7581" s="13">
        <f t="shared" si="610"/>
        <v>0</v>
      </c>
      <c r="P7581" s="14">
        <v>0</v>
      </c>
      <c r="Q7581" s="15">
        <v>0.1</v>
      </c>
      <c r="R7581" s="50" t="str">
        <f t="shared" si="608"/>
        <v>EMBLEMA</v>
      </c>
    </row>
    <row r="7582" spans="1:18" customFormat="1" ht="27" customHeight="1" x14ac:dyDescent="0.25">
      <c r="A7582" s="122" t="s">
        <v>15499</v>
      </c>
      <c r="H7582" s="44" t="s">
        <v>15508</v>
      </c>
      <c r="I7582" s="33" t="s">
        <v>15507</v>
      </c>
      <c r="J7582" s="25" t="s">
        <v>33</v>
      </c>
      <c r="K7582" s="42">
        <v>22000</v>
      </c>
      <c r="L7582" s="12">
        <f t="shared" si="609"/>
        <v>24500</v>
      </c>
      <c r="M7582" s="8">
        <v>1</v>
      </c>
      <c r="N7582" s="8" t="s">
        <v>27</v>
      </c>
      <c r="O7582" s="13">
        <f t="shared" si="610"/>
        <v>0</v>
      </c>
      <c r="P7582" s="14">
        <v>0</v>
      </c>
      <c r="Q7582" s="15">
        <v>0.1</v>
      </c>
      <c r="R7582" s="50" t="str">
        <f t="shared" si="608"/>
        <v>EMBLEMA</v>
      </c>
    </row>
    <row r="7583" spans="1:18" customFormat="1" ht="27" customHeight="1" x14ac:dyDescent="0.25">
      <c r="A7583" s="122" t="s">
        <v>15499</v>
      </c>
      <c r="H7583" s="44" t="s">
        <v>15509</v>
      </c>
      <c r="I7583" s="33" t="s">
        <v>15510</v>
      </c>
      <c r="J7583" s="25" t="s">
        <v>33</v>
      </c>
      <c r="K7583" s="42">
        <v>18000</v>
      </c>
      <c r="L7583" s="12">
        <f t="shared" si="609"/>
        <v>20000</v>
      </c>
      <c r="M7583" s="8">
        <v>1</v>
      </c>
      <c r="N7583" s="8" t="s">
        <v>27</v>
      </c>
      <c r="O7583" s="13">
        <f t="shared" si="610"/>
        <v>0</v>
      </c>
      <c r="P7583" s="14">
        <v>0</v>
      </c>
      <c r="Q7583" s="15">
        <v>0.1</v>
      </c>
      <c r="R7583" s="50" t="str">
        <f t="shared" si="608"/>
        <v>EMBLEMA</v>
      </c>
    </row>
    <row r="7584" spans="1:18" customFormat="1" ht="27" customHeight="1" x14ac:dyDescent="0.25">
      <c r="A7584" s="122" t="s">
        <v>15499</v>
      </c>
      <c r="H7584" s="44" t="s">
        <v>15511</v>
      </c>
      <c r="I7584" s="33" t="s">
        <v>15512</v>
      </c>
      <c r="J7584" s="25" t="s">
        <v>33</v>
      </c>
      <c r="K7584" s="42">
        <v>9000</v>
      </c>
      <c r="L7584" s="12">
        <f t="shared" si="609"/>
        <v>10000</v>
      </c>
      <c r="M7584" s="8">
        <v>1</v>
      </c>
      <c r="N7584" s="8" t="s">
        <v>27</v>
      </c>
      <c r="O7584" s="13">
        <f t="shared" si="610"/>
        <v>0</v>
      </c>
      <c r="P7584" s="14">
        <v>0</v>
      </c>
      <c r="Q7584" s="15">
        <v>0.1</v>
      </c>
      <c r="R7584" s="50" t="str">
        <f t="shared" si="608"/>
        <v>EMBLEMA</v>
      </c>
    </row>
    <row r="7585" spans="1:20" customFormat="1" ht="27" customHeight="1" x14ac:dyDescent="0.25">
      <c r="A7585" s="122" t="s">
        <v>15499</v>
      </c>
      <c r="H7585" s="44" t="s">
        <v>15513</v>
      </c>
      <c r="I7585" s="33" t="s">
        <v>15514</v>
      </c>
      <c r="J7585" s="25" t="s">
        <v>33</v>
      </c>
      <c r="K7585" s="42">
        <v>17000</v>
      </c>
      <c r="L7585" s="12">
        <f t="shared" si="609"/>
        <v>18900</v>
      </c>
      <c r="M7585" s="8">
        <v>1</v>
      </c>
      <c r="N7585" s="8" t="s">
        <v>27</v>
      </c>
      <c r="O7585" s="13">
        <f t="shared" si="610"/>
        <v>0</v>
      </c>
      <c r="P7585" s="14">
        <v>0</v>
      </c>
      <c r="Q7585" s="15">
        <v>0.1</v>
      </c>
      <c r="R7585" s="50" t="str">
        <f t="shared" si="608"/>
        <v>EMBLEMA</v>
      </c>
    </row>
    <row r="7586" spans="1:20" customFormat="1" ht="27" customHeight="1" x14ac:dyDescent="0.25">
      <c r="A7586" s="122" t="s">
        <v>11685</v>
      </c>
      <c r="H7586" s="44" t="s">
        <v>15515</v>
      </c>
      <c r="I7586" s="33" t="s">
        <v>15516</v>
      </c>
      <c r="J7586" s="34" t="s">
        <v>33</v>
      </c>
      <c r="K7586" s="42">
        <v>344123.81</v>
      </c>
      <c r="L7586" s="12">
        <f t="shared" si="609"/>
        <v>573600</v>
      </c>
      <c r="M7586" s="8">
        <v>1</v>
      </c>
      <c r="N7586" s="8" t="s">
        <v>27</v>
      </c>
      <c r="O7586" s="13">
        <f t="shared" si="610"/>
        <v>0</v>
      </c>
      <c r="P7586" s="14">
        <v>0</v>
      </c>
      <c r="Q7586" s="15">
        <v>0.4</v>
      </c>
      <c r="R7586" s="50" t="str">
        <f t="shared" si="608"/>
        <v>RUIJIE</v>
      </c>
    </row>
    <row r="7587" spans="1:20" customFormat="1" ht="27" customHeight="1" x14ac:dyDescent="0.25">
      <c r="A7587" s="32" t="s">
        <v>15517</v>
      </c>
      <c r="H7587" s="32" t="s">
        <v>15518</v>
      </c>
      <c r="I7587" s="33" t="s">
        <v>15519</v>
      </c>
      <c r="J7587" s="34" t="s">
        <v>33</v>
      </c>
      <c r="K7587" s="42">
        <v>170000</v>
      </c>
      <c r="L7587" s="12">
        <f t="shared" si="609"/>
        <v>283400</v>
      </c>
      <c r="M7587" s="8">
        <v>1</v>
      </c>
      <c r="N7587" s="8" t="s">
        <v>27</v>
      </c>
      <c r="O7587" s="13">
        <f t="shared" si="610"/>
        <v>0</v>
      </c>
      <c r="P7587" s="14">
        <v>0</v>
      </c>
      <c r="Q7587" s="15">
        <v>0.4</v>
      </c>
      <c r="R7587" s="50" t="str">
        <f t="shared" si="608"/>
        <v>WEBOOST</v>
      </c>
    </row>
    <row r="7588" spans="1:20" customFormat="1" ht="27" customHeight="1" x14ac:dyDescent="0.25">
      <c r="A7588" s="32" t="s">
        <v>15520</v>
      </c>
      <c r="H7588" s="32" t="s">
        <v>15521</v>
      </c>
      <c r="I7588" s="33" t="s">
        <v>15522</v>
      </c>
      <c r="J7588" s="34" t="s">
        <v>26</v>
      </c>
      <c r="K7588" s="42">
        <v>70</v>
      </c>
      <c r="L7588" s="12">
        <f t="shared" si="609"/>
        <v>100</v>
      </c>
      <c r="M7588" s="8">
        <v>1</v>
      </c>
      <c r="N7588" s="8" t="s">
        <v>27</v>
      </c>
      <c r="O7588" s="13">
        <f t="shared" si="610"/>
        <v>0</v>
      </c>
      <c r="P7588" s="14">
        <v>0</v>
      </c>
      <c r="Q7588" s="15">
        <v>0.3</v>
      </c>
      <c r="R7588" s="50" t="str">
        <f t="shared" si="608"/>
        <v>XTU</v>
      </c>
    </row>
    <row r="7589" spans="1:20" customFormat="1" ht="27" customHeight="1" x14ac:dyDescent="0.25">
      <c r="A7589" s="32" t="s">
        <v>15523</v>
      </c>
      <c r="H7589" s="32" t="s">
        <v>15524</v>
      </c>
      <c r="I7589" s="33" t="s">
        <v>15525</v>
      </c>
      <c r="J7589" s="34" t="s">
        <v>26</v>
      </c>
      <c r="K7589" s="42">
        <v>9.9600000000000009</v>
      </c>
      <c r="L7589" s="12">
        <f t="shared" si="609"/>
        <v>16.600000000000001</v>
      </c>
      <c r="M7589" s="8">
        <v>1</v>
      </c>
      <c r="N7589" s="8" t="s">
        <v>27</v>
      </c>
      <c r="O7589" s="13">
        <f t="shared" si="610"/>
        <v>0</v>
      </c>
      <c r="P7589" s="14">
        <v>0</v>
      </c>
      <c r="Q7589" s="15">
        <v>0.4</v>
      </c>
      <c r="R7589" s="50" t="str">
        <f t="shared" si="608"/>
        <v>COBI</v>
      </c>
    </row>
    <row r="7590" spans="1:20" customFormat="1" ht="27" customHeight="1" x14ac:dyDescent="0.25">
      <c r="A7590" s="32" t="s">
        <v>15526</v>
      </c>
      <c r="H7590" s="32" t="s">
        <v>15527</v>
      </c>
      <c r="I7590" s="33" t="s">
        <v>15528</v>
      </c>
      <c r="J7590" s="34" t="s">
        <v>26</v>
      </c>
      <c r="K7590" s="42">
        <v>19.989999999999998</v>
      </c>
      <c r="L7590" s="12">
        <f t="shared" si="609"/>
        <v>33.316666666666663</v>
      </c>
      <c r="M7590" s="8">
        <v>1</v>
      </c>
      <c r="N7590" s="8" t="s">
        <v>27</v>
      </c>
      <c r="O7590" s="13">
        <f t="shared" si="610"/>
        <v>0</v>
      </c>
      <c r="P7590" s="14">
        <v>0</v>
      </c>
      <c r="Q7590" s="15">
        <v>0.4</v>
      </c>
      <c r="R7590" s="50" t="str">
        <f t="shared" si="608"/>
        <v>KINTER</v>
      </c>
    </row>
    <row r="7591" spans="1:20" customFormat="1" ht="27" customHeight="1" x14ac:dyDescent="0.25">
      <c r="A7591" s="32" t="s">
        <v>2095</v>
      </c>
      <c r="H7591" s="32" t="s">
        <v>15529</v>
      </c>
      <c r="I7591" s="33" t="s">
        <v>15530</v>
      </c>
      <c r="J7591" s="34" t="s">
        <v>33</v>
      </c>
      <c r="K7591" s="42">
        <v>21000</v>
      </c>
      <c r="L7591" s="12">
        <f t="shared" si="609"/>
        <v>35000</v>
      </c>
      <c r="M7591" s="8">
        <v>1</v>
      </c>
      <c r="N7591" s="8" t="s">
        <v>27</v>
      </c>
      <c r="O7591" s="13">
        <f t="shared" si="610"/>
        <v>0</v>
      </c>
      <c r="P7591" s="14">
        <v>0</v>
      </c>
      <c r="Q7591" s="15">
        <v>0.4</v>
      </c>
      <c r="R7591" s="40" t="str">
        <f t="shared" si="608"/>
        <v>ECOLITE</v>
      </c>
    </row>
    <row r="7592" spans="1:20" customFormat="1" ht="27" customHeight="1" x14ac:dyDescent="0.25">
      <c r="A7592" s="32" t="s">
        <v>2095</v>
      </c>
      <c r="H7592" s="32" t="s">
        <v>15531</v>
      </c>
      <c r="I7592" s="33" t="s">
        <v>15532</v>
      </c>
      <c r="J7592" s="34" t="s">
        <v>33</v>
      </c>
      <c r="K7592" s="42">
        <v>11000</v>
      </c>
      <c r="L7592" s="12">
        <f t="shared" si="609"/>
        <v>18400</v>
      </c>
      <c r="M7592" s="8">
        <v>1</v>
      </c>
      <c r="N7592" s="8" t="s">
        <v>27</v>
      </c>
      <c r="O7592" s="13">
        <f t="shared" si="610"/>
        <v>0</v>
      </c>
      <c r="P7592" s="14">
        <v>0</v>
      </c>
      <c r="Q7592" s="15">
        <v>0.4</v>
      </c>
      <c r="R7592" s="40" t="str">
        <f t="shared" si="608"/>
        <v>ECOLITE</v>
      </c>
    </row>
    <row r="7593" spans="1:20" customFormat="1" ht="27" customHeight="1" x14ac:dyDescent="0.25">
      <c r="A7593" s="32" t="s">
        <v>2095</v>
      </c>
      <c r="H7593" s="32" t="s">
        <v>15533</v>
      </c>
      <c r="I7593" s="33" t="s">
        <v>15534</v>
      </c>
      <c r="J7593" s="34" t="s">
        <v>33</v>
      </c>
      <c r="K7593" s="42">
        <v>9400</v>
      </c>
      <c r="L7593" s="12">
        <f t="shared" si="609"/>
        <v>15700</v>
      </c>
      <c r="M7593" s="8">
        <v>1</v>
      </c>
      <c r="N7593" s="8" t="s">
        <v>27</v>
      </c>
      <c r="O7593" s="13">
        <f t="shared" si="610"/>
        <v>0</v>
      </c>
      <c r="P7593" s="14">
        <v>0</v>
      </c>
      <c r="Q7593" s="15">
        <v>0.4</v>
      </c>
      <c r="R7593" s="40" t="str">
        <f t="shared" si="608"/>
        <v>ECOLITE</v>
      </c>
    </row>
    <row r="7594" spans="1:20" customFormat="1" ht="27" customHeight="1" x14ac:dyDescent="0.25">
      <c r="A7594" s="32" t="s">
        <v>2095</v>
      </c>
      <c r="H7594" s="32" t="s">
        <v>15535</v>
      </c>
      <c r="I7594" s="33" t="s">
        <v>15536</v>
      </c>
      <c r="J7594" s="34" t="s">
        <v>33</v>
      </c>
      <c r="K7594" s="42">
        <v>45400</v>
      </c>
      <c r="L7594" s="12">
        <f t="shared" si="609"/>
        <v>75700</v>
      </c>
      <c r="M7594" s="8">
        <v>1</v>
      </c>
      <c r="N7594" s="8" t="s">
        <v>27</v>
      </c>
      <c r="O7594" s="13">
        <f t="shared" si="610"/>
        <v>0</v>
      </c>
      <c r="P7594" s="14">
        <v>0</v>
      </c>
      <c r="Q7594" s="15">
        <v>0.4</v>
      </c>
      <c r="R7594" s="40" t="str">
        <f t="shared" si="608"/>
        <v>ECOLITE</v>
      </c>
    </row>
    <row r="7595" spans="1:20" customFormat="1" ht="27" customHeight="1" x14ac:dyDescent="0.25">
      <c r="A7595" s="32" t="s">
        <v>1561</v>
      </c>
      <c r="H7595" s="32" t="s">
        <v>15537</v>
      </c>
      <c r="I7595" s="33" t="s">
        <v>15538</v>
      </c>
      <c r="J7595" s="34" t="s">
        <v>33</v>
      </c>
      <c r="K7595" s="42">
        <f>2395000/11</f>
        <v>217727.27272727274</v>
      </c>
      <c r="L7595" s="12">
        <f t="shared" si="609"/>
        <v>362900</v>
      </c>
      <c r="M7595" s="8">
        <v>1</v>
      </c>
      <c r="N7595" s="8" t="s">
        <v>27</v>
      </c>
      <c r="O7595" s="13">
        <f t="shared" si="610"/>
        <v>0</v>
      </c>
      <c r="P7595" s="14">
        <v>0</v>
      </c>
      <c r="Q7595" s="15">
        <v>0.4</v>
      </c>
      <c r="R7595" s="40" t="str">
        <f t="shared" si="608"/>
        <v>DAHUA</v>
      </c>
    </row>
    <row r="7596" spans="1:20" customFormat="1" ht="27" customHeight="1" x14ac:dyDescent="0.25">
      <c r="A7596" s="32" t="s">
        <v>9546</v>
      </c>
      <c r="H7596" s="32" t="s">
        <v>15539</v>
      </c>
      <c r="I7596" s="33" t="s">
        <v>13735</v>
      </c>
      <c r="J7596" s="34" t="s">
        <v>33</v>
      </c>
      <c r="K7596" s="42">
        <v>1064000</v>
      </c>
      <c r="L7596" s="12">
        <f t="shared" si="609"/>
        <v>1773400</v>
      </c>
      <c r="M7596" s="8">
        <v>1</v>
      </c>
      <c r="N7596" s="8" t="s">
        <v>27</v>
      </c>
      <c r="O7596" s="13">
        <f t="shared" si="610"/>
        <v>0</v>
      </c>
      <c r="P7596" s="14">
        <v>0</v>
      </c>
      <c r="Q7596" s="15">
        <v>0.4</v>
      </c>
      <c r="R7596" s="40" t="str">
        <f t="shared" si="608"/>
        <v>WD</v>
      </c>
    </row>
    <row r="7597" spans="1:20" customFormat="1" ht="27" customHeight="1" x14ac:dyDescent="0.25">
      <c r="A7597" s="32" t="s">
        <v>13983</v>
      </c>
      <c r="H7597" s="32" t="s">
        <v>15540</v>
      </c>
      <c r="I7597" s="33" t="s">
        <v>15541</v>
      </c>
      <c r="J7597" s="34" t="s">
        <v>26</v>
      </c>
      <c r="K7597" s="42">
        <f>29*1.1</f>
        <v>31.900000000000002</v>
      </c>
      <c r="L7597" s="12">
        <f t="shared" si="609"/>
        <v>59.242857142857154</v>
      </c>
      <c r="M7597" s="8">
        <v>1</v>
      </c>
      <c r="N7597" s="8" t="s">
        <v>27</v>
      </c>
      <c r="O7597" s="13">
        <f t="shared" si="610"/>
        <v>0</v>
      </c>
      <c r="P7597" s="14">
        <v>0.3</v>
      </c>
      <c r="Q7597" s="15">
        <v>0.3</v>
      </c>
      <c r="R7597" s="40" t="str">
        <f t="shared" si="608"/>
        <v>HOFFLIGHTS</v>
      </c>
    </row>
    <row r="7598" spans="1:20" customFormat="1" ht="27" customHeight="1" x14ac:dyDescent="0.25">
      <c r="A7598" s="32" t="s">
        <v>13983</v>
      </c>
      <c r="H7598" s="32" t="s">
        <v>15542</v>
      </c>
      <c r="I7598" s="33" t="s">
        <v>15543</v>
      </c>
      <c r="J7598" s="34" t="s">
        <v>26</v>
      </c>
      <c r="K7598" s="42">
        <v>65.5</v>
      </c>
      <c r="L7598" s="12">
        <f t="shared" si="609"/>
        <v>121.64285714285715</v>
      </c>
      <c r="M7598" s="8">
        <v>1</v>
      </c>
      <c r="N7598" s="8" t="s">
        <v>27</v>
      </c>
      <c r="O7598" s="13">
        <f t="shared" si="610"/>
        <v>0</v>
      </c>
      <c r="P7598" s="14">
        <v>0.3</v>
      </c>
      <c r="Q7598" s="15">
        <v>0.3</v>
      </c>
      <c r="R7598" s="40" t="str">
        <f t="shared" ref="R7598:R7629" si="611">A7598</f>
        <v>HOFFLIGHTS</v>
      </c>
    </row>
    <row r="7599" spans="1:20" customFormat="1" ht="27" customHeight="1" x14ac:dyDescent="0.25">
      <c r="A7599" s="8" t="s">
        <v>3388</v>
      </c>
      <c r="B7599" s="9"/>
      <c r="C7599" s="9"/>
      <c r="D7599" s="8"/>
      <c r="E7599" s="8"/>
      <c r="F7599" s="8"/>
      <c r="G7599" s="10"/>
      <c r="H7599" s="8" t="s">
        <v>15544</v>
      </c>
      <c r="I7599" s="10" t="s">
        <v>15545</v>
      </c>
      <c r="J7599" s="11" t="s">
        <v>33</v>
      </c>
      <c r="K7599" s="18">
        <f>(40000+12000)/1.1</f>
        <v>47272.727272727272</v>
      </c>
      <c r="L7599" s="12">
        <f t="shared" si="609"/>
        <v>78800</v>
      </c>
      <c r="M7599" s="8">
        <v>1</v>
      </c>
      <c r="N7599" s="8" t="s">
        <v>27</v>
      </c>
      <c r="O7599" s="13">
        <f t="shared" si="610"/>
        <v>0</v>
      </c>
      <c r="P7599" s="14">
        <v>0</v>
      </c>
      <c r="Q7599" s="15">
        <v>0.4</v>
      </c>
      <c r="R7599" s="16" t="str">
        <f t="shared" si="611"/>
        <v>SIGNCOMPLEX</v>
      </c>
      <c r="S7599" s="17"/>
      <c r="T7599" s="10"/>
    </row>
    <row r="7600" spans="1:20" customFormat="1" ht="27" customHeight="1" x14ac:dyDescent="0.25">
      <c r="A7600" s="32" t="s">
        <v>15546</v>
      </c>
      <c r="H7600" s="32" t="s">
        <v>15547</v>
      </c>
      <c r="I7600" s="33" t="s">
        <v>15548</v>
      </c>
      <c r="J7600" s="34" t="s">
        <v>26</v>
      </c>
      <c r="K7600" s="42">
        <v>24</v>
      </c>
      <c r="L7600" s="12">
        <f t="shared" si="609"/>
        <v>40</v>
      </c>
      <c r="M7600" s="8">
        <v>1</v>
      </c>
      <c r="N7600" s="8" t="s">
        <v>27</v>
      </c>
      <c r="O7600" s="13">
        <f t="shared" si="610"/>
        <v>0</v>
      </c>
      <c r="P7600" s="14">
        <v>0</v>
      </c>
      <c r="Q7600" s="15">
        <v>0.4</v>
      </c>
      <c r="R7600" s="16" t="str">
        <f t="shared" si="611"/>
        <v>MEIJIA</v>
      </c>
      <c r="S7600" t="s">
        <v>15549</v>
      </c>
    </row>
    <row r="7601" spans="1:20" customFormat="1" ht="27" customHeight="1" x14ac:dyDescent="0.25">
      <c r="A7601" s="32" t="s">
        <v>10370</v>
      </c>
      <c r="H7601" t="s">
        <v>15550</v>
      </c>
      <c r="I7601" s="33" t="s">
        <v>15551</v>
      </c>
      <c r="J7601" s="34" t="s">
        <v>33</v>
      </c>
      <c r="K7601" s="42">
        <v>290000</v>
      </c>
      <c r="L7601" s="12">
        <f t="shared" si="609"/>
        <v>322300</v>
      </c>
      <c r="M7601" s="8">
        <v>1</v>
      </c>
      <c r="N7601" s="8" t="s">
        <v>27</v>
      </c>
      <c r="O7601" s="13">
        <f t="shared" si="610"/>
        <v>0</v>
      </c>
      <c r="P7601" s="14">
        <v>0</v>
      </c>
      <c r="Q7601" s="15">
        <v>0.1</v>
      </c>
      <c r="R7601" s="16" t="str">
        <f t="shared" si="611"/>
        <v>LEDYI</v>
      </c>
    </row>
    <row r="7602" spans="1:20" customFormat="1" ht="27" customHeight="1" x14ac:dyDescent="0.25">
      <c r="A7602" s="32" t="s">
        <v>10370</v>
      </c>
      <c r="H7602" s="32" t="s">
        <v>15552</v>
      </c>
      <c r="I7602" s="33" t="s">
        <v>15553</v>
      </c>
      <c r="J7602" s="34" t="s">
        <v>33</v>
      </c>
      <c r="K7602" s="42">
        <f>85000/3</f>
        <v>28333.333333333332</v>
      </c>
      <c r="L7602" s="12">
        <f t="shared" si="609"/>
        <v>40500</v>
      </c>
      <c r="M7602" s="8">
        <v>1</v>
      </c>
      <c r="N7602" s="8" t="s">
        <v>27</v>
      </c>
      <c r="O7602" s="13">
        <f t="shared" si="610"/>
        <v>0</v>
      </c>
      <c r="P7602" s="14">
        <v>0</v>
      </c>
      <c r="Q7602" s="15">
        <v>0.3</v>
      </c>
      <c r="R7602" s="16" t="str">
        <f t="shared" si="611"/>
        <v>LEDYI</v>
      </c>
    </row>
    <row r="7603" spans="1:20" customFormat="1" ht="27" customHeight="1" x14ac:dyDescent="0.25">
      <c r="A7603" s="32" t="s">
        <v>1867</v>
      </c>
      <c r="H7603" s="32" t="s">
        <v>1949</v>
      </c>
      <c r="I7603" s="38" t="s">
        <v>15554</v>
      </c>
      <c r="J7603" s="34" t="s">
        <v>26</v>
      </c>
      <c r="K7603" s="42">
        <v>615.4</v>
      </c>
      <c r="L7603" s="12">
        <f t="shared" si="609"/>
        <v>879.14285714285711</v>
      </c>
      <c r="M7603" s="8">
        <v>1</v>
      </c>
      <c r="N7603" s="8" t="s">
        <v>27</v>
      </c>
      <c r="O7603" s="13">
        <f t="shared" si="610"/>
        <v>0</v>
      </c>
      <c r="P7603" s="14">
        <v>0</v>
      </c>
      <c r="Q7603" s="15">
        <v>0.3</v>
      </c>
      <c r="R7603" s="16" t="str">
        <f t="shared" si="611"/>
        <v>DENON</v>
      </c>
    </row>
    <row r="7604" spans="1:20" customFormat="1" ht="27" customHeight="1" x14ac:dyDescent="0.25">
      <c r="A7604" s="32" t="s">
        <v>3694</v>
      </c>
      <c r="H7604" s="32" t="s">
        <v>15555</v>
      </c>
      <c r="I7604" s="33" t="s">
        <v>15556</v>
      </c>
      <c r="J7604" s="34" t="s">
        <v>33</v>
      </c>
      <c r="K7604" s="42">
        <v>207500</v>
      </c>
      <c r="L7604" s="12">
        <f t="shared" si="609"/>
        <v>345900</v>
      </c>
      <c r="M7604" s="8">
        <v>1</v>
      </c>
      <c r="N7604" s="8" t="s">
        <v>27</v>
      </c>
      <c r="O7604" s="13">
        <f t="shared" si="610"/>
        <v>0</v>
      </c>
      <c r="P7604" s="14">
        <v>0</v>
      </c>
      <c r="Q7604" s="15">
        <v>0.4</v>
      </c>
      <c r="R7604" s="16" t="str">
        <f t="shared" si="611"/>
        <v>IMOU</v>
      </c>
    </row>
    <row r="7605" spans="1:20" customFormat="1" ht="27" customHeight="1" x14ac:dyDescent="0.25">
      <c r="A7605" s="32" t="s">
        <v>9546</v>
      </c>
      <c r="H7605" s="32" t="s">
        <v>15557</v>
      </c>
      <c r="I7605" s="33" t="s">
        <v>15558</v>
      </c>
      <c r="J7605" s="34" t="s">
        <v>33</v>
      </c>
      <c r="K7605" s="42">
        <v>83000</v>
      </c>
      <c r="L7605" s="12">
        <f t="shared" si="609"/>
        <v>138400</v>
      </c>
      <c r="M7605" s="8">
        <v>1</v>
      </c>
      <c r="N7605" s="8" t="s">
        <v>27</v>
      </c>
      <c r="O7605" s="13">
        <f t="shared" si="610"/>
        <v>0</v>
      </c>
      <c r="P7605" s="14">
        <v>0</v>
      </c>
      <c r="Q7605" s="15">
        <v>0.4</v>
      </c>
      <c r="R7605" s="16" t="str">
        <f t="shared" si="611"/>
        <v>WD</v>
      </c>
    </row>
    <row r="7606" spans="1:20" customFormat="1" ht="27" customHeight="1" x14ac:dyDescent="0.25">
      <c r="A7606" s="32" t="s">
        <v>9465</v>
      </c>
      <c r="H7606" s="32" t="s">
        <v>15559</v>
      </c>
      <c r="I7606" s="33" t="s">
        <v>15560</v>
      </c>
      <c r="J7606" s="34" t="s">
        <v>33</v>
      </c>
      <c r="K7606" s="42">
        <v>379000</v>
      </c>
      <c r="L7606" s="12">
        <f t="shared" si="609"/>
        <v>587400</v>
      </c>
      <c r="M7606" s="8">
        <v>1</v>
      </c>
      <c r="N7606" s="8" t="s">
        <v>27</v>
      </c>
      <c r="O7606" s="13">
        <f t="shared" si="610"/>
        <v>0</v>
      </c>
      <c r="P7606" s="14">
        <v>0</v>
      </c>
      <c r="Q7606" s="15">
        <v>0.35470440767243089</v>
      </c>
      <c r="R7606" s="50" t="str">
        <f t="shared" si="611"/>
        <v>VIDA_UTIL</v>
      </c>
    </row>
    <row r="7607" spans="1:20" customFormat="1" ht="27" customHeight="1" x14ac:dyDescent="0.25">
      <c r="A7607" s="32" t="s">
        <v>3977</v>
      </c>
      <c r="H7607" s="32" t="s">
        <v>15561</v>
      </c>
      <c r="I7607" s="33" t="s">
        <v>15562</v>
      </c>
      <c r="J7607" s="34" t="s">
        <v>33</v>
      </c>
      <c r="K7607" s="42">
        <v>150000</v>
      </c>
      <c r="L7607" s="12">
        <f t="shared" si="609"/>
        <v>232500</v>
      </c>
      <c r="M7607" s="8">
        <v>1</v>
      </c>
      <c r="N7607" s="8" t="s">
        <v>27</v>
      </c>
      <c r="O7607" s="13">
        <f t="shared" si="610"/>
        <v>0</v>
      </c>
      <c r="P7607" s="14">
        <v>0</v>
      </c>
      <c r="Q7607" s="15">
        <v>0.35470440767243089</v>
      </c>
      <c r="R7607" s="50" t="str">
        <f t="shared" si="611"/>
        <v>KOMODO</v>
      </c>
    </row>
    <row r="7608" spans="1:20" customFormat="1" ht="27" customHeight="1" x14ac:dyDescent="0.25">
      <c r="A7608" s="32" t="s">
        <v>2512</v>
      </c>
      <c r="H7608" s="32" t="s">
        <v>15563</v>
      </c>
      <c r="I7608" s="33" t="s">
        <v>15564</v>
      </c>
      <c r="J7608" s="34" t="s">
        <v>33</v>
      </c>
      <c r="K7608" s="42">
        <v>95000</v>
      </c>
      <c r="L7608" s="12">
        <f t="shared" si="609"/>
        <v>147300</v>
      </c>
      <c r="M7608" s="8">
        <v>1</v>
      </c>
      <c r="N7608" s="8" t="s">
        <v>27</v>
      </c>
      <c r="O7608" s="13">
        <f t="shared" si="610"/>
        <v>0</v>
      </c>
      <c r="P7608" s="14">
        <v>0</v>
      </c>
      <c r="Q7608" s="15">
        <v>0.35470440767243089</v>
      </c>
      <c r="R7608" s="50" t="str">
        <f t="shared" si="611"/>
        <v>GENERAL</v>
      </c>
    </row>
    <row r="7609" spans="1:20" customFormat="1" ht="27" customHeight="1" x14ac:dyDescent="0.25">
      <c r="A7609" s="32" t="s">
        <v>5672</v>
      </c>
      <c r="H7609" s="32" t="s">
        <v>15565</v>
      </c>
      <c r="I7609" s="33" t="s">
        <v>15566</v>
      </c>
      <c r="J7609" s="34" t="s">
        <v>26</v>
      </c>
      <c r="K7609" s="42">
        <v>65</v>
      </c>
      <c r="L7609" s="12">
        <f t="shared" si="609"/>
        <v>97.5</v>
      </c>
      <c r="M7609" s="8">
        <v>1</v>
      </c>
      <c r="N7609" s="8" t="s">
        <v>27</v>
      </c>
      <c r="O7609" s="13">
        <f t="shared" si="610"/>
        <v>0</v>
      </c>
      <c r="P7609" s="14">
        <v>0.2</v>
      </c>
      <c r="Q7609" s="15">
        <v>0.2</v>
      </c>
      <c r="R7609" s="50" t="str">
        <f t="shared" si="611"/>
        <v>LUTRON</v>
      </c>
    </row>
    <row r="7610" spans="1:20" customFormat="1" ht="27" customHeight="1" x14ac:dyDescent="0.25">
      <c r="A7610" s="32" t="s">
        <v>5672</v>
      </c>
      <c r="H7610" s="8" t="s">
        <v>15567</v>
      </c>
      <c r="I7610" s="33" t="s">
        <v>11010</v>
      </c>
      <c r="J7610" s="34" t="s">
        <v>26</v>
      </c>
      <c r="K7610" s="42">
        <v>48</v>
      </c>
      <c r="L7610" s="12">
        <f t="shared" si="609"/>
        <v>79.999998529652743</v>
      </c>
      <c r="M7610" s="8">
        <v>1</v>
      </c>
      <c r="N7610" s="8" t="s">
        <v>27</v>
      </c>
      <c r="O7610" s="13"/>
      <c r="P7610" s="14">
        <v>0.2</v>
      </c>
      <c r="Q7610" s="15">
        <v>0.27999998676687449</v>
      </c>
      <c r="R7610" s="40" t="str">
        <f t="shared" si="611"/>
        <v>LUTRON</v>
      </c>
    </row>
    <row r="7611" spans="1:20" customFormat="1" ht="27" customHeight="1" x14ac:dyDescent="0.25">
      <c r="A7611" s="8" t="s">
        <v>5672</v>
      </c>
      <c r="B7611" s="9"/>
      <c r="C7611" s="9"/>
      <c r="D7611" s="8"/>
      <c r="E7611" s="8"/>
      <c r="F7611" s="8"/>
      <c r="G7611" s="10"/>
      <c r="H7611" s="8" t="s">
        <v>15568</v>
      </c>
      <c r="I7611" s="10" t="s">
        <v>6596</v>
      </c>
      <c r="J7611" s="11" t="s">
        <v>26</v>
      </c>
      <c r="K7611" s="57">
        <v>48</v>
      </c>
      <c r="L7611" s="12">
        <f t="shared" ref="L7611:L7623" si="612">K7611*(1+P7611)/(1-Q7611)</f>
        <v>79.99938160264314</v>
      </c>
      <c r="M7611" s="8">
        <v>1</v>
      </c>
      <c r="N7611" s="8" t="s">
        <v>27</v>
      </c>
      <c r="O7611" s="13"/>
      <c r="P7611" s="14">
        <v>0.2</v>
      </c>
      <c r="Q7611" s="15">
        <v>0.27999443438076638</v>
      </c>
      <c r="R7611" s="16" t="str">
        <f t="shared" si="611"/>
        <v>LUTRON</v>
      </c>
      <c r="S7611" s="17"/>
      <c r="T7611" s="10"/>
    </row>
    <row r="7612" spans="1:20" customFormat="1" ht="27" customHeight="1" x14ac:dyDescent="0.25">
      <c r="A7612" s="8" t="s">
        <v>5672</v>
      </c>
      <c r="H7612" s="32" t="s">
        <v>15569</v>
      </c>
      <c r="I7612" s="33" t="s">
        <v>15570</v>
      </c>
      <c r="J7612" s="34" t="s">
        <v>26</v>
      </c>
      <c r="K7612" s="57">
        <v>230</v>
      </c>
      <c r="L7612" s="12">
        <f t="shared" si="612"/>
        <v>383.33037017933179</v>
      </c>
      <c r="M7612" s="8">
        <v>1</v>
      </c>
      <c r="N7612" s="8" t="s">
        <v>27</v>
      </c>
      <c r="O7612" s="13"/>
      <c r="P7612" s="14">
        <v>0.2</v>
      </c>
      <c r="Q7612" s="15">
        <v>0.27999443438076638</v>
      </c>
      <c r="R7612" s="16" t="str">
        <f t="shared" si="611"/>
        <v>LUTRON</v>
      </c>
      <c r="S7612" s="17"/>
    </row>
    <row r="7613" spans="1:20" customFormat="1" ht="27" customHeight="1" x14ac:dyDescent="0.25">
      <c r="A7613" s="8" t="s">
        <v>5672</v>
      </c>
      <c r="H7613" s="32" t="s">
        <v>6291</v>
      </c>
      <c r="I7613" s="33" t="s">
        <v>15571</v>
      </c>
      <c r="J7613" s="34" t="s">
        <v>26</v>
      </c>
      <c r="K7613" s="57">
        <v>48</v>
      </c>
      <c r="L7613" s="12">
        <f t="shared" si="612"/>
        <v>79.99938160264314</v>
      </c>
      <c r="M7613" s="8">
        <v>1</v>
      </c>
      <c r="N7613" s="8" t="s">
        <v>27</v>
      </c>
      <c r="O7613" s="13"/>
      <c r="P7613" s="14">
        <v>0.2</v>
      </c>
      <c r="Q7613" s="15">
        <v>0.27999443438076638</v>
      </c>
      <c r="R7613" s="16" t="str">
        <f t="shared" si="611"/>
        <v>LUTRON</v>
      </c>
      <c r="S7613" s="17"/>
    </row>
    <row r="7614" spans="1:20" customFormat="1" ht="27" customHeight="1" x14ac:dyDescent="0.25">
      <c r="A7614" s="8" t="s">
        <v>5672</v>
      </c>
      <c r="H7614" t="s">
        <v>15572</v>
      </c>
      <c r="I7614" s="33" t="s">
        <v>15573</v>
      </c>
      <c r="J7614" s="34" t="s">
        <v>26</v>
      </c>
      <c r="K7614" s="42">
        <v>230</v>
      </c>
      <c r="L7614" s="12">
        <f t="shared" si="612"/>
        <v>460</v>
      </c>
      <c r="M7614" s="8">
        <v>1</v>
      </c>
      <c r="N7614" s="8" t="s">
        <v>27</v>
      </c>
      <c r="O7614" s="13"/>
      <c r="P7614" s="14">
        <v>0.2</v>
      </c>
      <c r="Q7614" s="15">
        <v>0.4</v>
      </c>
      <c r="R7614" s="16" t="str">
        <f t="shared" si="611"/>
        <v>LUTRON</v>
      </c>
      <c r="S7614" s="17"/>
    </row>
    <row r="7615" spans="1:20" customFormat="1" ht="27" customHeight="1" x14ac:dyDescent="0.25">
      <c r="A7615" s="8" t="s">
        <v>5672</v>
      </c>
      <c r="H7615" t="s">
        <v>15574</v>
      </c>
      <c r="I7615" s="33" t="s">
        <v>15575</v>
      </c>
      <c r="J7615" s="34" t="s">
        <v>26</v>
      </c>
      <c r="K7615" s="42">
        <v>350</v>
      </c>
      <c r="L7615" s="12">
        <f t="shared" si="612"/>
        <v>700</v>
      </c>
      <c r="M7615" s="8">
        <v>1</v>
      </c>
      <c r="N7615" s="8" t="s">
        <v>27</v>
      </c>
      <c r="O7615" s="13"/>
      <c r="P7615" s="14">
        <v>0.2</v>
      </c>
      <c r="Q7615" s="15">
        <v>0.4</v>
      </c>
      <c r="R7615" s="16" t="str">
        <f t="shared" si="611"/>
        <v>LUTRON</v>
      </c>
      <c r="S7615" s="17"/>
    </row>
    <row r="7616" spans="1:20" customFormat="1" ht="27" customHeight="1" x14ac:dyDescent="0.25">
      <c r="A7616" s="44" t="s">
        <v>15576</v>
      </c>
      <c r="H7616" s="32" t="s">
        <v>15577</v>
      </c>
      <c r="I7616" s="33" t="s">
        <v>15578</v>
      </c>
      <c r="J7616" s="34" t="s">
        <v>33</v>
      </c>
      <c r="K7616" s="42">
        <v>22000</v>
      </c>
      <c r="L7616" s="12">
        <f t="shared" si="612"/>
        <v>44000</v>
      </c>
      <c r="M7616" s="8">
        <v>1</v>
      </c>
      <c r="N7616" s="8" t="s">
        <v>27</v>
      </c>
      <c r="O7616" s="13"/>
      <c r="P7616" s="14">
        <v>0.2</v>
      </c>
      <c r="Q7616" s="15">
        <v>0.4</v>
      </c>
      <c r="R7616" s="16" t="str">
        <f t="shared" si="611"/>
        <v>TYC</v>
      </c>
      <c r="S7616" s="17"/>
    </row>
    <row r="7617" spans="1:19" customFormat="1" ht="27" customHeight="1" x14ac:dyDescent="0.25">
      <c r="A7617" s="44" t="s">
        <v>15576</v>
      </c>
      <c r="H7617" s="32" t="s">
        <v>15579</v>
      </c>
      <c r="I7617" s="33" t="s">
        <v>15580</v>
      </c>
      <c r="J7617" s="34" t="s">
        <v>33</v>
      </c>
      <c r="K7617" s="42">
        <v>46000</v>
      </c>
      <c r="L7617" s="12">
        <f t="shared" si="612"/>
        <v>92000</v>
      </c>
      <c r="M7617" s="8">
        <v>1</v>
      </c>
      <c r="N7617" s="8" t="s">
        <v>27</v>
      </c>
      <c r="O7617" s="13"/>
      <c r="P7617" s="14">
        <v>0.2</v>
      </c>
      <c r="Q7617" s="15">
        <v>0.4</v>
      </c>
      <c r="R7617" s="16" t="str">
        <f t="shared" si="611"/>
        <v>TYC</v>
      </c>
      <c r="S7617" s="17"/>
    </row>
    <row r="7618" spans="1:19" customFormat="1" ht="27" customHeight="1" x14ac:dyDescent="0.25">
      <c r="A7618" s="44" t="s">
        <v>15576</v>
      </c>
      <c r="H7618" s="32" t="s">
        <v>15581</v>
      </c>
      <c r="I7618" s="33" t="s">
        <v>15582</v>
      </c>
      <c r="J7618" s="34" t="s">
        <v>33</v>
      </c>
      <c r="K7618" s="42">
        <v>16000</v>
      </c>
      <c r="L7618" s="12">
        <f t="shared" si="612"/>
        <v>32000</v>
      </c>
      <c r="M7618" s="8">
        <v>1</v>
      </c>
      <c r="N7618" s="8" t="s">
        <v>27</v>
      </c>
      <c r="O7618" s="13"/>
      <c r="P7618" s="14">
        <v>0.2</v>
      </c>
      <c r="Q7618" s="15">
        <v>0.4</v>
      </c>
      <c r="R7618" s="16" t="str">
        <f t="shared" si="611"/>
        <v>TYC</v>
      </c>
      <c r="S7618" s="17"/>
    </row>
    <row r="7619" spans="1:19" customFormat="1" ht="27" customHeight="1" x14ac:dyDescent="0.25">
      <c r="A7619" s="44" t="s">
        <v>15576</v>
      </c>
      <c r="H7619" s="32" t="s">
        <v>15583</v>
      </c>
      <c r="I7619" s="33" t="s">
        <v>15578</v>
      </c>
      <c r="J7619" s="34" t="s">
        <v>33</v>
      </c>
      <c r="K7619" s="42">
        <v>30000</v>
      </c>
      <c r="L7619" s="12">
        <f t="shared" si="612"/>
        <v>60000</v>
      </c>
      <c r="M7619" s="8">
        <v>1</v>
      </c>
      <c r="N7619" s="8" t="s">
        <v>27</v>
      </c>
      <c r="O7619" s="13"/>
      <c r="P7619" s="14">
        <v>0.2</v>
      </c>
      <c r="Q7619" s="15">
        <v>0.4</v>
      </c>
      <c r="R7619" s="16" t="str">
        <f t="shared" si="611"/>
        <v>TYC</v>
      </c>
      <c r="S7619" s="17"/>
    </row>
    <row r="7620" spans="1:19" customFormat="1" ht="27" customHeight="1" x14ac:dyDescent="0.25">
      <c r="A7620" s="44" t="s">
        <v>2512</v>
      </c>
      <c r="H7620" t="s">
        <v>15584</v>
      </c>
      <c r="I7620" s="33" t="s">
        <v>15585</v>
      </c>
      <c r="J7620" s="34" t="s">
        <v>33</v>
      </c>
      <c r="K7620" s="42">
        <v>120000</v>
      </c>
      <c r="L7620" s="12">
        <f t="shared" si="612"/>
        <v>240000</v>
      </c>
      <c r="M7620" s="8">
        <v>1</v>
      </c>
      <c r="N7620" s="8" t="s">
        <v>27</v>
      </c>
      <c r="O7620" s="13"/>
      <c r="P7620" s="14">
        <v>0.2</v>
      </c>
      <c r="Q7620" s="15">
        <v>0.4</v>
      </c>
      <c r="R7620" s="16" t="str">
        <f t="shared" si="611"/>
        <v>GENERAL</v>
      </c>
      <c r="S7620" s="17"/>
    </row>
    <row r="7621" spans="1:19" customFormat="1" ht="27" customHeight="1" x14ac:dyDescent="0.25">
      <c r="A7621" s="44" t="s">
        <v>2512</v>
      </c>
      <c r="H7621" t="s">
        <v>15586</v>
      </c>
      <c r="I7621" s="33" t="s">
        <v>15587</v>
      </c>
      <c r="J7621" s="34" t="s">
        <v>33</v>
      </c>
      <c r="K7621" s="42">
        <v>160000</v>
      </c>
      <c r="L7621" s="12">
        <f t="shared" si="612"/>
        <v>320000</v>
      </c>
      <c r="M7621" s="8">
        <v>1</v>
      </c>
      <c r="N7621" s="8" t="s">
        <v>27</v>
      </c>
      <c r="O7621" s="13"/>
      <c r="P7621" s="14">
        <v>0.2</v>
      </c>
      <c r="Q7621" s="15">
        <v>0.4</v>
      </c>
      <c r="R7621" s="16" t="str">
        <f t="shared" si="611"/>
        <v>GENERAL</v>
      </c>
      <c r="S7621" s="17"/>
    </row>
    <row r="7622" spans="1:19" customFormat="1" ht="27" customHeight="1" x14ac:dyDescent="0.25">
      <c r="A7622" s="44" t="s">
        <v>2512</v>
      </c>
      <c r="H7622" t="s">
        <v>15588</v>
      </c>
      <c r="I7622" s="33" t="s">
        <v>15589</v>
      </c>
      <c r="J7622" s="34" t="s">
        <v>33</v>
      </c>
      <c r="K7622" s="42">
        <v>187000</v>
      </c>
      <c r="L7622" s="12">
        <f t="shared" si="612"/>
        <v>374000</v>
      </c>
      <c r="M7622" s="8">
        <v>1</v>
      </c>
      <c r="N7622" s="8" t="s">
        <v>27</v>
      </c>
      <c r="O7622" s="13"/>
      <c r="P7622" s="14">
        <v>0.2</v>
      </c>
      <c r="Q7622" s="15">
        <v>0.4</v>
      </c>
      <c r="R7622" s="16" t="str">
        <f t="shared" si="611"/>
        <v>GENERAL</v>
      </c>
      <c r="S7622" s="17"/>
    </row>
    <row r="7623" spans="1:19" customFormat="1" ht="27" customHeight="1" x14ac:dyDescent="0.25">
      <c r="A7623" s="44" t="s">
        <v>2512</v>
      </c>
      <c r="H7623" t="s">
        <v>15590</v>
      </c>
      <c r="I7623" s="33" t="s">
        <v>15591</v>
      </c>
      <c r="J7623" s="34" t="s">
        <v>33</v>
      </c>
      <c r="K7623" s="42">
        <v>215000</v>
      </c>
      <c r="L7623" s="12">
        <f t="shared" si="612"/>
        <v>430000</v>
      </c>
      <c r="M7623" s="8">
        <v>1</v>
      </c>
      <c r="N7623" s="8" t="s">
        <v>27</v>
      </c>
      <c r="O7623" s="13"/>
      <c r="P7623" s="14">
        <v>0.2</v>
      </c>
      <c r="Q7623" s="15">
        <v>0.4</v>
      </c>
      <c r="R7623" s="16" t="str">
        <f t="shared" si="611"/>
        <v>GENERAL</v>
      </c>
      <c r="S7623" s="17"/>
    </row>
    <row r="7624" spans="1:19" customFormat="1" ht="27" customHeight="1" x14ac:dyDescent="0.25">
      <c r="A7624" s="105" t="s">
        <v>13919</v>
      </c>
      <c r="H7624" t="s">
        <v>13920</v>
      </c>
      <c r="I7624" t="s">
        <v>15592</v>
      </c>
      <c r="J7624" s="34" t="s">
        <v>26</v>
      </c>
      <c r="K7624" s="42">
        <v>157</v>
      </c>
      <c r="L7624" s="12">
        <f t="shared" ref="L7624:L7651" si="613">IF(J7624="P",ROUNDUP(K7624/(1-Q7624),-2),K7624*(1+P7624)/(1-Q7624))</f>
        <v>224.28571428571431</v>
      </c>
      <c r="M7624" s="8">
        <v>1</v>
      </c>
      <c r="N7624" s="8" t="s">
        <v>27</v>
      </c>
      <c r="O7624" s="13"/>
      <c r="P7624" s="14">
        <v>0</v>
      </c>
      <c r="Q7624" s="14">
        <v>0.3</v>
      </c>
      <c r="R7624" s="16" t="str">
        <f t="shared" si="611"/>
        <v>ICE</v>
      </c>
    </row>
    <row r="7625" spans="1:19" customFormat="1" ht="27" customHeight="1" x14ac:dyDescent="0.25">
      <c r="A7625" s="105" t="s">
        <v>13919</v>
      </c>
      <c r="H7625" t="s">
        <v>15593</v>
      </c>
      <c r="I7625" t="s">
        <v>15592</v>
      </c>
      <c r="J7625" s="34" t="s">
        <v>26</v>
      </c>
      <c r="K7625" s="42">
        <v>230</v>
      </c>
      <c r="L7625" s="12">
        <f t="shared" si="613"/>
        <v>328.57142857142861</v>
      </c>
      <c r="M7625" s="8">
        <v>1</v>
      </c>
      <c r="N7625" s="8" t="s">
        <v>27</v>
      </c>
      <c r="O7625" s="13"/>
      <c r="P7625" s="14">
        <v>0</v>
      </c>
      <c r="Q7625" s="14">
        <v>0.3</v>
      </c>
      <c r="R7625" s="16" t="str">
        <f t="shared" si="611"/>
        <v>ICE</v>
      </c>
    </row>
    <row r="7626" spans="1:19" customFormat="1" ht="27" customHeight="1" x14ac:dyDescent="0.25">
      <c r="A7626" s="32" t="s">
        <v>7989</v>
      </c>
      <c r="H7626" t="s">
        <v>15594</v>
      </c>
      <c r="I7626" s="33" t="s">
        <v>15595</v>
      </c>
      <c r="J7626" s="34" t="s">
        <v>26</v>
      </c>
      <c r="K7626" s="42">
        <v>2501</v>
      </c>
      <c r="L7626" s="12">
        <f t="shared" si="613"/>
        <v>3847.6923076923076</v>
      </c>
      <c r="M7626" s="8">
        <v>1</v>
      </c>
      <c r="N7626" s="8" t="s">
        <v>27</v>
      </c>
      <c r="O7626" s="13"/>
      <c r="P7626" s="14">
        <v>0</v>
      </c>
      <c r="Q7626" s="14">
        <v>0.35</v>
      </c>
      <c r="R7626" s="16" t="str">
        <f t="shared" si="611"/>
        <v>RUSSOUND</v>
      </c>
    </row>
    <row r="7627" spans="1:19" customFormat="1" ht="27" customHeight="1" x14ac:dyDescent="0.25">
      <c r="A7627" s="32" t="s">
        <v>15596</v>
      </c>
      <c r="H7627" t="s">
        <v>15597</v>
      </c>
      <c r="I7627" s="33" t="s">
        <v>15598</v>
      </c>
      <c r="J7627" s="34" t="s">
        <v>26</v>
      </c>
      <c r="K7627" s="42">
        <v>513000</v>
      </c>
      <c r="L7627" s="12">
        <f t="shared" si="613"/>
        <v>789230.76923076925</v>
      </c>
      <c r="M7627" s="8">
        <v>1</v>
      </c>
      <c r="N7627" s="8" t="s">
        <v>27</v>
      </c>
      <c r="O7627" s="13"/>
      <c r="P7627" s="14">
        <v>0</v>
      </c>
      <c r="Q7627" s="14">
        <v>0.35</v>
      </c>
      <c r="R7627" s="16" t="str">
        <f t="shared" si="611"/>
        <v>ZIMULONG</v>
      </c>
      <c r="S7627" t="s">
        <v>15599</v>
      </c>
    </row>
    <row r="7628" spans="1:19" customFormat="1" ht="27" customHeight="1" x14ac:dyDescent="0.25">
      <c r="A7628" s="32" t="s">
        <v>5672</v>
      </c>
      <c r="H7628" t="s">
        <v>15600</v>
      </c>
      <c r="I7628" s="33" t="s">
        <v>15601</v>
      </c>
      <c r="J7628" s="34" t="s">
        <v>26</v>
      </c>
      <c r="K7628" s="42">
        <v>143.99999999999997</v>
      </c>
      <c r="L7628" s="12">
        <f t="shared" si="613"/>
        <v>239.99999999999994</v>
      </c>
      <c r="M7628" s="8">
        <v>1</v>
      </c>
      <c r="N7628" s="8" t="s">
        <v>27</v>
      </c>
      <c r="O7628" s="13"/>
      <c r="P7628" s="14">
        <v>0.2</v>
      </c>
      <c r="Q7628" s="14">
        <v>0.28000000000000003</v>
      </c>
      <c r="R7628" s="16" t="str">
        <f t="shared" si="611"/>
        <v>LUTRON</v>
      </c>
    </row>
    <row r="7629" spans="1:19" customFormat="1" ht="27" customHeight="1" x14ac:dyDescent="0.25">
      <c r="A7629" s="32" t="s">
        <v>11685</v>
      </c>
      <c r="H7629" t="s">
        <v>15602</v>
      </c>
      <c r="I7629" s="33" t="s">
        <v>15603</v>
      </c>
      <c r="J7629" s="34" t="s">
        <v>33</v>
      </c>
      <c r="K7629" s="42">
        <v>230000</v>
      </c>
      <c r="L7629" s="12">
        <f t="shared" si="613"/>
        <v>383400</v>
      </c>
      <c r="M7629" s="8">
        <v>1</v>
      </c>
      <c r="N7629" s="8" t="s">
        <v>27</v>
      </c>
      <c r="O7629" s="13"/>
      <c r="P7629" s="14">
        <v>0</v>
      </c>
      <c r="Q7629" s="14">
        <v>0.4</v>
      </c>
      <c r="R7629" s="16" t="str">
        <f t="shared" si="611"/>
        <v>RUIJIE</v>
      </c>
    </row>
    <row r="7630" spans="1:19" customFormat="1" ht="27" customHeight="1" x14ac:dyDescent="0.25">
      <c r="A7630" s="32" t="s">
        <v>2512</v>
      </c>
      <c r="H7630" t="s">
        <v>15604</v>
      </c>
      <c r="I7630" s="33" t="s">
        <v>15605</v>
      </c>
      <c r="J7630" s="34" t="s">
        <v>33</v>
      </c>
      <c r="K7630" s="42">
        <v>95000</v>
      </c>
      <c r="L7630" s="12">
        <f t="shared" si="613"/>
        <v>158400</v>
      </c>
      <c r="M7630" s="8">
        <v>1</v>
      </c>
      <c r="N7630" s="8" t="s">
        <v>27</v>
      </c>
      <c r="O7630" s="13"/>
      <c r="P7630" s="14">
        <v>0</v>
      </c>
      <c r="Q7630" s="14">
        <v>0.4</v>
      </c>
      <c r="R7630" s="16" t="str">
        <f t="shared" ref="R7630:R7654" si="614">A7630</f>
        <v>GENERAL</v>
      </c>
    </row>
    <row r="7631" spans="1:19" customFormat="1" ht="27" customHeight="1" x14ac:dyDescent="0.25">
      <c r="A7631" s="32" t="s">
        <v>2512</v>
      </c>
      <c r="H7631" s="38" t="s">
        <v>15606</v>
      </c>
      <c r="I7631" s="33" t="s">
        <v>15607</v>
      </c>
      <c r="J7631" s="34" t="s">
        <v>33</v>
      </c>
      <c r="K7631" s="42">
        <v>25300</v>
      </c>
      <c r="L7631" s="12">
        <f t="shared" si="613"/>
        <v>36200</v>
      </c>
      <c r="M7631" s="8">
        <v>1</v>
      </c>
      <c r="N7631" s="8" t="s">
        <v>27</v>
      </c>
      <c r="O7631" s="13"/>
      <c r="P7631" s="14">
        <v>0</v>
      </c>
      <c r="Q7631" s="14">
        <v>0.3</v>
      </c>
      <c r="R7631" s="16" t="str">
        <f t="shared" si="614"/>
        <v>GENERAL</v>
      </c>
    </row>
    <row r="7632" spans="1:19" customFormat="1" ht="27" customHeight="1" x14ac:dyDescent="0.25">
      <c r="A7632" s="32" t="s">
        <v>9465</v>
      </c>
      <c r="H7632" t="s">
        <v>15608</v>
      </c>
      <c r="I7632" s="33" t="s">
        <v>15609</v>
      </c>
      <c r="J7632" s="34" t="s">
        <v>33</v>
      </c>
      <c r="K7632" s="42">
        <v>80000</v>
      </c>
      <c r="L7632" s="12">
        <f t="shared" si="613"/>
        <v>114300</v>
      </c>
      <c r="M7632" s="8">
        <v>1</v>
      </c>
      <c r="N7632" s="8" t="s">
        <v>27</v>
      </c>
      <c r="O7632" s="13"/>
      <c r="P7632" s="14">
        <v>0</v>
      </c>
      <c r="Q7632" s="14">
        <v>0.3</v>
      </c>
      <c r="R7632" s="16" t="str">
        <f t="shared" si="614"/>
        <v>VIDA_UTIL</v>
      </c>
    </row>
    <row r="7633" spans="1:19" customFormat="1" ht="27" customHeight="1" x14ac:dyDescent="0.25">
      <c r="A7633" s="32" t="s">
        <v>2512</v>
      </c>
      <c r="H7633" t="s">
        <v>15610</v>
      </c>
      <c r="I7633" s="33" t="s">
        <v>15611</v>
      </c>
      <c r="J7633" s="34" t="s">
        <v>33</v>
      </c>
      <c r="K7633" s="42">
        <v>300000</v>
      </c>
      <c r="L7633" s="12">
        <f t="shared" si="613"/>
        <v>428600</v>
      </c>
      <c r="M7633" s="8">
        <v>1</v>
      </c>
      <c r="N7633" s="8" t="s">
        <v>27</v>
      </c>
      <c r="O7633" s="13"/>
      <c r="P7633" s="14">
        <v>0</v>
      </c>
      <c r="Q7633" s="14">
        <v>0.3</v>
      </c>
      <c r="R7633" s="16" t="str">
        <f t="shared" si="614"/>
        <v>GENERAL</v>
      </c>
    </row>
    <row r="7634" spans="1:19" customFormat="1" ht="27" customHeight="1" x14ac:dyDescent="0.25">
      <c r="A7634" s="32" t="s">
        <v>2512</v>
      </c>
      <c r="H7634" t="s">
        <v>15612</v>
      </c>
      <c r="I7634" s="33" t="s">
        <v>15613</v>
      </c>
      <c r="J7634" s="34" t="s">
        <v>33</v>
      </c>
      <c r="K7634" s="42">
        <v>44600</v>
      </c>
      <c r="L7634" s="12">
        <f t="shared" si="613"/>
        <v>52500</v>
      </c>
      <c r="M7634" s="8">
        <v>1</v>
      </c>
      <c r="N7634" s="8" t="s">
        <v>27</v>
      </c>
      <c r="O7634" s="13"/>
      <c r="P7634" s="14">
        <v>0</v>
      </c>
      <c r="Q7634" s="14">
        <v>0.15</v>
      </c>
      <c r="R7634" s="16" t="str">
        <f t="shared" si="614"/>
        <v>GENERAL</v>
      </c>
    </row>
    <row r="7635" spans="1:19" customFormat="1" ht="27" customHeight="1" x14ac:dyDescent="0.25">
      <c r="A7635" s="32" t="s">
        <v>5672</v>
      </c>
      <c r="H7635" t="s">
        <v>15614</v>
      </c>
      <c r="I7635" s="33" t="s">
        <v>15615</v>
      </c>
      <c r="J7635" s="34" t="s">
        <v>26</v>
      </c>
      <c r="K7635" s="42">
        <v>70</v>
      </c>
      <c r="L7635" s="12">
        <f t="shared" si="613"/>
        <v>82.352941176470594</v>
      </c>
      <c r="M7635" s="8">
        <v>1</v>
      </c>
      <c r="N7635" s="8" t="s">
        <v>27</v>
      </c>
      <c r="O7635" s="13"/>
      <c r="P7635" s="14">
        <v>0</v>
      </c>
      <c r="Q7635" s="14">
        <v>0.15</v>
      </c>
      <c r="R7635" s="16" t="str">
        <f t="shared" si="614"/>
        <v>LUTRON</v>
      </c>
    </row>
    <row r="7636" spans="1:19" customFormat="1" ht="27" customHeight="1" x14ac:dyDescent="0.25">
      <c r="A7636" s="32" t="s">
        <v>15517</v>
      </c>
      <c r="H7636" s="32" t="s">
        <v>15616</v>
      </c>
      <c r="I7636" s="33" t="s">
        <v>15617</v>
      </c>
      <c r="J7636" s="34" t="s">
        <v>33</v>
      </c>
      <c r="K7636" s="42">
        <v>33200</v>
      </c>
      <c r="L7636" s="12">
        <f t="shared" si="613"/>
        <v>51500</v>
      </c>
      <c r="M7636" s="8">
        <v>1</v>
      </c>
      <c r="N7636" s="8" t="s">
        <v>27</v>
      </c>
      <c r="O7636" s="13">
        <f t="shared" ref="O7636:O7651" si="615">F7636</f>
        <v>0</v>
      </c>
      <c r="P7636" s="14">
        <v>0</v>
      </c>
      <c r="Q7636" s="15">
        <v>0.35470440767243089</v>
      </c>
      <c r="R7636" s="50" t="str">
        <f t="shared" si="614"/>
        <v>WEBOOST</v>
      </c>
      <c r="S7636" s="20"/>
    </row>
    <row r="7637" spans="1:19" customFormat="1" ht="27" customHeight="1" x14ac:dyDescent="0.25">
      <c r="A7637" s="32" t="s">
        <v>15618</v>
      </c>
      <c r="H7637" s="32" t="s">
        <v>15619</v>
      </c>
      <c r="I7637" s="33" t="s">
        <v>15620</v>
      </c>
      <c r="J7637" s="34" t="s">
        <v>26</v>
      </c>
      <c r="K7637" s="42">
        <v>89.9</v>
      </c>
      <c r="L7637" s="12">
        <f t="shared" si="613"/>
        <v>139.31599885214214</v>
      </c>
      <c r="M7637" s="8">
        <v>1</v>
      </c>
      <c r="N7637" s="8" t="s">
        <v>27</v>
      </c>
      <c r="O7637" s="13">
        <f t="shared" si="615"/>
        <v>0</v>
      </c>
      <c r="P7637" s="14">
        <v>0</v>
      </c>
      <c r="Q7637" s="15">
        <v>0.35470440767243089</v>
      </c>
      <c r="R7637" s="64" t="str">
        <f t="shared" si="614"/>
        <v>SOLUS</v>
      </c>
      <c r="S7637" s="39" t="s">
        <v>15621</v>
      </c>
    </row>
    <row r="7638" spans="1:19" customFormat="1" ht="27" customHeight="1" x14ac:dyDescent="0.25">
      <c r="A7638" s="32" t="s">
        <v>15622</v>
      </c>
      <c r="H7638" s="32" t="s">
        <v>15623</v>
      </c>
      <c r="I7638" s="33" t="s">
        <v>15624</v>
      </c>
      <c r="J7638" s="34" t="s">
        <v>26</v>
      </c>
      <c r="K7638" s="42">
        <v>85</v>
      </c>
      <c r="L7638" s="12">
        <f t="shared" si="613"/>
        <v>131.72257955986743</v>
      </c>
      <c r="M7638" s="8">
        <v>1</v>
      </c>
      <c r="N7638" s="8" t="s">
        <v>27</v>
      </c>
      <c r="O7638" s="13">
        <f t="shared" si="615"/>
        <v>0</v>
      </c>
      <c r="P7638" s="14">
        <v>0</v>
      </c>
      <c r="Q7638" s="15">
        <v>0.35470440767243089</v>
      </c>
      <c r="R7638" s="64" t="str">
        <f t="shared" si="614"/>
        <v>BRIGHLEDS</v>
      </c>
      <c r="S7638" s="39" t="s">
        <v>15625</v>
      </c>
    </row>
    <row r="7639" spans="1:19" customFormat="1" ht="27" customHeight="1" x14ac:dyDescent="0.25">
      <c r="A7639" s="32" t="s">
        <v>10367</v>
      </c>
      <c r="H7639" s="32" t="s">
        <v>15626</v>
      </c>
      <c r="I7639" s="38" t="s">
        <v>15627</v>
      </c>
      <c r="J7639" s="34" t="s">
        <v>26</v>
      </c>
      <c r="K7639" s="42">
        <v>2234</v>
      </c>
      <c r="L7639" s="12">
        <f t="shared" si="613"/>
        <v>2978.6666666666665</v>
      </c>
      <c r="M7639" s="8">
        <v>1</v>
      </c>
      <c r="N7639" s="8" t="s">
        <v>27</v>
      </c>
      <c r="O7639" s="13">
        <f t="shared" si="615"/>
        <v>0</v>
      </c>
      <c r="P7639" s="14">
        <v>0.2</v>
      </c>
      <c r="Q7639" s="15">
        <v>0.1</v>
      </c>
      <c r="R7639" s="64" t="str">
        <f t="shared" si="614"/>
        <v>COOPER</v>
      </c>
    </row>
    <row r="7640" spans="1:19" customFormat="1" ht="27" customHeight="1" x14ac:dyDescent="0.25">
      <c r="A7640" s="32" t="s">
        <v>10367</v>
      </c>
      <c r="H7640" s="32" t="s">
        <v>15628</v>
      </c>
      <c r="I7640" s="38" t="s">
        <v>15629</v>
      </c>
      <c r="J7640" s="34" t="s">
        <v>26</v>
      </c>
      <c r="K7640" s="42">
        <v>1869</v>
      </c>
      <c r="L7640" s="12">
        <f t="shared" si="613"/>
        <v>2491.9999999999995</v>
      </c>
      <c r="M7640" s="8">
        <v>1</v>
      </c>
      <c r="N7640" s="8" t="s">
        <v>27</v>
      </c>
      <c r="O7640" s="13">
        <f t="shared" si="615"/>
        <v>0</v>
      </c>
      <c r="P7640" s="14">
        <v>0.2</v>
      </c>
      <c r="Q7640" s="15">
        <v>0.1</v>
      </c>
      <c r="R7640" s="64" t="str">
        <f t="shared" si="614"/>
        <v>COOPER</v>
      </c>
    </row>
    <row r="7641" spans="1:19" customFormat="1" ht="27" customHeight="1" x14ac:dyDescent="0.25">
      <c r="A7641" s="32" t="s">
        <v>10367</v>
      </c>
      <c r="H7641" s="32" t="s">
        <v>15630</v>
      </c>
      <c r="I7641" s="38" t="s">
        <v>15631</v>
      </c>
      <c r="J7641" s="34" t="s">
        <v>26</v>
      </c>
      <c r="K7641" s="42">
        <v>133</v>
      </c>
      <c r="L7641" s="12">
        <f t="shared" si="613"/>
        <v>177.33333333333331</v>
      </c>
      <c r="M7641" s="8">
        <v>1</v>
      </c>
      <c r="N7641" s="8" t="s">
        <v>27</v>
      </c>
      <c r="O7641" s="13">
        <f t="shared" si="615"/>
        <v>0</v>
      </c>
      <c r="P7641" s="14">
        <v>0.2</v>
      </c>
      <c r="Q7641" s="15">
        <v>0.1</v>
      </c>
      <c r="R7641" s="64" t="str">
        <f t="shared" si="614"/>
        <v>COOPER</v>
      </c>
    </row>
    <row r="7642" spans="1:19" customFormat="1" ht="27" customHeight="1" x14ac:dyDescent="0.25">
      <c r="A7642" s="32" t="s">
        <v>10367</v>
      </c>
      <c r="H7642" s="32" t="s">
        <v>15632</v>
      </c>
      <c r="I7642" s="38" t="s">
        <v>15633</v>
      </c>
      <c r="J7642" s="34" t="s">
        <v>26</v>
      </c>
      <c r="K7642" s="42">
        <v>66.599999999999994</v>
      </c>
      <c r="L7642" s="12">
        <f t="shared" si="613"/>
        <v>88.799999999999983</v>
      </c>
      <c r="M7642" s="8">
        <v>1</v>
      </c>
      <c r="N7642" s="8" t="s">
        <v>27</v>
      </c>
      <c r="O7642" s="13">
        <f t="shared" si="615"/>
        <v>0</v>
      </c>
      <c r="P7642" s="14">
        <v>0.2</v>
      </c>
      <c r="Q7642" s="15">
        <v>0.1</v>
      </c>
      <c r="R7642" s="64" t="str">
        <f t="shared" si="614"/>
        <v>COOPER</v>
      </c>
    </row>
    <row r="7643" spans="1:19" customFormat="1" ht="27" customHeight="1" x14ac:dyDescent="0.25">
      <c r="A7643" s="32" t="s">
        <v>10367</v>
      </c>
      <c r="H7643" s="32" t="s">
        <v>15634</v>
      </c>
      <c r="I7643" s="38" t="s">
        <v>15635</v>
      </c>
      <c r="J7643" s="34" t="s">
        <v>26</v>
      </c>
      <c r="K7643" s="42">
        <v>858</v>
      </c>
      <c r="L7643" s="12">
        <f t="shared" si="613"/>
        <v>1143.9999999999998</v>
      </c>
      <c r="M7643" s="8">
        <v>1</v>
      </c>
      <c r="N7643" s="8" t="s">
        <v>27</v>
      </c>
      <c r="O7643" s="13">
        <f t="shared" si="615"/>
        <v>0</v>
      </c>
      <c r="P7643" s="14">
        <v>0.2</v>
      </c>
      <c r="Q7643" s="15">
        <v>0.1</v>
      </c>
      <c r="R7643" s="64" t="str">
        <f t="shared" si="614"/>
        <v>COOPER</v>
      </c>
    </row>
    <row r="7644" spans="1:19" customFormat="1" ht="27" customHeight="1" x14ac:dyDescent="0.25">
      <c r="A7644" s="32" t="s">
        <v>10367</v>
      </c>
      <c r="H7644" s="124" t="s">
        <v>15636</v>
      </c>
      <c r="I7644" s="38" t="s">
        <v>15637</v>
      </c>
      <c r="J7644" s="34" t="s">
        <v>26</v>
      </c>
      <c r="K7644" s="42">
        <v>410</v>
      </c>
      <c r="L7644" s="12">
        <f t="shared" si="613"/>
        <v>546.66666666666663</v>
      </c>
      <c r="M7644" s="8">
        <v>1</v>
      </c>
      <c r="N7644" s="8" t="s">
        <v>27</v>
      </c>
      <c r="O7644" s="13">
        <f t="shared" si="615"/>
        <v>0</v>
      </c>
      <c r="P7644" s="14">
        <v>0.2</v>
      </c>
      <c r="Q7644" s="15">
        <v>0.1</v>
      </c>
      <c r="R7644" s="64" t="str">
        <f t="shared" si="614"/>
        <v>COOPER</v>
      </c>
    </row>
    <row r="7645" spans="1:19" customFormat="1" ht="27" customHeight="1" x14ac:dyDescent="0.25">
      <c r="A7645" s="32" t="s">
        <v>15638</v>
      </c>
      <c r="H7645" s="123" t="s">
        <v>15639</v>
      </c>
      <c r="I7645" s="38" t="s">
        <v>15640</v>
      </c>
      <c r="J7645" s="34" t="s">
        <v>26</v>
      </c>
      <c r="K7645" s="42">
        <v>99</v>
      </c>
      <c r="L7645" s="12">
        <f t="shared" si="613"/>
        <v>132</v>
      </c>
      <c r="M7645" s="8">
        <v>1</v>
      </c>
      <c r="N7645" s="8" t="s">
        <v>27</v>
      </c>
      <c r="O7645" s="13">
        <f t="shared" si="615"/>
        <v>0</v>
      </c>
      <c r="P7645" s="14">
        <v>0.2</v>
      </c>
      <c r="Q7645" s="15">
        <v>0.1</v>
      </c>
      <c r="R7645" s="64" t="str">
        <f t="shared" si="614"/>
        <v>SEAGULL</v>
      </c>
      <c r="S7645" s="39" t="s">
        <v>15641</v>
      </c>
    </row>
    <row r="7646" spans="1:19" customFormat="1" ht="27" customHeight="1" x14ac:dyDescent="0.25">
      <c r="A7646" s="32" t="s">
        <v>15642</v>
      </c>
      <c r="H7646" s="32" t="s">
        <v>15643</v>
      </c>
      <c r="I7646" s="38" t="s">
        <v>15644</v>
      </c>
      <c r="J7646" s="34" t="s">
        <v>26</v>
      </c>
      <c r="K7646" s="42">
        <v>824.95</v>
      </c>
      <c r="L7646" s="12">
        <f t="shared" si="613"/>
        <v>916.61111111111109</v>
      </c>
      <c r="M7646" s="8">
        <v>1</v>
      </c>
      <c r="N7646" s="8" t="s">
        <v>27</v>
      </c>
      <c r="O7646" s="13">
        <f t="shared" si="615"/>
        <v>0</v>
      </c>
      <c r="P7646" s="14">
        <v>0</v>
      </c>
      <c r="Q7646" s="15">
        <v>0.1</v>
      </c>
      <c r="R7646" s="64" t="str">
        <f t="shared" si="614"/>
        <v>ALCON</v>
      </c>
      <c r="S7646" s="39" t="s">
        <v>15645</v>
      </c>
    </row>
    <row r="7647" spans="1:19" customFormat="1" ht="27" customHeight="1" x14ac:dyDescent="0.25">
      <c r="A7647" s="32" t="s">
        <v>2512</v>
      </c>
      <c r="H7647" s="32" t="s">
        <v>15646</v>
      </c>
      <c r="I7647" s="38" t="s">
        <v>15647</v>
      </c>
      <c r="J7647" s="34" t="s">
        <v>26</v>
      </c>
      <c r="K7647" s="42">
        <v>50</v>
      </c>
      <c r="L7647" s="12">
        <f t="shared" si="613"/>
        <v>66.666666666666671</v>
      </c>
      <c r="M7647" s="8">
        <v>1</v>
      </c>
      <c r="N7647" s="8" t="s">
        <v>27</v>
      </c>
      <c r="O7647" s="13">
        <f t="shared" si="615"/>
        <v>0</v>
      </c>
      <c r="P7647" s="14">
        <v>0.2</v>
      </c>
      <c r="Q7647" s="15">
        <v>0.1</v>
      </c>
      <c r="R7647" s="64" t="str">
        <f t="shared" si="614"/>
        <v>GENERAL</v>
      </c>
    </row>
    <row r="7648" spans="1:19" customFormat="1" ht="27" customHeight="1" x14ac:dyDescent="0.25">
      <c r="A7648" s="32" t="s">
        <v>7989</v>
      </c>
      <c r="H7648" s="32" t="s">
        <v>15648</v>
      </c>
      <c r="I7648" s="38" t="s">
        <v>15649</v>
      </c>
      <c r="J7648" s="34" t="s">
        <v>26</v>
      </c>
      <c r="K7648" s="42">
        <v>349</v>
      </c>
      <c r="L7648" s="12">
        <f t="shared" si="613"/>
        <v>581.66666666666674</v>
      </c>
      <c r="M7648" s="8">
        <v>1</v>
      </c>
      <c r="N7648" s="8" t="s">
        <v>27</v>
      </c>
      <c r="O7648" s="13">
        <f t="shared" si="615"/>
        <v>0</v>
      </c>
      <c r="P7648" s="14">
        <v>0</v>
      </c>
      <c r="Q7648" s="15">
        <v>0.4</v>
      </c>
      <c r="R7648" s="64" t="str">
        <f t="shared" si="614"/>
        <v>RUSSOUND</v>
      </c>
    </row>
    <row r="7649" spans="1:19" customFormat="1" ht="27" customHeight="1" x14ac:dyDescent="0.25">
      <c r="A7649" s="49" t="s">
        <v>10524</v>
      </c>
      <c r="B7649" s="24"/>
      <c r="C7649" s="24"/>
      <c r="D7649" s="24"/>
      <c r="E7649" s="24"/>
      <c r="F7649" s="24"/>
      <c r="G7649" s="24"/>
      <c r="H7649" s="24" t="s">
        <v>15650</v>
      </c>
      <c r="I7649" s="24" t="s">
        <v>15651</v>
      </c>
      <c r="J7649" s="24" t="s">
        <v>26</v>
      </c>
      <c r="K7649" s="26">
        <v>50</v>
      </c>
      <c r="L7649" s="12">
        <f t="shared" si="613"/>
        <v>78.125</v>
      </c>
      <c r="M7649" s="8">
        <v>1</v>
      </c>
      <c r="N7649" s="8" t="s">
        <v>27</v>
      </c>
      <c r="O7649" s="13">
        <f t="shared" si="615"/>
        <v>0</v>
      </c>
      <c r="P7649" s="14">
        <v>0.25</v>
      </c>
      <c r="Q7649" s="15">
        <v>0.2</v>
      </c>
      <c r="R7649" s="64" t="str">
        <f t="shared" si="614"/>
        <v>AMAZON</v>
      </c>
      <c r="S7649" t="s">
        <v>15652</v>
      </c>
    </row>
    <row r="7650" spans="1:19" customFormat="1" ht="27" customHeight="1" x14ac:dyDescent="0.25">
      <c r="A7650" s="32" t="s">
        <v>3459</v>
      </c>
      <c r="H7650" s="32" t="s">
        <v>15653</v>
      </c>
      <c r="I7650" s="38" t="s">
        <v>15654</v>
      </c>
      <c r="J7650" s="34" t="s">
        <v>33</v>
      </c>
      <c r="K7650" s="42">
        <v>765000</v>
      </c>
      <c r="L7650" s="12">
        <f t="shared" si="613"/>
        <v>1275000</v>
      </c>
      <c r="M7650" s="8">
        <v>1</v>
      </c>
      <c r="N7650" s="8" t="s">
        <v>27</v>
      </c>
      <c r="O7650" s="13">
        <f t="shared" si="615"/>
        <v>0</v>
      </c>
      <c r="P7650" s="14">
        <v>0</v>
      </c>
      <c r="Q7650" s="15">
        <v>0.4</v>
      </c>
      <c r="R7650" s="64" t="str">
        <f t="shared" si="614"/>
        <v>HIKVISION</v>
      </c>
    </row>
    <row r="7651" spans="1:19" customFormat="1" ht="27" customHeight="1" x14ac:dyDescent="0.25">
      <c r="A7651" s="32" t="s">
        <v>15655</v>
      </c>
      <c r="H7651" s="32"/>
      <c r="I7651" s="38" t="s">
        <v>15656</v>
      </c>
      <c r="J7651" s="34" t="s">
        <v>33</v>
      </c>
      <c r="K7651" s="42">
        <v>5277000</v>
      </c>
      <c r="L7651" s="12">
        <f t="shared" si="613"/>
        <v>6596300</v>
      </c>
      <c r="M7651" s="8">
        <v>1</v>
      </c>
      <c r="N7651" s="8" t="s">
        <v>27</v>
      </c>
      <c r="O7651" s="13">
        <f t="shared" si="615"/>
        <v>0</v>
      </c>
      <c r="P7651" s="14">
        <v>0</v>
      </c>
      <c r="Q7651" s="15">
        <v>0.2</v>
      </c>
      <c r="R7651" s="64" t="str">
        <f t="shared" si="614"/>
        <v>SMARTZONE</v>
      </c>
    </row>
    <row r="7652" spans="1:19" customFormat="1" ht="27" customHeight="1" x14ac:dyDescent="0.25">
      <c r="A7652" s="32" t="s">
        <v>10258</v>
      </c>
      <c r="H7652" s="8" t="s">
        <v>15657</v>
      </c>
      <c r="I7652" s="33" t="s">
        <v>15658</v>
      </c>
      <c r="J7652" s="34" t="s">
        <v>26</v>
      </c>
      <c r="K7652" s="20">
        <v>12</v>
      </c>
      <c r="L7652" s="12">
        <f>K7652*(1+P7652)/(1-Q7652)</f>
        <v>27.999999999999996</v>
      </c>
      <c r="M7652" s="8">
        <v>1</v>
      </c>
      <c r="N7652" s="8" t="s">
        <v>27</v>
      </c>
      <c r="O7652" s="13"/>
      <c r="P7652" s="14">
        <v>0.4</v>
      </c>
      <c r="Q7652" s="15">
        <v>0.4</v>
      </c>
      <c r="R7652" s="16" t="str">
        <f t="shared" si="614"/>
        <v>SC_POWER</v>
      </c>
      <c r="S7652" s="52" t="str">
        <f>A7652</f>
        <v>SC_POWER</v>
      </c>
    </row>
    <row r="7653" spans="1:19" customFormat="1" ht="27" customHeight="1" x14ac:dyDescent="0.25">
      <c r="A7653" s="8" t="s">
        <v>5672</v>
      </c>
      <c r="B7653" s="9" t="s">
        <v>5666</v>
      </c>
      <c r="C7653" s="9"/>
      <c r="D7653" s="8" t="s">
        <v>408</v>
      </c>
      <c r="E7653" s="8">
        <v>7</v>
      </c>
      <c r="F7653" s="8" t="s">
        <v>22</v>
      </c>
      <c r="G7653" s="10" t="s">
        <v>6034</v>
      </c>
      <c r="H7653" s="8" t="s">
        <v>15659</v>
      </c>
      <c r="I7653" s="10" t="s">
        <v>15660</v>
      </c>
      <c r="J7653" s="11" t="s">
        <v>26</v>
      </c>
      <c r="K7653" s="57">
        <f>319.7*1.15</f>
        <v>367.65499999999997</v>
      </c>
      <c r="L7653" s="12">
        <f>ROUNDUP(K7653*(1+P7653)/(1-Q7653),0)</f>
        <v>736</v>
      </c>
      <c r="M7653" s="8">
        <v>1</v>
      </c>
      <c r="N7653" s="8" t="s">
        <v>27</v>
      </c>
      <c r="O7653" s="13"/>
      <c r="P7653" s="14">
        <v>0.2</v>
      </c>
      <c r="Q7653" s="15">
        <v>0.4</v>
      </c>
      <c r="R7653" s="40" t="str">
        <f t="shared" si="614"/>
        <v>LUTRON</v>
      </c>
    </row>
    <row r="7654" spans="1:19" customFormat="1" ht="27" customHeight="1" x14ac:dyDescent="0.25">
      <c r="A7654" s="32" t="s">
        <v>4994</v>
      </c>
      <c r="H7654" t="s">
        <v>15661</v>
      </c>
      <c r="I7654" t="str">
        <f>UPPER("Carril para conexión Dali de 2m para montaje superficial o suspensión, en aluminio extruido lacado")</f>
        <v>CARRIL PARA CONEXIÓN DALI DE 2M PARA MONTAJE SUPERFICIAL O SUSPENSIÓN, EN ALUMINIO EXTRUIDO LACADO</v>
      </c>
      <c r="J7654" s="34" t="s">
        <v>33</v>
      </c>
      <c r="K7654" s="42"/>
      <c r="R7654" s="64" t="str">
        <f t="shared" si="614"/>
        <v>LAMP</v>
      </c>
    </row>
    <row r="7655" spans="1:19" customFormat="1" ht="27" customHeight="1" x14ac:dyDescent="0.25">
      <c r="A7655" s="32" t="s">
        <v>4994</v>
      </c>
      <c r="H7655" t="s">
        <v>15662</v>
      </c>
      <c r="I7655" t="s">
        <v>15663</v>
      </c>
      <c r="J7655" s="34" t="s">
        <v>33</v>
      </c>
      <c r="K7655" s="42"/>
    </row>
    <row r="7656" spans="1:19" customFormat="1" ht="27" customHeight="1" x14ac:dyDescent="0.25">
      <c r="A7656" s="32" t="s">
        <v>4994</v>
      </c>
      <c r="H7656" t="s">
        <v>15664</v>
      </c>
      <c r="I7656" t="s">
        <v>15665</v>
      </c>
      <c r="J7656" s="34" t="s">
        <v>33</v>
      </c>
      <c r="K7656" s="42"/>
    </row>
    <row r="7657" spans="1:19" customFormat="1" ht="27" customHeight="1" x14ac:dyDescent="0.25">
      <c r="A7657" s="32" t="s">
        <v>4994</v>
      </c>
      <c r="H7657" t="s">
        <v>15666</v>
      </c>
      <c r="I7657" t="s">
        <v>15667</v>
      </c>
      <c r="J7657" s="34" t="s">
        <v>33</v>
      </c>
      <c r="K7657" s="42"/>
    </row>
    <row r="7658" spans="1:19" customFormat="1" ht="27" customHeight="1" x14ac:dyDescent="0.25">
      <c r="A7658" s="32" t="s">
        <v>4994</v>
      </c>
      <c r="H7658" t="s">
        <v>15668</v>
      </c>
      <c r="I7658" t="s">
        <v>15669</v>
      </c>
      <c r="J7658" s="34" t="s">
        <v>33</v>
      </c>
      <c r="K7658" s="42"/>
    </row>
    <row r="7659" spans="1:19" customFormat="1" ht="27" customHeight="1" x14ac:dyDescent="0.25">
      <c r="A7659" s="32" t="s">
        <v>4994</v>
      </c>
      <c r="H7659" t="s">
        <v>15469</v>
      </c>
      <c r="I7659" t="s">
        <v>15670</v>
      </c>
      <c r="J7659" s="34" t="s">
        <v>33</v>
      </c>
      <c r="K7659" s="42"/>
    </row>
    <row r="7660" spans="1:19" customFormat="1" ht="27" customHeight="1" x14ac:dyDescent="0.25">
      <c r="A7660" s="32" t="s">
        <v>4994</v>
      </c>
      <c r="H7660" t="s">
        <v>15671</v>
      </c>
      <c r="I7660" t="s">
        <v>15672</v>
      </c>
      <c r="J7660" s="34" t="s">
        <v>33</v>
      </c>
      <c r="K7660" s="42"/>
    </row>
    <row r="7661" spans="1:19" customFormat="1" ht="27" customHeight="1" x14ac:dyDescent="0.25">
      <c r="A7661" s="32" t="s">
        <v>4994</v>
      </c>
      <c r="H7661" t="s">
        <v>15673</v>
      </c>
      <c r="I7661" t="s">
        <v>15674</v>
      </c>
      <c r="J7661" s="34" t="s">
        <v>33</v>
      </c>
      <c r="K7661" s="42"/>
    </row>
    <row r="7662" spans="1:19" customFormat="1" ht="27" customHeight="1" x14ac:dyDescent="0.25">
      <c r="A7662" s="32" t="s">
        <v>4994</v>
      </c>
      <c r="H7662" t="s">
        <v>15675</v>
      </c>
      <c r="I7662" t="s">
        <v>15676</v>
      </c>
      <c r="J7662" s="34" t="s">
        <v>33</v>
      </c>
      <c r="K7662" s="42"/>
    </row>
    <row r="7663" spans="1:19" customFormat="1" ht="27" customHeight="1" x14ac:dyDescent="0.25">
      <c r="A7663" s="32" t="s">
        <v>4994</v>
      </c>
      <c r="H7663" t="s">
        <v>15677</v>
      </c>
      <c r="I7663" t="s">
        <v>15678</v>
      </c>
      <c r="J7663" s="34" t="s">
        <v>33</v>
      </c>
      <c r="K7663" s="42"/>
    </row>
    <row r="7664" spans="1:19" customFormat="1" ht="27" customHeight="1" x14ac:dyDescent="0.25">
      <c r="A7664" s="32" t="s">
        <v>4994</v>
      </c>
      <c r="H7664" t="s">
        <v>15679</v>
      </c>
      <c r="I7664" t="s">
        <v>15680</v>
      </c>
      <c r="J7664" s="34" t="s">
        <v>33</v>
      </c>
      <c r="K7664" s="42"/>
    </row>
    <row r="7665" spans="1:18" customFormat="1" ht="27" customHeight="1" x14ac:dyDescent="0.25">
      <c r="A7665" s="32" t="s">
        <v>4994</v>
      </c>
      <c r="H7665" t="s">
        <v>15681</v>
      </c>
      <c r="I7665" t="s">
        <v>15682</v>
      </c>
      <c r="J7665" s="34" t="s">
        <v>33</v>
      </c>
      <c r="K7665" s="42"/>
    </row>
    <row r="7666" spans="1:18" customFormat="1" ht="27" customHeight="1" x14ac:dyDescent="0.25">
      <c r="A7666" s="32" t="s">
        <v>15683</v>
      </c>
      <c r="H7666" t="s">
        <v>15684</v>
      </c>
      <c r="I7666" t="s">
        <v>15685</v>
      </c>
      <c r="J7666" s="34" t="s">
        <v>33</v>
      </c>
      <c r="K7666" s="42"/>
    </row>
    <row r="7667" spans="1:18" customFormat="1" ht="27" customHeight="1" x14ac:dyDescent="0.25">
      <c r="A7667" s="32" t="s">
        <v>4994</v>
      </c>
      <c r="H7667" t="s">
        <v>15686</v>
      </c>
      <c r="I7667" t="s">
        <v>15687</v>
      </c>
      <c r="J7667" s="34" t="s">
        <v>33</v>
      </c>
      <c r="K7667" s="42"/>
    </row>
    <row r="7668" spans="1:18" customFormat="1" ht="27" customHeight="1" x14ac:dyDescent="0.25">
      <c r="A7668" s="32" t="s">
        <v>4994</v>
      </c>
      <c r="H7668" t="s">
        <v>15688</v>
      </c>
      <c r="I7668" t="s">
        <v>15689</v>
      </c>
      <c r="J7668" s="34" t="s">
        <v>33</v>
      </c>
      <c r="K7668" s="42"/>
    </row>
    <row r="7669" spans="1:18" customFormat="1" ht="27" customHeight="1" x14ac:dyDescent="0.25">
      <c r="A7669" s="32" t="s">
        <v>4994</v>
      </c>
      <c r="H7669" t="s">
        <v>15690</v>
      </c>
      <c r="I7669" t="s">
        <v>15691</v>
      </c>
      <c r="J7669" s="34" t="s">
        <v>33</v>
      </c>
      <c r="K7669" s="42"/>
    </row>
    <row r="7670" spans="1:18" customFormat="1" ht="27" customHeight="1" x14ac:dyDescent="0.25">
      <c r="A7670" s="32" t="s">
        <v>4994</v>
      </c>
      <c r="H7670" t="s">
        <v>15692</v>
      </c>
      <c r="I7670" t="s">
        <v>15693</v>
      </c>
      <c r="J7670" s="34" t="s">
        <v>33</v>
      </c>
      <c r="K7670" s="42"/>
    </row>
    <row r="7671" spans="1:18" customFormat="1" ht="27" customHeight="1" x14ac:dyDescent="0.25">
      <c r="A7671" s="32" t="s">
        <v>4994</v>
      </c>
      <c r="H7671" t="s">
        <v>15694</v>
      </c>
      <c r="I7671" t="s">
        <v>15695</v>
      </c>
      <c r="J7671" s="34" t="s">
        <v>33</v>
      </c>
      <c r="K7671" s="42"/>
    </row>
    <row r="7672" spans="1:18" customFormat="1" ht="27" customHeight="1" x14ac:dyDescent="0.25">
      <c r="A7672" s="32" t="s">
        <v>4994</v>
      </c>
      <c r="H7672" t="s">
        <v>15696</v>
      </c>
      <c r="I7672" t="s">
        <v>15697</v>
      </c>
      <c r="J7672" s="34" t="s">
        <v>33</v>
      </c>
      <c r="K7672" s="42"/>
    </row>
    <row r="7673" spans="1:18" customFormat="1" ht="27" customHeight="1" x14ac:dyDescent="0.25">
      <c r="A7673" s="44" t="s">
        <v>7931</v>
      </c>
      <c r="H7673" s="32" t="s">
        <v>15698</v>
      </c>
      <c r="I7673" s="33" t="s">
        <v>15699</v>
      </c>
      <c r="J7673" s="34" t="s">
        <v>33</v>
      </c>
      <c r="K7673" s="42">
        <v>82000</v>
      </c>
      <c r="L7673" s="12">
        <f t="shared" ref="L7673:L7680" si="616">IF(J7673="P",ROUNDUP(K7673/(1-Q7673),-2),K7673*(1+P7673)/(1-Q7673))</f>
        <v>136700</v>
      </c>
      <c r="M7673" s="8">
        <v>1</v>
      </c>
      <c r="N7673" s="8" t="s">
        <v>27</v>
      </c>
      <c r="O7673" s="13"/>
      <c r="P7673" s="14">
        <v>0</v>
      </c>
      <c r="Q7673" s="14">
        <v>0.4</v>
      </c>
      <c r="R7673" s="16" t="str">
        <f t="shared" ref="R7673:R7680" si="617">A7673</f>
        <v>SYLVANIA</v>
      </c>
    </row>
    <row r="7674" spans="1:18" customFormat="1" ht="27" customHeight="1" x14ac:dyDescent="0.25">
      <c r="A7674" s="32" t="s">
        <v>10188</v>
      </c>
      <c r="H7674" t="s">
        <v>15700</v>
      </c>
      <c r="I7674" t="s">
        <v>15701</v>
      </c>
      <c r="J7674" s="34" t="s">
        <v>33</v>
      </c>
      <c r="K7674" s="42">
        <v>660000</v>
      </c>
      <c r="L7674" s="12">
        <f t="shared" si="616"/>
        <v>942900</v>
      </c>
      <c r="M7674" s="8">
        <v>1</v>
      </c>
      <c r="N7674" s="8" t="s">
        <v>27</v>
      </c>
      <c r="O7674" s="13"/>
      <c r="P7674" s="14">
        <v>0</v>
      </c>
      <c r="Q7674" s="14">
        <v>0.3</v>
      </c>
      <c r="R7674" s="16" t="str">
        <f t="shared" si="617"/>
        <v>PRODJ</v>
      </c>
    </row>
    <row r="7675" spans="1:18" customFormat="1" ht="27" customHeight="1" x14ac:dyDescent="0.25">
      <c r="A7675" s="32" t="s">
        <v>8308</v>
      </c>
      <c r="H7675" t="s">
        <v>15702</v>
      </c>
      <c r="I7675" t="s">
        <v>15703</v>
      </c>
      <c r="J7675" s="34" t="s">
        <v>33</v>
      </c>
      <c r="K7675" s="42">
        <v>39600</v>
      </c>
      <c r="L7675" s="12">
        <f t="shared" si="616"/>
        <v>56600</v>
      </c>
      <c r="M7675" s="8">
        <v>1</v>
      </c>
      <c r="N7675" s="8" t="s">
        <v>27</v>
      </c>
      <c r="O7675" s="13"/>
      <c r="P7675" s="14">
        <v>0</v>
      </c>
      <c r="Q7675" s="14">
        <v>0.3</v>
      </c>
      <c r="R7675" s="16" t="str">
        <f t="shared" si="617"/>
        <v>SOLIDVIEW</v>
      </c>
    </row>
    <row r="7676" spans="1:18" customFormat="1" ht="27" customHeight="1" x14ac:dyDescent="0.25">
      <c r="A7676" s="32" t="s">
        <v>4994</v>
      </c>
      <c r="H7676" t="s">
        <v>15704</v>
      </c>
      <c r="I7676" s="38" t="s">
        <v>15705</v>
      </c>
      <c r="J7676" s="34" t="s">
        <v>33</v>
      </c>
      <c r="K7676" s="42">
        <v>315727</v>
      </c>
      <c r="L7676" s="12">
        <f t="shared" si="616"/>
        <v>451100</v>
      </c>
      <c r="M7676" s="8">
        <v>1</v>
      </c>
      <c r="N7676" s="8" t="s">
        <v>27</v>
      </c>
      <c r="O7676" s="13"/>
      <c r="P7676" s="14">
        <v>0</v>
      </c>
      <c r="Q7676" s="14">
        <v>0.3</v>
      </c>
      <c r="R7676" s="16" t="str">
        <f t="shared" si="617"/>
        <v>LAMP</v>
      </c>
    </row>
    <row r="7677" spans="1:18" customFormat="1" ht="27" customHeight="1" x14ac:dyDescent="0.25">
      <c r="A7677" s="32" t="s">
        <v>4994</v>
      </c>
      <c r="H7677" t="s">
        <v>15706</v>
      </c>
      <c r="I7677" t="s">
        <v>15707</v>
      </c>
      <c r="J7677" s="34" t="s">
        <v>33</v>
      </c>
      <c r="K7677" s="42">
        <v>177400</v>
      </c>
      <c r="L7677" s="12">
        <f t="shared" si="616"/>
        <v>253500</v>
      </c>
      <c r="M7677" s="8">
        <v>1</v>
      </c>
      <c r="N7677" s="8" t="s">
        <v>27</v>
      </c>
      <c r="O7677" s="13"/>
      <c r="P7677" s="14">
        <v>0</v>
      </c>
      <c r="Q7677" s="14">
        <v>0.3</v>
      </c>
      <c r="R7677" s="16" t="str">
        <f t="shared" si="617"/>
        <v>LAMP</v>
      </c>
    </row>
    <row r="7678" spans="1:18" customFormat="1" ht="27" customHeight="1" x14ac:dyDescent="0.25">
      <c r="A7678" s="32" t="s">
        <v>4994</v>
      </c>
      <c r="H7678" t="s">
        <v>15708</v>
      </c>
      <c r="I7678" t="s">
        <v>15709</v>
      </c>
      <c r="J7678" s="34" t="s">
        <v>33</v>
      </c>
      <c r="K7678" s="42">
        <v>5400</v>
      </c>
      <c r="L7678" s="12">
        <f t="shared" si="616"/>
        <v>7800</v>
      </c>
      <c r="M7678" s="8">
        <v>1</v>
      </c>
      <c r="N7678" s="8" t="s">
        <v>27</v>
      </c>
      <c r="O7678" s="13"/>
      <c r="P7678" s="14">
        <v>0</v>
      </c>
      <c r="Q7678" s="14">
        <v>0.3</v>
      </c>
      <c r="R7678" s="16" t="str">
        <f t="shared" si="617"/>
        <v>LAMP</v>
      </c>
    </row>
    <row r="7679" spans="1:18" customFormat="1" ht="27" customHeight="1" x14ac:dyDescent="0.25">
      <c r="A7679" s="32" t="s">
        <v>4994</v>
      </c>
      <c r="H7679" t="s">
        <v>15710</v>
      </c>
      <c r="I7679" s="38" t="s">
        <v>15711</v>
      </c>
      <c r="J7679" s="34" t="s">
        <v>33</v>
      </c>
      <c r="K7679" s="42">
        <v>37100</v>
      </c>
      <c r="L7679" s="12">
        <f t="shared" si="616"/>
        <v>53000</v>
      </c>
      <c r="M7679" s="8">
        <v>1</v>
      </c>
      <c r="N7679" s="8" t="s">
        <v>27</v>
      </c>
      <c r="O7679" s="13"/>
      <c r="P7679" s="14">
        <v>0</v>
      </c>
      <c r="Q7679" s="14">
        <v>0.3</v>
      </c>
      <c r="R7679" s="16" t="str">
        <f t="shared" si="617"/>
        <v>LAMP</v>
      </c>
    </row>
    <row r="7680" spans="1:18" customFormat="1" ht="27" customHeight="1" x14ac:dyDescent="0.25">
      <c r="A7680" s="32" t="s">
        <v>4994</v>
      </c>
      <c r="H7680" t="s">
        <v>15712</v>
      </c>
      <c r="I7680" s="38" t="s">
        <v>15713</v>
      </c>
      <c r="J7680" s="34" t="s">
        <v>33</v>
      </c>
      <c r="K7680" s="42">
        <v>39050</v>
      </c>
      <c r="L7680" s="12">
        <f t="shared" si="616"/>
        <v>55800</v>
      </c>
      <c r="M7680" s="8">
        <v>1</v>
      </c>
      <c r="N7680" s="8" t="s">
        <v>27</v>
      </c>
      <c r="O7680" s="13"/>
      <c r="P7680" s="14">
        <v>0</v>
      </c>
      <c r="Q7680" s="14">
        <v>0.3</v>
      </c>
      <c r="R7680" s="16" t="str">
        <f t="shared" si="617"/>
        <v>LAMP</v>
      </c>
    </row>
    <row r="7681" spans="1:18" customFormat="1" ht="27" customHeight="1" x14ac:dyDescent="0.25">
      <c r="A7681" s="32" t="s">
        <v>2512</v>
      </c>
      <c r="H7681" t="s">
        <v>15714</v>
      </c>
      <c r="I7681" s="38" t="s">
        <v>15715</v>
      </c>
      <c r="J7681" s="34" t="s">
        <v>33</v>
      </c>
      <c r="K7681" s="42"/>
    </row>
    <row r="7682" spans="1:18" customFormat="1" ht="27" customHeight="1" x14ac:dyDescent="0.25">
      <c r="A7682" s="32" t="s">
        <v>723</v>
      </c>
      <c r="H7682" t="s">
        <v>15716</v>
      </c>
      <c r="I7682" s="38" t="s">
        <v>15717</v>
      </c>
      <c r="J7682" t="s">
        <v>26</v>
      </c>
      <c r="K7682" s="42">
        <v>1431</v>
      </c>
      <c r="L7682" s="12">
        <f>IF(J7682="P",ROUNDUP(K7682/(1-Q7682),-2),K7682*(1+P7682)/(1-Q7682))</f>
        <v>2044.2857142857144</v>
      </c>
      <c r="M7682" s="8">
        <v>1</v>
      </c>
      <c r="N7682" s="8" t="s">
        <v>27</v>
      </c>
      <c r="O7682" s="13"/>
      <c r="P7682" s="14">
        <v>0</v>
      </c>
      <c r="Q7682" s="14">
        <v>0.3</v>
      </c>
      <c r="R7682" s="16" t="str">
        <f>A7682</f>
        <v>BARCO</v>
      </c>
    </row>
    <row r="7683" spans="1:18" customFormat="1" ht="27" customHeight="1" x14ac:dyDescent="0.25">
      <c r="A7683" s="32" t="s">
        <v>6853</v>
      </c>
      <c r="H7683" t="s">
        <v>15718</v>
      </c>
      <c r="I7683" s="38" t="s">
        <v>15719</v>
      </c>
      <c r="J7683" t="s">
        <v>33</v>
      </c>
      <c r="K7683" s="42">
        <v>3100000</v>
      </c>
      <c r="L7683" s="12">
        <f>IF(J7683="P",ROUNDUP(K7683/(1-Q7683),-2),K7683*(1+P7683)/(1-Q7683))</f>
        <v>4428600</v>
      </c>
      <c r="M7683" s="8">
        <v>1</v>
      </c>
      <c r="N7683" s="8" t="s">
        <v>27</v>
      </c>
      <c r="O7683" s="13"/>
      <c r="P7683" s="14">
        <v>0</v>
      </c>
      <c r="Q7683" s="14">
        <v>0.3</v>
      </c>
      <c r="R7683" s="16" t="str">
        <f>A7683</f>
        <v>MAXHUB</v>
      </c>
    </row>
    <row r="7684" spans="1:18" customFormat="1" ht="27" customHeight="1" x14ac:dyDescent="0.25">
      <c r="A7684" s="32" t="s">
        <v>4994</v>
      </c>
      <c r="H7684" t="s">
        <v>15720</v>
      </c>
      <c r="I7684" s="38" t="s">
        <v>15721</v>
      </c>
      <c r="K7684" s="42"/>
    </row>
    <row r="7685" spans="1:18" customFormat="1" ht="27" customHeight="1" x14ac:dyDescent="0.25">
      <c r="A7685" s="32" t="s">
        <v>4994</v>
      </c>
      <c r="H7685" t="s">
        <v>15722</v>
      </c>
      <c r="I7685" s="38" t="s">
        <v>15723</v>
      </c>
      <c r="J7685" t="s">
        <v>33</v>
      </c>
      <c r="K7685" s="42">
        <v>214500</v>
      </c>
      <c r="L7685" s="12">
        <f t="shared" ref="L7685:L7699" si="618">IF(J7685="P",ROUNDUP(K7685/(1-Q7685),-2),K7685*(1+P7685)/(1-Q7685))</f>
        <v>306500</v>
      </c>
      <c r="M7685" s="8">
        <v>1</v>
      </c>
      <c r="N7685" s="8" t="s">
        <v>27</v>
      </c>
      <c r="O7685" s="13"/>
      <c r="P7685" s="14">
        <v>0</v>
      </c>
      <c r="Q7685" s="14">
        <v>0.3</v>
      </c>
      <c r="R7685" s="16" t="str">
        <f t="shared" ref="R7685:R7748" si="619">A7685</f>
        <v>LAMP</v>
      </c>
    </row>
    <row r="7686" spans="1:18" customFormat="1" ht="27" customHeight="1" x14ac:dyDescent="0.25">
      <c r="A7686" s="32" t="s">
        <v>4994</v>
      </c>
      <c r="H7686" t="s">
        <v>15724</v>
      </c>
      <c r="I7686" s="38" t="s">
        <v>15725</v>
      </c>
      <c r="J7686" t="s">
        <v>33</v>
      </c>
      <c r="K7686" s="42">
        <v>2070000</v>
      </c>
      <c r="L7686" s="12">
        <f t="shared" si="618"/>
        <v>2957200</v>
      </c>
      <c r="M7686" s="8">
        <v>1</v>
      </c>
      <c r="N7686" s="8" t="s">
        <v>27</v>
      </c>
      <c r="O7686" s="13"/>
      <c r="P7686" s="14">
        <v>0</v>
      </c>
      <c r="Q7686" s="14">
        <v>0.3</v>
      </c>
      <c r="R7686" s="16" t="str">
        <f t="shared" si="619"/>
        <v>LAMP</v>
      </c>
    </row>
    <row r="7687" spans="1:18" customFormat="1" ht="27" customHeight="1" x14ac:dyDescent="0.25">
      <c r="A7687" s="32" t="s">
        <v>4994</v>
      </c>
      <c r="H7687" t="s">
        <v>15726</v>
      </c>
      <c r="I7687" s="38" t="s">
        <v>15727</v>
      </c>
      <c r="J7687" t="s">
        <v>33</v>
      </c>
      <c r="K7687" s="42">
        <v>1427658</v>
      </c>
      <c r="L7687" s="12">
        <f t="shared" si="618"/>
        <v>2039600</v>
      </c>
      <c r="M7687" s="8">
        <v>1</v>
      </c>
      <c r="N7687" s="8" t="s">
        <v>27</v>
      </c>
      <c r="O7687" s="13"/>
      <c r="P7687" s="14">
        <v>0</v>
      </c>
      <c r="Q7687" s="14">
        <v>0.3</v>
      </c>
      <c r="R7687" s="16" t="str">
        <f t="shared" si="619"/>
        <v>LAMP</v>
      </c>
    </row>
    <row r="7688" spans="1:18" customFormat="1" ht="27" customHeight="1" x14ac:dyDescent="0.25">
      <c r="A7688" s="32" t="s">
        <v>4994</v>
      </c>
      <c r="H7688" t="s">
        <v>15728</v>
      </c>
      <c r="I7688" s="38" t="s">
        <v>15729</v>
      </c>
      <c r="J7688" t="s">
        <v>33</v>
      </c>
      <c r="K7688" s="42">
        <v>1155917</v>
      </c>
      <c r="L7688" s="12">
        <f t="shared" si="618"/>
        <v>1651400</v>
      </c>
      <c r="M7688" s="8">
        <v>1</v>
      </c>
      <c r="N7688" s="8" t="s">
        <v>27</v>
      </c>
      <c r="O7688" s="13"/>
      <c r="P7688" s="14">
        <v>0</v>
      </c>
      <c r="Q7688" s="14">
        <v>0.3</v>
      </c>
      <c r="R7688" s="16" t="str">
        <f t="shared" si="619"/>
        <v>LAMP</v>
      </c>
    </row>
    <row r="7689" spans="1:18" customFormat="1" ht="27" customHeight="1" x14ac:dyDescent="0.25">
      <c r="A7689" s="32" t="s">
        <v>4994</v>
      </c>
      <c r="H7689" t="s">
        <v>15730</v>
      </c>
      <c r="I7689" s="38" t="s">
        <v>15731</v>
      </c>
      <c r="J7689" t="s">
        <v>33</v>
      </c>
      <c r="K7689" s="42">
        <v>885.80600000000004</v>
      </c>
      <c r="L7689" s="12">
        <f t="shared" si="618"/>
        <v>1300</v>
      </c>
      <c r="M7689" s="8">
        <v>1</v>
      </c>
      <c r="N7689" s="8" t="s">
        <v>27</v>
      </c>
      <c r="O7689" s="13"/>
      <c r="P7689" s="14">
        <v>0</v>
      </c>
      <c r="Q7689" s="14">
        <v>0.3</v>
      </c>
      <c r="R7689" s="16" t="str">
        <f t="shared" si="619"/>
        <v>LAMP</v>
      </c>
    </row>
    <row r="7690" spans="1:18" customFormat="1" ht="27" customHeight="1" x14ac:dyDescent="0.25">
      <c r="A7690" s="32" t="s">
        <v>4994</v>
      </c>
      <c r="H7690" t="s">
        <v>15732</v>
      </c>
      <c r="I7690" s="38" t="s">
        <v>15733</v>
      </c>
      <c r="J7690" t="s">
        <v>33</v>
      </c>
      <c r="K7690" s="42">
        <v>11960</v>
      </c>
      <c r="L7690" s="12">
        <f t="shared" si="618"/>
        <v>17100</v>
      </c>
      <c r="M7690" s="8">
        <v>1</v>
      </c>
      <c r="N7690" s="8" t="s">
        <v>27</v>
      </c>
      <c r="O7690" s="13"/>
      <c r="P7690" s="14">
        <v>0</v>
      </c>
      <c r="Q7690" s="14">
        <v>0.3</v>
      </c>
      <c r="R7690" s="16" t="str">
        <f t="shared" si="619"/>
        <v>LAMP</v>
      </c>
    </row>
    <row r="7691" spans="1:18" customFormat="1" ht="27" customHeight="1" x14ac:dyDescent="0.25">
      <c r="A7691" s="32" t="s">
        <v>4994</v>
      </c>
      <c r="H7691" t="s">
        <v>15734</v>
      </c>
      <c r="I7691" s="38" t="s">
        <v>15735</v>
      </c>
      <c r="J7691" t="s">
        <v>33</v>
      </c>
      <c r="K7691" s="42">
        <v>28889</v>
      </c>
      <c r="L7691" s="12">
        <f t="shared" si="618"/>
        <v>41300</v>
      </c>
      <c r="M7691" s="8">
        <v>1</v>
      </c>
      <c r="N7691" s="8" t="s">
        <v>27</v>
      </c>
      <c r="O7691" s="13"/>
      <c r="P7691" s="14">
        <v>0</v>
      </c>
      <c r="Q7691" s="14">
        <v>0.3</v>
      </c>
      <c r="R7691" s="16" t="str">
        <f t="shared" si="619"/>
        <v>LAMP</v>
      </c>
    </row>
    <row r="7692" spans="1:18" customFormat="1" ht="27" customHeight="1" x14ac:dyDescent="0.25">
      <c r="A7692" s="32" t="s">
        <v>4994</v>
      </c>
      <c r="H7692" t="s">
        <v>15736</v>
      </c>
      <c r="I7692" s="38" t="s">
        <v>15737</v>
      </c>
      <c r="J7692" t="s">
        <v>33</v>
      </c>
      <c r="K7692" s="42">
        <v>47582</v>
      </c>
      <c r="L7692" s="12">
        <f t="shared" si="618"/>
        <v>68000</v>
      </c>
      <c r="M7692" s="8">
        <v>1</v>
      </c>
      <c r="N7692" s="8" t="s">
        <v>27</v>
      </c>
      <c r="O7692" s="13"/>
      <c r="P7692" s="14">
        <v>0</v>
      </c>
      <c r="Q7692" s="14">
        <v>0.3</v>
      </c>
      <c r="R7692" s="16" t="str">
        <f t="shared" si="619"/>
        <v>LAMP</v>
      </c>
    </row>
    <row r="7693" spans="1:18" customFormat="1" ht="27" customHeight="1" x14ac:dyDescent="0.25">
      <c r="A7693" s="32" t="s">
        <v>15642</v>
      </c>
      <c r="H7693" s="32" t="s">
        <v>15738</v>
      </c>
      <c r="I7693" s="38" t="s">
        <v>15739</v>
      </c>
      <c r="J7693" s="34" t="s">
        <v>26</v>
      </c>
      <c r="K7693" s="42">
        <v>724.92</v>
      </c>
      <c r="L7693" s="12">
        <f t="shared" si="618"/>
        <v>805.46666666666658</v>
      </c>
      <c r="M7693" s="8">
        <v>1</v>
      </c>
      <c r="N7693" s="8" t="s">
        <v>27</v>
      </c>
      <c r="O7693" s="13">
        <f t="shared" ref="O7693:O7699" si="620">F7693</f>
        <v>0</v>
      </c>
      <c r="P7693" s="14">
        <v>0</v>
      </c>
      <c r="Q7693" s="15">
        <v>0.1</v>
      </c>
      <c r="R7693" s="64" t="str">
        <f t="shared" si="619"/>
        <v>ALCON</v>
      </c>
    </row>
    <row r="7694" spans="1:18" customFormat="1" ht="27" customHeight="1" x14ac:dyDescent="0.25">
      <c r="A7694" s="32" t="s">
        <v>15740</v>
      </c>
      <c r="H7694" t="s">
        <v>15741</v>
      </c>
      <c r="I7694" s="38" t="s">
        <v>15742</v>
      </c>
      <c r="J7694" t="s">
        <v>26</v>
      </c>
      <c r="K7694" s="42">
        <v>57</v>
      </c>
      <c r="L7694" s="12">
        <f t="shared" si="618"/>
        <v>63.333333333333329</v>
      </c>
      <c r="M7694" s="8">
        <v>1</v>
      </c>
      <c r="N7694" s="8" t="s">
        <v>27</v>
      </c>
      <c r="O7694" s="13">
        <f t="shared" si="620"/>
        <v>0</v>
      </c>
      <c r="P7694" s="14">
        <v>0</v>
      </c>
      <c r="Q7694" s="15">
        <v>0.1</v>
      </c>
      <c r="R7694" s="64" t="str">
        <f t="shared" si="619"/>
        <v>SUPERBRIGHT</v>
      </c>
    </row>
    <row r="7695" spans="1:18" customFormat="1" ht="27" customHeight="1" x14ac:dyDescent="0.25">
      <c r="A7695" s="32" t="s">
        <v>15743</v>
      </c>
      <c r="H7695" t="s">
        <v>15744</v>
      </c>
      <c r="I7695" s="125" t="s">
        <v>15745</v>
      </c>
      <c r="J7695" t="s">
        <v>26</v>
      </c>
      <c r="K7695" s="42">
        <v>3.4</v>
      </c>
      <c r="L7695" s="12">
        <f t="shared" si="618"/>
        <v>4.25</v>
      </c>
      <c r="M7695" s="8">
        <v>1</v>
      </c>
      <c r="N7695" s="8" t="s">
        <v>27</v>
      </c>
      <c r="O7695" s="13">
        <f t="shared" si="620"/>
        <v>0</v>
      </c>
      <c r="P7695" s="14">
        <v>0</v>
      </c>
      <c r="Q7695" s="15">
        <v>0.2</v>
      </c>
      <c r="R7695" s="64" t="str">
        <f t="shared" si="619"/>
        <v>THMOOTHER</v>
      </c>
    </row>
    <row r="7696" spans="1:18" customFormat="1" ht="27" customHeight="1" x14ac:dyDescent="0.25">
      <c r="A7696" s="32" t="s">
        <v>15746</v>
      </c>
      <c r="H7696" t="s">
        <v>15747</v>
      </c>
      <c r="I7696" s="38" t="s">
        <v>15748</v>
      </c>
      <c r="J7696" t="s">
        <v>26</v>
      </c>
      <c r="K7696" s="42">
        <v>3.4</v>
      </c>
      <c r="L7696" s="12">
        <f t="shared" si="618"/>
        <v>4.25</v>
      </c>
      <c r="M7696" s="8">
        <v>1</v>
      </c>
      <c r="N7696" s="8" t="s">
        <v>27</v>
      </c>
      <c r="O7696" s="13">
        <f t="shared" si="620"/>
        <v>0</v>
      </c>
      <c r="P7696" s="14">
        <v>0</v>
      </c>
      <c r="Q7696" s="15">
        <v>0.2</v>
      </c>
      <c r="R7696" s="64" t="str">
        <f t="shared" si="619"/>
        <v>BEACHSUDE</v>
      </c>
    </row>
    <row r="7697" spans="1:19" customFormat="1" ht="27" customHeight="1" x14ac:dyDescent="0.25">
      <c r="A7697" s="32" t="s">
        <v>15746</v>
      </c>
      <c r="H7697" t="s">
        <v>15749</v>
      </c>
      <c r="I7697" s="38" t="s">
        <v>15750</v>
      </c>
      <c r="J7697" t="s">
        <v>26</v>
      </c>
      <c r="K7697" s="42">
        <v>3.4</v>
      </c>
      <c r="L7697" s="12">
        <f t="shared" si="618"/>
        <v>4.25</v>
      </c>
      <c r="M7697" s="8">
        <v>1</v>
      </c>
      <c r="N7697" s="8" t="s">
        <v>27</v>
      </c>
      <c r="O7697" s="13">
        <f t="shared" si="620"/>
        <v>0</v>
      </c>
      <c r="P7697" s="14">
        <v>0</v>
      </c>
      <c r="Q7697" s="15">
        <v>0.2</v>
      </c>
      <c r="R7697" s="64" t="str">
        <f t="shared" si="619"/>
        <v>BEACHSUDE</v>
      </c>
    </row>
    <row r="7698" spans="1:19" customFormat="1" ht="27" customHeight="1" x14ac:dyDescent="0.25">
      <c r="A7698" s="32" t="s">
        <v>15751</v>
      </c>
      <c r="H7698" t="s">
        <v>15752</v>
      </c>
      <c r="I7698" s="38" t="s">
        <v>15753</v>
      </c>
      <c r="J7698" t="s">
        <v>26</v>
      </c>
      <c r="K7698" s="42">
        <v>448</v>
      </c>
      <c r="L7698" s="12">
        <f t="shared" si="618"/>
        <v>746.66666666666674</v>
      </c>
      <c r="M7698" s="8">
        <v>1</v>
      </c>
      <c r="N7698" s="8" t="s">
        <v>27</v>
      </c>
      <c r="O7698" s="13">
        <f t="shared" si="620"/>
        <v>0</v>
      </c>
      <c r="P7698" s="14">
        <v>0</v>
      </c>
      <c r="Q7698" s="15">
        <v>0.4</v>
      </c>
      <c r="R7698" s="64" t="str">
        <f t="shared" si="619"/>
        <v>HUPER</v>
      </c>
    </row>
    <row r="7699" spans="1:19" customFormat="1" ht="27" customHeight="1" x14ac:dyDescent="0.25">
      <c r="A7699" s="32" t="s">
        <v>9912</v>
      </c>
      <c r="H7699" t="s">
        <v>15754</v>
      </c>
      <c r="I7699" s="38" t="s">
        <v>15755</v>
      </c>
      <c r="J7699" t="s">
        <v>26</v>
      </c>
      <c r="K7699" s="42">
        <v>1200000</v>
      </c>
      <c r="L7699" s="12">
        <f t="shared" si="618"/>
        <v>1967213.1147540985</v>
      </c>
      <c r="M7699" s="8">
        <v>1</v>
      </c>
      <c r="N7699" s="8" t="s">
        <v>27</v>
      </c>
      <c r="O7699" s="13">
        <f t="shared" si="620"/>
        <v>0</v>
      </c>
      <c r="P7699" s="14">
        <v>0</v>
      </c>
      <c r="Q7699" s="15">
        <v>0.39</v>
      </c>
      <c r="R7699" s="64" t="str">
        <f t="shared" si="619"/>
        <v>SIETEPRO</v>
      </c>
    </row>
    <row r="7700" spans="1:19" customFormat="1" ht="27" customHeight="1" x14ac:dyDescent="0.25">
      <c r="A7700" s="8" t="s">
        <v>9912</v>
      </c>
      <c r="H7700" s="32" t="s">
        <v>12391</v>
      </c>
      <c r="I7700" s="38" t="s">
        <v>15756</v>
      </c>
      <c r="J7700" s="34" t="s">
        <v>33</v>
      </c>
      <c r="K7700" s="42">
        <v>2100000</v>
      </c>
      <c r="L7700" s="12">
        <f t="shared" ref="L7700:L7706" si="621">ROUNDUP(K7700*(1+P7700)/(1-Q7700),0)</f>
        <v>3442623</v>
      </c>
      <c r="M7700" s="8">
        <v>1</v>
      </c>
      <c r="N7700" s="8" t="s">
        <v>27</v>
      </c>
      <c r="O7700" s="13"/>
      <c r="P7700" s="14">
        <v>0</v>
      </c>
      <c r="Q7700" s="15">
        <v>0.39</v>
      </c>
      <c r="R7700" s="16" t="str">
        <f t="shared" si="619"/>
        <v>SIETEPRO</v>
      </c>
    </row>
    <row r="7701" spans="1:19" customFormat="1" ht="27" customHeight="1" x14ac:dyDescent="0.25">
      <c r="A7701" s="44" t="s">
        <v>15751</v>
      </c>
      <c r="H7701" s="32" t="s">
        <v>15757</v>
      </c>
      <c r="I7701" t="s">
        <v>15758</v>
      </c>
      <c r="J7701" t="s">
        <v>33</v>
      </c>
      <c r="K7701" s="42">
        <v>2300000</v>
      </c>
      <c r="L7701" s="12">
        <f t="shared" si="621"/>
        <v>3770492</v>
      </c>
      <c r="M7701" s="8">
        <v>1</v>
      </c>
      <c r="N7701" s="8" t="s">
        <v>27</v>
      </c>
      <c r="O7701" s="13"/>
      <c r="P7701" s="14">
        <v>0</v>
      </c>
      <c r="Q7701" s="15">
        <v>0.39</v>
      </c>
      <c r="R7701" s="16" t="str">
        <f t="shared" si="619"/>
        <v>HUPER</v>
      </c>
    </row>
    <row r="7702" spans="1:19" customFormat="1" ht="27" customHeight="1" x14ac:dyDescent="0.25">
      <c r="A7702" s="32" t="s">
        <v>9912</v>
      </c>
      <c r="H7702" s="32" t="s">
        <v>15759</v>
      </c>
      <c r="I7702" s="38" t="s">
        <v>15760</v>
      </c>
      <c r="J7702" t="s">
        <v>33</v>
      </c>
      <c r="K7702" s="42">
        <v>720000</v>
      </c>
      <c r="L7702" s="12">
        <f t="shared" si="621"/>
        <v>1180328</v>
      </c>
      <c r="M7702" s="8">
        <v>1</v>
      </c>
      <c r="N7702" s="8" t="s">
        <v>27</v>
      </c>
      <c r="O7702" s="13"/>
      <c r="P7702" s="14">
        <v>0</v>
      </c>
      <c r="Q7702" s="15">
        <v>0.39</v>
      </c>
      <c r="R7702" s="16" t="str">
        <f t="shared" si="619"/>
        <v>SIETEPRO</v>
      </c>
    </row>
    <row r="7703" spans="1:19" customFormat="1" ht="27" customHeight="1" x14ac:dyDescent="0.25">
      <c r="A7703" s="32" t="s">
        <v>7483</v>
      </c>
      <c r="H7703" s="32" t="s">
        <v>15761</v>
      </c>
      <c r="I7703" s="38" t="s">
        <v>15762</v>
      </c>
      <c r="J7703" t="s">
        <v>26</v>
      </c>
      <c r="K7703" s="42">
        <v>981</v>
      </c>
      <c r="L7703" s="12">
        <f t="shared" si="621"/>
        <v>1402</v>
      </c>
      <c r="M7703" s="8">
        <v>1</v>
      </c>
      <c r="N7703" s="8" t="s">
        <v>27</v>
      </c>
      <c r="O7703" s="13"/>
      <c r="P7703" s="14">
        <v>0</v>
      </c>
      <c r="Q7703" s="15">
        <v>0.3</v>
      </c>
      <c r="R7703" s="16" t="str">
        <f t="shared" si="619"/>
        <v>OPTOMA</v>
      </c>
    </row>
    <row r="7704" spans="1:19" customFormat="1" ht="27" customHeight="1" x14ac:dyDescent="0.25">
      <c r="A7704" s="32" t="s">
        <v>15763</v>
      </c>
      <c r="H7704" s="32" t="s">
        <v>15764</v>
      </c>
      <c r="I7704" s="38" t="s">
        <v>15765</v>
      </c>
      <c r="J7704" t="s">
        <v>26</v>
      </c>
      <c r="K7704" s="42">
        <v>7.3</v>
      </c>
      <c r="L7704" s="12">
        <f t="shared" si="621"/>
        <v>13</v>
      </c>
      <c r="M7704" s="8">
        <v>1</v>
      </c>
      <c r="N7704" s="8" t="s">
        <v>27</v>
      </c>
      <c r="O7704" s="13"/>
      <c r="P7704" s="14">
        <v>0</v>
      </c>
      <c r="Q7704" s="15">
        <v>0.4</v>
      </c>
      <c r="R7704" s="16" t="str">
        <f t="shared" si="619"/>
        <v>HUN</v>
      </c>
      <c r="S7704" t="s">
        <v>15766</v>
      </c>
    </row>
    <row r="7705" spans="1:19" customFormat="1" ht="27" customHeight="1" x14ac:dyDescent="0.25">
      <c r="A7705" s="32" t="s">
        <v>15767</v>
      </c>
      <c r="H7705" s="32" t="s">
        <v>15768</v>
      </c>
      <c r="I7705" s="38" t="s">
        <v>15769</v>
      </c>
      <c r="J7705" t="s">
        <v>26</v>
      </c>
      <c r="K7705" s="42">
        <v>65</v>
      </c>
      <c r="L7705" s="12">
        <f t="shared" si="621"/>
        <v>77</v>
      </c>
      <c r="M7705" s="8">
        <v>1</v>
      </c>
      <c r="N7705" s="8" t="s">
        <v>27</v>
      </c>
      <c r="O7705" s="13"/>
      <c r="P7705" s="14">
        <v>0</v>
      </c>
      <c r="Q7705" s="15">
        <v>0.15</v>
      </c>
      <c r="R7705" s="40" t="str">
        <f t="shared" si="619"/>
        <v>DIODEDRIVE</v>
      </c>
      <c r="S7705" s="39" t="s">
        <v>15770</v>
      </c>
    </row>
    <row r="7706" spans="1:19" customFormat="1" ht="27" customHeight="1" x14ac:dyDescent="0.25">
      <c r="A7706" s="32" t="s">
        <v>15746</v>
      </c>
      <c r="H7706" t="s">
        <v>15771</v>
      </c>
      <c r="I7706" s="38" t="s">
        <v>15772</v>
      </c>
      <c r="J7706" t="s">
        <v>26</v>
      </c>
      <c r="K7706" s="42">
        <v>13.6</v>
      </c>
      <c r="L7706" s="12">
        <f t="shared" si="621"/>
        <v>16</v>
      </c>
      <c r="M7706" s="8">
        <v>1</v>
      </c>
      <c r="N7706" s="8" t="s">
        <v>27</v>
      </c>
      <c r="O7706" s="13"/>
      <c r="P7706" s="14">
        <v>0</v>
      </c>
      <c r="Q7706" s="15">
        <v>0.15</v>
      </c>
      <c r="R7706" s="40" t="str">
        <f t="shared" si="619"/>
        <v>BEACHSUDE</v>
      </c>
    </row>
    <row r="7707" spans="1:19" customFormat="1" ht="27" customHeight="1" x14ac:dyDescent="0.25">
      <c r="A7707" s="32" t="s">
        <v>10367</v>
      </c>
      <c r="H7707" s="32" t="s">
        <v>15773</v>
      </c>
      <c r="I7707" s="38" t="s">
        <v>15774</v>
      </c>
      <c r="J7707" s="34" t="s">
        <v>26</v>
      </c>
      <c r="K7707" s="42">
        <v>1174</v>
      </c>
      <c r="L7707" s="12">
        <f t="shared" ref="L7707:L7724" si="622">IF(J7707="P",ROUNDUP(K7707/(1-Q7707),-2),K7707*(1+P7707)/(1-Q7707))</f>
        <v>1565.3333333333333</v>
      </c>
      <c r="M7707" s="8">
        <v>1</v>
      </c>
      <c r="N7707" s="8" t="s">
        <v>27</v>
      </c>
      <c r="O7707" s="13">
        <f t="shared" ref="O7707:O7717" si="623">F7707</f>
        <v>0</v>
      </c>
      <c r="P7707" s="14">
        <v>0.2</v>
      </c>
      <c r="Q7707" s="15">
        <v>0.1</v>
      </c>
      <c r="R7707" s="64" t="str">
        <f t="shared" si="619"/>
        <v>COOPER</v>
      </c>
    </row>
    <row r="7708" spans="1:19" customFormat="1" ht="27" customHeight="1" x14ac:dyDescent="0.25">
      <c r="A7708" s="32" t="s">
        <v>10367</v>
      </c>
      <c r="H7708" s="32" t="s">
        <v>15775</v>
      </c>
      <c r="I7708" s="38" t="s">
        <v>15776</v>
      </c>
      <c r="J7708" s="34" t="s">
        <v>26</v>
      </c>
      <c r="K7708" s="42">
        <v>1534</v>
      </c>
      <c r="L7708" s="12">
        <f t="shared" si="622"/>
        <v>2045.3333333333333</v>
      </c>
      <c r="M7708" s="8">
        <v>1</v>
      </c>
      <c r="N7708" s="8" t="s">
        <v>27</v>
      </c>
      <c r="O7708" s="13">
        <f t="shared" si="623"/>
        <v>0</v>
      </c>
      <c r="P7708" s="14">
        <v>0.2</v>
      </c>
      <c r="Q7708" s="15">
        <v>0.1</v>
      </c>
      <c r="R7708" s="64" t="str">
        <f t="shared" si="619"/>
        <v>COOPER</v>
      </c>
    </row>
    <row r="7709" spans="1:19" customFormat="1" ht="27" customHeight="1" x14ac:dyDescent="0.25">
      <c r="A7709" s="32" t="s">
        <v>15767</v>
      </c>
      <c r="H7709" s="32" t="s">
        <v>15777</v>
      </c>
      <c r="I7709" s="38" t="s">
        <v>15778</v>
      </c>
      <c r="J7709" t="s">
        <v>26</v>
      </c>
      <c r="K7709" s="42">
        <v>65</v>
      </c>
      <c r="L7709" s="12">
        <f t="shared" si="622"/>
        <v>86.666666666666671</v>
      </c>
      <c r="M7709" s="8">
        <v>1</v>
      </c>
      <c r="N7709" s="8" t="s">
        <v>27</v>
      </c>
      <c r="O7709" s="13">
        <f t="shared" si="623"/>
        <v>0</v>
      </c>
      <c r="P7709" s="14">
        <v>0.2</v>
      </c>
      <c r="Q7709" s="15">
        <v>0.1</v>
      </c>
      <c r="R7709" s="64" t="str">
        <f t="shared" si="619"/>
        <v>DIODEDRIVE</v>
      </c>
    </row>
    <row r="7710" spans="1:19" customFormat="1" ht="27" customHeight="1" x14ac:dyDescent="0.25">
      <c r="A7710" s="32" t="s">
        <v>15746</v>
      </c>
      <c r="H7710" s="32" t="s">
        <v>15779</v>
      </c>
      <c r="I7710" s="38" t="s">
        <v>15780</v>
      </c>
      <c r="J7710" t="s">
        <v>26</v>
      </c>
      <c r="K7710" s="42">
        <f>9047.94/33</f>
        <v>274.18</v>
      </c>
      <c r="L7710" s="12">
        <f t="shared" si="622"/>
        <v>365.57333333333332</v>
      </c>
      <c r="M7710" s="8">
        <v>1</v>
      </c>
      <c r="N7710" s="8" t="s">
        <v>27</v>
      </c>
      <c r="O7710" s="13">
        <f t="shared" si="623"/>
        <v>0</v>
      </c>
      <c r="P7710" s="14">
        <v>0.2</v>
      </c>
      <c r="Q7710" s="15">
        <v>0.1</v>
      </c>
      <c r="R7710" s="64" t="str">
        <f t="shared" si="619"/>
        <v>BEACHSUDE</v>
      </c>
    </row>
    <row r="7711" spans="1:19" customFormat="1" ht="27" customHeight="1" x14ac:dyDescent="0.25">
      <c r="A7711" s="32" t="s">
        <v>8836</v>
      </c>
      <c r="H7711" s="32" t="s">
        <v>15781</v>
      </c>
      <c r="I7711" s="38" t="s">
        <v>15782</v>
      </c>
      <c r="J7711" t="s">
        <v>33</v>
      </c>
      <c r="K7711" s="42">
        <v>20500</v>
      </c>
      <c r="L7711" s="12">
        <f t="shared" si="622"/>
        <v>29300</v>
      </c>
      <c r="M7711" s="8">
        <v>1</v>
      </c>
      <c r="N7711" s="8" t="s">
        <v>27</v>
      </c>
      <c r="O7711" s="13">
        <f t="shared" si="623"/>
        <v>0</v>
      </c>
      <c r="P7711" s="14">
        <v>0</v>
      </c>
      <c r="Q7711" s="15">
        <v>0.3</v>
      </c>
      <c r="R7711" s="64" t="str">
        <f t="shared" si="619"/>
        <v>TECNOLITE</v>
      </c>
    </row>
    <row r="7712" spans="1:19" customFormat="1" ht="27" customHeight="1" x14ac:dyDescent="0.25">
      <c r="A7712" s="32" t="s">
        <v>8836</v>
      </c>
      <c r="H7712" s="32" t="s">
        <v>15783</v>
      </c>
      <c r="I7712" s="38" t="s">
        <v>15784</v>
      </c>
      <c r="J7712" t="s">
        <v>33</v>
      </c>
      <c r="K7712" s="42">
        <v>43805</v>
      </c>
      <c r="L7712" s="12">
        <f t="shared" si="622"/>
        <v>62600</v>
      </c>
      <c r="M7712" s="8">
        <v>1</v>
      </c>
      <c r="N7712" s="8" t="s">
        <v>27</v>
      </c>
      <c r="O7712" s="13">
        <f t="shared" si="623"/>
        <v>0</v>
      </c>
      <c r="P7712" s="14">
        <v>0</v>
      </c>
      <c r="Q7712" s="15">
        <v>0.3</v>
      </c>
      <c r="R7712" s="64" t="str">
        <f t="shared" si="619"/>
        <v>TECNOLITE</v>
      </c>
    </row>
    <row r="7713" spans="1:19" customFormat="1" ht="27" customHeight="1" x14ac:dyDescent="0.25">
      <c r="A7713" s="32" t="s">
        <v>5672</v>
      </c>
      <c r="H7713" s="32" t="s">
        <v>15785</v>
      </c>
      <c r="I7713" s="38" t="s">
        <v>15786</v>
      </c>
      <c r="J7713" t="s">
        <v>26</v>
      </c>
      <c r="K7713" s="42">
        <v>8.75</v>
      </c>
      <c r="L7713" s="12">
        <f t="shared" si="622"/>
        <v>17.5</v>
      </c>
      <c r="M7713" s="8">
        <v>1</v>
      </c>
      <c r="N7713" s="8" t="s">
        <v>27</v>
      </c>
      <c r="O7713" s="13">
        <f t="shared" si="623"/>
        <v>0</v>
      </c>
      <c r="P7713" s="14">
        <v>0.2</v>
      </c>
      <c r="Q7713" s="15">
        <v>0.4</v>
      </c>
      <c r="R7713" s="64" t="str">
        <f t="shared" si="619"/>
        <v>LUTRON</v>
      </c>
    </row>
    <row r="7714" spans="1:19" customFormat="1" ht="27" customHeight="1" x14ac:dyDescent="0.25">
      <c r="A7714" s="32" t="s">
        <v>5672</v>
      </c>
      <c r="H7714" s="32" t="s">
        <v>15787</v>
      </c>
      <c r="I7714" s="38" t="s">
        <v>15788</v>
      </c>
      <c r="J7714" t="s">
        <v>26</v>
      </c>
      <c r="K7714" s="42">
        <v>8.75</v>
      </c>
      <c r="L7714" s="12">
        <f t="shared" si="622"/>
        <v>17.5</v>
      </c>
      <c r="M7714" s="8">
        <v>1</v>
      </c>
      <c r="N7714" s="8" t="s">
        <v>27</v>
      </c>
      <c r="O7714" s="13">
        <f t="shared" si="623"/>
        <v>0</v>
      </c>
      <c r="P7714" s="14">
        <v>0.2</v>
      </c>
      <c r="Q7714" s="15">
        <v>0.4</v>
      </c>
      <c r="R7714" s="64" t="str">
        <f t="shared" si="619"/>
        <v>LUTRON</v>
      </c>
    </row>
    <row r="7715" spans="1:19" customFormat="1" ht="27" customHeight="1" x14ac:dyDescent="0.25">
      <c r="A7715" s="32" t="s">
        <v>1561</v>
      </c>
      <c r="H7715" s="32" t="s">
        <v>13961</v>
      </c>
      <c r="I7715" s="38" t="s">
        <v>13962</v>
      </c>
      <c r="J7715" t="s">
        <v>33</v>
      </c>
      <c r="K7715" s="42">
        <v>184500</v>
      </c>
      <c r="L7715" s="12">
        <f t="shared" si="622"/>
        <v>307500</v>
      </c>
      <c r="M7715" s="8">
        <v>1</v>
      </c>
      <c r="N7715" s="8" t="s">
        <v>27</v>
      </c>
      <c r="O7715" s="13">
        <f t="shared" si="623"/>
        <v>0</v>
      </c>
      <c r="P7715" s="14">
        <v>0</v>
      </c>
      <c r="Q7715" s="15">
        <v>0.4</v>
      </c>
      <c r="R7715" s="64" t="str">
        <f t="shared" si="619"/>
        <v>DAHUA</v>
      </c>
    </row>
    <row r="7716" spans="1:19" customFormat="1" ht="27" customHeight="1" x14ac:dyDescent="0.25">
      <c r="A7716" s="32" t="s">
        <v>1561</v>
      </c>
      <c r="H7716" s="32" t="s">
        <v>15789</v>
      </c>
      <c r="I7716" s="38" t="s">
        <v>15790</v>
      </c>
      <c r="J7716" t="s">
        <v>33</v>
      </c>
      <c r="K7716" s="42">
        <v>229135</v>
      </c>
      <c r="L7716" s="12">
        <f t="shared" si="622"/>
        <v>381900</v>
      </c>
      <c r="M7716" s="8">
        <v>1</v>
      </c>
      <c r="N7716" s="8" t="s">
        <v>27</v>
      </c>
      <c r="O7716" s="13">
        <f t="shared" si="623"/>
        <v>0</v>
      </c>
      <c r="P7716" s="14">
        <v>0</v>
      </c>
      <c r="Q7716" s="15">
        <v>0.4</v>
      </c>
      <c r="R7716" s="64" t="str">
        <f t="shared" si="619"/>
        <v>DAHUA</v>
      </c>
    </row>
    <row r="7717" spans="1:19" customFormat="1" ht="27" customHeight="1" x14ac:dyDescent="0.25">
      <c r="A7717" s="32" t="s">
        <v>9568</v>
      </c>
      <c r="H7717" s="32" t="s">
        <v>15791</v>
      </c>
      <c r="I7717" s="38" t="s">
        <v>12298</v>
      </c>
      <c r="J7717" t="s">
        <v>33</v>
      </c>
      <c r="K7717" s="42">
        <v>362961</v>
      </c>
      <c r="L7717" s="12">
        <f t="shared" si="622"/>
        <v>605000</v>
      </c>
      <c r="M7717" s="8">
        <v>1</v>
      </c>
      <c r="N7717" s="8" t="s">
        <v>27</v>
      </c>
      <c r="O7717" s="13">
        <f t="shared" si="623"/>
        <v>0</v>
      </c>
      <c r="P7717" s="14">
        <v>0</v>
      </c>
      <c r="Q7717" s="15">
        <v>0.4</v>
      </c>
      <c r="R7717" s="64" t="str">
        <f t="shared" si="619"/>
        <v>WESTERN DIGITAL</v>
      </c>
    </row>
    <row r="7718" spans="1:19" customFormat="1" ht="27" customHeight="1" x14ac:dyDescent="0.25">
      <c r="A7718" s="32" t="s">
        <v>6853</v>
      </c>
      <c r="H7718" s="32" t="s">
        <v>15792</v>
      </c>
      <c r="I7718" s="33" t="s">
        <v>15793</v>
      </c>
      <c r="J7718" s="34" t="s">
        <v>33</v>
      </c>
      <c r="K7718" s="42">
        <f>3661000*0.9</f>
        <v>3294900</v>
      </c>
      <c r="L7718" s="12">
        <f t="shared" si="622"/>
        <v>4707000</v>
      </c>
      <c r="M7718" s="8">
        <v>1</v>
      </c>
      <c r="N7718" s="8" t="s">
        <v>27</v>
      </c>
      <c r="O7718" s="13"/>
      <c r="P7718" s="14">
        <v>0</v>
      </c>
      <c r="Q7718" s="14">
        <v>0.3</v>
      </c>
      <c r="R7718" s="16" t="str">
        <f t="shared" si="619"/>
        <v>MAXHUB</v>
      </c>
    </row>
    <row r="7719" spans="1:19" customFormat="1" ht="27" customHeight="1" x14ac:dyDescent="0.25">
      <c r="A7719" s="32" t="s">
        <v>16706</v>
      </c>
      <c r="H7719" s="32" t="s">
        <v>15794</v>
      </c>
      <c r="I7719" s="33" t="s">
        <v>15795</v>
      </c>
      <c r="J7719" s="34" t="s">
        <v>33</v>
      </c>
      <c r="K7719" s="42">
        <v>11000</v>
      </c>
      <c r="L7719" s="12">
        <f t="shared" si="622"/>
        <v>17100</v>
      </c>
      <c r="M7719" s="8">
        <v>1</v>
      </c>
      <c r="N7719" s="8" t="s">
        <v>27</v>
      </c>
      <c r="O7719" s="13">
        <f t="shared" ref="O7719:O7724" si="624">F7719</f>
        <v>0</v>
      </c>
      <c r="P7719" s="14">
        <v>0</v>
      </c>
      <c r="Q7719" s="15">
        <v>0.35470440767243089</v>
      </c>
      <c r="R7719" s="50" t="str">
        <f t="shared" si="619"/>
        <v>COMFERVI</v>
      </c>
      <c r="S7719" s="126" t="s">
        <v>15796</v>
      </c>
    </row>
    <row r="7720" spans="1:19" customFormat="1" ht="27" customHeight="1" x14ac:dyDescent="0.25">
      <c r="A7720" s="32" t="s">
        <v>15797</v>
      </c>
      <c r="H7720" s="32" t="s">
        <v>12992</v>
      </c>
      <c r="I7720" s="33" t="s">
        <v>15798</v>
      </c>
      <c r="J7720" s="34" t="s">
        <v>33</v>
      </c>
      <c r="K7720" s="42">
        <f>22500/2.5</f>
        <v>9000</v>
      </c>
      <c r="L7720" s="12">
        <f t="shared" si="622"/>
        <v>14000</v>
      </c>
      <c r="M7720" s="8">
        <v>1</v>
      </c>
      <c r="N7720" s="8" t="s">
        <v>27</v>
      </c>
      <c r="O7720" s="13">
        <f t="shared" si="624"/>
        <v>0</v>
      </c>
      <c r="P7720" s="14">
        <v>0</v>
      </c>
      <c r="Q7720" s="15">
        <v>0.35470440767243089</v>
      </c>
      <c r="R7720" s="50" t="str">
        <f t="shared" si="619"/>
        <v>BANUR</v>
      </c>
    </row>
    <row r="7721" spans="1:19" customFormat="1" ht="27" customHeight="1" x14ac:dyDescent="0.25">
      <c r="A7721" s="32" t="s">
        <v>6886</v>
      </c>
      <c r="H7721" s="32" t="s">
        <v>15799</v>
      </c>
      <c r="I7721" t="s">
        <v>15800</v>
      </c>
      <c r="J7721" s="34" t="s">
        <v>33</v>
      </c>
      <c r="K7721" s="42">
        <f>65000/1.19</f>
        <v>54621.848739495799</v>
      </c>
      <c r="L7721" s="12">
        <f t="shared" si="622"/>
        <v>91100</v>
      </c>
      <c r="M7721" s="8">
        <v>1</v>
      </c>
      <c r="N7721" s="8" t="s">
        <v>27</v>
      </c>
      <c r="O7721" s="13">
        <f t="shared" si="624"/>
        <v>0</v>
      </c>
      <c r="P7721" s="14">
        <v>0</v>
      </c>
      <c r="Q7721" s="15">
        <v>0.4</v>
      </c>
      <c r="R7721" s="64" t="str">
        <f t="shared" si="619"/>
        <v>MEANWELL</v>
      </c>
    </row>
    <row r="7722" spans="1:19" customFormat="1" ht="27" customHeight="1" x14ac:dyDescent="0.25">
      <c r="A7722" s="32" t="s">
        <v>13391</v>
      </c>
      <c r="H7722" s="32" t="s">
        <v>15801</v>
      </c>
      <c r="I7722" s="33" t="s">
        <v>15802</v>
      </c>
      <c r="J7722" s="34" t="s">
        <v>33</v>
      </c>
      <c r="K7722" s="42">
        <v>122500</v>
      </c>
      <c r="L7722" s="12">
        <f t="shared" si="622"/>
        <v>189900</v>
      </c>
      <c r="M7722" s="8">
        <v>1</v>
      </c>
      <c r="N7722" s="8" t="s">
        <v>27</v>
      </c>
      <c r="O7722" s="13">
        <f t="shared" si="624"/>
        <v>0</v>
      </c>
      <c r="P7722" s="14">
        <v>0</v>
      </c>
      <c r="Q7722" s="15">
        <v>0.35470440767243089</v>
      </c>
      <c r="R7722" s="64" t="str">
        <f t="shared" si="619"/>
        <v>COLORS</v>
      </c>
    </row>
    <row r="7723" spans="1:19" customFormat="1" ht="27" customHeight="1" x14ac:dyDescent="0.25">
      <c r="A7723" s="32" t="s">
        <v>3977</v>
      </c>
      <c r="H7723" s="32" t="s">
        <v>15803</v>
      </c>
      <c r="I7723" s="33" t="s">
        <v>15804</v>
      </c>
      <c r="J7723" s="34" t="s">
        <v>33</v>
      </c>
      <c r="K7723" s="42">
        <v>15000</v>
      </c>
      <c r="L7723" s="12">
        <f t="shared" si="622"/>
        <v>23300</v>
      </c>
      <c r="M7723" s="8">
        <v>1</v>
      </c>
      <c r="N7723" s="8" t="s">
        <v>27</v>
      </c>
      <c r="O7723" s="13">
        <f t="shared" si="624"/>
        <v>0</v>
      </c>
      <c r="P7723" s="14">
        <v>0</v>
      </c>
      <c r="Q7723" s="15">
        <v>0.35470440767243089</v>
      </c>
      <c r="R7723" s="64" t="str">
        <f t="shared" si="619"/>
        <v>KOMODO</v>
      </c>
    </row>
    <row r="7724" spans="1:19" customFormat="1" ht="27" customHeight="1" x14ac:dyDescent="0.25">
      <c r="A7724" s="32" t="s">
        <v>5672</v>
      </c>
      <c r="H7724" s="32" t="s">
        <v>15805</v>
      </c>
      <c r="I7724" s="33" t="s">
        <v>15806</v>
      </c>
      <c r="J7724" s="34" t="s">
        <v>26</v>
      </c>
      <c r="K7724" s="42">
        <v>15.86</v>
      </c>
      <c r="L7724" s="12">
        <f t="shared" si="622"/>
        <v>31.720000000000002</v>
      </c>
      <c r="M7724" s="8">
        <v>1</v>
      </c>
      <c r="N7724" s="8" t="s">
        <v>27</v>
      </c>
      <c r="O7724" s="13">
        <f t="shared" si="624"/>
        <v>0</v>
      </c>
      <c r="P7724" s="14">
        <v>0.2</v>
      </c>
      <c r="Q7724" s="15">
        <v>0.4</v>
      </c>
      <c r="R7724" s="64" t="str">
        <f t="shared" si="619"/>
        <v>LUTRON</v>
      </c>
    </row>
    <row r="7725" spans="1:19" customFormat="1" ht="27" customHeight="1" x14ac:dyDescent="0.25">
      <c r="A7725" s="32" t="s">
        <v>4994</v>
      </c>
      <c r="H7725" s="44" t="s">
        <v>15807</v>
      </c>
      <c r="I7725" s="33" t="s">
        <v>15808</v>
      </c>
      <c r="J7725" s="34" t="s">
        <v>33</v>
      </c>
      <c r="K7725" s="42">
        <v>600000</v>
      </c>
      <c r="L7725" s="12">
        <f>K7725*(1+P7725)/(1-Q7725)</f>
        <v>857142.85714285716</v>
      </c>
      <c r="M7725" s="8">
        <v>1</v>
      </c>
      <c r="N7725" s="8" t="s">
        <v>27</v>
      </c>
      <c r="O7725" s="13"/>
      <c r="P7725" s="14">
        <v>0</v>
      </c>
      <c r="Q7725" s="15">
        <v>0.3</v>
      </c>
      <c r="R7725" s="16" t="str">
        <f t="shared" si="619"/>
        <v>LAMP</v>
      </c>
    </row>
    <row r="7726" spans="1:19" customFormat="1" ht="27" customHeight="1" x14ac:dyDescent="0.25">
      <c r="A7726" s="32" t="s">
        <v>4994</v>
      </c>
      <c r="H7726" s="44" t="s">
        <v>15809</v>
      </c>
      <c r="I7726" s="33" t="s">
        <v>15810</v>
      </c>
      <c r="J7726" s="34" t="s">
        <v>33</v>
      </c>
      <c r="K7726" s="42">
        <v>450000</v>
      </c>
      <c r="L7726" s="12">
        <f>K7726*(1+P7726)/(1-Q7726)</f>
        <v>642857.14285714284</v>
      </c>
      <c r="M7726" s="8">
        <v>1</v>
      </c>
      <c r="N7726" s="8" t="s">
        <v>27</v>
      </c>
      <c r="O7726" s="13"/>
      <c r="P7726" s="14">
        <v>0</v>
      </c>
      <c r="Q7726" s="15">
        <v>0.3</v>
      </c>
      <c r="R7726" s="16" t="str">
        <f t="shared" si="619"/>
        <v>LAMP</v>
      </c>
    </row>
    <row r="7727" spans="1:19" customFormat="1" ht="27" customHeight="1" x14ac:dyDescent="0.25">
      <c r="A7727" s="32" t="s">
        <v>13391</v>
      </c>
      <c r="H7727" s="32" t="s">
        <v>15811</v>
      </c>
      <c r="I7727" s="33" t="s">
        <v>15812</v>
      </c>
      <c r="J7727" s="34" t="s">
        <v>33</v>
      </c>
      <c r="K7727" s="42">
        <v>180000</v>
      </c>
      <c r="L7727" s="12">
        <f>K7727*(1+P7727)/(1-Q7727)</f>
        <v>257142.85714285716</v>
      </c>
      <c r="M7727" s="8">
        <v>1</v>
      </c>
      <c r="N7727" s="8" t="s">
        <v>27</v>
      </c>
      <c r="O7727" s="13"/>
      <c r="P7727" s="14">
        <v>0</v>
      </c>
      <c r="Q7727" s="15">
        <v>0.3</v>
      </c>
      <c r="R7727" s="16" t="str">
        <f t="shared" si="619"/>
        <v>COLORS</v>
      </c>
    </row>
    <row r="7728" spans="1:19" customFormat="1" ht="27" customHeight="1" x14ac:dyDescent="0.25">
      <c r="A7728" s="32" t="s">
        <v>6886</v>
      </c>
      <c r="H7728" s="32" t="s">
        <v>15813</v>
      </c>
      <c r="I7728" t="s">
        <v>15814</v>
      </c>
      <c r="J7728" s="34" t="s">
        <v>33</v>
      </c>
      <c r="K7728" s="42">
        <f>85000/1.19</f>
        <v>71428.571428571435</v>
      </c>
      <c r="L7728" s="12">
        <f t="shared" ref="L7728:L7751" si="625">IF(J7728="P",ROUNDUP(K7728/(1-Q7728),-2),K7728*(1+P7728)/(1-Q7728))</f>
        <v>119100</v>
      </c>
      <c r="M7728" s="8">
        <v>1</v>
      </c>
      <c r="N7728" s="8" t="s">
        <v>27</v>
      </c>
      <c r="O7728" s="13">
        <f t="shared" ref="O7728:O7751" si="626">F7728</f>
        <v>0</v>
      </c>
      <c r="P7728" s="14">
        <v>0</v>
      </c>
      <c r="Q7728" s="15">
        <v>0.4</v>
      </c>
      <c r="R7728" s="64" t="str">
        <f t="shared" si="619"/>
        <v>MEANWELL</v>
      </c>
    </row>
    <row r="7729" spans="1:18" customFormat="1" ht="27" customHeight="1" x14ac:dyDescent="0.25">
      <c r="A7729" s="32" t="s">
        <v>4994</v>
      </c>
      <c r="H7729" t="s">
        <v>15809</v>
      </c>
      <c r="I7729" s="33" t="s">
        <v>15815</v>
      </c>
      <c r="J7729" s="34" t="s">
        <v>33</v>
      </c>
      <c r="K7729" s="42">
        <v>389200</v>
      </c>
      <c r="L7729" s="12">
        <f t="shared" si="625"/>
        <v>556000</v>
      </c>
      <c r="M7729" s="8">
        <v>1</v>
      </c>
      <c r="N7729" s="8" t="s">
        <v>27</v>
      </c>
      <c r="O7729" s="13">
        <f t="shared" si="626"/>
        <v>0</v>
      </c>
      <c r="P7729" s="14">
        <v>0</v>
      </c>
      <c r="Q7729" s="15">
        <v>0.3</v>
      </c>
      <c r="R7729" s="64" t="str">
        <f t="shared" si="619"/>
        <v>LAMP</v>
      </c>
    </row>
    <row r="7730" spans="1:18" customFormat="1" ht="27" customHeight="1" x14ac:dyDescent="0.25">
      <c r="A7730" s="32" t="s">
        <v>4994</v>
      </c>
      <c r="H7730" t="s">
        <v>15807</v>
      </c>
      <c r="I7730" s="33" t="s">
        <v>15816</v>
      </c>
      <c r="J7730" s="34" t="s">
        <v>33</v>
      </c>
      <c r="K7730" s="42">
        <v>495500</v>
      </c>
      <c r="L7730" s="12">
        <f t="shared" si="625"/>
        <v>707900</v>
      </c>
      <c r="M7730" s="8">
        <v>1</v>
      </c>
      <c r="N7730" s="8" t="s">
        <v>27</v>
      </c>
      <c r="O7730" s="13">
        <f t="shared" si="626"/>
        <v>0</v>
      </c>
      <c r="P7730" s="14">
        <v>0</v>
      </c>
      <c r="Q7730" s="15">
        <v>0.3</v>
      </c>
      <c r="R7730" s="64" t="str">
        <f t="shared" si="619"/>
        <v>LAMP</v>
      </c>
    </row>
    <row r="7731" spans="1:18" customFormat="1" ht="27" customHeight="1" x14ac:dyDescent="0.25">
      <c r="A7731" s="32" t="s">
        <v>4994</v>
      </c>
      <c r="H7731" t="s">
        <v>15817</v>
      </c>
      <c r="I7731" s="33" t="s">
        <v>15818</v>
      </c>
      <c r="J7731" s="34" t="s">
        <v>33</v>
      </c>
      <c r="K7731" s="42">
        <f>389000+80000</f>
        <v>469000</v>
      </c>
      <c r="L7731" s="12">
        <f t="shared" si="625"/>
        <v>670000</v>
      </c>
      <c r="M7731" s="8">
        <v>1</v>
      </c>
      <c r="N7731" s="8" t="s">
        <v>27</v>
      </c>
      <c r="O7731" s="13">
        <f t="shared" si="626"/>
        <v>0</v>
      </c>
      <c r="P7731" s="14">
        <v>0</v>
      </c>
      <c r="Q7731" s="15">
        <v>0.3</v>
      </c>
      <c r="R7731" s="64" t="str">
        <f t="shared" si="619"/>
        <v>LAMP</v>
      </c>
    </row>
    <row r="7732" spans="1:18" customFormat="1" ht="27" customHeight="1" x14ac:dyDescent="0.25">
      <c r="A7732" s="32" t="s">
        <v>15819</v>
      </c>
      <c r="H7732" t="s">
        <v>15820</v>
      </c>
      <c r="I7732" s="33" t="s">
        <v>15821</v>
      </c>
      <c r="J7732" s="34" t="s">
        <v>26</v>
      </c>
      <c r="K7732" s="42">
        <f>922.1*0.5</f>
        <v>461.05</v>
      </c>
      <c r="L7732" s="12">
        <f t="shared" si="625"/>
        <v>658.64285714285722</v>
      </c>
      <c r="M7732" s="8">
        <v>1</v>
      </c>
      <c r="N7732" s="8" t="s">
        <v>27</v>
      </c>
      <c r="O7732" s="13">
        <f t="shared" si="626"/>
        <v>0</v>
      </c>
      <c r="P7732" s="14">
        <v>0</v>
      </c>
      <c r="Q7732" s="15">
        <v>0.3</v>
      </c>
      <c r="R7732" s="64" t="str">
        <f t="shared" si="619"/>
        <v>SALTO</v>
      </c>
    </row>
    <row r="7733" spans="1:18" customFormat="1" ht="27" customHeight="1" x14ac:dyDescent="0.25">
      <c r="A7733" s="32" t="s">
        <v>15819</v>
      </c>
      <c r="H7733" t="s">
        <v>15822</v>
      </c>
      <c r="I7733" s="38" t="s">
        <v>15823</v>
      </c>
      <c r="J7733" s="34" t="s">
        <v>26</v>
      </c>
      <c r="K7733" s="42">
        <f>195.65*0.5</f>
        <v>97.825000000000003</v>
      </c>
      <c r="L7733" s="12">
        <f t="shared" si="625"/>
        <v>139.75</v>
      </c>
      <c r="M7733" s="8">
        <v>1</v>
      </c>
      <c r="N7733" s="8" t="s">
        <v>27</v>
      </c>
      <c r="O7733" s="13">
        <f t="shared" si="626"/>
        <v>0</v>
      </c>
      <c r="P7733" s="14">
        <v>0</v>
      </c>
      <c r="Q7733" s="15">
        <v>0.3</v>
      </c>
      <c r="R7733" s="64" t="str">
        <f t="shared" si="619"/>
        <v>SALTO</v>
      </c>
    </row>
    <row r="7734" spans="1:18" customFormat="1" ht="27" customHeight="1" x14ac:dyDescent="0.25">
      <c r="A7734" s="32" t="s">
        <v>15819</v>
      </c>
      <c r="H7734" t="s">
        <v>15824</v>
      </c>
      <c r="I7734" s="33" t="s">
        <v>15825</v>
      </c>
      <c r="J7734" s="34" t="s">
        <v>26</v>
      </c>
      <c r="K7734" s="42">
        <v>148.93</v>
      </c>
      <c r="L7734" s="12">
        <f t="shared" si="625"/>
        <v>212.75714285714287</v>
      </c>
      <c r="M7734" s="8">
        <v>1</v>
      </c>
      <c r="N7734" s="8" t="s">
        <v>27</v>
      </c>
      <c r="O7734" s="13">
        <f t="shared" si="626"/>
        <v>0</v>
      </c>
      <c r="P7734" s="14">
        <v>0</v>
      </c>
      <c r="Q7734" s="15">
        <v>0.3</v>
      </c>
      <c r="R7734" s="64" t="str">
        <f t="shared" si="619"/>
        <v>SALTO</v>
      </c>
    </row>
    <row r="7735" spans="1:18" customFormat="1" ht="27" customHeight="1" x14ac:dyDescent="0.25">
      <c r="A7735" s="32" t="s">
        <v>15819</v>
      </c>
      <c r="H7735" t="s">
        <v>15826</v>
      </c>
      <c r="I7735" s="38" t="s">
        <v>15827</v>
      </c>
      <c r="J7735" s="34" t="s">
        <v>26</v>
      </c>
      <c r="K7735" s="42">
        <f>248.9*0.7</f>
        <v>174.23</v>
      </c>
      <c r="L7735" s="12">
        <f t="shared" si="625"/>
        <v>248.9</v>
      </c>
      <c r="M7735" s="8">
        <v>1</v>
      </c>
      <c r="N7735" s="8" t="s">
        <v>27</v>
      </c>
      <c r="O7735" s="13">
        <f t="shared" si="626"/>
        <v>0</v>
      </c>
      <c r="P7735" s="14">
        <v>0</v>
      </c>
      <c r="Q7735" s="15">
        <v>0.3</v>
      </c>
      <c r="R7735" s="64" t="str">
        <f t="shared" si="619"/>
        <v>SALTO</v>
      </c>
    </row>
    <row r="7736" spans="1:18" customFormat="1" ht="27" customHeight="1" x14ac:dyDescent="0.25">
      <c r="A7736" s="32" t="s">
        <v>15828</v>
      </c>
      <c r="H7736" t="s">
        <v>15829</v>
      </c>
      <c r="I7736" s="38" t="s">
        <v>15830</v>
      </c>
      <c r="J7736" s="34" t="s">
        <v>26</v>
      </c>
      <c r="K7736" s="42">
        <v>895</v>
      </c>
      <c r="L7736" s="12">
        <f t="shared" si="625"/>
        <v>1652.3076923076922</v>
      </c>
      <c r="M7736" s="8">
        <v>1</v>
      </c>
      <c r="N7736" s="8" t="s">
        <v>27</v>
      </c>
      <c r="O7736" s="13">
        <f t="shared" si="626"/>
        <v>0</v>
      </c>
      <c r="P7736" s="14">
        <v>0.2</v>
      </c>
      <c r="Q7736" s="15">
        <v>0.35</v>
      </c>
      <c r="R7736" s="64" t="str">
        <f t="shared" si="619"/>
        <v>EKEY</v>
      </c>
    </row>
    <row r="7737" spans="1:18" customFormat="1" ht="27" customHeight="1" x14ac:dyDescent="0.25">
      <c r="A7737" s="32" t="s">
        <v>15828</v>
      </c>
      <c r="H7737" t="s">
        <v>15831</v>
      </c>
      <c r="I7737" s="33" t="s">
        <v>15832</v>
      </c>
      <c r="J7737" s="34" t="s">
        <v>26</v>
      </c>
      <c r="K7737" s="42">
        <v>82</v>
      </c>
      <c r="L7737" s="12">
        <f t="shared" si="625"/>
        <v>151.38461538461536</v>
      </c>
      <c r="M7737" s="8">
        <v>1</v>
      </c>
      <c r="N7737" s="8" t="s">
        <v>27</v>
      </c>
      <c r="O7737" s="13">
        <f t="shared" si="626"/>
        <v>0</v>
      </c>
      <c r="P7737" s="14">
        <v>0.2</v>
      </c>
      <c r="Q7737" s="15">
        <v>0.35</v>
      </c>
      <c r="R7737" s="64" t="str">
        <f t="shared" si="619"/>
        <v>EKEY</v>
      </c>
    </row>
    <row r="7738" spans="1:18" customFormat="1" ht="27" customHeight="1" x14ac:dyDescent="0.25">
      <c r="A7738" s="32" t="s">
        <v>15828</v>
      </c>
      <c r="H7738" t="s">
        <v>15833</v>
      </c>
      <c r="I7738" s="38" t="s">
        <v>15834</v>
      </c>
      <c r="J7738" s="34" t="s">
        <v>26</v>
      </c>
      <c r="K7738" s="42">
        <v>389</v>
      </c>
      <c r="L7738" s="12">
        <f t="shared" si="625"/>
        <v>718.15384615384608</v>
      </c>
      <c r="M7738" s="8">
        <v>1</v>
      </c>
      <c r="N7738" s="8" t="s">
        <v>27</v>
      </c>
      <c r="O7738" s="13">
        <f t="shared" si="626"/>
        <v>0</v>
      </c>
      <c r="P7738" s="14">
        <v>0.2</v>
      </c>
      <c r="Q7738" s="15">
        <v>0.35</v>
      </c>
      <c r="R7738" s="64" t="str">
        <f t="shared" si="619"/>
        <v>EKEY</v>
      </c>
    </row>
    <row r="7739" spans="1:18" customFormat="1" ht="27" customHeight="1" x14ac:dyDescent="0.25">
      <c r="A7739" s="32" t="s">
        <v>15835</v>
      </c>
      <c r="H7739" t="s">
        <v>15836</v>
      </c>
      <c r="I7739" s="38" t="s">
        <v>15837</v>
      </c>
      <c r="J7739" s="34" t="s">
        <v>26</v>
      </c>
      <c r="K7739" s="42">
        <v>80</v>
      </c>
      <c r="L7739" s="12">
        <f t="shared" si="625"/>
        <v>147.69230769230768</v>
      </c>
      <c r="M7739" s="8">
        <v>1</v>
      </c>
      <c r="N7739" s="8" t="s">
        <v>27</v>
      </c>
      <c r="O7739" s="13">
        <f t="shared" si="626"/>
        <v>0</v>
      </c>
      <c r="P7739" s="14">
        <v>0.2</v>
      </c>
      <c r="Q7739" s="15">
        <v>0.35</v>
      </c>
      <c r="R7739" s="64" t="str">
        <f t="shared" si="619"/>
        <v>MCKINNEY</v>
      </c>
    </row>
    <row r="7740" spans="1:18" customFormat="1" ht="27" customHeight="1" x14ac:dyDescent="0.25">
      <c r="A7740" s="32" t="s">
        <v>15835</v>
      </c>
      <c r="H7740" t="s">
        <v>15838</v>
      </c>
      <c r="I7740" s="38" t="s">
        <v>15839</v>
      </c>
      <c r="J7740" s="34" t="s">
        <v>26</v>
      </c>
      <c r="K7740" s="42">
        <f>+K7739*3.5</f>
        <v>280</v>
      </c>
      <c r="L7740" s="12">
        <f t="shared" si="625"/>
        <v>516.92307692307691</v>
      </c>
      <c r="M7740" s="8">
        <v>1</v>
      </c>
      <c r="N7740" s="8" t="s">
        <v>27</v>
      </c>
      <c r="O7740" s="13">
        <f t="shared" si="626"/>
        <v>0</v>
      </c>
      <c r="P7740" s="14">
        <v>0.2</v>
      </c>
      <c r="Q7740" s="15">
        <v>0.35</v>
      </c>
      <c r="R7740" s="64" t="str">
        <f t="shared" si="619"/>
        <v>MCKINNEY</v>
      </c>
    </row>
    <row r="7741" spans="1:18" customFormat="1" ht="27" customHeight="1" x14ac:dyDescent="0.25">
      <c r="A7741" s="32" t="s">
        <v>7931</v>
      </c>
      <c r="H7741" t="s">
        <v>15840</v>
      </c>
      <c r="I7741" s="38" t="s">
        <v>15841</v>
      </c>
      <c r="J7741" s="34" t="s">
        <v>33</v>
      </c>
      <c r="K7741" s="42">
        <v>129900</v>
      </c>
      <c r="L7741" s="12">
        <f t="shared" si="625"/>
        <v>185600</v>
      </c>
      <c r="M7741" s="8">
        <v>1</v>
      </c>
      <c r="N7741" s="8" t="s">
        <v>27</v>
      </c>
      <c r="O7741" s="13">
        <f t="shared" si="626"/>
        <v>0</v>
      </c>
      <c r="P7741" s="14">
        <v>0</v>
      </c>
      <c r="Q7741" s="15">
        <v>0.3</v>
      </c>
      <c r="R7741" s="64" t="str">
        <f t="shared" si="619"/>
        <v>SYLVANIA</v>
      </c>
    </row>
    <row r="7742" spans="1:18" customFormat="1" ht="27" customHeight="1" x14ac:dyDescent="0.25">
      <c r="A7742" s="32" t="s">
        <v>11685</v>
      </c>
      <c r="H7742" s="32" t="s">
        <v>15842</v>
      </c>
      <c r="I7742" s="33" t="s">
        <v>15843</v>
      </c>
      <c r="J7742" s="34" t="s">
        <v>33</v>
      </c>
      <c r="K7742" s="42">
        <v>540872.1</v>
      </c>
      <c r="L7742" s="12">
        <f t="shared" si="625"/>
        <v>901500</v>
      </c>
      <c r="M7742" s="8">
        <v>1</v>
      </c>
      <c r="N7742" s="8" t="s">
        <v>27</v>
      </c>
      <c r="O7742" s="13">
        <f t="shared" si="626"/>
        <v>0</v>
      </c>
      <c r="P7742" s="14">
        <v>0</v>
      </c>
      <c r="Q7742" s="15">
        <v>0.4</v>
      </c>
      <c r="R7742" s="64" t="str">
        <f t="shared" si="619"/>
        <v>RUIJIE</v>
      </c>
    </row>
    <row r="7743" spans="1:18" customFormat="1" ht="27" customHeight="1" x14ac:dyDescent="0.25">
      <c r="A7743" s="32" t="s">
        <v>10370</v>
      </c>
      <c r="H7743" t="s">
        <v>15844</v>
      </c>
      <c r="I7743" s="38" t="s">
        <v>15845</v>
      </c>
      <c r="J7743" s="34" t="s">
        <v>33</v>
      </c>
      <c r="K7743" s="42">
        <v>9300</v>
      </c>
      <c r="L7743" s="12">
        <f t="shared" si="625"/>
        <v>18600</v>
      </c>
      <c r="M7743" s="8">
        <v>1</v>
      </c>
      <c r="N7743" s="8" t="s">
        <v>27</v>
      </c>
      <c r="O7743" s="13">
        <f t="shared" si="626"/>
        <v>0</v>
      </c>
      <c r="P7743" s="14">
        <v>0</v>
      </c>
      <c r="Q7743" s="15">
        <v>0.5</v>
      </c>
      <c r="R7743" s="64" t="str">
        <f t="shared" si="619"/>
        <v>LEDYI</v>
      </c>
    </row>
    <row r="7744" spans="1:18" customFormat="1" ht="27" customHeight="1" x14ac:dyDescent="0.25">
      <c r="A7744" s="32" t="s">
        <v>5672</v>
      </c>
      <c r="H7744" t="s">
        <v>15846</v>
      </c>
      <c r="I7744" s="38" t="s">
        <v>15847</v>
      </c>
      <c r="J7744" s="34" t="s">
        <v>26</v>
      </c>
      <c r="K7744" s="42">
        <v>140</v>
      </c>
      <c r="L7744" s="12">
        <f t="shared" si="625"/>
        <v>280</v>
      </c>
      <c r="M7744" s="8">
        <v>1</v>
      </c>
      <c r="N7744" s="8" t="s">
        <v>27</v>
      </c>
      <c r="O7744" s="13">
        <f t="shared" si="626"/>
        <v>0</v>
      </c>
      <c r="P7744" s="14">
        <v>0.2</v>
      </c>
      <c r="Q7744" s="15">
        <v>0.4</v>
      </c>
      <c r="R7744" s="64" t="str">
        <f t="shared" si="619"/>
        <v>LUTRON</v>
      </c>
    </row>
    <row r="7745" spans="1:18" customFormat="1" ht="27" customHeight="1" x14ac:dyDescent="0.25">
      <c r="A7745" s="32" t="s">
        <v>5672</v>
      </c>
      <c r="H7745" t="s">
        <v>15848</v>
      </c>
      <c r="I7745" s="38" t="s">
        <v>15849</v>
      </c>
      <c r="J7745" s="34" t="s">
        <v>26</v>
      </c>
      <c r="K7745" s="42">
        <v>1000</v>
      </c>
      <c r="L7745" s="12">
        <f t="shared" si="625"/>
        <v>1666.6666666666667</v>
      </c>
      <c r="M7745" s="8">
        <v>1</v>
      </c>
      <c r="N7745" s="8" t="s">
        <v>27</v>
      </c>
      <c r="O7745" s="13">
        <f t="shared" si="626"/>
        <v>0</v>
      </c>
      <c r="P7745" s="14">
        <v>0</v>
      </c>
      <c r="Q7745" s="15">
        <v>0.4</v>
      </c>
      <c r="R7745" s="64" t="str">
        <f t="shared" si="619"/>
        <v>LUTRON</v>
      </c>
    </row>
    <row r="7746" spans="1:18" customFormat="1" ht="27" customHeight="1" x14ac:dyDescent="0.25">
      <c r="A7746" s="32" t="s">
        <v>15850</v>
      </c>
      <c r="H7746" t="s">
        <v>15851</v>
      </c>
      <c r="I7746" s="38" t="s">
        <v>15852</v>
      </c>
      <c r="J7746" s="34" t="s">
        <v>33</v>
      </c>
      <c r="K7746" s="42">
        <f>8619750/2</f>
        <v>4309875</v>
      </c>
      <c r="L7746" s="12">
        <f t="shared" si="625"/>
        <v>6157000</v>
      </c>
      <c r="M7746" s="8">
        <v>1</v>
      </c>
      <c r="N7746" s="8" t="s">
        <v>27</v>
      </c>
      <c r="O7746" s="13">
        <f t="shared" si="626"/>
        <v>0</v>
      </c>
      <c r="P7746" s="14">
        <v>0</v>
      </c>
      <c r="Q7746" s="15">
        <v>0.3</v>
      </c>
      <c r="R7746" s="64" t="str">
        <f t="shared" si="619"/>
        <v>MERSIVE</v>
      </c>
    </row>
    <row r="7747" spans="1:18" customFormat="1" ht="27" customHeight="1" x14ac:dyDescent="0.25">
      <c r="A7747" s="32" t="s">
        <v>10249</v>
      </c>
      <c r="H7747" t="s">
        <v>15853</v>
      </c>
      <c r="I7747" s="38" t="s">
        <v>15854</v>
      </c>
      <c r="J7747" s="34" t="s">
        <v>26</v>
      </c>
      <c r="K7747" s="42">
        <v>20</v>
      </c>
      <c r="L7747" s="12">
        <f t="shared" si="625"/>
        <v>43.333333333333336</v>
      </c>
      <c r="M7747" s="8">
        <v>1</v>
      </c>
      <c r="N7747" s="8" t="s">
        <v>27</v>
      </c>
      <c r="O7747" s="13">
        <f t="shared" si="626"/>
        <v>0</v>
      </c>
      <c r="P7747" s="14">
        <v>0.3</v>
      </c>
      <c r="Q7747" s="15">
        <v>0.4</v>
      </c>
      <c r="R7747" s="64" t="str">
        <f t="shared" si="619"/>
        <v>SKYDANCE</v>
      </c>
    </row>
    <row r="7748" spans="1:18" customFormat="1" ht="27" customHeight="1" x14ac:dyDescent="0.25">
      <c r="A7748" s="32" t="s">
        <v>10249</v>
      </c>
      <c r="H7748" t="s">
        <v>15855</v>
      </c>
      <c r="I7748" s="38" t="s">
        <v>15856</v>
      </c>
      <c r="J7748" s="34" t="s">
        <v>26</v>
      </c>
      <c r="K7748" s="42">
        <v>20.5</v>
      </c>
      <c r="L7748" s="12">
        <f t="shared" si="625"/>
        <v>44.416666666666671</v>
      </c>
      <c r="M7748" s="8">
        <v>1</v>
      </c>
      <c r="N7748" s="8" t="s">
        <v>27</v>
      </c>
      <c r="O7748" s="13">
        <f t="shared" si="626"/>
        <v>0</v>
      </c>
      <c r="P7748" s="14">
        <v>0.3</v>
      </c>
      <c r="Q7748" s="15">
        <v>0.4</v>
      </c>
      <c r="R7748" s="64" t="str">
        <f t="shared" si="619"/>
        <v>SKYDANCE</v>
      </c>
    </row>
    <row r="7749" spans="1:18" customFormat="1" ht="27" customHeight="1" x14ac:dyDescent="0.25">
      <c r="A7749" s="32" t="s">
        <v>10249</v>
      </c>
      <c r="H7749" t="s">
        <v>15857</v>
      </c>
      <c r="I7749" s="38" t="s">
        <v>15858</v>
      </c>
      <c r="J7749" s="34" t="s">
        <v>26</v>
      </c>
      <c r="K7749" s="42">
        <v>11.92</v>
      </c>
      <c r="L7749" s="12">
        <f t="shared" si="625"/>
        <v>25.826666666666668</v>
      </c>
      <c r="M7749" s="8">
        <v>1</v>
      </c>
      <c r="N7749" s="8" t="s">
        <v>27</v>
      </c>
      <c r="O7749" s="13">
        <f t="shared" si="626"/>
        <v>0</v>
      </c>
      <c r="P7749" s="14">
        <v>0.3</v>
      </c>
      <c r="Q7749" s="15">
        <v>0.4</v>
      </c>
      <c r="R7749" s="64" t="str">
        <f t="shared" ref="R7749:R7812" si="627">A7749</f>
        <v>SKYDANCE</v>
      </c>
    </row>
    <row r="7750" spans="1:18" customFormat="1" ht="27" customHeight="1" x14ac:dyDescent="0.25">
      <c r="A7750" s="32" t="s">
        <v>10249</v>
      </c>
      <c r="H7750" t="s">
        <v>15859</v>
      </c>
      <c r="I7750" s="38" t="s">
        <v>15860</v>
      </c>
      <c r="J7750" s="34" t="s">
        <v>26</v>
      </c>
      <c r="K7750" s="42">
        <v>26</v>
      </c>
      <c r="L7750" s="12">
        <f t="shared" si="625"/>
        <v>56.333333333333343</v>
      </c>
      <c r="M7750" s="8">
        <v>1</v>
      </c>
      <c r="N7750" s="8" t="s">
        <v>27</v>
      </c>
      <c r="O7750" s="13">
        <f t="shared" si="626"/>
        <v>0</v>
      </c>
      <c r="P7750" s="14">
        <v>0.3</v>
      </c>
      <c r="Q7750" s="15">
        <v>0.4</v>
      </c>
      <c r="R7750" s="64" t="str">
        <f t="shared" si="627"/>
        <v>SKYDANCE</v>
      </c>
    </row>
    <row r="7751" spans="1:18" customFormat="1" ht="27" customHeight="1" x14ac:dyDescent="0.25">
      <c r="A7751" s="32" t="s">
        <v>15861</v>
      </c>
      <c r="H7751" t="s">
        <v>15862</v>
      </c>
      <c r="I7751" s="38" t="s">
        <v>15863</v>
      </c>
      <c r="J7751" s="34" t="s">
        <v>33</v>
      </c>
      <c r="K7751" s="42">
        <v>15000</v>
      </c>
      <c r="L7751" s="12">
        <f t="shared" si="625"/>
        <v>23100</v>
      </c>
      <c r="M7751" s="8">
        <v>1</v>
      </c>
      <c r="N7751" s="8" t="s">
        <v>27</v>
      </c>
      <c r="O7751" s="13">
        <f t="shared" si="626"/>
        <v>0</v>
      </c>
      <c r="P7751" s="14">
        <v>0</v>
      </c>
      <c r="Q7751" s="15">
        <v>0.35</v>
      </c>
      <c r="R7751" s="64" t="str">
        <f t="shared" si="627"/>
        <v>SIGHCOMPLEX</v>
      </c>
    </row>
    <row r="7752" spans="1:18" customFormat="1" ht="27" customHeight="1" x14ac:dyDescent="0.25">
      <c r="A7752" s="105" t="s">
        <v>15276</v>
      </c>
      <c r="H7752" t="s">
        <v>15864</v>
      </c>
      <c r="I7752" t="s">
        <v>15865</v>
      </c>
      <c r="J7752" t="s">
        <v>33</v>
      </c>
      <c r="K7752" s="42">
        <v>86000</v>
      </c>
      <c r="L7752" s="12">
        <f t="shared" ref="L7752:L7779" si="628">K7752*(1+P7752)/(1-Q7752)</f>
        <v>122857.14285714287</v>
      </c>
      <c r="M7752" s="106">
        <v>1</v>
      </c>
      <c r="N7752" s="106" t="s">
        <v>27</v>
      </c>
      <c r="O7752" s="78"/>
      <c r="P7752" s="107">
        <v>0</v>
      </c>
      <c r="Q7752" s="108">
        <v>0.3</v>
      </c>
      <c r="R7752" s="45" t="str">
        <f t="shared" si="627"/>
        <v>LEDVANCE</v>
      </c>
    </row>
    <row r="7753" spans="1:18" customFormat="1" ht="27" customHeight="1" x14ac:dyDescent="0.25">
      <c r="A7753" s="105" t="s">
        <v>15276</v>
      </c>
      <c r="H7753" t="s">
        <v>15866</v>
      </c>
      <c r="I7753" t="s">
        <v>15867</v>
      </c>
      <c r="J7753" t="s">
        <v>33</v>
      </c>
      <c r="K7753" s="42">
        <v>125000</v>
      </c>
      <c r="L7753" s="12">
        <f t="shared" si="628"/>
        <v>178571.42857142858</v>
      </c>
      <c r="M7753" s="106">
        <v>1</v>
      </c>
      <c r="N7753" s="106" t="s">
        <v>27</v>
      </c>
      <c r="O7753" s="78"/>
      <c r="P7753" s="107">
        <v>0</v>
      </c>
      <c r="Q7753" s="108">
        <v>0.3</v>
      </c>
      <c r="R7753" s="45" t="str">
        <f t="shared" si="627"/>
        <v>LEDVANCE</v>
      </c>
    </row>
    <row r="7754" spans="1:18" customFormat="1" ht="27" customHeight="1" x14ac:dyDescent="0.25">
      <c r="A7754" s="32" t="s">
        <v>15356</v>
      </c>
      <c r="H7754" t="s">
        <v>15868</v>
      </c>
      <c r="I7754" s="38" t="s">
        <v>15869</v>
      </c>
      <c r="J7754" s="34" t="s">
        <v>26</v>
      </c>
      <c r="K7754" s="42">
        <f>3005*0.5*1.158</f>
        <v>1739.895</v>
      </c>
      <c r="L7754" s="12">
        <f t="shared" si="628"/>
        <v>2827.3293749999998</v>
      </c>
      <c r="M7754" s="106">
        <v>1</v>
      </c>
      <c r="N7754" s="106" t="s">
        <v>27</v>
      </c>
      <c r="O7754" s="78"/>
      <c r="P7754" s="107">
        <v>0.3</v>
      </c>
      <c r="Q7754" s="108">
        <v>0.2</v>
      </c>
      <c r="R7754" s="45" t="str">
        <f t="shared" si="627"/>
        <v>FOSCARINI</v>
      </c>
    </row>
    <row r="7755" spans="1:18" customFormat="1" ht="27" customHeight="1" x14ac:dyDescent="0.25">
      <c r="A7755" s="32" t="s">
        <v>15870</v>
      </c>
      <c r="H7755" t="s">
        <v>15871</v>
      </c>
      <c r="I7755" s="38" t="s">
        <v>15872</v>
      </c>
      <c r="J7755" s="34" t="s">
        <v>26</v>
      </c>
      <c r="K7755" s="42">
        <v>42</v>
      </c>
      <c r="L7755" s="12">
        <f t="shared" si="628"/>
        <v>68.25</v>
      </c>
      <c r="M7755" s="106">
        <v>1</v>
      </c>
      <c r="N7755" s="106" t="s">
        <v>27</v>
      </c>
      <c r="O7755" s="78"/>
      <c r="P7755" s="107">
        <v>0.3</v>
      </c>
      <c r="Q7755" s="108">
        <v>0.2</v>
      </c>
      <c r="R7755" s="45" t="str">
        <f t="shared" si="627"/>
        <v>SHELLY</v>
      </c>
    </row>
    <row r="7756" spans="1:18" customFormat="1" ht="27" customHeight="1" x14ac:dyDescent="0.25">
      <c r="A7756" s="32" t="s">
        <v>15870</v>
      </c>
      <c r="H7756" t="s">
        <v>15873</v>
      </c>
      <c r="I7756" s="38" t="s">
        <v>15874</v>
      </c>
      <c r="J7756" s="34" t="s">
        <v>26</v>
      </c>
      <c r="K7756" s="42">
        <v>62</v>
      </c>
      <c r="L7756" s="12">
        <f t="shared" si="628"/>
        <v>124</v>
      </c>
      <c r="M7756" s="106">
        <v>1</v>
      </c>
      <c r="N7756" s="106" t="s">
        <v>27</v>
      </c>
      <c r="O7756" s="78"/>
      <c r="P7756" s="107">
        <v>0</v>
      </c>
      <c r="Q7756" s="108">
        <v>0.5</v>
      </c>
      <c r="R7756" s="45" t="str">
        <f t="shared" si="627"/>
        <v>SHELLY</v>
      </c>
    </row>
    <row r="7757" spans="1:18" customFormat="1" ht="27" customHeight="1" x14ac:dyDescent="0.25">
      <c r="A7757" s="32" t="s">
        <v>12893</v>
      </c>
      <c r="H7757" t="s">
        <v>15875</v>
      </c>
      <c r="I7757" s="38" t="s">
        <v>15876</v>
      </c>
      <c r="J7757" s="34" t="s">
        <v>26</v>
      </c>
      <c r="K7757" s="42">
        <v>271</v>
      </c>
      <c r="L7757" s="12">
        <f t="shared" si="628"/>
        <v>451.66666666666669</v>
      </c>
      <c r="M7757" s="106">
        <v>1</v>
      </c>
      <c r="N7757" s="106" t="s">
        <v>27</v>
      </c>
      <c r="O7757" s="78"/>
      <c r="P7757" s="107">
        <v>0</v>
      </c>
      <c r="Q7757" s="108">
        <v>0.4</v>
      </c>
      <c r="R7757" s="45" t="str">
        <f t="shared" si="627"/>
        <v>MARTIN_LOGAN</v>
      </c>
    </row>
    <row r="7758" spans="1:18" customFormat="1" ht="27" customHeight="1" x14ac:dyDescent="0.25">
      <c r="A7758" s="32" t="s">
        <v>12893</v>
      </c>
      <c r="H7758" t="s">
        <v>15877</v>
      </c>
      <c r="I7758" s="38" t="s">
        <v>15878</v>
      </c>
      <c r="J7758" s="34" t="s">
        <v>26</v>
      </c>
      <c r="K7758" s="42">
        <v>136</v>
      </c>
      <c r="L7758" s="12">
        <f t="shared" si="628"/>
        <v>226.66666666666669</v>
      </c>
      <c r="M7758" s="106">
        <v>1</v>
      </c>
      <c r="N7758" s="106" t="s">
        <v>27</v>
      </c>
      <c r="O7758" s="78"/>
      <c r="P7758" s="107">
        <v>0</v>
      </c>
      <c r="Q7758" s="108">
        <v>0.4</v>
      </c>
      <c r="R7758" s="45" t="str">
        <f t="shared" si="627"/>
        <v>MARTIN_LOGAN</v>
      </c>
    </row>
    <row r="7759" spans="1:18" customFormat="1" ht="27" customHeight="1" x14ac:dyDescent="0.25">
      <c r="A7759" s="32" t="s">
        <v>12893</v>
      </c>
      <c r="H7759" t="s">
        <v>15879</v>
      </c>
      <c r="I7759" s="38" t="s">
        <v>15880</v>
      </c>
      <c r="J7759" s="34" t="s">
        <v>26</v>
      </c>
      <c r="K7759" s="42">
        <v>162</v>
      </c>
      <c r="L7759" s="12">
        <f t="shared" si="628"/>
        <v>270</v>
      </c>
      <c r="M7759" s="106">
        <v>1</v>
      </c>
      <c r="N7759" s="106" t="s">
        <v>27</v>
      </c>
      <c r="O7759" s="78"/>
      <c r="P7759" s="107">
        <v>0</v>
      </c>
      <c r="Q7759" s="108">
        <v>0.4</v>
      </c>
      <c r="R7759" s="45" t="str">
        <f t="shared" si="627"/>
        <v>MARTIN_LOGAN</v>
      </c>
    </row>
    <row r="7760" spans="1:18" customFormat="1" ht="27" customHeight="1" x14ac:dyDescent="0.25">
      <c r="A7760" s="32" t="s">
        <v>12893</v>
      </c>
      <c r="H7760" t="s">
        <v>15881</v>
      </c>
      <c r="I7760" s="38" t="s">
        <v>15882</v>
      </c>
      <c r="J7760" s="34" t="s">
        <v>26</v>
      </c>
      <c r="K7760" s="42">
        <v>1855</v>
      </c>
      <c r="L7760" s="12">
        <f t="shared" si="628"/>
        <v>3091.666666666667</v>
      </c>
      <c r="M7760" s="106">
        <v>1</v>
      </c>
      <c r="N7760" s="106" t="s">
        <v>27</v>
      </c>
      <c r="O7760" s="78"/>
      <c r="P7760" s="107">
        <v>0</v>
      </c>
      <c r="Q7760" s="108">
        <v>0.4</v>
      </c>
      <c r="R7760" s="45" t="str">
        <f t="shared" si="627"/>
        <v>MARTIN_LOGAN</v>
      </c>
    </row>
    <row r="7761" spans="1:18" customFormat="1" ht="27" customHeight="1" x14ac:dyDescent="0.25">
      <c r="A7761" s="32" t="s">
        <v>3977</v>
      </c>
      <c r="H7761" t="s">
        <v>15883</v>
      </c>
      <c r="I7761" s="38" t="s">
        <v>15884</v>
      </c>
      <c r="J7761" s="34" t="s">
        <v>26</v>
      </c>
      <c r="K7761" s="42">
        <v>2000</v>
      </c>
      <c r="L7761" s="12">
        <f t="shared" si="628"/>
        <v>3333.3333333333335</v>
      </c>
      <c r="M7761" s="106">
        <v>1</v>
      </c>
      <c r="N7761" s="106" t="s">
        <v>27</v>
      </c>
      <c r="O7761" s="78"/>
      <c r="P7761" s="107">
        <v>0</v>
      </c>
      <c r="Q7761" s="108">
        <v>0.4</v>
      </c>
      <c r="R7761" s="45" t="str">
        <f t="shared" si="627"/>
        <v>KOMODO</v>
      </c>
    </row>
    <row r="7762" spans="1:18" customFormat="1" ht="27" customHeight="1" x14ac:dyDescent="0.25">
      <c r="A7762" s="32" t="s">
        <v>13919</v>
      </c>
      <c r="H7762" t="s">
        <v>15885</v>
      </c>
      <c r="I7762" s="38" t="s">
        <v>15886</v>
      </c>
      <c r="J7762" s="34" t="s">
        <v>26</v>
      </c>
      <c r="K7762" s="42">
        <v>157</v>
      </c>
      <c r="L7762" s="12">
        <f t="shared" si="628"/>
        <v>224.28571428571431</v>
      </c>
      <c r="M7762" s="106">
        <v>1</v>
      </c>
      <c r="N7762" s="106" t="s">
        <v>27</v>
      </c>
      <c r="O7762" s="78"/>
      <c r="P7762" s="107">
        <v>0</v>
      </c>
      <c r="Q7762" s="108">
        <v>0.3</v>
      </c>
      <c r="R7762" s="45" t="str">
        <f t="shared" si="627"/>
        <v>ICE</v>
      </c>
    </row>
    <row r="7763" spans="1:18" customFormat="1" ht="27" customHeight="1" x14ac:dyDescent="0.25">
      <c r="A7763" s="32" t="s">
        <v>2512</v>
      </c>
      <c r="H7763" t="s">
        <v>15887</v>
      </c>
      <c r="I7763" s="38" t="s">
        <v>15888</v>
      </c>
      <c r="J7763" s="34" t="s">
        <v>26</v>
      </c>
      <c r="K7763" s="42">
        <v>100</v>
      </c>
      <c r="L7763" s="12">
        <f t="shared" si="628"/>
        <v>142.85714285714286</v>
      </c>
      <c r="M7763" s="106">
        <v>1</v>
      </c>
      <c r="N7763" s="106" t="s">
        <v>27</v>
      </c>
      <c r="O7763" s="78"/>
      <c r="P7763" s="107">
        <v>0</v>
      </c>
      <c r="Q7763" s="108">
        <v>0.3</v>
      </c>
      <c r="R7763" s="45" t="str">
        <f t="shared" si="627"/>
        <v>GENERAL</v>
      </c>
    </row>
    <row r="7764" spans="1:18" customFormat="1" ht="27" customHeight="1" x14ac:dyDescent="0.25">
      <c r="A7764" s="32" t="s">
        <v>6802</v>
      </c>
      <c r="H7764" t="s">
        <v>15889</v>
      </c>
      <c r="I7764" s="38" t="s">
        <v>15890</v>
      </c>
      <c r="J7764" s="34" t="s">
        <v>26</v>
      </c>
      <c r="K7764" s="42">
        <v>1300</v>
      </c>
      <c r="L7764" s="12">
        <f t="shared" si="628"/>
        <v>1857.1428571428573</v>
      </c>
      <c r="M7764" s="106">
        <v>1</v>
      </c>
      <c r="N7764" s="106" t="s">
        <v>27</v>
      </c>
      <c r="O7764" s="78"/>
      <c r="P7764" s="107">
        <v>0</v>
      </c>
      <c r="Q7764" s="108">
        <v>0.3</v>
      </c>
      <c r="R7764" s="45" t="str">
        <f t="shared" si="627"/>
        <v>MARANTZ</v>
      </c>
    </row>
    <row r="7765" spans="1:18" customFormat="1" ht="27" customHeight="1" x14ac:dyDescent="0.25">
      <c r="A7765" s="32" t="s">
        <v>12893</v>
      </c>
      <c r="H7765" t="s">
        <v>15891</v>
      </c>
      <c r="I7765" s="38" t="s">
        <v>15892</v>
      </c>
      <c r="J7765" s="34" t="s">
        <v>26</v>
      </c>
      <c r="K7765" s="42">
        <v>627</v>
      </c>
      <c r="L7765" s="12">
        <f t="shared" si="628"/>
        <v>1045</v>
      </c>
      <c r="M7765" s="106">
        <v>1</v>
      </c>
      <c r="N7765" s="106" t="s">
        <v>27</v>
      </c>
      <c r="O7765" s="78"/>
      <c r="P7765" s="107">
        <v>0</v>
      </c>
      <c r="Q7765" s="108">
        <v>0.4</v>
      </c>
      <c r="R7765" s="45" t="str">
        <f t="shared" si="627"/>
        <v>MARTIN_LOGAN</v>
      </c>
    </row>
    <row r="7766" spans="1:18" customFormat="1" ht="27" customHeight="1" x14ac:dyDescent="0.25">
      <c r="A7766" s="32" t="s">
        <v>12893</v>
      </c>
      <c r="H7766" t="s">
        <v>15893</v>
      </c>
      <c r="I7766" s="38" t="s">
        <v>15894</v>
      </c>
      <c r="J7766" t="s">
        <v>26</v>
      </c>
      <c r="K7766" s="42">
        <v>867</v>
      </c>
      <c r="L7766" s="12">
        <f t="shared" si="628"/>
        <v>1083.75</v>
      </c>
      <c r="M7766" s="106">
        <v>1</v>
      </c>
      <c r="N7766" s="106" t="s">
        <v>27</v>
      </c>
      <c r="O7766" s="78"/>
      <c r="P7766" s="107">
        <v>0</v>
      </c>
      <c r="Q7766" s="108">
        <v>0.2</v>
      </c>
      <c r="R7766" s="45" t="str">
        <f t="shared" si="627"/>
        <v>MARTIN_LOGAN</v>
      </c>
    </row>
    <row r="7767" spans="1:18" customFormat="1" ht="27" customHeight="1" x14ac:dyDescent="0.25">
      <c r="A7767" s="32" t="s">
        <v>12893</v>
      </c>
      <c r="H7767" t="s">
        <v>15895</v>
      </c>
      <c r="I7767" s="38" t="s">
        <v>15896</v>
      </c>
      <c r="J7767" s="34" t="s">
        <v>26</v>
      </c>
      <c r="K7767" s="42">
        <v>859</v>
      </c>
      <c r="L7767" s="12">
        <f t="shared" si="628"/>
        <v>1321.5384615384614</v>
      </c>
      <c r="M7767" s="106">
        <v>1</v>
      </c>
      <c r="N7767" s="106" t="s">
        <v>27</v>
      </c>
      <c r="O7767" s="78"/>
      <c r="P7767" s="107">
        <v>0</v>
      </c>
      <c r="Q7767" s="108">
        <v>0.35</v>
      </c>
      <c r="R7767" s="45" t="str">
        <f t="shared" si="627"/>
        <v>MARTIN_LOGAN</v>
      </c>
    </row>
    <row r="7768" spans="1:18" customFormat="1" ht="27" customHeight="1" x14ac:dyDescent="0.25">
      <c r="A7768" s="32" t="s">
        <v>12893</v>
      </c>
      <c r="H7768" t="s">
        <v>15897</v>
      </c>
      <c r="I7768" s="38" t="s">
        <v>15898</v>
      </c>
      <c r="J7768" s="34" t="s">
        <v>26</v>
      </c>
      <c r="K7768" s="42">
        <v>1083</v>
      </c>
      <c r="L7768" s="12">
        <f t="shared" si="628"/>
        <v>1547.1428571428573</v>
      </c>
      <c r="M7768" s="106">
        <v>1</v>
      </c>
      <c r="N7768" s="106" t="s">
        <v>27</v>
      </c>
      <c r="O7768" s="78"/>
      <c r="P7768" s="107">
        <v>0</v>
      </c>
      <c r="Q7768" s="108">
        <v>0.3</v>
      </c>
      <c r="R7768" s="45" t="str">
        <f t="shared" si="627"/>
        <v>MARTIN_LOGAN</v>
      </c>
    </row>
    <row r="7769" spans="1:18" customFormat="1" ht="27" customHeight="1" x14ac:dyDescent="0.25">
      <c r="A7769" s="32" t="s">
        <v>5672</v>
      </c>
      <c r="H7769" t="s">
        <v>15899</v>
      </c>
      <c r="I7769" s="38" t="s">
        <v>15900</v>
      </c>
      <c r="J7769" s="34" t="s">
        <v>26</v>
      </c>
      <c r="K7769" s="42">
        <v>540.5</v>
      </c>
      <c r="L7769" s="12">
        <f t="shared" si="628"/>
        <v>1081</v>
      </c>
      <c r="M7769" s="106">
        <v>1</v>
      </c>
      <c r="N7769" s="106" t="s">
        <v>27</v>
      </c>
      <c r="O7769" s="78"/>
      <c r="P7769" s="107">
        <v>0.2</v>
      </c>
      <c r="Q7769" s="108">
        <v>0.4</v>
      </c>
      <c r="R7769" s="45" t="str">
        <f t="shared" si="627"/>
        <v>LUTRON</v>
      </c>
    </row>
    <row r="7770" spans="1:18" customFormat="1" ht="27" customHeight="1" x14ac:dyDescent="0.25">
      <c r="A7770" s="32" t="s">
        <v>15901</v>
      </c>
      <c r="H7770" t="s">
        <v>15902</v>
      </c>
      <c r="I7770" s="38" t="s">
        <v>15903</v>
      </c>
      <c r="J7770" s="34" t="s">
        <v>33</v>
      </c>
      <c r="K7770" s="42">
        <v>278900</v>
      </c>
      <c r="L7770" s="12">
        <f t="shared" si="628"/>
        <v>464833.33333333337</v>
      </c>
      <c r="M7770" s="106">
        <v>1</v>
      </c>
      <c r="N7770" s="106" t="s">
        <v>27</v>
      </c>
      <c r="O7770" s="78"/>
      <c r="P7770" s="107">
        <v>0</v>
      </c>
      <c r="Q7770" s="108">
        <v>0.4</v>
      </c>
      <c r="R7770" s="45" t="str">
        <f t="shared" si="627"/>
        <v>BY</v>
      </c>
    </row>
    <row r="7771" spans="1:18" customFormat="1" ht="27" customHeight="1" x14ac:dyDescent="0.25">
      <c r="A7771" s="32" t="s">
        <v>15901</v>
      </c>
      <c r="H7771" t="s">
        <v>15904</v>
      </c>
      <c r="I7771" s="38" t="s">
        <v>15905</v>
      </c>
      <c r="J7771" s="34" t="s">
        <v>33</v>
      </c>
      <c r="K7771" s="42">
        <v>278900</v>
      </c>
      <c r="L7771" s="12">
        <f t="shared" si="628"/>
        <v>464833.33333333337</v>
      </c>
      <c r="M7771" s="106">
        <v>1</v>
      </c>
      <c r="N7771" s="106" t="s">
        <v>27</v>
      </c>
      <c r="O7771" s="78"/>
      <c r="P7771" s="107">
        <v>0</v>
      </c>
      <c r="Q7771" s="108">
        <v>0.4</v>
      </c>
      <c r="R7771" s="45" t="str">
        <f t="shared" si="627"/>
        <v>BY</v>
      </c>
    </row>
    <row r="7772" spans="1:18" customFormat="1" ht="27" customHeight="1" x14ac:dyDescent="0.25">
      <c r="A7772" s="32" t="s">
        <v>15901</v>
      </c>
      <c r="H7772" t="s">
        <v>15906</v>
      </c>
      <c r="I7772" s="38" t="s">
        <v>15907</v>
      </c>
      <c r="J7772" s="34" t="s">
        <v>33</v>
      </c>
      <c r="K7772" s="42">
        <v>369200</v>
      </c>
      <c r="L7772" s="12">
        <f t="shared" si="628"/>
        <v>615333.33333333337</v>
      </c>
      <c r="M7772" s="106">
        <v>1</v>
      </c>
      <c r="N7772" s="106" t="s">
        <v>27</v>
      </c>
      <c r="O7772" s="78"/>
      <c r="P7772" s="107">
        <v>0</v>
      </c>
      <c r="Q7772" s="108">
        <v>0.4</v>
      </c>
      <c r="R7772" s="45" t="str">
        <f t="shared" si="627"/>
        <v>BY</v>
      </c>
    </row>
    <row r="7773" spans="1:18" customFormat="1" ht="27" customHeight="1" x14ac:dyDescent="0.25">
      <c r="A7773" s="32" t="s">
        <v>15901</v>
      </c>
      <c r="H7773" t="s">
        <v>15908</v>
      </c>
      <c r="I7773" s="38" t="s">
        <v>15909</v>
      </c>
      <c r="J7773" s="34" t="s">
        <v>33</v>
      </c>
      <c r="K7773" s="42">
        <v>875600</v>
      </c>
      <c r="L7773" s="12">
        <f t="shared" si="628"/>
        <v>1459333.3333333335</v>
      </c>
      <c r="M7773" s="106">
        <v>1</v>
      </c>
      <c r="N7773" s="106" t="s">
        <v>27</v>
      </c>
      <c r="O7773" s="78"/>
      <c r="P7773" s="107">
        <v>0</v>
      </c>
      <c r="Q7773" s="108">
        <v>0.4</v>
      </c>
      <c r="R7773" s="45" t="str">
        <f t="shared" si="627"/>
        <v>BY</v>
      </c>
    </row>
    <row r="7774" spans="1:18" customFormat="1" ht="27" customHeight="1" x14ac:dyDescent="0.25">
      <c r="A7774" s="32" t="s">
        <v>1817</v>
      </c>
      <c r="H7774" t="s">
        <v>15910</v>
      </c>
      <c r="I7774" s="38" t="s">
        <v>15911</v>
      </c>
      <c r="J7774" s="34" t="s">
        <v>33</v>
      </c>
      <c r="K7774" s="42">
        <v>32000</v>
      </c>
      <c r="L7774" s="12">
        <f t="shared" si="628"/>
        <v>53333.333333333336</v>
      </c>
      <c r="M7774" s="106">
        <v>1</v>
      </c>
      <c r="N7774" s="106" t="s">
        <v>27</v>
      </c>
      <c r="O7774" s="78"/>
      <c r="P7774" s="107">
        <v>0</v>
      </c>
      <c r="Q7774" s="108">
        <v>0.4</v>
      </c>
      <c r="R7774" s="45" t="str">
        <f t="shared" si="627"/>
        <v>DAYKO</v>
      </c>
    </row>
    <row r="7775" spans="1:18" customFormat="1" ht="27" customHeight="1" x14ac:dyDescent="0.25">
      <c r="A7775" s="32" t="s">
        <v>1817</v>
      </c>
      <c r="H7775" t="s">
        <v>15912</v>
      </c>
      <c r="I7775" s="38" t="s">
        <v>15913</v>
      </c>
      <c r="J7775" s="34" t="s">
        <v>33</v>
      </c>
      <c r="K7775" s="42">
        <v>49500</v>
      </c>
      <c r="L7775" s="12">
        <f t="shared" si="628"/>
        <v>82500</v>
      </c>
      <c r="M7775" s="106">
        <v>1</v>
      </c>
      <c r="N7775" s="106" t="s">
        <v>27</v>
      </c>
      <c r="O7775" s="78"/>
      <c r="P7775" s="107">
        <v>0</v>
      </c>
      <c r="Q7775" s="108">
        <v>0.4</v>
      </c>
      <c r="R7775" s="45" t="str">
        <f t="shared" si="627"/>
        <v>DAYKO</v>
      </c>
    </row>
    <row r="7776" spans="1:18" customFormat="1" ht="27" customHeight="1" x14ac:dyDescent="0.25">
      <c r="A7776" s="32" t="s">
        <v>1817</v>
      </c>
      <c r="H7776" t="s">
        <v>15914</v>
      </c>
      <c r="I7776" s="38" t="s">
        <v>15915</v>
      </c>
      <c r="J7776" s="34" t="s">
        <v>33</v>
      </c>
      <c r="K7776" s="42">
        <v>875600</v>
      </c>
      <c r="L7776" s="12">
        <f t="shared" si="628"/>
        <v>1459333.3333333335</v>
      </c>
      <c r="M7776" s="106">
        <v>1</v>
      </c>
      <c r="N7776" s="106" t="s">
        <v>27</v>
      </c>
      <c r="O7776" s="78"/>
      <c r="P7776" s="107">
        <v>0</v>
      </c>
      <c r="Q7776" s="108">
        <v>0.4</v>
      </c>
      <c r="R7776" s="45" t="str">
        <f t="shared" si="627"/>
        <v>DAYKO</v>
      </c>
    </row>
    <row r="7777" spans="1:19" customFormat="1" ht="27" customHeight="1" x14ac:dyDescent="0.25">
      <c r="A7777" s="32" t="s">
        <v>10001</v>
      </c>
      <c r="H7777" t="s">
        <v>15916</v>
      </c>
      <c r="I7777" s="38" t="s">
        <v>15917</v>
      </c>
      <c r="J7777" s="34" t="s">
        <v>26</v>
      </c>
      <c r="K7777" s="42">
        <v>188</v>
      </c>
      <c r="L7777" s="12">
        <f t="shared" si="628"/>
        <v>289.23076923076923</v>
      </c>
      <c r="M7777" s="106">
        <v>1</v>
      </c>
      <c r="N7777" s="106" t="s">
        <v>27</v>
      </c>
      <c r="O7777" s="78"/>
      <c r="P7777" s="107">
        <v>0</v>
      </c>
      <c r="Q7777" s="108">
        <v>0.35</v>
      </c>
      <c r="R7777" s="45" t="str">
        <f t="shared" si="627"/>
        <v>DRAPER</v>
      </c>
    </row>
    <row r="7778" spans="1:19" customFormat="1" ht="27" customHeight="1" x14ac:dyDescent="0.25">
      <c r="A7778" s="32" t="s">
        <v>10001</v>
      </c>
      <c r="H7778" t="s">
        <v>15918</v>
      </c>
      <c r="I7778" s="38" t="s">
        <v>15919</v>
      </c>
      <c r="J7778" s="34" t="s">
        <v>26</v>
      </c>
      <c r="K7778" s="42">
        <v>2786</v>
      </c>
      <c r="L7778" s="12">
        <f t="shared" si="628"/>
        <v>4286.1538461538457</v>
      </c>
      <c r="M7778" s="106">
        <v>1</v>
      </c>
      <c r="N7778" s="106" t="s">
        <v>27</v>
      </c>
      <c r="O7778" s="78"/>
      <c r="P7778" s="107">
        <v>0</v>
      </c>
      <c r="Q7778" s="108">
        <v>0.35</v>
      </c>
      <c r="R7778" s="45" t="str">
        <f t="shared" si="627"/>
        <v>DRAPER</v>
      </c>
    </row>
    <row r="7779" spans="1:19" customFormat="1" ht="27" customHeight="1" x14ac:dyDescent="0.25">
      <c r="A7779" s="32" t="s">
        <v>6990</v>
      </c>
      <c r="H7779" t="s">
        <v>15920</v>
      </c>
      <c r="I7779" s="38" t="s">
        <v>15921</v>
      </c>
      <c r="J7779" s="34" t="s">
        <v>26</v>
      </c>
      <c r="K7779" s="42">
        <v>3099</v>
      </c>
      <c r="L7779" s="12">
        <f t="shared" si="628"/>
        <v>5165</v>
      </c>
      <c r="M7779" s="106">
        <v>1</v>
      </c>
      <c r="N7779" s="106" t="s">
        <v>27</v>
      </c>
      <c r="O7779" s="78"/>
      <c r="P7779" s="107">
        <v>0</v>
      </c>
      <c r="Q7779" s="108">
        <v>0.4</v>
      </c>
      <c r="R7779" s="45" t="str">
        <f t="shared" si="627"/>
        <v>NEC</v>
      </c>
    </row>
    <row r="7780" spans="1:19" customFormat="1" ht="27" customHeight="1" x14ac:dyDescent="0.25">
      <c r="A7780" s="49" t="s">
        <v>2467</v>
      </c>
      <c r="B7780" s="24"/>
      <c r="C7780" s="24"/>
      <c r="D7780" s="24"/>
      <c r="E7780" s="24"/>
      <c r="F7780" s="24"/>
      <c r="G7780" s="24"/>
      <c r="H7780" s="24" t="s">
        <v>15922</v>
      </c>
      <c r="I7780" s="131" t="s">
        <v>15923</v>
      </c>
      <c r="J7780" s="24" t="s">
        <v>26</v>
      </c>
      <c r="K7780" s="26">
        <v>455</v>
      </c>
      <c r="L7780" s="12">
        <f>ROUNDUP(K7780*(1+P7780)/(1-Q7780),0)</f>
        <v>700</v>
      </c>
      <c r="M7780" s="8">
        <v>1</v>
      </c>
      <c r="N7780" s="8" t="s">
        <v>27</v>
      </c>
      <c r="O7780" s="13"/>
      <c r="P7780" s="14">
        <v>0</v>
      </c>
      <c r="Q7780" s="15">
        <v>0.35</v>
      </c>
      <c r="R7780" s="16" t="str">
        <f t="shared" si="627"/>
        <v>GEFEN</v>
      </c>
      <c r="S7780" s="17" t="str">
        <f>A7780</f>
        <v>GEFEN</v>
      </c>
    </row>
    <row r="7781" spans="1:19" customFormat="1" ht="27" customHeight="1" x14ac:dyDescent="0.25">
      <c r="A7781" s="32" t="s">
        <v>10001</v>
      </c>
      <c r="H7781" t="s">
        <v>15924</v>
      </c>
      <c r="I7781" s="38" t="s">
        <v>15925</v>
      </c>
      <c r="J7781" s="34" t="s">
        <v>26</v>
      </c>
      <c r="K7781" s="42">
        <v>2220</v>
      </c>
      <c r="L7781" s="12">
        <f>ROUNDUP(K7781*(1+P7781)/(1-Q7781),0)</f>
        <v>3416</v>
      </c>
      <c r="M7781" s="8">
        <v>1</v>
      </c>
      <c r="N7781" s="8" t="s">
        <v>27</v>
      </c>
      <c r="O7781" s="13"/>
      <c r="P7781" s="14">
        <v>0</v>
      </c>
      <c r="Q7781" s="15">
        <v>0.35</v>
      </c>
      <c r="R7781" s="16" t="str">
        <f t="shared" si="627"/>
        <v>DRAPER</v>
      </c>
    </row>
    <row r="7782" spans="1:19" customFormat="1" ht="27" customHeight="1" x14ac:dyDescent="0.25">
      <c r="A7782" s="32" t="s">
        <v>7755</v>
      </c>
      <c r="H7782" s="38" t="s">
        <v>15926</v>
      </c>
      <c r="I7782" s="38" t="s">
        <v>15927</v>
      </c>
      <c r="J7782" s="34" t="s">
        <v>26</v>
      </c>
      <c r="K7782" s="42">
        <f>4999*0.8</f>
        <v>3999.2000000000003</v>
      </c>
      <c r="L7782" s="12">
        <f>IF(J7782="P",ROUNDUP(K7782/(1-Q7782),-2),K7782*(1+P7782)/(1-Q7782))</f>
        <v>4999</v>
      </c>
      <c r="M7782" s="8">
        <v>1</v>
      </c>
      <c r="N7782" s="8" t="s">
        <v>27</v>
      </c>
      <c r="O7782" s="13">
        <f>F7782</f>
        <v>0</v>
      </c>
      <c r="P7782" s="14">
        <v>0</v>
      </c>
      <c r="Q7782" s="15">
        <v>0.2</v>
      </c>
      <c r="R7782" s="64" t="str">
        <f t="shared" si="627"/>
        <v>POLYCOM</v>
      </c>
      <c r="S7782" s="39" t="s">
        <v>15928</v>
      </c>
    </row>
    <row r="7783" spans="1:19" customFormat="1" ht="27" customHeight="1" x14ac:dyDescent="0.25">
      <c r="A7783" s="32" t="s">
        <v>7755</v>
      </c>
      <c r="H7783" s="32" t="s">
        <v>15929</v>
      </c>
      <c r="I7783" s="33" t="s">
        <v>15930</v>
      </c>
      <c r="J7783" s="34" t="s">
        <v>26</v>
      </c>
      <c r="K7783" s="42">
        <v>252</v>
      </c>
      <c r="L7783" s="12">
        <f>IF(J7783="P",ROUNDUP(K7783/(1-Q7783),-2),K7783*(1+P7783)/(1-Q7783))</f>
        <v>377.99999999999994</v>
      </c>
      <c r="M7783" s="8">
        <v>1</v>
      </c>
      <c r="N7783" s="8" t="s">
        <v>27</v>
      </c>
      <c r="O7783" s="13">
        <f>F7783</f>
        <v>0</v>
      </c>
      <c r="P7783" s="14">
        <v>0.2</v>
      </c>
      <c r="Q7783" s="15">
        <v>0.2</v>
      </c>
      <c r="R7783" s="64" t="str">
        <f t="shared" si="627"/>
        <v>POLYCOM</v>
      </c>
    </row>
    <row r="7784" spans="1:19" customFormat="1" ht="27" customHeight="1" x14ac:dyDescent="0.25">
      <c r="A7784" s="32" t="s">
        <v>4988</v>
      </c>
      <c r="H7784" s="32" t="s">
        <v>15931</v>
      </c>
      <c r="I7784" s="38" t="s">
        <v>15932</v>
      </c>
      <c r="J7784" s="34" t="s">
        <v>26</v>
      </c>
      <c r="K7784" s="42">
        <v>436</v>
      </c>
      <c r="L7784" s="12">
        <f>IF(J7784="P",ROUNDUP(K7784/(1-Q7784),-2),K7784*(1+P7784)/(1-Q7784))</f>
        <v>653.99999999999989</v>
      </c>
      <c r="M7784" s="8">
        <v>1</v>
      </c>
      <c r="N7784" s="8" t="s">
        <v>27</v>
      </c>
      <c r="O7784" s="13">
        <f>F7784</f>
        <v>0</v>
      </c>
      <c r="P7784" s="14">
        <v>0.2</v>
      </c>
      <c r="Q7784" s="15">
        <v>0.2</v>
      </c>
      <c r="R7784" s="64" t="str">
        <f t="shared" si="627"/>
        <v>KRAMER</v>
      </c>
    </row>
    <row r="7785" spans="1:19" customFormat="1" ht="27" customHeight="1" x14ac:dyDescent="0.25">
      <c r="A7785" s="32" t="s">
        <v>5001</v>
      </c>
      <c r="H7785" t="s">
        <v>15933</v>
      </c>
      <c r="I7785" s="38" t="s">
        <v>15934</v>
      </c>
      <c r="J7785" s="34" t="s">
        <v>26</v>
      </c>
      <c r="K7785" s="42">
        <v>6.49</v>
      </c>
      <c r="L7785" s="12">
        <f>IF(J7785="P",ROUNDUP(K7785/(1-Q7785),-2),K7785*(1+P7785)/(1-Q7785))</f>
        <v>9.7349999999999994</v>
      </c>
      <c r="M7785" s="8">
        <v>1</v>
      </c>
      <c r="N7785" s="8" t="s">
        <v>27</v>
      </c>
      <c r="O7785" s="13">
        <f>F7785</f>
        <v>0</v>
      </c>
      <c r="P7785" s="14">
        <v>0.2</v>
      </c>
      <c r="Q7785" s="15">
        <v>0.2</v>
      </c>
      <c r="R7785" s="64" t="str">
        <f t="shared" si="627"/>
        <v>LANPRO</v>
      </c>
      <c r="S7785" t="s">
        <v>15935</v>
      </c>
    </row>
    <row r="7786" spans="1:19" customFormat="1" ht="27" customHeight="1" x14ac:dyDescent="0.25">
      <c r="A7786" s="32" t="s">
        <v>15936</v>
      </c>
      <c r="H7786" t="s">
        <v>15937</v>
      </c>
      <c r="I7786" s="38" t="s">
        <v>15938</v>
      </c>
      <c r="J7786" s="34" t="s">
        <v>26</v>
      </c>
      <c r="K7786" s="42"/>
      <c r="R7786" s="64" t="str">
        <f t="shared" si="627"/>
        <v>HOHASSLE</v>
      </c>
      <c r="S7786" t="s">
        <v>15939</v>
      </c>
    </row>
    <row r="7787" spans="1:19" customFormat="1" ht="27" customHeight="1" x14ac:dyDescent="0.25">
      <c r="A7787" s="32" t="s">
        <v>15940</v>
      </c>
      <c r="H7787" t="s">
        <v>15941</v>
      </c>
      <c r="I7787" s="38" t="s">
        <v>15938</v>
      </c>
      <c r="J7787" s="34" t="s">
        <v>26</v>
      </c>
      <c r="K7787" s="42">
        <v>700</v>
      </c>
      <c r="L7787" s="12">
        <f>IF(J7787="P",ROUNDUP(K7787/(1-Q7787),-2),K7787*(1+P7787)/(1-Q7787))</f>
        <v>1076.9230769230769</v>
      </c>
      <c r="M7787" s="8">
        <v>1</v>
      </c>
      <c r="N7787" s="8" t="s">
        <v>27</v>
      </c>
      <c r="O7787" s="13">
        <f>F7787</f>
        <v>0</v>
      </c>
      <c r="P7787" s="14">
        <v>0</v>
      </c>
      <c r="Q7787" s="15">
        <v>0.35</v>
      </c>
      <c r="R7787" s="64" t="str">
        <f t="shared" si="627"/>
        <v>REI</v>
      </c>
    </row>
    <row r="7788" spans="1:19" customFormat="1" ht="27" customHeight="1" x14ac:dyDescent="0.25">
      <c r="A7788" s="32" t="s">
        <v>15942</v>
      </c>
      <c r="H7788" t="s">
        <v>15943</v>
      </c>
      <c r="I7788" t="s">
        <v>15944</v>
      </c>
      <c r="J7788" s="34" t="s">
        <v>26</v>
      </c>
      <c r="K7788" s="42">
        <v>33</v>
      </c>
      <c r="L7788" s="12">
        <f>IF(J7788="P",ROUNDUP(K7788/(1-Q7788),-2),K7788*(1+P7788)/(1-Q7788))</f>
        <v>60.92307692307692</v>
      </c>
      <c r="M7788" s="8">
        <v>1</v>
      </c>
      <c r="N7788" s="8" t="s">
        <v>27</v>
      </c>
      <c r="O7788" s="13">
        <f>F7788</f>
        <v>0</v>
      </c>
      <c r="P7788" s="14">
        <v>0.2</v>
      </c>
      <c r="Q7788" s="15">
        <v>0.35</v>
      </c>
      <c r="R7788" s="64" t="str">
        <f t="shared" si="627"/>
        <v>QBA</v>
      </c>
      <c r="S7788" t="s">
        <v>15945</v>
      </c>
    </row>
    <row r="7789" spans="1:19" customFormat="1" ht="27" customHeight="1" x14ac:dyDescent="0.25">
      <c r="A7789" s="32" t="s">
        <v>9325</v>
      </c>
      <c r="H7789" s="32" t="s">
        <v>15946</v>
      </c>
      <c r="I7789" s="38" t="s">
        <v>15947</v>
      </c>
      <c r="J7789" s="34" t="s">
        <v>33</v>
      </c>
      <c r="K7789" s="42">
        <v>3900000</v>
      </c>
      <c r="L7789" s="12">
        <f t="shared" ref="L7789:L7820" si="629">K7789*(1+P7789)/(1-Q7789)</f>
        <v>5571428.5714285718</v>
      </c>
      <c r="M7789" s="8">
        <v>1</v>
      </c>
      <c r="N7789" s="8" t="s">
        <v>27</v>
      </c>
      <c r="O7789" s="13"/>
      <c r="P7789" s="14">
        <v>0</v>
      </c>
      <c r="Q7789" s="15">
        <v>0.3</v>
      </c>
      <c r="R7789" s="16" t="str">
        <f t="shared" si="627"/>
        <v>TRAULUX</v>
      </c>
    </row>
    <row r="7790" spans="1:19" customFormat="1" ht="27" customHeight="1" x14ac:dyDescent="0.25">
      <c r="A7790" s="32" t="s">
        <v>6853</v>
      </c>
      <c r="H7790" t="s">
        <v>15948</v>
      </c>
      <c r="I7790" t="s">
        <v>15949</v>
      </c>
      <c r="J7790" s="34" t="s">
        <v>33</v>
      </c>
      <c r="K7790" s="42">
        <v>15690000</v>
      </c>
      <c r="L7790" s="12">
        <f t="shared" si="629"/>
        <v>22414285.714285716</v>
      </c>
      <c r="M7790" s="8">
        <v>1</v>
      </c>
      <c r="N7790" s="8" t="s">
        <v>27</v>
      </c>
      <c r="O7790" s="13"/>
      <c r="P7790" s="14">
        <v>0</v>
      </c>
      <c r="Q7790" s="15">
        <v>0.3</v>
      </c>
      <c r="R7790" s="16" t="str">
        <f t="shared" si="627"/>
        <v>MAXHUB</v>
      </c>
    </row>
    <row r="7791" spans="1:19" customFormat="1" ht="27" customHeight="1" x14ac:dyDescent="0.25">
      <c r="A7791" s="32" t="s">
        <v>6990</v>
      </c>
      <c r="H7791" s="32" t="s">
        <v>15950</v>
      </c>
      <c r="I7791" s="38" t="s">
        <v>15951</v>
      </c>
      <c r="J7791" s="34" t="s">
        <v>26</v>
      </c>
      <c r="K7791" s="42">
        <v>2538</v>
      </c>
      <c r="L7791" s="12">
        <f t="shared" si="629"/>
        <v>3625.7142857142858</v>
      </c>
      <c r="M7791" s="8">
        <v>1</v>
      </c>
      <c r="N7791" s="8" t="s">
        <v>27</v>
      </c>
      <c r="O7791" s="13"/>
      <c r="P7791" s="14">
        <v>0</v>
      </c>
      <c r="Q7791" s="15">
        <v>0.3</v>
      </c>
      <c r="R7791" s="16" t="str">
        <f t="shared" si="627"/>
        <v>NEC</v>
      </c>
    </row>
    <row r="7792" spans="1:19" customFormat="1" ht="27" customHeight="1" x14ac:dyDescent="0.25">
      <c r="A7792" s="32" t="s">
        <v>1248</v>
      </c>
      <c r="H7792" s="32" t="s">
        <v>15952</v>
      </c>
      <c r="I7792" s="33" t="s">
        <v>15953</v>
      </c>
      <c r="J7792" s="34" t="s">
        <v>26</v>
      </c>
      <c r="K7792" s="42">
        <v>413</v>
      </c>
      <c r="L7792" s="12">
        <f t="shared" si="629"/>
        <v>516.25</v>
      </c>
      <c r="M7792" s="8">
        <v>1</v>
      </c>
      <c r="N7792" s="8" t="s">
        <v>27</v>
      </c>
      <c r="O7792" s="13"/>
      <c r="P7792" s="14">
        <v>0</v>
      </c>
      <c r="Q7792" s="15">
        <v>0.2</v>
      </c>
      <c r="R7792" s="16" t="str">
        <f t="shared" si="627"/>
        <v>CHIEF</v>
      </c>
    </row>
    <row r="7793" spans="1:18" customFormat="1" ht="27" customHeight="1" x14ac:dyDescent="0.25">
      <c r="A7793" s="32" t="s">
        <v>15954</v>
      </c>
      <c r="H7793" s="32" t="s">
        <v>15955</v>
      </c>
      <c r="I7793" t="s">
        <v>15956</v>
      </c>
      <c r="J7793" s="34" t="s">
        <v>26</v>
      </c>
      <c r="K7793" s="42">
        <v>180</v>
      </c>
      <c r="L7793" s="12">
        <f t="shared" si="629"/>
        <v>225</v>
      </c>
      <c r="M7793" s="8">
        <v>1</v>
      </c>
      <c r="N7793" s="8" t="s">
        <v>27</v>
      </c>
      <c r="O7793" s="13"/>
      <c r="P7793" s="14">
        <v>0</v>
      </c>
      <c r="Q7793" s="15">
        <v>0.2</v>
      </c>
      <c r="R7793" s="16" t="str">
        <f t="shared" si="627"/>
        <v>DIGITAL IMAGE</v>
      </c>
    </row>
    <row r="7794" spans="1:18" customFormat="1" ht="27" customHeight="1" x14ac:dyDescent="0.25">
      <c r="A7794" s="32" t="s">
        <v>183</v>
      </c>
      <c r="H7794" s="32" t="s">
        <v>15957</v>
      </c>
      <c r="I7794" t="s">
        <v>15958</v>
      </c>
      <c r="J7794" s="34" t="s">
        <v>26</v>
      </c>
      <c r="K7794" s="42">
        <f>2080*0.8</f>
        <v>1664</v>
      </c>
      <c r="L7794" s="12">
        <f t="shared" si="629"/>
        <v>2080</v>
      </c>
      <c r="M7794" s="8">
        <v>1</v>
      </c>
      <c r="N7794" s="8" t="s">
        <v>27</v>
      </c>
      <c r="O7794" s="13"/>
      <c r="P7794" s="14">
        <v>0</v>
      </c>
      <c r="Q7794" s="15">
        <v>0.2</v>
      </c>
      <c r="R7794" s="16" t="str">
        <f t="shared" si="627"/>
        <v>AMX</v>
      </c>
    </row>
    <row r="7795" spans="1:18" customFormat="1" ht="27" customHeight="1" x14ac:dyDescent="0.25">
      <c r="A7795" s="32" t="s">
        <v>5672</v>
      </c>
      <c r="H7795" s="32" t="s">
        <v>15959</v>
      </c>
      <c r="I7795" t="s">
        <v>15960</v>
      </c>
      <c r="J7795" s="34" t="s">
        <v>26</v>
      </c>
      <c r="K7795" s="42">
        <v>1330</v>
      </c>
      <c r="L7795" s="12">
        <f t="shared" si="629"/>
        <v>2418.1818181818185</v>
      </c>
      <c r="M7795" s="8">
        <v>1</v>
      </c>
      <c r="N7795" s="8" t="s">
        <v>27</v>
      </c>
      <c r="O7795" s="13"/>
      <c r="P7795" s="14">
        <v>0.2</v>
      </c>
      <c r="Q7795" s="15">
        <v>0.34</v>
      </c>
      <c r="R7795" s="16" t="str">
        <f t="shared" si="627"/>
        <v>LUTRON</v>
      </c>
    </row>
    <row r="7796" spans="1:18" customFormat="1" ht="27" customHeight="1" x14ac:dyDescent="0.25">
      <c r="A7796" s="32" t="s">
        <v>2512</v>
      </c>
      <c r="H7796" s="32" t="s">
        <v>15961</v>
      </c>
      <c r="I7796" t="s">
        <v>15962</v>
      </c>
      <c r="J7796" s="34" t="s">
        <v>33</v>
      </c>
      <c r="K7796" s="42">
        <v>1550000</v>
      </c>
      <c r="L7796" s="12">
        <f t="shared" si="629"/>
        <v>2348484.8484848486</v>
      </c>
      <c r="M7796" s="8">
        <v>1</v>
      </c>
      <c r="N7796" s="8" t="s">
        <v>27</v>
      </c>
      <c r="O7796" s="13"/>
      <c r="P7796" s="14">
        <v>0</v>
      </c>
      <c r="Q7796" s="15">
        <v>0.34</v>
      </c>
      <c r="R7796" s="16" t="str">
        <f t="shared" si="627"/>
        <v>GENERAL</v>
      </c>
    </row>
    <row r="7797" spans="1:18" customFormat="1" ht="27" customHeight="1" x14ac:dyDescent="0.25">
      <c r="A7797" s="32" t="s">
        <v>183</v>
      </c>
      <c r="H7797" t="s">
        <v>15963</v>
      </c>
      <c r="I7797" t="s">
        <v>15964</v>
      </c>
      <c r="J7797" s="34" t="s">
        <v>26</v>
      </c>
      <c r="K7797" s="42">
        <v>4462.1400000000003</v>
      </c>
      <c r="L7797" s="132">
        <f t="shared" si="629"/>
        <v>8112.9818181818191</v>
      </c>
      <c r="M7797" s="8">
        <v>1</v>
      </c>
      <c r="N7797" s="8" t="s">
        <v>27</v>
      </c>
      <c r="O7797" s="13"/>
      <c r="P7797" s="14">
        <v>0.2</v>
      </c>
      <c r="Q7797" s="15">
        <v>0.34</v>
      </c>
      <c r="R7797" s="16" t="str">
        <f t="shared" si="627"/>
        <v>AMX</v>
      </c>
    </row>
    <row r="7798" spans="1:18" customFormat="1" ht="27" customHeight="1" x14ac:dyDescent="0.25">
      <c r="A7798" s="32" t="s">
        <v>183</v>
      </c>
      <c r="H7798" t="s">
        <v>15965</v>
      </c>
      <c r="I7798" t="s">
        <v>15966</v>
      </c>
      <c r="J7798" s="34" t="s">
        <v>26</v>
      </c>
      <c r="K7798" s="42">
        <v>912.9</v>
      </c>
      <c r="L7798" s="132">
        <f t="shared" si="629"/>
        <v>1659.818181818182</v>
      </c>
      <c r="M7798" s="8">
        <v>2</v>
      </c>
      <c r="N7798" s="8" t="s">
        <v>27</v>
      </c>
      <c r="O7798" s="13"/>
      <c r="P7798" s="14">
        <v>0.2</v>
      </c>
      <c r="Q7798" s="15">
        <v>0.34</v>
      </c>
      <c r="R7798" s="16" t="str">
        <f t="shared" si="627"/>
        <v>AMX</v>
      </c>
    </row>
    <row r="7799" spans="1:18" customFormat="1" ht="27" customHeight="1" x14ac:dyDescent="0.25">
      <c r="A7799" s="32" t="s">
        <v>183</v>
      </c>
      <c r="H7799" t="s">
        <v>15967</v>
      </c>
      <c r="I7799" t="s">
        <v>15968</v>
      </c>
      <c r="J7799" s="34" t="s">
        <v>26</v>
      </c>
      <c r="K7799" s="42">
        <v>103.15</v>
      </c>
      <c r="L7799" s="132">
        <f t="shared" si="629"/>
        <v>187.54545454545456</v>
      </c>
      <c r="M7799" s="8">
        <v>3</v>
      </c>
      <c r="N7799" s="8" t="s">
        <v>27</v>
      </c>
      <c r="O7799" s="13"/>
      <c r="P7799" s="14">
        <v>0.2</v>
      </c>
      <c r="Q7799" s="15">
        <v>0.34</v>
      </c>
      <c r="R7799" s="16" t="str">
        <f t="shared" si="627"/>
        <v>AMX</v>
      </c>
    </row>
    <row r="7800" spans="1:18" customFormat="1" ht="27" customHeight="1" x14ac:dyDescent="0.25">
      <c r="A7800" s="32" t="s">
        <v>183</v>
      </c>
      <c r="H7800" t="s">
        <v>15969</v>
      </c>
      <c r="I7800" t="s">
        <v>15970</v>
      </c>
      <c r="J7800" s="34" t="s">
        <v>26</v>
      </c>
      <c r="K7800" s="42">
        <v>796.2</v>
      </c>
      <c r="L7800" s="132">
        <f t="shared" si="629"/>
        <v>1447.636363636364</v>
      </c>
      <c r="M7800" s="8">
        <v>4</v>
      </c>
      <c r="N7800" s="8" t="s">
        <v>27</v>
      </c>
      <c r="O7800" s="13"/>
      <c r="P7800" s="14">
        <v>0.2</v>
      </c>
      <c r="Q7800" s="15">
        <v>0.34</v>
      </c>
      <c r="R7800" s="16" t="str">
        <f t="shared" si="627"/>
        <v>AMX</v>
      </c>
    </row>
    <row r="7801" spans="1:18" customFormat="1" ht="27" customHeight="1" x14ac:dyDescent="0.25">
      <c r="A7801" s="32" t="s">
        <v>183</v>
      </c>
      <c r="H7801" t="s">
        <v>15971</v>
      </c>
      <c r="I7801" t="s">
        <v>15972</v>
      </c>
      <c r="J7801" s="34" t="s">
        <v>26</v>
      </c>
      <c r="K7801" s="42">
        <v>1031.3800000000001</v>
      </c>
      <c r="L7801" s="132">
        <f t="shared" si="629"/>
        <v>1875.2363636363641</v>
      </c>
      <c r="M7801" s="8">
        <v>5</v>
      </c>
      <c r="N7801" s="8" t="s">
        <v>27</v>
      </c>
      <c r="O7801" s="13"/>
      <c r="P7801" s="14">
        <v>0.2</v>
      </c>
      <c r="Q7801" s="15">
        <v>0.34</v>
      </c>
      <c r="R7801" s="16" t="str">
        <f t="shared" si="627"/>
        <v>AMX</v>
      </c>
    </row>
    <row r="7802" spans="1:18" customFormat="1" ht="27" customHeight="1" x14ac:dyDescent="0.25">
      <c r="A7802" s="32" t="s">
        <v>183</v>
      </c>
      <c r="H7802" t="s">
        <v>15973</v>
      </c>
      <c r="I7802" t="s">
        <v>15974</v>
      </c>
      <c r="J7802" s="34" t="s">
        <v>26</v>
      </c>
      <c r="K7802" s="42">
        <v>614.80999999999995</v>
      </c>
      <c r="L7802" s="132">
        <f t="shared" si="629"/>
        <v>1117.8363636363638</v>
      </c>
      <c r="M7802" s="8">
        <v>6</v>
      </c>
      <c r="N7802" s="8" t="s">
        <v>27</v>
      </c>
      <c r="O7802" s="13"/>
      <c r="P7802" s="14">
        <v>0.2</v>
      </c>
      <c r="Q7802" s="15">
        <v>0.34</v>
      </c>
      <c r="R7802" s="16" t="str">
        <f t="shared" si="627"/>
        <v>AMX</v>
      </c>
    </row>
    <row r="7803" spans="1:18" customFormat="1" ht="27" customHeight="1" x14ac:dyDescent="0.25">
      <c r="A7803" s="32" t="s">
        <v>183</v>
      </c>
      <c r="H7803" t="s">
        <v>15975</v>
      </c>
      <c r="I7803" t="s">
        <v>15976</v>
      </c>
      <c r="J7803" s="34" t="s">
        <v>26</v>
      </c>
      <c r="K7803" s="42">
        <v>62.81</v>
      </c>
      <c r="L7803" s="132">
        <f t="shared" si="629"/>
        <v>114.20000000000002</v>
      </c>
      <c r="M7803" s="8">
        <v>7</v>
      </c>
      <c r="N7803" s="8" t="s">
        <v>27</v>
      </c>
      <c r="O7803" s="13"/>
      <c r="P7803" s="14">
        <v>0.2</v>
      </c>
      <c r="Q7803" s="15">
        <v>0.34</v>
      </c>
      <c r="R7803" s="16" t="str">
        <f t="shared" si="627"/>
        <v>AMX</v>
      </c>
    </row>
    <row r="7804" spans="1:18" customFormat="1" ht="27" customHeight="1" x14ac:dyDescent="0.25">
      <c r="A7804" s="32" t="s">
        <v>938</v>
      </c>
      <c r="H7804" t="s">
        <v>15977</v>
      </c>
      <c r="I7804" t="s">
        <v>15978</v>
      </c>
      <c r="J7804" s="34" t="s">
        <v>26</v>
      </c>
      <c r="K7804" s="42">
        <v>2754.48</v>
      </c>
      <c r="L7804" s="132">
        <f t="shared" si="629"/>
        <v>4173.454545454546</v>
      </c>
      <c r="M7804" s="8">
        <v>7</v>
      </c>
      <c r="N7804" s="8" t="s">
        <v>27</v>
      </c>
      <c r="O7804" s="13"/>
      <c r="P7804" s="14">
        <v>0</v>
      </c>
      <c r="Q7804" s="15">
        <v>0.34</v>
      </c>
      <c r="R7804" s="16" t="str">
        <f t="shared" si="627"/>
        <v>BSS</v>
      </c>
    </row>
    <row r="7805" spans="1:18" customFormat="1" ht="27" customHeight="1" x14ac:dyDescent="0.25">
      <c r="A7805" s="32" t="s">
        <v>938</v>
      </c>
      <c r="H7805" t="s">
        <v>15979</v>
      </c>
      <c r="I7805" t="s">
        <v>15980</v>
      </c>
      <c r="J7805" s="34" t="s">
        <v>26</v>
      </c>
      <c r="K7805" s="42">
        <v>147.28</v>
      </c>
      <c r="L7805" s="132">
        <f t="shared" si="629"/>
        <v>223.15151515151518</v>
      </c>
      <c r="M7805" s="8">
        <v>7</v>
      </c>
      <c r="N7805" s="8" t="s">
        <v>27</v>
      </c>
      <c r="O7805" s="13"/>
      <c r="P7805" s="14">
        <v>0</v>
      </c>
      <c r="Q7805" s="15">
        <v>0.34</v>
      </c>
      <c r="R7805" s="16" t="str">
        <f t="shared" si="627"/>
        <v>BSS</v>
      </c>
    </row>
    <row r="7806" spans="1:18" customFormat="1" ht="27" customHeight="1" x14ac:dyDescent="0.25">
      <c r="A7806" s="32" t="s">
        <v>938</v>
      </c>
      <c r="H7806" t="s">
        <v>15981</v>
      </c>
      <c r="I7806" t="s">
        <v>15982</v>
      </c>
      <c r="J7806" s="34" t="s">
        <v>26</v>
      </c>
      <c r="K7806" s="42">
        <v>147.28</v>
      </c>
      <c r="L7806" s="132">
        <f t="shared" si="629"/>
        <v>223.15151515151518</v>
      </c>
      <c r="M7806" s="8">
        <v>7</v>
      </c>
      <c r="N7806" s="8" t="s">
        <v>27</v>
      </c>
      <c r="O7806" s="13"/>
      <c r="P7806" s="14">
        <v>0</v>
      </c>
      <c r="Q7806" s="15">
        <v>0.34</v>
      </c>
      <c r="R7806" s="16" t="str">
        <f t="shared" si="627"/>
        <v>BSS</v>
      </c>
    </row>
    <row r="7807" spans="1:18" customFormat="1" ht="27" customHeight="1" x14ac:dyDescent="0.25">
      <c r="A7807" s="32" t="s">
        <v>1524</v>
      </c>
      <c r="H7807" t="s">
        <v>15983</v>
      </c>
      <c r="I7807" t="s">
        <v>15984</v>
      </c>
      <c r="J7807" s="34" t="s">
        <v>26</v>
      </c>
      <c r="K7807" s="42">
        <v>3825.92</v>
      </c>
      <c r="L7807" s="132">
        <f t="shared" si="629"/>
        <v>5796.8484848484859</v>
      </c>
      <c r="M7807" s="8">
        <v>7</v>
      </c>
      <c r="N7807" s="8" t="s">
        <v>27</v>
      </c>
      <c r="O7807" s="13"/>
      <c r="P7807" s="14">
        <v>0</v>
      </c>
      <c r="Q7807" s="15">
        <v>0.34</v>
      </c>
      <c r="R7807" s="16" t="str">
        <f t="shared" si="627"/>
        <v>CROWN</v>
      </c>
    </row>
    <row r="7808" spans="1:18" customFormat="1" ht="27" customHeight="1" x14ac:dyDescent="0.25">
      <c r="A7808" s="32" t="s">
        <v>3749</v>
      </c>
      <c r="H7808" t="s">
        <v>15985</v>
      </c>
      <c r="I7808" t="s">
        <v>15986</v>
      </c>
      <c r="J7808" s="34" t="s">
        <v>26</v>
      </c>
      <c r="K7808" s="42">
        <v>2098.4</v>
      </c>
      <c r="L7808" s="132">
        <f t="shared" si="629"/>
        <v>3179.3939393939399</v>
      </c>
      <c r="M7808" s="8">
        <v>8</v>
      </c>
      <c r="N7808" s="8" t="s">
        <v>27</v>
      </c>
      <c r="O7808" s="13"/>
      <c r="P7808" s="14">
        <v>0</v>
      </c>
      <c r="Q7808" s="15">
        <v>0.34</v>
      </c>
      <c r="R7808" s="16" t="str">
        <f t="shared" si="627"/>
        <v>JBL</v>
      </c>
    </row>
    <row r="7809" spans="1:18" customFormat="1" ht="27" customHeight="1" x14ac:dyDescent="0.25">
      <c r="A7809" s="32" t="s">
        <v>3749</v>
      </c>
      <c r="H7809" t="s">
        <v>15987</v>
      </c>
      <c r="I7809" t="s">
        <v>15988</v>
      </c>
      <c r="J7809" s="34" t="s">
        <v>26</v>
      </c>
      <c r="K7809" s="42">
        <v>1347.25</v>
      </c>
      <c r="L7809" s="132">
        <f t="shared" si="629"/>
        <v>2041.287878787879</v>
      </c>
      <c r="M7809" s="8">
        <v>9</v>
      </c>
      <c r="N7809" s="8" t="s">
        <v>27</v>
      </c>
      <c r="O7809" s="13"/>
      <c r="P7809" s="14">
        <v>0</v>
      </c>
      <c r="Q7809" s="15">
        <v>0.34</v>
      </c>
      <c r="R7809" s="16" t="str">
        <f t="shared" si="627"/>
        <v>JBL</v>
      </c>
    </row>
    <row r="7810" spans="1:18" customFormat="1" ht="27" customHeight="1" x14ac:dyDescent="0.25">
      <c r="A7810" s="32" t="s">
        <v>3749</v>
      </c>
      <c r="H7810" t="s">
        <v>15989</v>
      </c>
      <c r="I7810" t="s">
        <v>15990</v>
      </c>
      <c r="J7810" s="34" t="s">
        <v>26</v>
      </c>
      <c r="K7810" s="42">
        <v>800.32</v>
      </c>
      <c r="L7810" s="132">
        <f t="shared" si="629"/>
        <v>1212.6060606060607</v>
      </c>
      <c r="M7810" s="8">
        <v>10</v>
      </c>
      <c r="N7810" s="8" t="s">
        <v>27</v>
      </c>
      <c r="O7810" s="13"/>
      <c r="P7810" s="14">
        <v>0</v>
      </c>
      <c r="Q7810" s="15">
        <v>0.34</v>
      </c>
      <c r="R7810" s="16" t="str">
        <f t="shared" si="627"/>
        <v>JBL</v>
      </c>
    </row>
    <row r="7811" spans="1:18" customFormat="1" ht="27" customHeight="1" x14ac:dyDescent="0.25">
      <c r="A7811" s="32" t="s">
        <v>3749</v>
      </c>
      <c r="H7811" t="s">
        <v>15991</v>
      </c>
      <c r="I7811" t="s">
        <v>15992</v>
      </c>
      <c r="J7811" s="34" t="s">
        <v>26</v>
      </c>
      <c r="K7811" s="42">
        <v>648.05999999999995</v>
      </c>
      <c r="L7811" s="132">
        <f t="shared" si="629"/>
        <v>981.90909090909099</v>
      </c>
      <c r="M7811" s="8">
        <v>11</v>
      </c>
      <c r="N7811" s="8" t="s">
        <v>27</v>
      </c>
      <c r="O7811" s="13"/>
      <c r="P7811" s="14">
        <v>0</v>
      </c>
      <c r="Q7811" s="15">
        <v>0.34</v>
      </c>
      <c r="R7811" s="16" t="str">
        <f t="shared" si="627"/>
        <v>JBL</v>
      </c>
    </row>
    <row r="7812" spans="1:18" customFormat="1" ht="27" customHeight="1" x14ac:dyDescent="0.25">
      <c r="A7812" s="32" t="s">
        <v>3749</v>
      </c>
      <c r="H7812" t="s">
        <v>15993</v>
      </c>
      <c r="I7812" t="s">
        <v>15994</v>
      </c>
      <c r="J7812" s="34" t="s">
        <v>26</v>
      </c>
      <c r="K7812" s="42">
        <v>66.37</v>
      </c>
      <c r="L7812" s="132">
        <f t="shared" si="629"/>
        <v>100.56060606060608</v>
      </c>
      <c r="M7812" s="8">
        <v>12</v>
      </c>
      <c r="N7812" s="8" t="s">
        <v>27</v>
      </c>
      <c r="O7812" s="13"/>
      <c r="P7812" s="14">
        <v>0</v>
      </c>
      <c r="Q7812" s="15">
        <v>0.34</v>
      </c>
      <c r="R7812" s="16" t="str">
        <f t="shared" si="627"/>
        <v>JBL</v>
      </c>
    </row>
    <row r="7813" spans="1:18" customFormat="1" ht="27" customHeight="1" x14ac:dyDescent="0.25">
      <c r="A7813" s="32" t="s">
        <v>3749</v>
      </c>
      <c r="H7813" t="s">
        <v>15995</v>
      </c>
      <c r="I7813" s="38" t="s">
        <v>15996</v>
      </c>
      <c r="J7813" s="34" t="s">
        <v>26</v>
      </c>
      <c r="K7813" s="42">
        <v>125.2</v>
      </c>
      <c r="L7813" s="132">
        <f t="shared" si="629"/>
        <v>189.69696969696972</v>
      </c>
      <c r="M7813" s="8">
        <v>13</v>
      </c>
      <c r="N7813" s="8" t="s">
        <v>27</v>
      </c>
      <c r="O7813" s="13"/>
      <c r="P7813" s="14">
        <v>0</v>
      </c>
      <c r="Q7813" s="15">
        <v>0.34</v>
      </c>
      <c r="R7813" s="16" t="str">
        <f t="shared" ref="R7813:R7876" si="630">A7813</f>
        <v>JBL</v>
      </c>
    </row>
    <row r="7814" spans="1:18" customFormat="1" ht="27" customHeight="1" x14ac:dyDescent="0.25">
      <c r="A7814" s="32" t="s">
        <v>3749</v>
      </c>
      <c r="H7814" t="s">
        <v>15997</v>
      </c>
      <c r="I7814" t="s">
        <v>15998</v>
      </c>
      <c r="J7814" s="34" t="s">
        <v>26</v>
      </c>
      <c r="K7814" s="42">
        <v>112.78</v>
      </c>
      <c r="L7814" s="132">
        <f t="shared" si="629"/>
        <v>170.8787878787879</v>
      </c>
      <c r="M7814" s="8">
        <v>14</v>
      </c>
      <c r="N7814" s="8" t="s">
        <v>27</v>
      </c>
      <c r="O7814" s="13"/>
      <c r="P7814" s="14">
        <v>0</v>
      </c>
      <c r="Q7814" s="15">
        <v>0.34</v>
      </c>
      <c r="R7814" s="16" t="str">
        <f t="shared" si="630"/>
        <v>JBL</v>
      </c>
    </row>
    <row r="7815" spans="1:18" customFormat="1" ht="27" customHeight="1" x14ac:dyDescent="0.25">
      <c r="A7815" s="32" t="s">
        <v>3749</v>
      </c>
      <c r="H7815" t="s">
        <v>15999</v>
      </c>
      <c r="I7815" t="s">
        <v>16000</v>
      </c>
      <c r="J7815" s="34" t="s">
        <v>26</v>
      </c>
      <c r="K7815" s="42">
        <v>20.399999999999999</v>
      </c>
      <c r="L7815" s="132">
        <f t="shared" si="629"/>
        <v>30.90909090909091</v>
      </c>
      <c r="M7815" s="8">
        <v>15</v>
      </c>
      <c r="N7815" s="8" t="s">
        <v>27</v>
      </c>
      <c r="O7815" s="13"/>
      <c r="P7815" s="14">
        <v>0</v>
      </c>
      <c r="Q7815" s="15">
        <v>0.34</v>
      </c>
      <c r="R7815" s="16" t="str">
        <f t="shared" si="630"/>
        <v>JBL</v>
      </c>
    </row>
    <row r="7816" spans="1:18" customFormat="1" ht="27" customHeight="1" x14ac:dyDescent="0.25">
      <c r="A7816" s="32" t="s">
        <v>3749</v>
      </c>
      <c r="H7816" t="s">
        <v>3781</v>
      </c>
      <c r="I7816" t="s">
        <v>16001</v>
      </c>
      <c r="J7816" s="34" t="s">
        <v>26</v>
      </c>
      <c r="K7816" s="42">
        <v>204.94</v>
      </c>
      <c r="L7816" s="132">
        <f t="shared" si="629"/>
        <v>310.51515151515156</v>
      </c>
      <c r="M7816" s="8">
        <v>16</v>
      </c>
      <c r="N7816" s="8" t="s">
        <v>27</v>
      </c>
      <c r="O7816" s="13"/>
      <c r="P7816" s="14">
        <v>0</v>
      </c>
      <c r="Q7816" s="15">
        <v>0.34</v>
      </c>
      <c r="R7816" s="16" t="str">
        <f t="shared" si="630"/>
        <v>JBL</v>
      </c>
    </row>
    <row r="7817" spans="1:18" customFormat="1" ht="27" customHeight="1" x14ac:dyDescent="0.25">
      <c r="A7817" s="32" t="s">
        <v>3749</v>
      </c>
      <c r="H7817" t="s">
        <v>16002</v>
      </c>
      <c r="I7817" t="s">
        <v>16003</v>
      </c>
      <c r="J7817" s="34" t="s">
        <v>26</v>
      </c>
      <c r="K7817" s="42">
        <v>25.76</v>
      </c>
      <c r="L7817" s="132">
        <f t="shared" si="629"/>
        <v>39.030303030303038</v>
      </c>
      <c r="M7817" s="8">
        <v>17</v>
      </c>
      <c r="N7817" s="8" t="s">
        <v>27</v>
      </c>
      <c r="O7817" s="13"/>
      <c r="P7817" s="14">
        <v>0</v>
      </c>
      <c r="Q7817" s="15">
        <v>0.34</v>
      </c>
      <c r="R7817" s="16" t="str">
        <f t="shared" si="630"/>
        <v>JBL</v>
      </c>
    </row>
    <row r="7818" spans="1:18" customFormat="1" ht="27" customHeight="1" x14ac:dyDescent="0.25">
      <c r="A7818" s="32" t="s">
        <v>3749</v>
      </c>
      <c r="H7818" t="s">
        <v>16004</v>
      </c>
      <c r="I7818" t="s">
        <v>16005</v>
      </c>
      <c r="J7818" s="34" t="s">
        <v>26</v>
      </c>
      <c r="K7818" s="42">
        <v>95.5</v>
      </c>
      <c r="L7818" s="132">
        <f t="shared" si="629"/>
        <v>144.69696969696972</v>
      </c>
      <c r="M7818" s="8">
        <v>18</v>
      </c>
      <c r="N7818" s="8" t="s">
        <v>27</v>
      </c>
      <c r="O7818" s="13"/>
      <c r="P7818" s="14">
        <v>0</v>
      </c>
      <c r="Q7818" s="15">
        <v>0.34</v>
      </c>
      <c r="R7818" s="16" t="str">
        <f t="shared" si="630"/>
        <v>JBL</v>
      </c>
    </row>
    <row r="7819" spans="1:18" customFormat="1" ht="27" customHeight="1" x14ac:dyDescent="0.25">
      <c r="A7819" s="32" t="s">
        <v>7755</v>
      </c>
      <c r="H7819" t="s">
        <v>16006</v>
      </c>
      <c r="I7819" t="s">
        <v>16007</v>
      </c>
      <c r="J7819" s="34" t="s">
        <v>26</v>
      </c>
      <c r="K7819" s="42">
        <f>3900*0.8</f>
        <v>3120</v>
      </c>
      <c r="L7819" s="132">
        <f t="shared" si="629"/>
        <v>3900</v>
      </c>
      <c r="M7819" s="8">
        <v>18</v>
      </c>
      <c r="N7819" s="8" t="s">
        <v>27</v>
      </c>
      <c r="O7819" s="13"/>
      <c r="P7819" s="14">
        <v>0</v>
      </c>
      <c r="Q7819" s="15">
        <v>0.2</v>
      </c>
      <c r="R7819" s="16" t="str">
        <f t="shared" si="630"/>
        <v>POLYCOM</v>
      </c>
    </row>
    <row r="7820" spans="1:18" customFormat="1" ht="27" customHeight="1" x14ac:dyDescent="0.25">
      <c r="A7820" s="32" t="s">
        <v>5155</v>
      </c>
      <c r="H7820" t="s">
        <v>16008</v>
      </c>
      <c r="I7820" t="s">
        <v>16009</v>
      </c>
      <c r="J7820" s="34" t="s">
        <v>26</v>
      </c>
      <c r="K7820" s="42">
        <v>110</v>
      </c>
      <c r="L7820" s="132">
        <f t="shared" si="629"/>
        <v>157.14285714285714</v>
      </c>
      <c r="M7820" s="8">
        <v>18</v>
      </c>
      <c r="N7820" s="8" t="s">
        <v>27</v>
      </c>
      <c r="O7820" s="13"/>
      <c r="P7820" s="14">
        <v>0</v>
      </c>
      <c r="Q7820" s="15">
        <v>0.3</v>
      </c>
      <c r="R7820" s="16" t="str">
        <f t="shared" si="630"/>
        <v>LENOVO</v>
      </c>
    </row>
    <row r="7821" spans="1:18" customFormat="1" ht="27" customHeight="1" x14ac:dyDescent="0.25">
      <c r="A7821" s="32" t="s">
        <v>9877</v>
      </c>
      <c r="H7821" s="44" t="s">
        <v>16010</v>
      </c>
      <c r="I7821" s="33" t="s">
        <v>16011</v>
      </c>
      <c r="J7821" s="34" t="s">
        <v>26</v>
      </c>
      <c r="K7821" s="42">
        <v>462</v>
      </c>
      <c r="L7821" s="12">
        <f t="shared" ref="L7821:L7843" si="631">K7821*(1+P7821)/(1-Q7821)</f>
        <v>847.00000000000011</v>
      </c>
      <c r="M7821" s="8">
        <v>1</v>
      </c>
      <c r="N7821" s="8" t="s">
        <v>27</v>
      </c>
      <c r="O7821" s="13"/>
      <c r="P7821" s="14">
        <v>0.1</v>
      </c>
      <c r="Q7821" s="15">
        <v>0.4</v>
      </c>
      <c r="R7821" s="40" t="str">
        <f t="shared" si="630"/>
        <v>MIDDLE_ATLANTIC</v>
      </c>
    </row>
    <row r="7822" spans="1:18" customFormat="1" ht="27" customHeight="1" x14ac:dyDescent="0.25">
      <c r="A7822" s="32" t="s">
        <v>9877</v>
      </c>
      <c r="H7822" t="s">
        <v>16012</v>
      </c>
      <c r="I7822" t="s">
        <v>16013</v>
      </c>
      <c r="J7822" s="34" t="s">
        <v>26</v>
      </c>
      <c r="K7822" s="42">
        <v>230</v>
      </c>
      <c r="L7822" s="12">
        <f t="shared" si="631"/>
        <v>353.84615384615381</v>
      </c>
      <c r="M7822" s="106">
        <v>1</v>
      </c>
      <c r="N7822" s="106" t="s">
        <v>27</v>
      </c>
      <c r="O7822" s="78"/>
      <c r="P7822" s="107">
        <v>0</v>
      </c>
      <c r="Q7822" s="108">
        <v>0.35</v>
      </c>
      <c r="R7822" s="45" t="str">
        <f t="shared" si="630"/>
        <v>MIDDLE_ATLANTIC</v>
      </c>
    </row>
    <row r="7823" spans="1:18" customFormat="1" ht="27" customHeight="1" x14ac:dyDescent="0.25">
      <c r="A7823" s="32" t="s">
        <v>6990</v>
      </c>
      <c r="H7823" t="s">
        <v>16014</v>
      </c>
      <c r="I7823" s="38" t="s">
        <v>16015</v>
      </c>
      <c r="J7823" s="34" t="s">
        <v>26</v>
      </c>
      <c r="K7823" s="42">
        <v>16400</v>
      </c>
      <c r="L7823" s="12">
        <f t="shared" si="631"/>
        <v>28114.285714285717</v>
      </c>
      <c r="M7823" s="106">
        <v>1</v>
      </c>
      <c r="N7823" s="106" t="s">
        <v>27</v>
      </c>
      <c r="O7823" s="78"/>
      <c r="P7823" s="107">
        <v>0.2</v>
      </c>
      <c r="Q7823" s="108">
        <v>0.3</v>
      </c>
      <c r="R7823" s="45" t="str">
        <f t="shared" si="630"/>
        <v>NEC</v>
      </c>
    </row>
    <row r="7824" spans="1:18" customFormat="1" ht="27" customHeight="1" x14ac:dyDescent="0.25">
      <c r="A7824" s="32" t="s">
        <v>10001</v>
      </c>
      <c r="H7824" t="s">
        <v>16016</v>
      </c>
      <c r="I7824" t="s">
        <v>16017</v>
      </c>
      <c r="J7824" s="34" t="s">
        <v>26</v>
      </c>
      <c r="K7824" s="42">
        <v>4872</v>
      </c>
      <c r="L7824" s="12">
        <f t="shared" si="631"/>
        <v>9048.0000000000018</v>
      </c>
      <c r="M7824" s="106">
        <v>1</v>
      </c>
      <c r="N7824" s="106" t="s">
        <v>27</v>
      </c>
      <c r="O7824" s="78"/>
      <c r="P7824" s="107">
        <v>0.3</v>
      </c>
      <c r="Q7824" s="108">
        <v>0.3</v>
      </c>
      <c r="R7824" s="45" t="str">
        <f t="shared" si="630"/>
        <v>DRAPER</v>
      </c>
    </row>
    <row r="7825" spans="1:21" customFormat="1" ht="27" customHeight="1" x14ac:dyDescent="0.25">
      <c r="A7825" s="32" t="s">
        <v>8217</v>
      </c>
      <c r="H7825" t="s">
        <v>16018</v>
      </c>
      <c r="I7825" s="38" t="s">
        <v>16019</v>
      </c>
      <c r="J7825" s="34" t="s">
        <v>26</v>
      </c>
      <c r="K7825" s="42">
        <v>437</v>
      </c>
      <c r="L7825" s="12">
        <f t="shared" si="631"/>
        <v>749.14285714285711</v>
      </c>
      <c r="M7825" s="106">
        <v>1</v>
      </c>
      <c r="N7825" s="106" t="s">
        <v>27</v>
      </c>
      <c r="O7825" s="78"/>
      <c r="P7825" s="107">
        <v>0.2</v>
      </c>
      <c r="Q7825" s="108">
        <v>0.3</v>
      </c>
      <c r="R7825" s="45" t="str">
        <f t="shared" si="630"/>
        <v>SHURE</v>
      </c>
    </row>
    <row r="7826" spans="1:21" customFormat="1" ht="27" customHeight="1" x14ac:dyDescent="0.25">
      <c r="A7826" s="32" t="s">
        <v>8217</v>
      </c>
      <c r="H7826" t="s">
        <v>16020</v>
      </c>
      <c r="I7826" t="s">
        <v>16021</v>
      </c>
      <c r="J7826" s="34" t="s">
        <v>26</v>
      </c>
      <c r="K7826" s="42">
        <v>225</v>
      </c>
      <c r="L7826" s="12">
        <f t="shared" si="631"/>
        <v>385.71428571428572</v>
      </c>
      <c r="M7826" s="106">
        <v>1</v>
      </c>
      <c r="N7826" s="106" t="s">
        <v>27</v>
      </c>
      <c r="O7826" s="78"/>
      <c r="P7826" s="107">
        <v>0.2</v>
      </c>
      <c r="Q7826" s="108">
        <v>0.3</v>
      </c>
      <c r="R7826" s="45" t="str">
        <f t="shared" si="630"/>
        <v>SHURE</v>
      </c>
    </row>
    <row r="7827" spans="1:21" customFormat="1" ht="27" customHeight="1" x14ac:dyDescent="0.25">
      <c r="A7827" s="32" t="s">
        <v>5672</v>
      </c>
      <c r="H7827" t="s">
        <v>16022</v>
      </c>
      <c r="I7827" s="38" t="s">
        <v>16023</v>
      </c>
      <c r="J7827" s="34" t="s">
        <v>26</v>
      </c>
      <c r="K7827" s="42"/>
      <c r="L7827" s="12">
        <f t="shared" si="631"/>
        <v>0</v>
      </c>
      <c r="M7827" s="106">
        <v>1</v>
      </c>
      <c r="N7827" s="106" t="s">
        <v>27</v>
      </c>
      <c r="O7827" s="78"/>
      <c r="P7827" s="107">
        <v>0.2</v>
      </c>
      <c r="Q7827" s="108">
        <v>0.3</v>
      </c>
      <c r="R7827" s="45" t="str">
        <f t="shared" si="630"/>
        <v>LUTRON</v>
      </c>
    </row>
    <row r="7828" spans="1:21" customFormat="1" ht="27" customHeight="1" x14ac:dyDescent="0.25">
      <c r="A7828" s="32" t="s">
        <v>5672</v>
      </c>
      <c r="H7828" t="s">
        <v>16024</v>
      </c>
      <c r="I7828" s="38" t="s">
        <v>16025</v>
      </c>
      <c r="J7828" s="34" t="s">
        <v>26</v>
      </c>
      <c r="K7828" s="42"/>
      <c r="L7828" s="12">
        <f t="shared" si="631"/>
        <v>0</v>
      </c>
      <c r="M7828" s="106">
        <v>1</v>
      </c>
      <c r="N7828" s="106" t="s">
        <v>27</v>
      </c>
      <c r="O7828" s="78"/>
      <c r="P7828" s="107">
        <v>0.2</v>
      </c>
      <c r="Q7828" s="108">
        <v>0.3</v>
      </c>
      <c r="R7828" s="45" t="str">
        <f t="shared" si="630"/>
        <v>LUTRON</v>
      </c>
    </row>
    <row r="7829" spans="1:21" customFormat="1" ht="27" customHeight="1" x14ac:dyDescent="0.25">
      <c r="A7829" s="32" t="s">
        <v>5672</v>
      </c>
      <c r="H7829" t="s">
        <v>16026</v>
      </c>
      <c r="I7829" s="38" t="s">
        <v>16027</v>
      </c>
      <c r="J7829" s="34" t="s">
        <v>26</v>
      </c>
      <c r="K7829" s="42"/>
      <c r="L7829" s="12">
        <f t="shared" si="631"/>
        <v>0</v>
      </c>
      <c r="M7829" s="106">
        <v>1</v>
      </c>
      <c r="N7829" s="106" t="s">
        <v>27</v>
      </c>
      <c r="O7829" s="78"/>
      <c r="P7829" s="107">
        <v>0.2</v>
      </c>
      <c r="Q7829" s="108">
        <v>0.3</v>
      </c>
      <c r="R7829" s="45" t="str">
        <f t="shared" si="630"/>
        <v>LUTRON</v>
      </c>
    </row>
    <row r="7830" spans="1:21" customFormat="1" ht="27" customHeight="1" x14ac:dyDescent="0.25">
      <c r="A7830" s="32" t="s">
        <v>5672</v>
      </c>
      <c r="H7830" t="s">
        <v>16028</v>
      </c>
      <c r="I7830" s="38" t="s">
        <v>16029</v>
      </c>
      <c r="J7830" s="34" t="s">
        <v>26</v>
      </c>
      <c r="K7830" s="42"/>
      <c r="L7830" s="12">
        <f t="shared" si="631"/>
        <v>0</v>
      </c>
      <c r="M7830" s="106">
        <v>1</v>
      </c>
      <c r="N7830" s="106" t="s">
        <v>27</v>
      </c>
      <c r="O7830" s="78"/>
      <c r="P7830" s="107">
        <v>0.2</v>
      </c>
      <c r="Q7830" s="108">
        <v>0.3</v>
      </c>
      <c r="R7830" s="45" t="str">
        <f t="shared" si="630"/>
        <v>LUTRON</v>
      </c>
    </row>
    <row r="7831" spans="1:21" customFormat="1" ht="27" customHeight="1" x14ac:dyDescent="0.25">
      <c r="A7831" s="32" t="s">
        <v>5672</v>
      </c>
      <c r="H7831" t="s">
        <v>16030</v>
      </c>
      <c r="I7831" s="38" t="s">
        <v>16031</v>
      </c>
      <c r="J7831" s="34" t="s">
        <v>26</v>
      </c>
      <c r="K7831" s="42"/>
      <c r="L7831" s="12">
        <f t="shared" si="631"/>
        <v>0</v>
      </c>
      <c r="M7831" s="106">
        <v>1</v>
      </c>
      <c r="N7831" s="106" t="s">
        <v>27</v>
      </c>
      <c r="O7831" s="78"/>
      <c r="P7831" s="107">
        <v>0.2</v>
      </c>
      <c r="Q7831" s="108">
        <v>0.3</v>
      </c>
      <c r="R7831" s="45" t="str">
        <f t="shared" si="630"/>
        <v>LUTRON</v>
      </c>
    </row>
    <row r="7832" spans="1:21" customFormat="1" ht="27" customHeight="1" x14ac:dyDescent="0.25">
      <c r="A7832" s="32" t="s">
        <v>16032</v>
      </c>
      <c r="H7832" s="32" t="s">
        <v>16033</v>
      </c>
      <c r="I7832" s="38" t="s">
        <v>16034</v>
      </c>
      <c r="J7832" s="34" t="s">
        <v>26</v>
      </c>
      <c r="K7832" s="42">
        <v>180</v>
      </c>
      <c r="L7832" s="12">
        <f t="shared" si="631"/>
        <v>425.45454545454544</v>
      </c>
      <c r="M7832" s="106">
        <v>1</v>
      </c>
      <c r="N7832" s="106" t="s">
        <v>27</v>
      </c>
      <c r="O7832" s="78"/>
      <c r="P7832" s="133">
        <v>0.3</v>
      </c>
      <c r="Q7832" s="134">
        <v>0.45</v>
      </c>
      <c r="R7832" s="64" t="str">
        <f t="shared" si="630"/>
        <v>BUYANG</v>
      </c>
      <c r="U7832" s="21"/>
    </row>
    <row r="7833" spans="1:21" customFormat="1" ht="27" customHeight="1" x14ac:dyDescent="0.25">
      <c r="A7833" s="32" t="s">
        <v>16035</v>
      </c>
      <c r="H7833" t="s">
        <v>16036</v>
      </c>
      <c r="I7833" s="38" t="s">
        <v>16037</v>
      </c>
      <c r="J7833" s="34" t="s">
        <v>26</v>
      </c>
      <c r="K7833" s="42">
        <v>148</v>
      </c>
      <c r="L7833" s="12">
        <f t="shared" si="631"/>
        <v>211.42857142857144</v>
      </c>
      <c r="M7833" s="106">
        <v>1</v>
      </c>
      <c r="N7833" s="106" t="s">
        <v>27</v>
      </c>
      <c r="O7833" s="78"/>
      <c r="P7833" s="133">
        <v>0</v>
      </c>
      <c r="Q7833" s="134">
        <v>0.3</v>
      </c>
      <c r="R7833" s="64" t="str">
        <f t="shared" si="630"/>
        <v>AKUBELA</v>
      </c>
    </row>
    <row r="7834" spans="1:21" customFormat="1" ht="27" customHeight="1" x14ac:dyDescent="0.25">
      <c r="A7834" s="32" t="s">
        <v>3388</v>
      </c>
      <c r="H7834" t="s">
        <v>16038</v>
      </c>
      <c r="I7834" s="38" t="s">
        <v>16039</v>
      </c>
      <c r="J7834" s="34" t="s">
        <v>33</v>
      </c>
      <c r="K7834" s="42">
        <f>32000*5</f>
        <v>160000</v>
      </c>
      <c r="L7834" s="12">
        <f t="shared" si="631"/>
        <v>228571.42857142858</v>
      </c>
      <c r="M7834" s="106">
        <v>1</v>
      </c>
      <c r="N7834" s="106" t="s">
        <v>27</v>
      </c>
      <c r="O7834" s="78"/>
      <c r="P7834" s="133">
        <v>0</v>
      </c>
      <c r="Q7834" s="134">
        <v>0.3</v>
      </c>
      <c r="R7834" s="64" t="str">
        <f t="shared" si="630"/>
        <v>SIGNCOMPLEX</v>
      </c>
    </row>
    <row r="7835" spans="1:21" customFormat="1" ht="27" customHeight="1" x14ac:dyDescent="0.25">
      <c r="A7835" s="32" t="s">
        <v>6886</v>
      </c>
      <c r="H7835" t="s">
        <v>15813</v>
      </c>
      <c r="I7835" s="38" t="s">
        <v>16040</v>
      </c>
      <c r="J7835" s="34" t="s">
        <v>33</v>
      </c>
      <c r="K7835" s="42">
        <v>73700</v>
      </c>
      <c r="L7835" s="12">
        <f t="shared" si="631"/>
        <v>105285.71428571429</v>
      </c>
      <c r="M7835" s="106">
        <v>1</v>
      </c>
      <c r="N7835" s="106" t="s">
        <v>27</v>
      </c>
      <c r="O7835" s="78"/>
      <c r="P7835" s="133">
        <v>0</v>
      </c>
      <c r="Q7835" s="134">
        <v>0.3</v>
      </c>
      <c r="R7835" s="64" t="str">
        <f t="shared" si="630"/>
        <v>MEANWELL</v>
      </c>
    </row>
    <row r="7836" spans="1:21" customFormat="1" ht="27" customHeight="1" x14ac:dyDescent="0.25">
      <c r="A7836" s="32" t="s">
        <v>5170</v>
      </c>
      <c r="H7836" s="32" t="s">
        <v>16041</v>
      </c>
      <c r="I7836" s="33" t="s">
        <v>16042</v>
      </c>
      <c r="J7836" s="34" t="s">
        <v>33</v>
      </c>
      <c r="K7836" s="42">
        <v>2500</v>
      </c>
      <c r="L7836" s="12">
        <f t="shared" si="631"/>
        <v>4166.666666666667</v>
      </c>
      <c r="M7836" s="8">
        <v>1</v>
      </c>
      <c r="N7836" s="8" t="s">
        <v>27</v>
      </c>
      <c r="O7836" s="13"/>
      <c r="P7836" s="14">
        <v>0</v>
      </c>
      <c r="Q7836" s="15">
        <v>0.4</v>
      </c>
      <c r="R7836" s="40" t="str">
        <f t="shared" si="630"/>
        <v>LEVITON</v>
      </c>
    </row>
    <row r="7837" spans="1:21" customFormat="1" ht="27" customHeight="1" x14ac:dyDescent="0.25">
      <c r="A7837" s="32" t="s">
        <v>5170</v>
      </c>
      <c r="H7837" s="32" t="s">
        <v>16043</v>
      </c>
      <c r="I7837" s="33" t="s">
        <v>16044</v>
      </c>
      <c r="J7837" s="34" t="s">
        <v>33</v>
      </c>
      <c r="K7837" s="42">
        <v>6400</v>
      </c>
      <c r="L7837" s="12">
        <f t="shared" si="631"/>
        <v>10666.666666666668</v>
      </c>
      <c r="M7837" s="8">
        <v>1</v>
      </c>
      <c r="N7837" s="8" t="s">
        <v>27</v>
      </c>
      <c r="O7837" s="13"/>
      <c r="P7837" s="14">
        <v>0</v>
      </c>
      <c r="Q7837" s="15">
        <v>0.4</v>
      </c>
      <c r="R7837" s="40" t="str">
        <f t="shared" si="630"/>
        <v>LEVITON</v>
      </c>
    </row>
    <row r="7838" spans="1:21" customFormat="1" ht="27" customHeight="1" x14ac:dyDescent="0.25">
      <c r="A7838" s="32" t="s">
        <v>6886</v>
      </c>
      <c r="H7838" s="32" t="s">
        <v>16045</v>
      </c>
      <c r="I7838" s="33" t="s">
        <v>16046</v>
      </c>
      <c r="J7838" s="34" t="s">
        <v>33</v>
      </c>
      <c r="K7838" s="42">
        <v>195800</v>
      </c>
      <c r="L7838" s="12">
        <f t="shared" si="631"/>
        <v>279714.28571428574</v>
      </c>
      <c r="M7838" s="8">
        <v>1</v>
      </c>
      <c r="N7838" s="8" t="s">
        <v>27</v>
      </c>
      <c r="O7838" s="13"/>
      <c r="P7838" s="14">
        <v>0</v>
      </c>
      <c r="Q7838" s="15">
        <v>0.3</v>
      </c>
      <c r="R7838" s="40" t="str">
        <f t="shared" si="630"/>
        <v>MEANWELL</v>
      </c>
    </row>
    <row r="7839" spans="1:21" customFormat="1" ht="27" customHeight="1" x14ac:dyDescent="0.25">
      <c r="A7839" s="32" t="s">
        <v>8308</v>
      </c>
      <c r="H7839" s="32" t="s">
        <v>16047</v>
      </c>
      <c r="I7839" s="33" t="s">
        <v>16048</v>
      </c>
      <c r="J7839" s="34" t="s">
        <v>33</v>
      </c>
      <c r="K7839" s="42">
        <v>13090</v>
      </c>
      <c r="L7839" s="12">
        <f t="shared" si="631"/>
        <v>21816.666666666668</v>
      </c>
      <c r="M7839" s="8">
        <v>1</v>
      </c>
      <c r="N7839" s="8" t="s">
        <v>27</v>
      </c>
      <c r="O7839" s="13"/>
      <c r="P7839" s="14">
        <v>0</v>
      </c>
      <c r="Q7839" s="15">
        <v>0.4</v>
      </c>
      <c r="R7839" s="40" t="str">
        <f t="shared" si="630"/>
        <v>SOLIDVIEW</v>
      </c>
    </row>
    <row r="7840" spans="1:21" customFormat="1" ht="27" customHeight="1" x14ac:dyDescent="0.25">
      <c r="A7840" s="32" t="s">
        <v>2086</v>
      </c>
      <c r="H7840" s="32" t="s">
        <v>16049</v>
      </c>
      <c r="I7840" s="33" t="s">
        <v>16050</v>
      </c>
      <c r="J7840" s="34" t="s">
        <v>33</v>
      </c>
      <c r="K7840" s="42">
        <v>35000</v>
      </c>
      <c r="L7840" s="12">
        <f t="shared" si="631"/>
        <v>58333.333333333336</v>
      </c>
      <c r="M7840" s="8">
        <v>1</v>
      </c>
      <c r="N7840" s="8" t="s">
        <v>27</v>
      </c>
      <c r="O7840" s="13"/>
      <c r="P7840" s="14">
        <v>0</v>
      </c>
      <c r="Q7840" s="15">
        <v>0.4</v>
      </c>
      <c r="R7840" s="40" t="str">
        <f t="shared" si="630"/>
        <v>EATON</v>
      </c>
    </row>
    <row r="7841" spans="1:18" customFormat="1" ht="27" customHeight="1" x14ac:dyDescent="0.25">
      <c r="A7841" s="32" t="s">
        <v>1561</v>
      </c>
      <c r="H7841" s="44" t="s">
        <v>16051</v>
      </c>
      <c r="I7841" s="33" t="s">
        <v>16052</v>
      </c>
      <c r="J7841" s="34" t="s">
        <v>33</v>
      </c>
      <c r="K7841" s="42">
        <v>292913</v>
      </c>
      <c r="L7841" s="12">
        <f t="shared" si="631"/>
        <v>488188.33333333337</v>
      </c>
      <c r="M7841" s="8">
        <v>1</v>
      </c>
      <c r="N7841" s="8" t="s">
        <v>27</v>
      </c>
      <c r="O7841" s="13"/>
      <c r="P7841" s="14">
        <v>0</v>
      </c>
      <c r="Q7841" s="15">
        <v>0.4</v>
      </c>
      <c r="R7841" s="40" t="str">
        <f t="shared" si="630"/>
        <v>DAHUA</v>
      </c>
    </row>
    <row r="7842" spans="1:18" customFormat="1" ht="27" customHeight="1" x14ac:dyDescent="0.25">
      <c r="A7842" s="32" t="s">
        <v>9568</v>
      </c>
      <c r="H7842" s="44" t="s">
        <v>13963</v>
      </c>
      <c r="I7842" s="33" t="s">
        <v>16053</v>
      </c>
      <c r="J7842" s="34" t="s">
        <v>33</v>
      </c>
      <c r="K7842" s="42">
        <v>387000</v>
      </c>
      <c r="L7842" s="12">
        <f t="shared" si="631"/>
        <v>645000</v>
      </c>
      <c r="M7842" s="8">
        <v>1</v>
      </c>
      <c r="N7842" s="8" t="s">
        <v>27</v>
      </c>
      <c r="O7842" s="13"/>
      <c r="P7842" s="14">
        <v>0</v>
      </c>
      <c r="Q7842" s="15">
        <v>0.4</v>
      </c>
      <c r="R7842" s="40" t="str">
        <f t="shared" si="630"/>
        <v>WESTERN DIGITAL</v>
      </c>
    </row>
    <row r="7843" spans="1:18" customFormat="1" ht="27" customHeight="1" x14ac:dyDescent="0.25">
      <c r="A7843" s="32" t="s">
        <v>2512</v>
      </c>
      <c r="H7843" s="32" t="s">
        <v>16054</v>
      </c>
      <c r="I7843" s="33" t="s">
        <v>15863</v>
      </c>
      <c r="J7843" s="34" t="s">
        <v>33</v>
      </c>
      <c r="K7843" s="42">
        <v>9300</v>
      </c>
      <c r="L7843" s="12">
        <f t="shared" si="631"/>
        <v>15500</v>
      </c>
      <c r="M7843" s="8">
        <v>1</v>
      </c>
      <c r="N7843" s="8" t="s">
        <v>27</v>
      </c>
      <c r="O7843" s="13"/>
      <c r="P7843" s="14">
        <v>0</v>
      </c>
      <c r="Q7843" s="15">
        <v>0.4</v>
      </c>
      <c r="R7843" s="40" t="str">
        <f t="shared" si="630"/>
        <v>GENERAL</v>
      </c>
    </row>
    <row r="7844" spans="1:18" customFormat="1" ht="27" customHeight="1" x14ac:dyDescent="0.25">
      <c r="A7844" s="8" t="s">
        <v>2124</v>
      </c>
      <c r="B7844" s="9"/>
      <c r="C7844" s="9"/>
      <c r="D7844" s="8"/>
      <c r="E7844" s="8"/>
      <c r="F7844" s="8" t="s">
        <v>22</v>
      </c>
      <c r="G7844" s="10" t="s">
        <v>2141</v>
      </c>
      <c r="H7844" s="8" t="s">
        <v>2178</v>
      </c>
      <c r="I7844" s="10" t="s">
        <v>16055</v>
      </c>
      <c r="J7844" s="11" t="s">
        <v>33</v>
      </c>
      <c r="K7844" s="18">
        <v>565000</v>
      </c>
      <c r="L7844" s="12">
        <f t="shared" ref="L7844:L7862" si="632">IF(J7844="P",ROUNDUP(K7844/(1-Q7844),-2),K7844*(1+P7844)/(1-Q7844))</f>
        <v>807200</v>
      </c>
      <c r="M7844" s="8">
        <v>1</v>
      </c>
      <c r="N7844" s="8" t="s">
        <v>27</v>
      </c>
      <c r="O7844" s="13"/>
      <c r="P7844" s="14">
        <v>0</v>
      </c>
      <c r="Q7844" s="15">
        <v>0.3</v>
      </c>
      <c r="R7844" s="16" t="str">
        <f t="shared" si="630"/>
        <v>ECOLUZ</v>
      </c>
    </row>
    <row r="7845" spans="1:18" customFormat="1" ht="27" customHeight="1" x14ac:dyDescent="0.25">
      <c r="A7845" s="32" t="s">
        <v>8036</v>
      </c>
      <c r="H7845" s="32" t="s">
        <v>16056</v>
      </c>
      <c r="I7845" s="33" t="s">
        <v>16057</v>
      </c>
      <c r="J7845" s="34" t="s">
        <v>33</v>
      </c>
      <c r="K7845" s="42">
        <v>399900</v>
      </c>
      <c r="L7845" s="12">
        <f t="shared" si="632"/>
        <v>571300</v>
      </c>
      <c r="M7845" s="8">
        <v>1</v>
      </c>
      <c r="N7845" s="8" t="s">
        <v>27</v>
      </c>
      <c r="O7845" s="13"/>
      <c r="P7845" s="14">
        <v>0</v>
      </c>
      <c r="Q7845" s="15">
        <v>0.3</v>
      </c>
      <c r="R7845" s="16" t="str">
        <f t="shared" si="630"/>
        <v>SAMSUNG</v>
      </c>
    </row>
    <row r="7846" spans="1:18" customFormat="1" ht="27" customHeight="1" x14ac:dyDescent="0.25">
      <c r="A7846" s="32" t="s">
        <v>16058</v>
      </c>
      <c r="H7846" s="32" t="s">
        <v>16059</v>
      </c>
      <c r="I7846" s="33" t="s">
        <v>16060</v>
      </c>
      <c r="J7846" s="34" t="s">
        <v>26</v>
      </c>
      <c r="K7846" s="42">
        <v>205.6</v>
      </c>
      <c r="L7846" s="12">
        <f t="shared" si="632"/>
        <v>293.71428571428572</v>
      </c>
      <c r="M7846" s="8">
        <v>1</v>
      </c>
      <c r="N7846" s="8" t="s">
        <v>27</v>
      </c>
      <c r="O7846" s="13"/>
      <c r="P7846" s="14">
        <v>0</v>
      </c>
      <c r="Q7846" s="15">
        <v>0.3</v>
      </c>
      <c r="R7846" s="16" t="str">
        <f t="shared" si="630"/>
        <v>HUNTER</v>
      </c>
    </row>
    <row r="7847" spans="1:18" customFormat="1" ht="27" customHeight="1" x14ac:dyDescent="0.25">
      <c r="A7847" s="32" t="s">
        <v>5672</v>
      </c>
      <c r="H7847" s="32" t="s">
        <v>6568</v>
      </c>
      <c r="I7847" s="33" t="s">
        <v>16061</v>
      </c>
      <c r="J7847" s="34" t="s">
        <v>26</v>
      </c>
      <c r="K7847" s="42">
        <v>65</v>
      </c>
      <c r="L7847" s="12">
        <f t="shared" si="632"/>
        <v>92.857142857142861</v>
      </c>
      <c r="M7847" s="8">
        <v>1</v>
      </c>
      <c r="N7847" s="8" t="s">
        <v>27</v>
      </c>
      <c r="O7847" s="13"/>
      <c r="P7847" s="14">
        <v>0</v>
      </c>
      <c r="Q7847" s="15">
        <v>0.3</v>
      </c>
      <c r="R7847" s="16" t="str">
        <f t="shared" si="630"/>
        <v>LUTRON</v>
      </c>
    </row>
    <row r="7848" spans="1:18" customFormat="1" ht="27" customHeight="1" x14ac:dyDescent="0.25">
      <c r="A7848" s="32" t="s">
        <v>1561</v>
      </c>
      <c r="H7848" s="32" t="s">
        <v>16062</v>
      </c>
      <c r="I7848" s="33" t="s">
        <v>16063</v>
      </c>
      <c r="J7848" s="34" t="s">
        <v>33</v>
      </c>
      <c r="K7848" s="42">
        <v>146000</v>
      </c>
      <c r="L7848" s="12">
        <f t="shared" si="632"/>
        <v>243400</v>
      </c>
      <c r="M7848" s="8">
        <v>1</v>
      </c>
      <c r="N7848" s="8" t="s">
        <v>27</v>
      </c>
      <c r="O7848" s="13"/>
      <c r="P7848" s="14">
        <v>0</v>
      </c>
      <c r="Q7848" s="15">
        <v>0.4</v>
      </c>
      <c r="R7848" s="16" t="str">
        <f t="shared" si="630"/>
        <v>DAHUA</v>
      </c>
    </row>
    <row r="7849" spans="1:18" customFormat="1" ht="27" customHeight="1" x14ac:dyDescent="0.25">
      <c r="A7849" s="32" t="s">
        <v>1561</v>
      </c>
      <c r="H7849" s="32" t="s">
        <v>16064</v>
      </c>
      <c r="I7849" s="33" t="s">
        <v>16065</v>
      </c>
      <c r="J7849" s="34" t="s">
        <v>33</v>
      </c>
      <c r="K7849" s="42">
        <v>288000</v>
      </c>
      <c r="L7849" s="12">
        <f t="shared" si="632"/>
        <v>480000</v>
      </c>
      <c r="M7849" s="8">
        <v>1</v>
      </c>
      <c r="N7849" s="8" t="s">
        <v>27</v>
      </c>
      <c r="O7849" s="13"/>
      <c r="P7849" s="14">
        <v>0</v>
      </c>
      <c r="Q7849" s="15">
        <v>0.4</v>
      </c>
      <c r="R7849" s="16" t="str">
        <f t="shared" si="630"/>
        <v>DAHUA</v>
      </c>
    </row>
    <row r="7850" spans="1:18" customFormat="1" ht="27" customHeight="1" x14ac:dyDescent="0.25">
      <c r="A7850" s="32" t="s">
        <v>3459</v>
      </c>
      <c r="H7850" s="32" t="s">
        <v>16066</v>
      </c>
      <c r="I7850" s="33" t="s">
        <v>16067</v>
      </c>
      <c r="J7850" s="34" t="s">
        <v>33</v>
      </c>
      <c r="K7850" s="42">
        <v>779000</v>
      </c>
      <c r="L7850" s="12">
        <f t="shared" si="632"/>
        <v>1298400</v>
      </c>
      <c r="M7850" s="8">
        <v>1</v>
      </c>
      <c r="N7850" s="8" t="s">
        <v>27</v>
      </c>
      <c r="O7850" s="13"/>
      <c r="P7850" s="14">
        <v>0</v>
      </c>
      <c r="Q7850" s="15">
        <v>0.4</v>
      </c>
      <c r="R7850" s="16" t="str">
        <f t="shared" si="630"/>
        <v>HIKVISION</v>
      </c>
    </row>
    <row r="7851" spans="1:18" customFormat="1" ht="27" customHeight="1" x14ac:dyDescent="0.25">
      <c r="A7851" s="32" t="s">
        <v>2512</v>
      </c>
      <c r="H7851" s="32" t="s">
        <v>16068</v>
      </c>
      <c r="I7851" s="33" t="s">
        <v>16069</v>
      </c>
      <c r="J7851" s="34" t="s">
        <v>33</v>
      </c>
      <c r="K7851" s="42">
        <v>237800</v>
      </c>
      <c r="L7851" s="12">
        <f t="shared" si="632"/>
        <v>297300</v>
      </c>
      <c r="M7851" s="8">
        <v>1</v>
      </c>
      <c r="N7851" s="8" t="s">
        <v>27</v>
      </c>
      <c r="O7851" s="13"/>
      <c r="P7851" s="14">
        <v>0</v>
      </c>
      <c r="Q7851" s="15">
        <v>0.2</v>
      </c>
      <c r="R7851" s="16" t="str">
        <f t="shared" si="630"/>
        <v>GENERAL</v>
      </c>
    </row>
    <row r="7852" spans="1:18" customFormat="1" ht="27" customHeight="1" x14ac:dyDescent="0.25">
      <c r="A7852" s="32" t="s">
        <v>3977</v>
      </c>
      <c r="H7852" s="32" t="s">
        <v>12942</v>
      </c>
      <c r="I7852" s="33" t="s">
        <v>16070</v>
      </c>
      <c r="J7852" s="34" t="s">
        <v>33</v>
      </c>
      <c r="K7852" s="42">
        <v>140000</v>
      </c>
      <c r="L7852" s="12">
        <f t="shared" si="632"/>
        <v>175000</v>
      </c>
      <c r="M7852" s="8">
        <v>1</v>
      </c>
      <c r="N7852" s="8" t="s">
        <v>27</v>
      </c>
      <c r="O7852" s="13"/>
      <c r="P7852" s="14">
        <v>0</v>
      </c>
      <c r="Q7852" s="15">
        <v>0.2</v>
      </c>
      <c r="R7852" s="16" t="str">
        <f t="shared" si="630"/>
        <v>KOMODO</v>
      </c>
    </row>
    <row r="7853" spans="1:18" customFormat="1" ht="27" customHeight="1" x14ac:dyDescent="0.25">
      <c r="A7853" s="32" t="s">
        <v>3977</v>
      </c>
      <c r="H7853" s="32" t="s">
        <v>12944</v>
      </c>
      <c r="I7853" s="33" t="s">
        <v>16071</v>
      </c>
      <c r="J7853" s="34" t="s">
        <v>33</v>
      </c>
      <c r="K7853" s="42">
        <f>710*0.07*4000*0.6</f>
        <v>119280</v>
      </c>
      <c r="L7853" s="12">
        <f t="shared" si="632"/>
        <v>183600</v>
      </c>
      <c r="M7853" s="8">
        <v>1</v>
      </c>
      <c r="N7853" s="8" t="s">
        <v>27</v>
      </c>
      <c r="O7853" s="13"/>
      <c r="P7853" s="14">
        <v>0</v>
      </c>
      <c r="Q7853" s="15">
        <v>0.35</v>
      </c>
      <c r="R7853" s="16" t="str">
        <f t="shared" si="630"/>
        <v>KOMODO</v>
      </c>
    </row>
    <row r="7854" spans="1:18" customFormat="1" ht="27" customHeight="1" x14ac:dyDescent="0.25">
      <c r="A7854" s="32" t="s">
        <v>3977</v>
      </c>
      <c r="H7854" s="32" t="s">
        <v>16072</v>
      </c>
      <c r="I7854" s="33" t="s">
        <v>16073</v>
      </c>
      <c r="J7854" s="34" t="s">
        <v>33</v>
      </c>
      <c r="K7854" s="42">
        <v>160000</v>
      </c>
      <c r="L7854" s="12">
        <f t="shared" si="632"/>
        <v>246200</v>
      </c>
      <c r="M7854" s="8">
        <v>1</v>
      </c>
      <c r="N7854" s="8" t="s">
        <v>27</v>
      </c>
      <c r="O7854" s="13"/>
      <c r="P7854" s="14">
        <v>0</v>
      </c>
      <c r="Q7854" s="15">
        <v>0.35</v>
      </c>
      <c r="R7854" s="16" t="str">
        <f t="shared" si="630"/>
        <v>KOMODO</v>
      </c>
    </row>
    <row r="7855" spans="1:18" customFormat="1" ht="27" customHeight="1" x14ac:dyDescent="0.25">
      <c r="A7855" s="32" t="s">
        <v>3977</v>
      </c>
      <c r="H7855" s="32" t="s">
        <v>16074</v>
      </c>
      <c r="I7855" s="33" t="s">
        <v>16075</v>
      </c>
      <c r="J7855" s="34" t="s">
        <v>33</v>
      </c>
      <c r="K7855" s="42">
        <v>140000</v>
      </c>
      <c r="L7855" s="12">
        <f t="shared" si="632"/>
        <v>215400</v>
      </c>
      <c r="M7855" s="8">
        <v>1</v>
      </c>
      <c r="N7855" s="8" t="s">
        <v>27</v>
      </c>
      <c r="O7855" s="13"/>
      <c r="P7855" s="14">
        <v>0</v>
      </c>
      <c r="Q7855" s="15">
        <v>0.35</v>
      </c>
      <c r="R7855" s="16" t="str">
        <f t="shared" si="630"/>
        <v>KOMODO</v>
      </c>
    </row>
    <row r="7856" spans="1:18" customFormat="1" ht="27" customHeight="1" x14ac:dyDescent="0.25">
      <c r="A7856" s="32" t="s">
        <v>3977</v>
      </c>
      <c r="H7856" s="32" t="s">
        <v>16076</v>
      </c>
      <c r="I7856" s="33" t="s">
        <v>16077</v>
      </c>
      <c r="J7856" s="34" t="s">
        <v>33</v>
      </c>
      <c r="K7856" s="42">
        <v>140000</v>
      </c>
      <c r="L7856" s="12">
        <f t="shared" si="632"/>
        <v>215400</v>
      </c>
      <c r="M7856" s="8">
        <v>1</v>
      </c>
      <c r="N7856" s="8" t="s">
        <v>27</v>
      </c>
      <c r="O7856" s="13"/>
      <c r="P7856" s="14">
        <v>0</v>
      </c>
      <c r="Q7856" s="15">
        <v>0.35</v>
      </c>
      <c r="R7856" s="16" t="str">
        <f t="shared" si="630"/>
        <v>KOMODO</v>
      </c>
    </row>
    <row r="7857" spans="1:20" customFormat="1" ht="27" customHeight="1" x14ac:dyDescent="0.25">
      <c r="A7857" s="32" t="s">
        <v>3977</v>
      </c>
      <c r="H7857" s="32" t="s">
        <v>16078</v>
      </c>
      <c r="I7857" s="33" t="s">
        <v>16079</v>
      </c>
      <c r="J7857" s="34" t="s">
        <v>26</v>
      </c>
      <c r="K7857" s="42">
        <v>250</v>
      </c>
      <c r="L7857" s="12">
        <f t="shared" si="632"/>
        <v>384.61538461538458</v>
      </c>
      <c r="M7857" s="8">
        <v>1</v>
      </c>
      <c r="N7857" s="8" t="s">
        <v>27</v>
      </c>
      <c r="O7857" s="13"/>
      <c r="P7857" s="14">
        <v>0</v>
      </c>
      <c r="Q7857" s="15">
        <v>0.35</v>
      </c>
      <c r="R7857" s="16" t="str">
        <f t="shared" si="630"/>
        <v>KOMODO</v>
      </c>
    </row>
    <row r="7858" spans="1:20" customFormat="1" ht="27" customHeight="1" x14ac:dyDescent="0.25">
      <c r="A7858" s="32" t="s">
        <v>3977</v>
      </c>
      <c r="H7858" s="32" t="s">
        <v>16080</v>
      </c>
      <c r="I7858" s="33" t="s">
        <v>16081</v>
      </c>
      <c r="J7858" s="34" t="s">
        <v>33</v>
      </c>
      <c r="K7858" s="42">
        <f>196000*0.7</f>
        <v>137200</v>
      </c>
      <c r="L7858" s="12">
        <f t="shared" si="632"/>
        <v>196000</v>
      </c>
      <c r="M7858" s="8">
        <v>1</v>
      </c>
      <c r="N7858" s="8" t="s">
        <v>27</v>
      </c>
      <c r="O7858" s="13"/>
      <c r="P7858" s="14">
        <v>0</v>
      </c>
      <c r="Q7858" s="15">
        <v>0.3</v>
      </c>
      <c r="R7858" s="16" t="str">
        <f t="shared" si="630"/>
        <v>KOMODO</v>
      </c>
    </row>
    <row r="7859" spans="1:20" customFormat="1" ht="27" customHeight="1" x14ac:dyDescent="0.25">
      <c r="A7859" s="32" t="s">
        <v>3977</v>
      </c>
      <c r="H7859" s="32" t="s">
        <v>16082</v>
      </c>
      <c r="I7859" s="33" t="s">
        <v>16083</v>
      </c>
      <c r="J7859" s="34" t="s">
        <v>33</v>
      </c>
      <c r="K7859" s="42">
        <f>268000*0.7</f>
        <v>187600</v>
      </c>
      <c r="L7859" s="12">
        <f t="shared" si="632"/>
        <v>268000</v>
      </c>
      <c r="M7859" s="8">
        <v>1</v>
      </c>
      <c r="N7859" s="8" t="s">
        <v>27</v>
      </c>
      <c r="O7859" s="13"/>
      <c r="P7859" s="14">
        <v>0</v>
      </c>
      <c r="Q7859" s="15">
        <v>0.3</v>
      </c>
      <c r="R7859" s="16" t="str">
        <f t="shared" si="630"/>
        <v>KOMODO</v>
      </c>
    </row>
    <row r="7860" spans="1:20" customFormat="1" ht="27" customHeight="1" x14ac:dyDescent="0.25">
      <c r="A7860" s="32" t="s">
        <v>3977</v>
      </c>
      <c r="H7860" s="32" t="s">
        <v>16084</v>
      </c>
      <c r="I7860" s="33" t="s">
        <v>16085</v>
      </c>
      <c r="J7860" s="34" t="s">
        <v>33</v>
      </c>
      <c r="K7860" s="42">
        <f>418000*0.7</f>
        <v>292600</v>
      </c>
      <c r="L7860" s="12">
        <f t="shared" si="632"/>
        <v>418000</v>
      </c>
      <c r="M7860" s="8">
        <v>1</v>
      </c>
      <c r="N7860" s="8" t="s">
        <v>27</v>
      </c>
      <c r="O7860" s="13"/>
      <c r="P7860" s="14">
        <v>0</v>
      </c>
      <c r="Q7860" s="15">
        <v>0.3</v>
      </c>
      <c r="R7860" s="16" t="str">
        <f t="shared" si="630"/>
        <v>KOMODO</v>
      </c>
    </row>
    <row r="7861" spans="1:20" customFormat="1" ht="27" customHeight="1" x14ac:dyDescent="0.25">
      <c r="A7861" s="32" t="s">
        <v>3977</v>
      </c>
      <c r="H7861" s="32" t="s">
        <v>16086</v>
      </c>
      <c r="I7861" s="33" t="s">
        <v>16087</v>
      </c>
      <c r="J7861" s="34" t="s">
        <v>33</v>
      </c>
      <c r="K7861" s="42">
        <f>569000*0.7</f>
        <v>398300</v>
      </c>
      <c r="L7861" s="12">
        <f t="shared" si="632"/>
        <v>569000</v>
      </c>
      <c r="M7861" s="8">
        <v>1</v>
      </c>
      <c r="N7861" s="8" t="s">
        <v>27</v>
      </c>
      <c r="O7861" s="13"/>
      <c r="P7861" s="14">
        <v>0</v>
      </c>
      <c r="Q7861" s="15">
        <v>0.3</v>
      </c>
      <c r="R7861" s="16" t="str">
        <f t="shared" si="630"/>
        <v>KOMODO</v>
      </c>
    </row>
    <row r="7862" spans="1:20" customFormat="1" ht="27" customHeight="1" x14ac:dyDescent="0.25">
      <c r="A7862" s="32" t="s">
        <v>3977</v>
      </c>
      <c r="H7862" s="32" t="s">
        <v>16088</v>
      </c>
      <c r="I7862" s="33" t="s">
        <v>16089</v>
      </c>
      <c r="J7862" s="34" t="s">
        <v>33</v>
      </c>
      <c r="K7862" s="42">
        <f>641000*0.7</f>
        <v>448700</v>
      </c>
      <c r="L7862" s="12">
        <f t="shared" si="632"/>
        <v>641000</v>
      </c>
      <c r="M7862" s="8">
        <v>1</v>
      </c>
      <c r="N7862" s="8" t="s">
        <v>27</v>
      </c>
      <c r="O7862" s="13"/>
      <c r="P7862" s="14">
        <v>0</v>
      </c>
      <c r="Q7862" s="15">
        <v>0.3</v>
      </c>
      <c r="R7862" s="16" t="str">
        <f t="shared" si="630"/>
        <v>KOMODO</v>
      </c>
    </row>
    <row r="7863" spans="1:20" customFormat="1" ht="27" customHeight="1" x14ac:dyDescent="0.25">
      <c r="A7863" s="44" t="s">
        <v>5672</v>
      </c>
      <c r="H7863" s="44" t="s">
        <v>6371</v>
      </c>
      <c r="I7863" s="45" t="s">
        <v>16090</v>
      </c>
      <c r="J7863" s="41" t="s">
        <v>26</v>
      </c>
      <c r="K7863" s="42">
        <v>25.95</v>
      </c>
      <c r="L7863" s="12">
        <f>K7863*1.2/(1-Q7863)</f>
        <v>51.9</v>
      </c>
      <c r="M7863" s="8">
        <v>1</v>
      </c>
      <c r="N7863" s="8" t="s">
        <v>27</v>
      </c>
      <c r="O7863" s="13" t="s">
        <v>588</v>
      </c>
      <c r="P7863" s="14">
        <v>0.2</v>
      </c>
      <c r="Q7863" s="15">
        <v>0.4</v>
      </c>
      <c r="R7863" s="16" t="str">
        <f t="shared" si="630"/>
        <v>LUTRON</v>
      </c>
      <c r="S7863" s="17"/>
      <c r="T7863" s="10">
        <f>G7863</f>
        <v>0</v>
      </c>
    </row>
    <row r="7864" spans="1:20" customFormat="1" ht="27" customHeight="1" x14ac:dyDescent="0.25">
      <c r="A7864" s="32" t="s">
        <v>2095</v>
      </c>
      <c r="H7864" s="32" t="s">
        <v>16091</v>
      </c>
      <c r="I7864" s="33" t="s">
        <v>16092</v>
      </c>
      <c r="J7864" s="34" t="s">
        <v>33</v>
      </c>
      <c r="K7864" s="42">
        <v>90000</v>
      </c>
      <c r="L7864" s="12">
        <f>K7864*1.2/(1-Q7864)</f>
        <v>120000</v>
      </c>
      <c r="M7864" s="8">
        <v>1</v>
      </c>
      <c r="N7864" s="8" t="s">
        <v>27</v>
      </c>
      <c r="O7864" s="13" t="s">
        <v>588</v>
      </c>
      <c r="P7864" s="14">
        <v>0</v>
      </c>
      <c r="Q7864" s="15">
        <v>0.1</v>
      </c>
      <c r="R7864" s="16" t="str">
        <f t="shared" si="630"/>
        <v>ECOLITE</v>
      </c>
    </row>
    <row r="7865" spans="1:20" customFormat="1" ht="27" customHeight="1" x14ac:dyDescent="0.25">
      <c r="A7865" s="32" t="s">
        <v>10211</v>
      </c>
      <c r="H7865" s="32" t="s">
        <v>16093</v>
      </c>
      <c r="I7865" s="33" t="s">
        <v>16094</v>
      </c>
      <c r="J7865" s="34" t="s">
        <v>33</v>
      </c>
      <c r="K7865" s="42">
        <v>198000</v>
      </c>
      <c r="L7865" s="12">
        <f>IF(J7865="P",ROUNDUP(K7865/(1-Q7865),-2),K7865*(1+P7865)/(1-Q7865))</f>
        <v>304700</v>
      </c>
      <c r="M7865" s="8">
        <v>1</v>
      </c>
      <c r="N7865" s="8" t="s">
        <v>27</v>
      </c>
      <c r="O7865" s="13">
        <f>F7865</f>
        <v>0</v>
      </c>
      <c r="P7865" s="14">
        <v>0</v>
      </c>
      <c r="Q7865" s="15">
        <v>0.35</v>
      </c>
      <c r="R7865" s="64" t="str">
        <f t="shared" si="630"/>
        <v>SICOLUZ</v>
      </c>
    </row>
    <row r="7866" spans="1:20" customFormat="1" ht="27" customHeight="1" x14ac:dyDescent="0.25">
      <c r="A7866" s="32" t="s">
        <v>16095</v>
      </c>
      <c r="H7866" s="32" t="s">
        <v>16096</v>
      </c>
      <c r="I7866" t="s">
        <v>16097</v>
      </c>
      <c r="J7866" t="s">
        <v>33</v>
      </c>
      <c r="K7866" s="42">
        <v>291900</v>
      </c>
      <c r="L7866" s="12">
        <f t="shared" ref="L7866:L7887" si="633">K7866*(1+P7866)/(1-Q7866)</f>
        <v>417000</v>
      </c>
      <c r="M7866" s="8">
        <v>1</v>
      </c>
      <c r="N7866" s="8" t="s">
        <v>27</v>
      </c>
      <c r="O7866" s="13"/>
      <c r="P7866" s="14">
        <v>0</v>
      </c>
      <c r="Q7866" s="15">
        <v>0.3</v>
      </c>
      <c r="R7866" s="40" t="str">
        <f t="shared" si="630"/>
        <v>SILV</v>
      </c>
    </row>
    <row r="7867" spans="1:20" customFormat="1" ht="27" customHeight="1" x14ac:dyDescent="0.25">
      <c r="A7867" s="32" t="s">
        <v>16095</v>
      </c>
      <c r="H7867" s="32" t="s">
        <v>16098</v>
      </c>
      <c r="I7867" t="s">
        <v>16099</v>
      </c>
      <c r="J7867" t="s">
        <v>33</v>
      </c>
      <c r="K7867" s="42">
        <v>989000</v>
      </c>
      <c r="L7867" s="12">
        <f t="shared" si="633"/>
        <v>1412857.142857143</v>
      </c>
      <c r="M7867" s="8">
        <v>1</v>
      </c>
      <c r="N7867" s="8" t="s">
        <v>27</v>
      </c>
      <c r="O7867" s="13"/>
      <c r="P7867" s="14">
        <v>0</v>
      </c>
      <c r="Q7867" s="15">
        <v>0.3</v>
      </c>
      <c r="R7867" s="40" t="str">
        <f t="shared" si="630"/>
        <v>SILV</v>
      </c>
    </row>
    <row r="7868" spans="1:20" customFormat="1" ht="27" customHeight="1" x14ac:dyDescent="0.25">
      <c r="A7868" s="32" t="s">
        <v>16095</v>
      </c>
      <c r="H7868" s="32" t="s">
        <v>16100</v>
      </c>
      <c r="I7868" t="s">
        <v>16101</v>
      </c>
      <c r="J7868" t="s">
        <v>33</v>
      </c>
      <c r="K7868" s="42">
        <v>1259900</v>
      </c>
      <c r="L7868" s="12">
        <f t="shared" si="633"/>
        <v>1799857.142857143</v>
      </c>
      <c r="M7868" s="8">
        <v>1</v>
      </c>
      <c r="N7868" s="8" t="s">
        <v>27</v>
      </c>
      <c r="O7868" s="13"/>
      <c r="P7868" s="14">
        <v>0</v>
      </c>
      <c r="Q7868" s="15">
        <v>0.3</v>
      </c>
      <c r="R7868" s="40" t="str">
        <f t="shared" si="630"/>
        <v>SILV</v>
      </c>
    </row>
    <row r="7869" spans="1:20" customFormat="1" ht="27" customHeight="1" x14ac:dyDescent="0.25">
      <c r="A7869" s="32" t="s">
        <v>16095</v>
      </c>
      <c r="H7869" s="32" t="s">
        <v>16102</v>
      </c>
      <c r="I7869" t="s">
        <v>16103</v>
      </c>
      <c r="J7869" t="s">
        <v>33</v>
      </c>
      <c r="K7869" s="42">
        <v>1529000</v>
      </c>
      <c r="L7869" s="12">
        <f t="shared" si="633"/>
        <v>2184285.7142857146</v>
      </c>
      <c r="M7869" s="8">
        <v>1</v>
      </c>
      <c r="N7869" s="8" t="s">
        <v>27</v>
      </c>
      <c r="O7869" s="13"/>
      <c r="P7869" s="14">
        <v>0</v>
      </c>
      <c r="Q7869" s="15">
        <v>0.3</v>
      </c>
      <c r="R7869" s="40" t="str">
        <f t="shared" si="630"/>
        <v>SILV</v>
      </c>
    </row>
    <row r="7870" spans="1:20" customFormat="1" ht="27" customHeight="1" x14ac:dyDescent="0.25">
      <c r="A7870" s="32" t="s">
        <v>12063</v>
      </c>
      <c r="H7870" s="32" t="s">
        <v>16104</v>
      </c>
      <c r="I7870" t="s">
        <v>16105</v>
      </c>
      <c r="J7870" t="s">
        <v>33</v>
      </c>
      <c r="K7870" s="42">
        <f>324144*0.9</f>
        <v>291729.60000000003</v>
      </c>
      <c r="L7870" s="12">
        <f t="shared" si="633"/>
        <v>324144.00000000006</v>
      </c>
      <c r="M7870" s="8">
        <v>1</v>
      </c>
      <c r="N7870" s="8" t="s">
        <v>27</v>
      </c>
      <c r="O7870" s="13"/>
      <c r="P7870" s="14">
        <v>0</v>
      </c>
      <c r="Q7870" s="15">
        <v>0.1</v>
      </c>
      <c r="R7870" s="40" t="str">
        <f t="shared" si="630"/>
        <v>TECHNOLITE</v>
      </c>
    </row>
    <row r="7871" spans="1:20" customFormat="1" ht="27" customHeight="1" x14ac:dyDescent="0.25">
      <c r="A7871" s="32" t="s">
        <v>12063</v>
      </c>
      <c r="H7871" s="32" t="s">
        <v>16106</v>
      </c>
      <c r="I7871" t="s">
        <v>16107</v>
      </c>
      <c r="J7871" t="s">
        <v>33</v>
      </c>
      <c r="K7871" s="42">
        <f>18900*0.9</f>
        <v>17010</v>
      </c>
      <c r="L7871" s="12">
        <f t="shared" si="633"/>
        <v>18900</v>
      </c>
      <c r="M7871" s="8">
        <v>1</v>
      </c>
      <c r="N7871" s="8" t="s">
        <v>27</v>
      </c>
      <c r="O7871" s="13"/>
      <c r="P7871" s="14">
        <v>0</v>
      </c>
      <c r="Q7871" s="15">
        <v>0.1</v>
      </c>
      <c r="R7871" s="40" t="str">
        <f t="shared" si="630"/>
        <v>TECHNOLITE</v>
      </c>
    </row>
    <row r="7872" spans="1:20" customFormat="1" ht="27" customHeight="1" x14ac:dyDescent="0.25">
      <c r="A7872" s="32" t="s">
        <v>1515</v>
      </c>
      <c r="H7872" t="s">
        <v>16108</v>
      </c>
      <c r="I7872" t="s">
        <v>16109</v>
      </c>
      <c r="J7872" t="s">
        <v>26</v>
      </c>
      <c r="K7872" s="42">
        <f>1980*0.85</f>
        <v>1683</v>
      </c>
      <c r="L7872" s="12">
        <f t="shared" si="633"/>
        <v>1980</v>
      </c>
      <c r="M7872" s="8">
        <v>1</v>
      </c>
      <c r="N7872" s="8" t="s">
        <v>27</v>
      </c>
      <c r="O7872" s="13"/>
      <c r="P7872" s="14">
        <v>0</v>
      </c>
      <c r="Q7872" s="15">
        <v>0.15</v>
      </c>
      <c r="R7872" s="40" t="str">
        <f t="shared" si="630"/>
        <v>CRESTRON</v>
      </c>
    </row>
    <row r="7873" spans="1:18" customFormat="1" ht="27" customHeight="1" x14ac:dyDescent="0.25">
      <c r="A7873" s="32" t="s">
        <v>1515</v>
      </c>
      <c r="H7873" t="s">
        <v>16110</v>
      </c>
      <c r="I7873" s="38" t="s">
        <v>16111</v>
      </c>
      <c r="J7873" t="s">
        <v>26</v>
      </c>
      <c r="K7873" s="42">
        <f>6600*0.85</f>
        <v>5610</v>
      </c>
      <c r="L7873" s="12">
        <f t="shared" si="633"/>
        <v>6600</v>
      </c>
      <c r="M7873" s="8">
        <v>1</v>
      </c>
      <c r="N7873" s="8" t="s">
        <v>27</v>
      </c>
      <c r="O7873" s="13"/>
      <c r="P7873" s="14">
        <v>0</v>
      </c>
      <c r="Q7873" s="15">
        <v>0.15</v>
      </c>
      <c r="R7873" s="40" t="str">
        <f t="shared" si="630"/>
        <v>CRESTRON</v>
      </c>
    </row>
    <row r="7874" spans="1:18" customFormat="1" ht="27" customHeight="1" x14ac:dyDescent="0.25">
      <c r="A7874" s="32" t="s">
        <v>1515</v>
      </c>
      <c r="H7874" t="s">
        <v>16112</v>
      </c>
      <c r="I7874" t="s">
        <v>16113</v>
      </c>
      <c r="J7874" t="s">
        <v>26</v>
      </c>
      <c r="K7874" s="42">
        <f>408*0.85</f>
        <v>346.8</v>
      </c>
      <c r="L7874" s="12">
        <f t="shared" si="633"/>
        <v>408</v>
      </c>
      <c r="M7874" s="8">
        <v>1</v>
      </c>
      <c r="N7874" s="8" t="s">
        <v>27</v>
      </c>
      <c r="O7874" s="13"/>
      <c r="P7874" s="14">
        <v>0</v>
      </c>
      <c r="Q7874" s="15">
        <v>0.15</v>
      </c>
      <c r="R7874" s="40" t="str">
        <f t="shared" si="630"/>
        <v>CRESTRON</v>
      </c>
    </row>
    <row r="7875" spans="1:18" customFormat="1" ht="27" customHeight="1" x14ac:dyDescent="0.25">
      <c r="A7875" s="32" t="s">
        <v>1515</v>
      </c>
      <c r="H7875" t="s">
        <v>16114</v>
      </c>
      <c r="I7875" t="s">
        <v>16115</v>
      </c>
      <c r="J7875" t="s">
        <v>26</v>
      </c>
      <c r="K7875" s="42">
        <f>408*0.85</f>
        <v>346.8</v>
      </c>
      <c r="L7875" s="12">
        <f t="shared" si="633"/>
        <v>408</v>
      </c>
      <c r="M7875" s="8">
        <v>1</v>
      </c>
      <c r="N7875" s="8" t="s">
        <v>27</v>
      </c>
      <c r="O7875" s="13"/>
      <c r="P7875" s="14">
        <v>0</v>
      </c>
      <c r="Q7875" s="15">
        <v>0.15</v>
      </c>
      <c r="R7875" s="40" t="str">
        <f t="shared" si="630"/>
        <v>CRESTRON</v>
      </c>
    </row>
    <row r="7876" spans="1:18" customFormat="1" ht="27" customHeight="1" x14ac:dyDescent="0.25">
      <c r="A7876" s="32" t="s">
        <v>1515</v>
      </c>
      <c r="H7876" t="s">
        <v>16116</v>
      </c>
      <c r="I7876" t="s">
        <v>16117</v>
      </c>
      <c r="J7876" t="s">
        <v>26</v>
      </c>
      <c r="K7876" s="42">
        <f>3630*0.85</f>
        <v>3085.5</v>
      </c>
      <c r="L7876" s="12">
        <f t="shared" si="633"/>
        <v>3630</v>
      </c>
      <c r="M7876" s="8">
        <v>1</v>
      </c>
      <c r="N7876" s="8" t="s">
        <v>27</v>
      </c>
      <c r="O7876" s="13"/>
      <c r="P7876" s="14">
        <v>0</v>
      </c>
      <c r="Q7876" s="15">
        <v>0.15</v>
      </c>
      <c r="R7876" s="40" t="str">
        <f t="shared" si="630"/>
        <v>CRESTRON</v>
      </c>
    </row>
    <row r="7877" spans="1:18" customFormat="1" ht="27" customHeight="1" x14ac:dyDescent="0.25">
      <c r="A7877" s="32" t="s">
        <v>1515</v>
      </c>
      <c r="H7877" t="s">
        <v>16118</v>
      </c>
      <c r="I7877" s="38" t="s">
        <v>16119</v>
      </c>
      <c r="J7877" t="s">
        <v>26</v>
      </c>
      <c r="K7877" s="42">
        <f>3388*0.85</f>
        <v>2879.7999999999997</v>
      </c>
      <c r="L7877" s="12">
        <f t="shared" si="633"/>
        <v>3387.9999999999995</v>
      </c>
      <c r="M7877" s="8">
        <v>1</v>
      </c>
      <c r="N7877" s="8" t="s">
        <v>27</v>
      </c>
      <c r="O7877" s="13"/>
      <c r="P7877" s="14">
        <v>0</v>
      </c>
      <c r="Q7877" s="15">
        <v>0.15</v>
      </c>
      <c r="R7877" s="40" t="str">
        <f t="shared" ref="R7877:R7940" si="634">A7877</f>
        <v>CRESTRON</v>
      </c>
    </row>
    <row r="7878" spans="1:18" customFormat="1" ht="27" customHeight="1" x14ac:dyDescent="0.25">
      <c r="A7878" s="32" t="s">
        <v>1515</v>
      </c>
      <c r="H7878" t="s">
        <v>16120</v>
      </c>
      <c r="I7878" s="38" t="s">
        <v>16121</v>
      </c>
      <c r="J7878" t="s">
        <v>26</v>
      </c>
      <c r="K7878" s="42">
        <f>21.2*0.855</f>
        <v>18.125999999999998</v>
      </c>
      <c r="L7878" s="12">
        <f t="shared" si="633"/>
        <v>21.324705882352941</v>
      </c>
      <c r="M7878" s="8">
        <v>1</v>
      </c>
      <c r="N7878" s="8" t="s">
        <v>27</v>
      </c>
      <c r="O7878" s="13"/>
      <c r="P7878" s="14">
        <v>0</v>
      </c>
      <c r="Q7878" s="15">
        <v>0.15</v>
      </c>
      <c r="R7878" s="40" t="str">
        <f t="shared" si="634"/>
        <v>CRESTRON</v>
      </c>
    </row>
    <row r="7879" spans="1:18" customFormat="1" ht="27" customHeight="1" x14ac:dyDescent="0.25">
      <c r="A7879" s="32" t="s">
        <v>1515</v>
      </c>
      <c r="H7879" t="s">
        <v>16122</v>
      </c>
      <c r="I7879" s="38" t="s">
        <v>16123</v>
      </c>
      <c r="J7879" t="s">
        <v>26</v>
      </c>
      <c r="K7879" s="42">
        <f>1100*0.85</f>
        <v>935</v>
      </c>
      <c r="L7879" s="12">
        <f t="shared" si="633"/>
        <v>1100</v>
      </c>
      <c r="M7879" s="8">
        <v>1</v>
      </c>
      <c r="N7879" s="8" t="s">
        <v>27</v>
      </c>
      <c r="O7879" s="13"/>
      <c r="P7879" s="14">
        <v>0</v>
      </c>
      <c r="Q7879" s="15">
        <v>0.15</v>
      </c>
      <c r="R7879" s="40" t="str">
        <f t="shared" si="634"/>
        <v>CRESTRON</v>
      </c>
    </row>
    <row r="7880" spans="1:18" customFormat="1" ht="27" customHeight="1" x14ac:dyDescent="0.25">
      <c r="A7880" s="32" t="s">
        <v>10677</v>
      </c>
      <c r="H7880" t="s">
        <v>16124</v>
      </c>
      <c r="I7880" s="38" t="s">
        <v>16125</v>
      </c>
      <c r="J7880" t="s">
        <v>26</v>
      </c>
      <c r="K7880" s="42">
        <v>142</v>
      </c>
      <c r="L7880" s="12">
        <f t="shared" si="633"/>
        <v>213</v>
      </c>
      <c r="M7880" s="8">
        <v>1</v>
      </c>
      <c r="N7880" s="8" t="s">
        <v>27</v>
      </c>
      <c r="O7880" s="13"/>
      <c r="P7880" s="14">
        <v>0.2</v>
      </c>
      <c r="Q7880" s="15">
        <v>0.2</v>
      </c>
      <c r="R7880" s="40" t="str">
        <f t="shared" si="634"/>
        <v>SONANCE</v>
      </c>
    </row>
    <row r="7881" spans="1:18" customFormat="1" ht="27" customHeight="1" x14ac:dyDescent="0.25">
      <c r="A7881" s="32" t="s">
        <v>16126</v>
      </c>
      <c r="H7881" t="s">
        <v>16127</v>
      </c>
      <c r="I7881" s="38" t="s">
        <v>16128</v>
      </c>
      <c r="J7881" t="s">
        <v>26</v>
      </c>
      <c r="K7881" s="42">
        <v>237</v>
      </c>
      <c r="L7881" s="12">
        <f t="shared" si="633"/>
        <v>379.2</v>
      </c>
      <c r="M7881" s="8">
        <v>1</v>
      </c>
      <c r="N7881" s="8" t="s">
        <v>27</v>
      </c>
      <c r="O7881" s="13"/>
      <c r="P7881" s="14">
        <v>0.2</v>
      </c>
      <c r="Q7881" s="15">
        <v>0.25</v>
      </c>
      <c r="R7881" s="40" t="str">
        <f t="shared" si="634"/>
        <v>ORIGIN ACUSTICS</v>
      </c>
    </row>
    <row r="7882" spans="1:18" customFormat="1" ht="27" customHeight="1" x14ac:dyDescent="0.25">
      <c r="A7882" s="32" t="s">
        <v>10677</v>
      </c>
      <c r="H7882" t="s">
        <v>16129</v>
      </c>
      <c r="I7882" s="38" t="s">
        <v>16130</v>
      </c>
      <c r="J7882" t="s">
        <v>26</v>
      </c>
      <c r="K7882" s="42">
        <v>303</v>
      </c>
      <c r="L7882" s="12">
        <f t="shared" si="633"/>
        <v>484.79999999999995</v>
      </c>
      <c r="M7882" s="8">
        <v>1</v>
      </c>
      <c r="N7882" s="8" t="s">
        <v>27</v>
      </c>
      <c r="O7882" s="13"/>
      <c r="P7882" s="14">
        <v>0.2</v>
      </c>
      <c r="Q7882" s="15">
        <v>0.25</v>
      </c>
      <c r="R7882" s="40" t="str">
        <f t="shared" si="634"/>
        <v>SONANCE</v>
      </c>
    </row>
    <row r="7883" spans="1:18" customFormat="1" ht="27" customHeight="1" x14ac:dyDescent="0.25">
      <c r="A7883" s="32" t="s">
        <v>3915</v>
      </c>
      <c r="H7883" t="s">
        <v>16131</v>
      </c>
      <c r="I7883" s="38" t="s">
        <v>16132</v>
      </c>
      <c r="J7883" t="s">
        <v>26</v>
      </c>
      <c r="K7883" s="42">
        <v>450</v>
      </c>
      <c r="L7883" s="12">
        <f t="shared" si="633"/>
        <v>720</v>
      </c>
      <c r="M7883" s="8">
        <v>1</v>
      </c>
      <c r="N7883" s="8" t="s">
        <v>27</v>
      </c>
      <c r="O7883" s="13"/>
      <c r="P7883" s="14">
        <v>0.2</v>
      </c>
      <c r="Q7883" s="15">
        <v>0.25</v>
      </c>
      <c r="R7883" s="40" t="str">
        <f t="shared" si="634"/>
        <v>KLIPSCH</v>
      </c>
    </row>
    <row r="7884" spans="1:18" customFormat="1" ht="27" customHeight="1" x14ac:dyDescent="0.25">
      <c r="A7884" s="32" t="s">
        <v>3915</v>
      </c>
      <c r="H7884" t="s">
        <v>16133</v>
      </c>
      <c r="I7884" s="38" t="s">
        <v>16134</v>
      </c>
      <c r="J7884" t="s">
        <v>26</v>
      </c>
      <c r="K7884" s="42">
        <v>295</v>
      </c>
      <c r="L7884" s="12">
        <f t="shared" si="633"/>
        <v>472</v>
      </c>
      <c r="M7884" s="8">
        <v>1</v>
      </c>
      <c r="N7884" s="8" t="s">
        <v>27</v>
      </c>
      <c r="O7884" s="13"/>
      <c r="P7884" s="14">
        <v>0.2</v>
      </c>
      <c r="Q7884" s="15">
        <v>0.25</v>
      </c>
      <c r="R7884" s="40" t="str">
        <f t="shared" si="634"/>
        <v>KLIPSCH</v>
      </c>
    </row>
    <row r="7885" spans="1:18" customFormat="1" ht="27" customHeight="1" x14ac:dyDescent="0.25">
      <c r="A7885" s="32" t="s">
        <v>867</v>
      </c>
      <c r="H7885" t="s">
        <v>16135</v>
      </c>
      <c r="I7885" s="38" t="s">
        <v>16136</v>
      </c>
      <c r="J7885" t="s">
        <v>33</v>
      </c>
      <c r="K7885" s="42">
        <v>5079000</v>
      </c>
      <c r="L7885" s="12">
        <f t="shared" si="633"/>
        <v>5643333.333333333</v>
      </c>
      <c r="M7885" s="8">
        <v>1</v>
      </c>
      <c r="N7885" s="8" t="s">
        <v>27</v>
      </c>
      <c r="O7885" s="13"/>
      <c r="P7885" s="14">
        <v>0</v>
      </c>
      <c r="Q7885" s="15">
        <v>0.1</v>
      </c>
      <c r="R7885" s="40" t="str">
        <f t="shared" si="634"/>
        <v>BOSE</v>
      </c>
    </row>
    <row r="7886" spans="1:18" customFormat="1" ht="27" customHeight="1" x14ac:dyDescent="0.25">
      <c r="A7886" s="32" t="s">
        <v>867</v>
      </c>
      <c r="H7886" t="s">
        <v>16137</v>
      </c>
      <c r="I7886" s="38" t="s">
        <v>16138</v>
      </c>
      <c r="J7886" t="s">
        <v>33</v>
      </c>
      <c r="K7886" s="42">
        <f>2240000/2</f>
        <v>1120000</v>
      </c>
      <c r="L7886" s="12">
        <f t="shared" si="633"/>
        <v>1244444.4444444445</v>
      </c>
      <c r="M7886" s="8">
        <v>1</v>
      </c>
      <c r="N7886" s="8" t="s">
        <v>27</v>
      </c>
      <c r="O7886" s="13"/>
      <c r="P7886" s="14">
        <v>0</v>
      </c>
      <c r="Q7886" s="15">
        <v>0.1</v>
      </c>
      <c r="R7886" s="40" t="str">
        <f t="shared" si="634"/>
        <v>BOSE</v>
      </c>
    </row>
    <row r="7887" spans="1:18" customFormat="1" ht="27" customHeight="1" x14ac:dyDescent="0.25">
      <c r="A7887" s="32" t="s">
        <v>867</v>
      </c>
      <c r="H7887" t="s">
        <v>16139</v>
      </c>
      <c r="I7887" s="38" t="s">
        <v>16140</v>
      </c>
      <c r="J7887" t="s">
        <v>33</v>
      </c>
      <c r="K7887" s="42">
        <v>329000</v>
      </c>
      <c r="L7887" s="12">
        <f t="shared" si="633"/>
        <v>365555.55555555556</v>
      </c>
      <c r="M7887" s="8">
        <v>1</v>
      </c>
      <c r="N7887" s="8" t="s">
        <v>27</v>
      </c>
      <c r="O7887" s="13"/>
      <c r="P7887" s="14">
        <v>0</v>
      </c>
      <c r="Q7887" s="15">
        <v>0.1</v>
      </c>
      <c r="R7887" s="40" t="str">
        <f t="shared" si="634"/>
        <v>BOSE</v>
      </c>
    </row>
    <row r="7888" spans="1:18" customFormat="1" ht="27" customHeight="1" x14ac:dyDescent="0.25">
      <c r="A7888" s="32" t="s">
        <v>3977</v>
      </c>
      <c r="H7888" s="32" t="s">
        <v>16141</v>
      </c>
      <c r="I7888" s="33" t="s">
        <v>16142</v>
      </c>
      <c r="J7888" s="34" t="s">
        <v>33</v>
      </c>
      <c r="K7888" s="42">
        <v>350000</v>
      </c>
      <c r="L7888" s="12">
        <f t="shared" ref="L7888:L7934" si="635">IF(J7888="P",ROUNDUP(K7888/(1-Q7888),-2),K7888*(1+P7888)/(1-Q7888))</f>
        <v>583400</v>
      </c>
      <c r="M7888" s="8">
        <v>1</v>
      </c>
      <c r="N7888" s="8" t="s">
        <v>27</v>
      </c>
      <c r="O7888" s="13"/>
      <c r="P7888" s="14">
        <v>0</v>
      </c>
      <c r="Q7888" s="15">
        <v>0.4</v>
      </c>
      <c r="R7888" s="40" t="str">
        <f t="shared" si="634"/>
        <v>KOMODO</v>
      </c>
    </row>
    <row r="7889" spans="1:18" customFormat="1" ht="27" customHeight="1" x14ac:dyDescent="0.25">
      <c r="A7889" s="32" t="s">
        <v>13983</v>
      </c>
      <c r="H7889" s="32" t="s">
        <v>14252</v>
      </c>
      <c r="I7889" s="33" t="s">
        <v>16143</v>
      </c>
      <c r="J7889" s="34" t="s">
        <v>26</v>
      </c>
      <c r="K7889" s="42">
        <f>5.4*1.1</f>
        <v>5.9400000000000013</v>
      </c>
      <c r="L7889" s="12">
        <f t="shared" si="635"/>
        <v>11.031428571428576</v>
      </c>
      <c r="M7889" s="8">
        <v>1</v>
      </c>
      <c r="N7889" s="8" t="s">
        <v>27</v>
      </c>
      <c r="O7889" s="13">
        <f t="shared" ref="O7889:O7934" si="636">F7889</f>
        <v>0</v>
      </c>
      <c r="P7889" s="14">
        <v>0.3</v>
      </c>
      <c r="Q7889" s="15">
        <v>0.3</v>
      </c>
      <c r="R7889" s="64" t="str">
        <f t="shared" si="634"/>
        <v>HOFFLIGHTS</v>
      </c>
    </row>
    <row r="7890" spans="1:18" customFormat="1" ht="27" customHeight="1" x14ac:dyDescent="0.25">
      <c r="A7890" s="32" t="s">
        <v>3977</v>
      </c>
      <c r="H7890" t="s">
        <v>16144</v>
      </c>
      <c r="I7890" s="38" t="s">
        <v>16145</v>
      </c>
      <c r="J7890" t="s">
        <v>33</v>
      </c>
      <c r="K7890" s="42">
        <v>5000</v>
      </c>
      <c r="L7890" s="12">
        <f t="shared" si="635"/>
        <v>10000</v>
      </c>
      <c r="M7890" s="8">
        <v>1</v>
      </c>
      <c r="N7890" s="8" t="s">
        <v>27</v>
      </c>
      <c r="O7890" s="13">
        <f t="shared" si="636"/>
        <v>0</v>
      </c>
      <c r="P7890" s="14">
        <v>0</v>
      </c>
      <c r="Q7890" s="15">
        <v>0.5</v>
      </c>
      <c r="R7890" s="64" t="str">
        <f t="shared" si="634"/>
        <v>KOMODO</v>
      </c>
    </row>
    <row r="7891" spans="1:18" customFormat="1" ht="27" customHeight="1" x14ac:dyDescent="0.25">
      <c r="A7891" s="32" t="s">
        <v>4994</v>
      </c>
      <c r="H7891" t="s">
        <v>16146</v>
      </c>
      <c r="I7891" s="38" t="s">
        <v>16147</v>
      </c>
      <c r="J7891" t="s">
        <v>33</v>
      </c>
      <c r="K7891" s="42">
        <v>214498</v>
      </c>
      <c r="L7891" s="12">
        <f t="shared" si="635"/>
        <v>330000</v>
      </c>
      <c r="M7891" s="8">
        <v>1</v>
      </c>
      <c r="N7891" s="8" t="s">
        <v>27</v>
      </c>
      <c r="O7891" s="13">
        <f t="shared" si="636"/>
        <v>0</v>
      </c>
      <c r="P7891" s="14">
        <v>0</v>
      </c>
      <c r="Q7891" s="15">
        <v>0.35</v>
      </c>
      <c r="R7891" s="64" t="str">
        <f t="shared" si="634"/>
        <v>LAMP</v>
      </c>
    </row>
    <row r="7892" spans="1:18" customFormat="1" ht="27" customHeight="1" x14ac:dyDescent="0.25">
      <c r="A7892" s="32" t="s">
        <v>15276</v>
      </c>
      <c r="H7892" t="s">
        <v>16148</v>
      </c>
      <c r="I7892" s="38" t="s">
        <v>16149</v>
      </c>
      <c r="J7892" t="s">
        <v>33</v>
      </c>
      <c r="K7892" s="42">
        <v>43000</v>
      </c>
      <c r="L7892" s="12">
        <f t="shared" si="635"/>
        <v>66200</v>
      </c>
      <c r="M7892" s="8">
        <v>1</v>
      </c>
      <c r="N7892" s="8" t="s">
        <v>27</v>
      </c>
      <c r="O7892" s="13">
        <f t="shared" si="636"/>
        <v>0</v>
      </c>
      <c r="P7892" s="14">
        <v>0</v>
      </c>
      <c r="Q7892" s="15">
        <v>0.35</v>
      </c>
      <c r="R7892" s="64" t="str">
        <f t="shared" si="634"/>
        <v>LEDVANCE</v>
      </c>
    </row>
    <row r="7893" spans="1:18" customFormat="1" ht="27" customHeight="1" x14ac:dyDescent="0.25">
      <c r="A7893" s="32" t="s">
        <v>16150</v>
      </c>
      <c r="H7893" t="s">
        <v>16151</v>
      </c>
      <c r="I7893" s="38" t="s">
        <v>16152</v>
      </c>
      <c r="J7893" t="s">
        <v>33</v>
      </c>
      <c r="K7893" s="42">
        <v>100800</v>
      </c>
      <c r="L7893" s="12">
        <f t="shared" si="635"/>
        <v>168000</v>
      </c>
      <c r="M7893" s="8">
        <v>1</v>
      </c>
      <c r="N7893" s="8" t="s">
        <v>27</v>
      </c>
      <c r="O7893" s="13">
        <f t="shared" si="636"/>
        <v>0</v>
      </c>
      <c r="P7893" s="14">
        <v>0</v>
      </c>
      <c r="Q7893" s="15">
        <v>0.4</v>
      </c>
      <c r="R7893" s="64" t="str">
        <f t="shared" si="634"/>
        <v>NORTH_BAYOU</v>
      </c>
    </row>
    <row r="7894" spans="1:18" customFormat="1" ht="27" customHeight="1" x14ac:dyDescent="0.25">
      <c r="A7894" s="32" t="s">
        <v>4994</v>
      </c>
      <c r="H7894" t="s">
        <v>16153</v>
      </c>
      <c r="I7894" s="38" t="s">
        <v>16154</v>
      </c>
      <c r="J7894" t="s">
        <v>33</v>
      </c>
      <c r="K7894" s="42">
        <v>689709</v>
      </c>
      <c r="L7894" s="12">
        <f t="shared" si="635"/>
        <v>1149600</v>
      </c>
      <c r="M7894" s="8">
        <v>1</v>
      </c>
      <c r="N7894" s="8" t="s">
        <v>27</v>
      </c>
      <c r="O7894" s="13">
        <f t="shared" si="636"/>
        <v>0</v>
      </c>
      <c r="P7894" s="14">
        <v>0</v>
      </c>
      <c r="Q7894" s="15">
        <v>0.4</v>
      </c>
      <c r="R7894" s="64" t="str">
        <f t="shared" si="634"/>
        <v>LAMP</v>
      </c>
    </row>
    <row r="7895" spans="1:18" customFormat="1" ht="27" customHeight="1" x14ac:dyDescent="0.25">
      <c r="A7895" s="32" t="s">
        <v>4994</v>
      </c>
      <c r="H7895" t="s">
        <v>16155</v>
      </c>
      <c r="I7895" s="38" t="s">
        <v>16156</v>
      </c>
      <c r="J7895" t="s">
        <v>33</v>
      </c>
      <c r="K7895" s="42">
        <v>592150</v>
      </c>
      <c r="L7895" s="12">
        <f t="shared" si="635"/>
        <v>987000</v>
      </c>
      <c r="M7895" s="8">
        <v>1</v>
      </c>
      <c r="N7895" s="8" t="s">
        <v>27</v>
      </c>
      <c r="O7895" s="13">
        <f t="shared" si="636"/>
        <v>0</v>
      </c>
      <c r="P7895" s="14">
        <v>0</v>
      </c>
      <c r="Q7895" s="15">
        <v>0.4</v>
      </c>
      <c r="R7895" s="64" t="str">
        <f t="shared" si="634"/>
        <v>LAMP</v>
      </c>
    </row>
    <row r="7896" spans="1:18" customFormat="1" ht="27" customHeight="1" x14ac:dyDescent="0.25">
      <c r="A7896" s="32" t="s">
        <v>16157</v>
      </c>
      <c r="H7896" t="s">
        <v>16158</v>
      </c>
      <c r="I7896" s="38" t="s">
        <v>16159</v>
      </c>
      <c r="J7896" t="s">
        <v>33</v>
      </c>
      <c r="K7896" s="42">
        <v>278900</v>
      </c>
      <c r="L7896" s="12">
        <f t="shared" si="635"/>
        <v>464900</v>
      </c>
      <c r="M7896" s="8">
        <v>1</v>
      </c>
      <c r="N7896" s="8" t="s">
        <v>27</v>
      </c>
      <c r="O7896" s="13">
        <f t="shared" si="636"/>
        <v>0</v>
      </c>
      <c r="P7896" s="14">
        <v>0</v>
      </c>
      <c r="Q7896" s="15">
        <v>0.4</v>
      </c>
      <c r="R7896" s="64" t="str">
        <f t="shared" si="634"/>
        <v>BY_LIGHT</v>
      </c>
    </row>
    <row r="7897" spans="1:18" customFormat="1" ht="27" customHeight="1" x14ac:dyDescent="0.25">
      <c r="A7897" s="32" t="s">
        <v>16157</v>
      </c>
      <c r="H7897" t="s">
        <v>16160</v>
      </c>
      <c r="I7897" s="38" t="s">
        <v>16161</v>
      </c>
      <c r="J7897" t="s">
        <v>33</v>
      </c>
      <c r="K7897" s="42">
        <v>278900</v>
      </c>
      <c r="L7897" s="12">
        <f t="shared" si="635"/>
        <v>464900</v>
      </c>
      <c r="M7897" s="8">
        <v>1</v>
      </c>
      <c r="N7897" s="8" t="s">
        <v>27</v>
      </c>
      <c r="O7897" s="13">
        <f t="shared" si="636"/>
        <v>0</v>
      </c>
      <c r="P7897" s="14">
        <v>0</v>
      </c>
      <c r="Q7897" s="15">
        <v>0.4</v>
      </c>
      <c r="R7897" s="64" t="str">
        <f t="shared" si="634"/>
        <v>BY_LIGHT</v>
      </c>
    </row>
    <row r="7898" spans="1:18" customFormat="1" ht="27" customHeight="1" x14ac:dyDescent="0.25">
      <c r="A7898" s="32" t="s">
        <v>16157</v>
      </c>
      <c r="H7898" t="s">
        <v>16162</v>
      </c>
      <c r="I7898" s="38" t="s">
        <v>16163</v>
      </c>
      <c r="J7898" t="s">
        <v>33</v>
      </c>
      <c r="K7898" s="42">
        <v>369200</v>
      </c>
      <c r="L7898" s="12">
        <f t="shared" si="635"/>
        <v>615400</v>
      </c>
      <c r="M7898" s="8">
        <v>1</v>
      </c>
      <c r="N7898" s="8" t="s">
        <v>27</v>
      </c>
      <c r="O7898" s="13">
        <f t="shared" si="636"/>
        <v>0</v>
      </c>
      <c r="P7898" s="14">
        <v>0</v>
      </c>
      <c r="Q7898" s="15">
        <v>0.4</v>
      </c>
      <c r="R7898" s="64" t="str">
        <f t="shared" si="634"/>
        <v>BY_LIGHT</v>
      </c>
    </row>
    <row r="7899" spans="1:18" customFormat="1" ht="27" customHeight="1" x14ac:dyDescent="0.25">
      <c r="A7899" s="32" t="s">
        <v>16157</v>
      </c>
      <c r="H7899" t="s">
        <v>16164</v>
      </c>
      <c r="I7899" s="38" t="s">
        <v>16165</v>
      </c>
      <c r="J7899" t="s">
        <v>33</v>
      </c>
      <c r="K7899" s="42">
        <v>875600</v>
      </c>
      <c r="L7899" s="12">
        <f t="shared" si="635"/>
        <v>1459400</v>
      </c>
      <c r="M7899" s="8">
        <v>1</v>
      </c>
      <c r="N7899" s="8" t="s">
        <v>27</v>
      </c>
      <c r="O7899" s="13">
        <f t="shared" si="636"/>
        <v>0</v>
      </c>
      <c r="P7899" s="14">
        <v>0</v>
      </c>
      <c r="Q7899" s="15">
        <v>0.4</v>
      </c>
      <c r="R7899" s="64" t="str">
        <f t="shared" si="634"/>
        <v>BY_LIGHT</v>
      </c>
    </row>
    <row r="7900" spans="1:18" customFormat="1" ht="27" customHeight="1" x14ac:dyDescent="0.25">
      <c r="A7900" s="32" t="s">
        <v>16166</v>
      </c>
      <c r="H7900" t="s">
        <v>16167</v>
      </c>
      <c r="I7900" t="s">
        <v>16168</v>
      </c>
      <c r="J7900" t="s">
        <v>33</v>
      </c>
      <c r="K7900" s="42">
        <v>19200</v>
      </c>
      <c r="L7900" s="12">
        <f t="shared" si="635"/>
        <v>32000</v>
      </c>
      <c r="M7900" s="8">
        <v>1</v>
      </c>
      <c r="N7900" s="8" t="s">
        <v>27</v>
      </c>
      <c r="O7900" s="13">
        <f t="shared" si="636"/>
        <v>0</v>
      </c>
      <c r="P7900" s="14">
        <v>0</v>
      </c>
      <c r="Q7900" s="15">
        <v>0.4</v>
      </c>
      <c r="R7900" s="64" t="str">
        <f t="shared" si="634"/>
        <v>VERBATIM</v>
      </c>
    </row>
    <row r="7901" spans="1:18" customFormat="1" ht="27" customHeight="1" x14ac:dyDescent="0.25">
      <c r="A7901" s="32" t="s">
        <v>16166</v>
      </c>
      <c r="H7901" t="s">
        <v>16169</v>
      </c>
      <c r="I7901" t="s">
        <v>16170</v>
      </c>
      <c r="J7901" t="s">
        <v>33</v>
      </c>
      <c r="K7901" s="42">
        <v>29700</v>
      </c>
      <c r="L7901" s="12">
        <f t="shared" si="635"/>
        <v>49500</v>
      </c>
      <c r="M7901" s="8">
        <v>1</v>
      </c>
      <c r="N7901" s="8" t="s">
        <v>27</v>
      </c>
      <c r="O7901" s="13">
        <f t="shared" si="636"/>
        <v>0</v>
      </c>
      <c r="P7901" s="14">
        <v>0</v>
      </c>
      <c r="Q7901" s="15">
        <v>0.4</v>
      </c>
      <c r="R7901" s="64" t="str">
        <f t="shared" si="634"/>
        <v>VERBATIM</v>
      </c>
    </row>
    <row r="7902" spans="1:18" customFormat="1" ht="27" customHeight="1" x14ac:dyDescent="0.25">
      <c r="A7902" s="32" t="s">
        <v>16166</v>
      </c>
      <c r="H7902" t="s">
        <v>16171</v>
      </c>
      <c r="I7902" t="s">
        <v>16172</v>
      </c>
      <c r="J7902" t="s">
        <v>33</v>
      </c>
      <c r="K7902" s="42">
        <v>59100</v>
      </c>
      <c r="L7902" s="12">
        <f t="shared" si="635"/>
        <v>98500</v>
      </c>
      <c r="M7902" s="8">
        <v>1</v>
      </c>
      <c r="N7902" s="8" t="s">
        <v>27</v>
      </c>
      <c r="O7902" s="13">
        <f t="shared" si="636"/>
        <v>0</v>
      </c>
      <c r="P7902" s="14">
        <v>0</v>
      </c>
      <c r="Q7902" s="15">
        <v>0.4</v>
      </c>
      <c r="R7902" s="64" t="str">
        <f t="shared" si="634"/>
        <v>VERBATIM</v>
      </c>
    </row>
    <row r="7903" spans="1:18" customFormat="1" ht="27" customHeight="1" x14ac:dyDescent="0.25">
      <c r="A7903" s="32" t="s">
        <v>3459</v>
      </c>
      <c r="H7903" t="s">
        <v>16173</v>
      </c>
      <c r="I7903" t="s">
        <v>16174</v>
      </c>
      <c r="J7903" t="s">
        <v>33</v>
      </c>
      <c r="K7903" s="42">
        <v>779000</v>
      </c>
      <c r="L7903" s="12">
        <f t="shared" si="635"/>
        <v>1298400</v>
      </c>
      <c r="M7903" s="8">
        <v>1</v>
      </c>
      <c r="N7903" s="8" t="s">
        <v>27</v>
      </c>
      <c r="O7903" s="13">
        <f t="shared" si="636"/>
        <v>0</v>
      </c>
      <c r="P7903" s="14">
        <v>0</v>
      </c>
      <c r="Q7903" s="15">
        <v>0.4</v>
      </c>
      <c r="R7903" s="64" t="str">
        <f t="shared" si="634"/>
        <v>HIKVISION</v>
      </c>
    </row>
    <row r="7904" spans="1:18" customFormat="1" ht="27" customHeight="1" x14ac:dyDescent="0.25">
      <c r="A7904" s="32" t="s">
        <v>2512</v>
      </c>
      <c r="H7904" t="s">
        <v>16175</v>
      </c>
      <c r="I7904" t="s">
        <v>16069</v>
      </c>
      <c r="J7904" t="s">
        <v>33</v>
      </c>
      <c r="K7904" s="42">
        <v>237800</v>
      </c>
      <c r="L7904" s="12">
        <f t="shared" si="635"/>
        <v>396400</v>
      </c>
      <c r="M7904" s="8">
        <v>1</v>
      </c>
      <c r="N7904" s="8" t="s">
        <v>27</v>
      </c>
      <c r="O7904" s="13">
        <f t="shared" si="636"/>
        <v>0</v>
      </c>
      <c r="P7904" s="14">
        <v>0</v>
      </c>
      <c r="Q7904" s="15">
        <v>0.4</v>
      </c>
      <c r="R7904" s="64" t="str">
        <f t="shared" si="634"/>
        <v>GENERAL</v>
      </c>
    </row>
    <row r="7905" spans="1:18" customFormat="1" ht="27" customHeight="1" x14ac:dyDescent="0.25">
      <c r="A7905" s="32" t="s">
        <v>3459</v>
      </c>
      <c r="H7905" t="s">
        <v>16176</v>
      </c>
      <c r="I7905" t="s">
        <v>16177</v>
      </c>
      <c r="J7905" t="s">
        <v>33</v>
      </c>
      <c r="K7905" s="42">
        <v>423900</v>
      </c>
      <c r="L7905" s="12">
        <f t="shared" si="635"/>
        <v>706500</v>
      </c>
      <c r="M7905" s="8">
        <v>1</v>
      </c>
      <c r="N7905" s="8" t="s">
        <v>27</v>
      </c>
      <c r="O7905" s="13">
        <f t="shared" si="636"/>
        <v>0</v>
      </c>
      <c r="P7905" s="14">
        <v>0</v>
      </c>
      <c r="Q7905" s="15">
        <v>0.4</v>
      </c>
      <c r="R7905" s="64" t="str">
        <f t="shared" si="634"/>
        <v>HIKVISION</v>
      </c>
    </row>
    <row r="7906" spans="1:18" customFormat="1" ht="27" customHeight="1" x14ac:dyDescent="0.25">
      <c r="A7906" s="32" t="s">
        <v>9592</v>
      </c>
      <c r="H7906" t="s">
        <v>16178</v>
      </c>
      <c r="I7906" t="s">
        <v>16179</v>
      </c>
      <c r="J7906" t="s">
        <v>33</v>
      </c>
      <c r="K7906" s="42">
        <v>89100</v>
      </c>
      <c r="L7906" s="12">
        <f t="shared" si="635"/>
        <v>148500</v>
      </c>
      <c r="M7906" s="8">
        <v>1</v>
      </c>
      <c r="N7906" s="8" t="s">
        <v>27</v>
      </c>
      <c r="O7906" s="13">
        <f t="shared" si="636"/>
        <v>0</v>
      </c>
      <c r="P7906" s="14">
        <v>0</v>
      </c>
      <c r="Q7906" s="15">
        <v>0.4</v>
      </c>
      <c r="R7906" s="64" t="str">
        <f t="shared" si="634"/>
        <v>YALE</v>
      </c>
    </row>
    <row r="7907" spans="1:18" customFormat="1" ht="27" customHeight="1" x14ac:dyDescent="0.25">
      <c r="A7907" s="32" t="s">
        <v>2512</v>
      </c>
      <c r="H7907" t="s">
        <v>16180</v>
      </c>
      <c r="I7907" t="s">
        <v>16181</v>
      </c>
      <c r="J7907" t="s">
        <v>33</v>
      </c>
      <c r="K7907" s="42">
        <v>280100</v>
      </c>
      <c r="L7907" s="12">
        <f t="shared" si="635"/>
        <v>466900</v>
      </c>
      <c r="M7907" s="8">
        <v>1</v>
      </c>
      <c r="N7907" s="8" t="s">
        <v>27</v>
      </c>
      <c r="O7907" s="13">
        <f t="shared" si="636"/>
        <v>0</v>
      </c>
      <c r="P7907" s="14">
        <v>0</v>
      </c>
      <c r="Q7907" s="15">
        <v>0.4</v>
      </c>
      <c r="R7907" s="64" t="str">
        <f t="shared" si="634"/>
        <v>GENERAL</v>
      </c>
    </row>
    <row r="7908" spans="1:18" customFormat="1" ht="27" customHeight="1" x14ac:dyDescent="0.25">
      <c r="A7908" s="32" t="s">
        <v>2512</v>
      </c>
      <c r="H7908" t="s">
        <v>16182</v>
      </c>
      <c r="I7908" t="s">
        <v>16183</v>
      </c>
      <c r="J7908" t="s">
        <v>33</v>
      </c>
      <c r="K7908" s="42">
        <v>197100</v>
      </c>
      <c r="L7908" s="12">
        <f t="shared" si="635"/>
        <v>328500</v>
      </c>
      <c r="M7908" s="8">
        <v>1</v>
      </c>
      <c r="N7908" s="8" t="s">
        <v>27</v>
      </c>
      <c r="O7908" s="13">
        <f t="shared" si="636"/>
        <v>0</v>
      </c>
      <c r="P7908" s="14">
        <v>0</v>
      </c>
      <c r="Q7908" s="15">
        <v>0.4</v>
      </c>
      <c r="R7908" s="64" t="str">
        <f t="shared" si="634"/>
        <v>GENERAL</v>
      </c>
    </row>
    <row r="7909" spans="1:18" customFormat="1" ht="27" customHeight="1" x14ac:dyDescent="0.25">
      <c r="A7909" s="32" t="s">
        <v>16184</v>
      </c>
      <c r="H7909" t="s">
        <v>16185</v>
      </c>
      <c r="I7909" t="s">
        <v>16186</v>
      </c>
      <c r="J7909" t="s">
        <v>26</v>
      </c>
      <c r="K7909" s="42">
        <v>1227</v>
      </c>
      <c r="L7909" s="12">
        <f t="shared" si="635"/>
        <v>2454</v>
      </c>
      <c r="M7909" s="8">
        <v>1</v>
      </c>
      <c r="N7909" s="8" t="s">
        <v>27</v>
      </c>
      <c r="O7909" s="13">
        <f t="shared" si="636"/>
        <v>0</v>
      </c>
      <c r="P7909" s="14">
        <v>0.2</v>
      </c>
      <c r="Q7909" s="15">
        <v>0.4</v>
      </c>
      <c r="R7909" s="64" t="str">
        <f t="shared" si="634"/>
        <v>STYLO</v>
      </c>
    </row>
    <row r="7910" spans="1:18" customFormat="1" ht="27" customHeight="1" x14ac:dyDescent="0.25">
      <c r="A7910" s="32" t="s">
        <v>7977</v>
      </c>
      <c r="H7910" t="s">
        <v>16187</v>
      </c>
      <c r="I7910" t="s">
        <v>16188</v>
      </c>
      <c r="J7910" t="s">
        <v>26</v>
      </c>
      <c r="K7910" s="42">
        <v>332.6</v>
      </c>
      <c r="L7910" s="12">
        <f t="shared" si="635"/>
        <v>665.2</v>
      </c>
      <c r="M7910" s="8">
        <v>1</v>
      </c>
      <c r="N7910" s="8" t="s">
        <v>27</v>
      </c>
      <c r="O7910" s="13">
        <f t="shared" si="636"/>
        <v>0</v>
      </c>
      <c r="P7910" s="14">
        <v>0.2</v>
      </c>
      <c r="Q7910" s="15">
        <v>0.4</v>
      </c>
      <c r="R7910" s="64" t="str">
        <f t="shared" si="634"/>
        <v>ROSSLARE</v>
      </c>
    </row>
    <row r="7911" spans="1:18" customFormat="1" ht="27" customHeight="1" x14ac:dyDescent="0.25">
      <c r="A7911" s="32" t="s">
        <v>11095</v>
      </c>
      <c r="H7911" t="s">
        <v>13844</v>
      </c>
      <c r="I7911" t="s">
        <v>16189</v>
      </c>
      <c r="J7911" t="s">
        <v>26</v>
      </c>
      <c r="K7911" s="42">
        <v>531</v>
      </c>
      <c r="L7911" s="12">
        <f t="shared" si="635"/>
        <v>796.49999999999989</v>
      </c>
      <c r="M7911" s="8">
        <v>1</v>
      </c>
      <c r="N7911" s="8" t="s">
        <v>27</v>
      </c>
      <c r="O7911" s="13">
        <f t="shared" si="636"/>
        <v>0</v>
      </c>
      <c r="P7911" s="14">
        <v>0.2</v>
      </c>
      <c r="Q7911" s="15">
        <v>0.2</v>
      </c>
      <c r="R7911" s="64" t="str">
        <f t="shared" si="634"/>
        <v>SCP</v>
      </c>
    </row>
    <row r="7912" spans="1:18" customFormat="1" ht="27" customHeight="1" x14ac:dyDescent="0.25">
      <c r="A7912" s="32" t="s">
        <v>16190</v>
      </c>
      <c r="H7912" t="s">
        <v>16191</v>
      </c>
      <c r="I7912" s="38" t="s">
        <v>16192</v>
      </c>
      <c r="J7912" t="s">
        <v>26</v>
      </c>
      <c r="K7912" s="42">
        <v>1045</v>
      </c>
      <c r="L7912" s="12">
        <f t="shared" si="635"/>
        <v>2090</v>
      </c>
      <c r="M7912" s="8">
        <v>1</v>
      </c>
      <c r="N7912" s="8" t="s">
        <v>27</v>
      </c>
      <c r="O7912" s="13">
        <f t="shared" si="636"/>
        <v>0</v>
      </c>
      <c r="P7912" s="14">
        <v>0.2</v>
      </c>
      <c r="Q7912" s="15">
        <v>0.4</v>
      </c>
      <c r="R7912" s="64" t="str">
        <f t="shared" si="634"/>
        <v>ALCEA</v>
      </c>
    </row>
    <row r="7913" spans="1:18" customFormat="1" ht="27" customHeight="1" x14ac:dyDescent="0.25">
      <c r="A7913" s="32" t="s">
        <v>13535</v>
      </c>
      <c r="H7913" t="s">
        <v>16193</v>
      </c>
      <c r="I7913" t="s">
        <v>13551</v>
      </c>
      <c r="J7913" t="s">
        <v>26</v>
      </c>
      <c r="K7913" s="42">
        <v>52.93</v>
      </c>
      <c r="L7913" s="12">
        <f t="shared" si="635"/>
        <v>105.86</v>
      </c>
      <c r="M7913" s="8">
        <v>1</v>
      </c>
      <c r="N7913" s="8" t="s">
        <v>27</v>
      </c>
      <c r="O7913" s="13">
        <f t="shared" si="636"/>
        <v>0</v>
      </c>
      <c r="P7913" s="14">
        <v>0.2</v>
      </c>
      <c r="Q7913" s="15">
        <v>0.4</v>
      </c>
      <c r="R7913" s="64" t="str">
        <f t="shared" si="634"/>
        <v>ABLOY</v>
      </c>
    </row>
    <row r="7914" spans="1:18" customFormat="1" ht="27" customHeight="1" x14ac:dyDescent="0.25">
      <c r="A7914" s="32" t="s">
        <v>2086</v>
      </c>
      <c r="H7914" t="s">
        <v>13948</v>
      </c>
      <c r="I7914" t="s">
        <v>16194</v>
      </c>
      <c r="J7914" t="s">
        <v>26</v>
      </c>
      <c r="K7914" s="42">
        <v>133</v>
      </c>
      <c r="L7914" s="12">
        <f t="shared" si="635"/>
        <v>266</v>
      </c>
      <c r="M7914" s="8">
        <v>1</v>
      </c>
      <c r="N7914" s="8" t="s">
        <v>27</v>
      </c>
      <c r="O7914" s="13">
        <f t="shared" si="636"/>
        <v>0</v>
      </c>
      <c r="P7914" s="14">
        <v>0.2</v>
      </c>
      <c r="Q7914" s="15">
        <v>0.4</v>
      </c>
      <c r="R7914" s="64" t="str">
        <f t="shared" si="634"/>
        <v>EATON</v>
      </c>
    </row>
    <row r="7915" spans="1:18" customFormat="1" ht="27" customHeight="1" x14ac:dyDescent="0.25">
      <c r="A7915" s="32" t="s">
        <v>8515</v>
      </c>
      <c r="H7915" t="s">
        <v>16195</v>
      </c>
      <c r="I7915" s="38" t="s">
        <v>16196</v>
      </c>
      <c r="J7915" t="s">
        <v>26</v>
      </c>
      <c r="K7915" s="42">
        <v>991</v>
      </c>
      <c r="L7915" s="12">
        <f t="shared" si="635"/>
        <v>1982.0000000000002</v>
      </c>
      <c r="M7915" s="8">
        <v>1</v>
      </c>
      <c r="N7915" s="8" t="s">
        <v>27</v>
      </c>
      <c r="O7915" s="13">
        <f t="shared" si="636"/>
        <v>0</v>
      </c>
      <c r="P7915" s="14">
        <v>0.2</v>
      </c>
      <c r="Q7915" s="15">
        <v>0.4</v>
      </c>
      <c r="R7915" s="64" t="str">
        <f t="shared" si="634"/>
        <v>SUPREMA</v>
      </c>
    </row>
    <row r="7916" spans="1:18" customFormat="1" ht="27" customHeight="1" x14ac:dyDescent="0.25">
      <c r="A7916" s="32" t="s">
        <v>15835</v>
      </c>
      <c r="H7916" t="s">
        <v>15836</v>
      </c>
      <c r="I7916" t="s">
        <v>16197</v>
      </c>
      <c r="J7916" t="s">
        <v>26</v>
      </c>
      <c r="K7916" s="42">
        <v>89.4</v>
      </c>
      <c r="L7916" s="12">
        <f t="shared" si="635"/>
        <v>178.8</v>
      </c>
      <c r="M7916" s="8">
        <v>1</v>
      </c>
      <c r="N7916" s="8" t="s">
        <v>27</v>
      </c>
      <c r="O7916" s="13">
        <f t="shared" si="636"/>
        <v>0</v>
      </c>
      <c r="P7916" s="14">
        <v>0.2</v>
      </c>
      <c r="Q7916" s="15">
        <v>0.4</v>
      </c>
      <c r="R7916" s="64" t="str">
        <f t="shared" si="634"/>
        <v>MCKINNEY</v>
      </c>
    </row>
    <row r="7917" spans="1:18" customFormat="1" ht="27" customHeight="1" x14ac:dyDescent="0.25">
      <c r="A7917" s="32" t="s">
        <v>15835</v>
      </c>
      <c r="H7917" t="s">
        <v>15838</v>
      </c>
      <c r="I7917" t="s">
        <v>16198</v>
      </c>
      <c r="J7917" t="s">
        <v>26</v>
      </c>
      <c r="K7917" s="42">
        <v>297</v>
      </c>
      <c r="L7917" s="12">
        <f t="shared" si="635"/>
        <v>594</v>
      </c>
      <c r="M7917" s="8">
        <v>1</v>
      </c>
      <c r="N7917" s="8" t="s">
        <v>27</v>
      </c>
      <c r="O7917" s="13">
        <f t="shared" si="636"/>
        <v>0</v>
      </c>
      <c r="P7917" s="14">
        <v>0.2</v>
      </c>
      <c r="Q7917" s="15">
        <v>0.4</v>
      </c>
      <c r="R7917" s="64" t="str">
        <f t="shared" si="634"/>
        <v>MCKINNEY</v>
      </c>
    </row>
    <row r="7918" spans="1:18" customFormat="1" ht="27" customHeight="1" x14ac:dyDescent="0.25">
      <c r="A7918" s="32" t="s">
        <v>2270</v>
      </c>
      <c r="H7918" t="s">
        <v>16199</v>
      </c>
      <c r="I7918" t="s">
        <v>16200</v>
      </c>
      <c r="J7918" t="s">
        <v>33</v>
      </c>
      <c r="K7918" s="42">
        <v>410500</v>
      </c>
      <c r="L7918" s="12">
        <f t="shared" si="635"/>
        <v>631600</v>
      </c>
      <c r="M7918" s="8">
        <v>1</v>
      </c>
      <c r="N7918" s="8" t="s">
        <v>27</v>
      </c>
      <c r="O7918" s="13">
        <f t="shared" si="636"/>
        <v>0</v>
      </c>
      <c r="P7918" s="14">
        <v>0</v>
      </c>
      <c r="Q7918" s="15">
        <v>0.35</v>
      </c>
      <c r="R7918" s="64" t="str">
        <f t="shared" si="634"/>
        <v>ELITE</v>
      </c>
    </row>
    <row r="7919" spans="1:18" customFormat="1" ht="27" customHeight="1" x14ac:dyDescent="0.25">
      <c r="A7919" s="32" t="s">
        <v>16201</v>
      </c>
      <c r="H7919" t="s">
        <v>16202</v>
      </c>
      <c r="I7919" t="s">
        <v>16203</v>
      </c>
      <c r="J7919" t="s">
        <v>33</v>
      </c>
      <c r="K7919" s="42">
        <v>1047000</v>
      </c>
      <c r="L7919" s="12">
        <f t="shared" si="635"/>
        <v>1610800</v>
      </c>
      <c r="M7919" s="8">
        <v>1</v>
      </c>
      <c r="N7919" s="8" t="s">
        <v>27</v>
      </c>
      <c r="O7919" s="13">
        <f t="shared" si="636"/>
        <v>0</v>
      </c>
      <c r="P7919" s="14">
        <v>0</v>
      </c>
      <c r="Q7919" s="15">
        <v>0.35</v>
      </c>
      <c r="R7919" s="64" t="str">
        <f t="shared" si="634"/>
        <v>EPEVER</v>
      </c>
    </row>
    <row r="7920" spans="1:18" customFormat="1" ht="27" customHeight="1" x14ac:dyDescent="0.25">
      <c r="A7920" s="32" t="s">
        <v>16201</v>
      </c>
      <c r="H7920" t="s">
        <v>16204</v>
      </c>
      <c r="I7920" t="s">
        <v>16205</v>
      </c>
      <c r="J7920" t="s">
        <v>33</v>
      </c>
      <c r="K7920" s="42">
        <v>819900</v>
      </c>
      <c r="L7920" s="12">
        <f t="shared" si="635"/>
        <v>1261400</v>
      </c>
      <c r="M7920" s="8">
        <v>1</v>
      </c>
      <c r="N7920" s="8" t="s">
        <v>27</v>
      </c>
      <c r="O7920" s="13">
        <f t="shared" si="636"/>
        <v>0</v>
      </c>
      <c r="P7920" s="14">
        <v>0</v>
      </c>
      <c r="Q7920" s="15">
        <v>0.35</v>
      </c>
      <c r="R7920" s="64" t="str">
        <f t="shared" si="634"/>
        <v>EPEVER</v>
      </c>
    </row>
    <row r="7921" spans="1:23" customFormat="1" ht="27" customHeight="1" x14ac:dyDescent="0.25">
      <c r="A7921" s="32" t="s">
        <v>13568</v>
      </c>
      <c r="H7921" t="s">
        <v>16206</v>
      </c>
      <c r="I7921" t="s">
        <v>16207</v>
      </c>
      <c r="J7921" t="s">
        <v>33</v>
      </c>
      <c r="K7921" s="42">
        <v>1645700.6</v>
      </c>
      <c r="L7921" s="12">
        <f t="shared" si="635"/>
        <v>2531900</v>
      </c>
      <c r="M7921" s="8">
        <v>1</v>
      </c>
      <c r="N7921" s="8" t="s">
        <v>27</v>
      </c>
      <c r="O7921" s="13">
        <f t="shared" si="636"/>
        <v>0</v>
      </c>
      <c r="P7921" s="14">
        <v>0</v>
      </c>
      <c r="Q7921" s="15">
        <v>0.35</v>
      </c>
      <c r="R7921" s="64" t="str">
        <f t="shared" si="634"/>
        <v>EPCOM</v>
      </c>
    </row>
    <row r="7922" spans="1:23" customFormat="1" ht="27" customHeight="1" x14ac:dyDescent="0.25">
      <c r="A7922" s="32" t="s">
        <v>13568</v>
      </c>
      <c r="H7922" t="s">
        <v>16208</v>
      </c>
      <c r="I7922" t="s">
        <v>16209</v>
      </c>
      <c r="J7922" t="s">
        <v>33</v>
      </c>
      <c r="K7922" s="42">
        <f>1365*0.7*4050</f>
        <v>3869774.9999999995</v>
      </c>
      <c r="L7922" s="12">
        <f t="shared" si="635"/>
        <v>5953500</v>
      </c>
      <c r="M7922" s="8">
        <v>1</v>
      </c>
      <c r="N7922" s="8" t="s">
        <v>27</v>
      </c>
      <c r="O7922" s="13">
        <f t="shared" si="636"/>
        <v>0</v>
      </c>
      <c r="P7922" s="14">
        <v>0</v>
      </c>
      <c r="Q7922" s="15">
        <v>0.35</v>
      </c>
      <c r="R7922" s="64" t="str">
        <f t="shared" si="634"/>
        <v>EPCOM</v>
      </c>
    </row>
    <row r="7923" spans="1:23" customFormat="1" ht="27" customHeight="1" x14ac:dyDescent="0.25">
      <c r="A7923" s="32" t="s">
        <v>13568</v>
      </c>
      <c r="H7923" t="s">
        <v>16210</v>
      </c>
      <c r="I7923" t="s">
        <v>16211</v>
      </c>
      <c r="J7923" t="s">
        <v>33</v>
      </c>
      <c r="K7923" s="42">
        <v>1044000</v>
      </c>
      <c r="L7923" s="12">
        <f t="shared" si="635"/>
        <v>1606200</v>
      </c>
      <c r="M7923" s="8">
        <v>1</v>
      </c>
      <c r="N7923" s="8" t="s">
        <v>27</v>
      </c>
      <c r="O7923" s="13">
        <f t="shared" si="636"/>
        <v>0</v>
      </c>
      <c r="P7923" s="14">
        <v>0</v>
      </c>
      <c r="Q7923" s="15">
        <v>0.35</v>
      </c>
      <c r="R7923" s="64" t="str">
        <f t="shared" si="634"/>
        <v>EPCOM</v>
      </c>
    </row>
    <row r="7924" spans="1:23" customFormat="1" ht="27" customHeight="1" x14ac:dyDescent="0.25">
      <c r="A7924" s="32" t="s">
        <v>13568</v>
      </c>
      <c r="H7924" t="s">
        <v>16212</v>
      </c>
      <c r="I7924" t="s">
        <v>16213</v>
      </c>
      <c r="J7924" t="s">
        <v>33</v>
      </c>
      <c r="K7924" s="42">
        <f>145*4050</f>
        <v>587250</v>
      </c>
      <c r="L7924" s="12">
        <f t="shared" si="635"/>
        <v>903500</v>
      </c>
      <c r="M7924" s="8">
        <v>1</v>
      </c>
      <c r="N7924" s="8" t="s">
        <v>27</v>
      </c>
      <c r="O7924" s="13">
        <f t="shared" si="636"/>
        <v>0</v>
      </c>
      <c r="P7924" s="14">
        <v>0</v>
      </c>
      <c r="Q7924" s="15">
        <v>0.35</v>
      </c>
      <c r="R7924" s="64" t="str">
        <f t="shared" si="634"/>
        <v>EPCOM</v>
      </c>
    </row>
    <row r="7925" spans="1:23" customFormat="1" ht="27" customHeight="1" x14ac:dyDescent="0.25">
      <c r="A7925" s="32" t="s">
        <v>16214</v>
      </c>
      <c r="H7925" t="s">
        <v>16215</v>
      </c>
      <c r="I7925" t="s">
        <v>16216</v>
      </c>
      <c r="J7925" t="s">
        <v>33</v>
      </c>
      <c r="K7925" s="42">
        <v>1960000</v>
      </c>
      <c r="L7925" s="12">
        <f t="shared" si="635"/>
        <v>2450000</v>
      </c>
      <c r="M7925" s="8">
        <v>1</v>
      </c>
      <c r="N7925" s="8" t="s">
        <v>27</v>
      </c>
      <c r="O7925" s="13">
        <f t="shared" si="636"/>
        <v>0</v>
      </c>
      <c r="P7925" s="14">
        <v>0</v>
      </c>
      <c r="Q7925" s="15">
        <v>0.2</v>
      </c>
      <c r="R7925" s="64" t="str">
        <f t="shared" si="634"/>
        <v>TEQUENDAMA</v>
      </c>
    </row>
    <row r="7926" spans="1:23" customFormat="1" ht="27" customHeight="1" x14ac:dyDescent="0.25">
      <c r="A7926" s="32" t="s">
        <v>16217</v>
      </c>
      <c r="H7926" t="s">
        <v>16218</v>
      </c>
      <c r="I7926" t="s">
        <v>16219</v>
      </c>
      <c r="J7926" t="s">
        <v>33</v>
      </c>
      <c r="K7926" s="42">
        <f>43*4100</f>
        <v>176300</v>
      </c>
      <c r="L7926" s="12">
        <f t="shared" si="635"/>
        <v>293900</v>
      </c>
      <c r="M7926" s="8">
        <v>1</v>
      </c>
      <c r="N7926" s="8" t="s">
        <v>27</v>
      </c>
      <c r="O7926" s="13">
        <f t="shared" si="636"/>
        <v>0</v>
      </c>
      <c r="P7926" s="14">
        <v>0</v>
      </c>
      <c r="Q7926" s="15">
        <v>0.4</v>
      </c>
      <c r="R7926" s="64" t="str">
        <f t="shared" si="634"/>
        <v>PRECISION</v>
      </c>
    </row>
    <row r="7927" spans="1:23" customFormat="1" ht="27" customHeight="1" x14ac:dyDescent="0.25">
      <c r="A7927" s="32" t="s">
        <v>1561</v>
      </c>
      <c r="H7927" t="s">
        <v>16220</v>
      </c>
      <c r="I7927" t="s">
        <v>16221</v>
      </c>
      <c r="J7927" t="s">
        <v>33</v>
      </c>
      <c r="K7927" s="42">
        <v>1661500</v>
      </c>
      <c r="L7927" s="12">
        <f t="shared" si="635"/>
        <v>2556200</v>
      </c>
      <c r="M7927" s="8">
        <v>1</v>
      </c>
      <c r="N7927" s="8" t="s">
        <v>27</v>
      </c>
      <c r="O7927" s="13">
        <f t="shared" si="636"/>
        <v>0</v>
      </c>
      <c r="P7927" s="14">
        <v>0</v>
      </c>
      <c r="Q7927" s="15">
        <v>0.35</v>
      </c>
      <c r="R7927" s="64" t="str">
        <f t="shared" si="634"/>
        <v>DAHUA</v>
      </c>
    </row>
    <row r="7928" spans="1:23" customFormat="1" ht="27" customHeight="1" x14ac:dyDescent="0.25">
      <c r="A7928" s="32" t="s">
        <v>11685</v>
      </c>
      <c r="H7928" s="32" t="s">
        <v>16222</v>
      </c>
      <c r="I7928" s="33" t="s">
        <v>16223</v>
      </c>
      <c r="J7928" s="34" t="s">
        <v>33</v>
      </c>
      <c r="K7928" s="42">
        <f>131*4100</f>
        <v>537100</v>
      </c>
      <c r="L7928" s="12">
        <f t="shared" si="635"/>
        <v>826400</v>
      </c>
      <c r="M7928" s="8">
        <v>1</v>
      </c>
      <c r="N7928" s="8" t="s">
        <v>27</v>
      </c>
      <c r="O7928" s="13">
        <f t="shared" si="636"/>
        <v>0</v>
      </c>
      <c r="P7928" s="14">
        <v>0</v>
      </c>
      <c r="Q7928" s="15">
        <v>0.35</v>
      </c>
      <c r="R7928" s="64" t="str">
        <f t="shared" si="634"/>
        <v>RUIJIE</v>
      </c>
    </row>
    <row r="7929" spans="1:23" customFormat="1" ht="27" customHeight="1" x14ac:dyDescent="0.25">
      <c r="A7929" s="32" t="s">
        <v>9258</v>
      </c>
      <c r="H7929" s="32" t="s">
        <v>16224</v>
      </c>
      <c r="I7929" s="33" t="s">
        <v>16225</v>
      </c>
      <c r="J7929" s="34" t="s">
        <v>33</v>
      </c>
      <c r="K7929" s="42">
        <f>38*4050</f>
        <v>153900</v>
      </c>
      <c r="L7929" s="12">
        <f t="shared" si="635"/>
        <v>256500</v>
      </c>
      <c r="M7929" s="8">
        <v>1</v>
      </c>
      <c r="N7929" s="8" t="s">
        <v>27</v>
      </c>
      <c r="O7929" s="13">
        <f t="shared" si="636"/>
        <v>0</v>
      </c>
      <c r="P7929" s="14">
        <v>0</v>
      </c>
      <c r="Q7929" s="15">
        <v>0.4</v>
      </c>
      <c r="R7929" s="64" t="str">
        <f t="shared" si="634"/>
        <v>TP_LINK</v>
      </c>
    </row>
    <row r="7930" spans="1:23" customFormat="1" ht="27" customHeight="1" x14ac:dyDescent="0.25">
      <c r="A7930" s="32" t="s">
        <v>13568</v>
      </c>
      <c r="H7930" s="32" t="s">
        <v>16226</v>
      </c>
      <c r="I7930" s="33" t="s">
        <v>16227</v>
      </c>
      <c r="J7930" s="34" t="s">
        <v>33</v>
      </c>
      <c r="K7930" s="42">
        <f>72.5*4100</f>
        <v>297250</v>
      </c>
      <c r="L7930" s="12">
        <f t="shared" si="635"/>
        <v>495500</v>
      </c>
      <c r="M7930" s="8">
        <v>1</v>
      </c>
      <c r="N7930" s="8" t="s">
        <v>27</v>
      </c>
      <c r="O7930" s="13">
        <f t="shared" si="636"/>
        <v>0</v>
      </c>
      <c r="P7930" s="14">
        <v>0</v>
      </c>
      <c r="Q7930" s="15">
        <v>0.4</v>
      </c>
      <c r="R7930" s="64" t="str">
        <f t="shared" si="634"/>
        <v>EPCOM</v>
      </c>
    </row>
    <row r="7931" spans="1:23" customFormat="1" ht="27" customHeight="1" x14ac:dyDescent="0.25">
      <c r="A7931" s="43" t="s">
        <v>1836</v>
      </c>
      <c r="B7931" s="19"/>
      <c r="C7931" s="19"/>
      <c r="D7931" s="19"/>
      <c r="E7931" s="19"/>
      <c r="F7931" s="19"/>
      <c r="G7931" s="19"/>
      <c r="H7931" s="19" t="s">
        <v>16228</v>
      </c>
      <c r="I7931" s="19" t="s">
        <v>16229</v>
      </c>
      <c r="J7931" s="19" t="s">
        <v>26</v>
      </c>
      <c r="K7931" s="36">
        <v>996</v>
      </c>
      <c r="L7931" s="12">
        <f t="shared" si="635"/>
        <v>1106.6666666666667</v>
      </c>
      <c r="M7931" s="8">
        <v>1</v>
      </c>
      <c r="N7931" s="8" t="s">
        <v>27</v>
      </c>
      <c r="O7931" s="13">
        <f t="shared" si="636"/>
        <v>0</v>
      </c>
      <c r="P7931" s="14">
        <v>0</v>
      </c>
      <c r="Q7931" s="15">
        <v>0.1</v>
      </c>
      <c r="R7931" s="64" t="str">
        <f t="shared" si="634"/>
        <v>DELTA</v>
      </c>
      <c r="U7931" s="19"/>
      <c r="V7931" s="19"/>
      <c r="W7931" s="19"/>
    </row>
    <row r="7932" spans="1:23" customFormat="1" ht="27" customHeight="1" x14ac:dyDescent="0.25">
      <c r="A7932" s="49" t="s">
        <v>1836</v>
      </c>
      <c r="B7932" s="24"/>
      <c r="C7932" s="24"/>
      <c r="D7932" s="24"/>
      <c r="E7932" s="24"/>
      <c r="F7932" s="24"/>
      <c r="G7932" s="24"/>
      <c r="H7932" s="24" t="s">
        <v>16230</v>
      </c>
      <c r="I7932" s="24" t="s">
        <v>16231</v>
      </c>
      <c r="J7932" s="24" t="s">
        <v>26</v>
      </c>
      <c r="K7932" s="26">
        <v>945</v>
      </c>
      <c r="L7932" s="12">
        <f t="shared" si="635"/>
        <v>1050</v>
      </c>
      <c r="M7932" s="8">
        <v>1</v>
      </c>
      <c r="N7932" s="8" t="s">
        <v>27</v>
      </c>
      <c r="O7932" s="13">
        <f t="shared" si="636"/>
        <v>0</v>
      </c>
      <c r="P7932" s="14">
        <v>0</v>
      </c>
      <c r="Q7932" s="15">
        <v>0.1</v>
      </c>
      <c r="R7932" s="64" t="str">
        <f t="shared" si="634"/>
        <v>DELTA</v>
      </c>
      <c r="U7932" s="24"/>
      <c r="V7932" s="24"/>
      <c r="W7932" s="24"/>
    </row>
    <row r="7933" spans="1:23" customFormat="1" ht="27" customHeight="1" x14ac:dyDescent="0.25">
      <c r="A7933" s="43" t="s">
        <v>1836</v>
      </c>
      <c r="B7933" s="19"/>
      <c r="C7933" s="19"/>
      <c r="D7933" s="19"/>
      <c r="E7933" s="19"/>
      <c r="F7933" s="19"/>
      <c r="G7933" s="19"/>
      <c r="H7933" s="19" t="s">
        <v>16232</v>
      </c>
      <c r="I7933" s="19" t="s">
        <v>16233</v>
      </c>
      <c r="J7933" s="19" t="s">
        <v>26</v>
      </c>
      <c r="K7933" s="36">
        <v>291</v>
      </c>
      <c r="L7933" s="12">
        <f t="shared" si="635"/>
        <v>323.33333333333331</v>
      </c>
      <c r="M7933" s="8">
        <v>1</v>
      </c>
      <c r="N7933" s="8" t="s">
        <v>27</v>
      </c>
      <c r="O7933" s="13">
        <f t="shared" si="636"/>
        <v>0</v>
      </c>
      <c r="P7933" s="14">
        <v>0</v>
      </c>
      <c r="Q7933" s="15">
        <v>0.1</v>
      </c>
      <c r="R7933" s="64" t="str">
        <f t="shared" si="634"/>
        <v>DELTA</v>
      </c>
      <c r="U7933" s="19"/>
      <c r="V7933" s="19"/>
      <c r="W7933" s="19"/>
    </row>
    <row r="7934" spans="1:23" customFormat="1" ht="27" customHeight="1" x14ac:dyDescent="0.25">
      <c r="A7934" s="49" t="s">
        <v>1836</v>
      </c>
      <c r="B7934" s="24"/>
      <c r="C7934" s="24"/>
      <c r="D7934" s="24"/>
      <c r="E7934" s="24"/>
      <c r="F7934" s="24"/>
      <c r="G7934" s="24"/>
      <c r="H7934" s="24" t="s">
        <v>16234</v>
      </c>
      <c r="I7934" s="24" t="s">
        <v>16235</v>
      </c>
      <c r="J7934" s="24" t="s">
        <v>26</v>
      </c>
      <c r="K7934" s="26">
        <v>61</v>
      </c>
      <c r="L7934" s="12">
        <f t="shared" si="635"/>
        <v>67.777777777777771</v>
      </c>
      <c r="M7934" s="8">
        <v>1</v>
      </c>
      <c r="N7934" s="8" t="s">
        <v>27</v>
      </c>
      <c r="O7934" s="13">
        <f t="shared" si="636"/>
        <v>0</v>
      </c>
      <c r="P7934" s="14">
        <v>0</v>
      </c>
      <c r="Q7934" s="15">
        <v>0.1</v>
      </c>
      <c r="R7934" s="64" t="str">
        <f t="shared" si="634"/>
        <v>DELTA</v>
      </c>
      <c r="U7934" s="24"/>
      <c r="V7934" s="24"/>
      <c r="W7934" s="24"/>
    </row>
    <row r="7935" spans="1:23" customFormat="1" ht="27" customHeight="1" x14ac:dyDescent="0.25">
      <c r="A7935" t="s">
        <v>13391</v>
      </c>
      <c r="H7935" t="s">
        <v>16236</v>
      </c>
      <c r="I7935" s="33" t="s">
        <v>16237</v>
      </c>
      <c r="J7935" s="34" t="s">
        <v>33</v>
      </c>
      <c r="K7935" s="42">
        <v>143400</v>
      </c>
      <c r="L7935" s="12">
        <f t="shared" ref="L7935:L7948" si="637">K7935*(1+P7935)/(1-Q7935)</f>
        <v>204857.14285714287</v>
      </c>
      <c r="M7935" s="8">
        <v>1</v>
      </c>
      <c r="N7935" s="8" t="s">
        <v>27</v>
      </c>
      <c r="O7935" s="13"/>
      <c r="P7935" s="14">
        <v>0</v>
      </c>
      <c r="Q7935" s="15">
        <v>0.3</v>
      </c>
      <c r="R7935" s="16" t="str">
        <f t="shared" si="634"/>
        <v>COLORS</v>
      </c>
    </row>
    <row r="7936" spans="1:23" customFormat="1" ht="27" customHeight="1" x14ac:dyDescent="0.25">
      <c r="A7936" s="51" t="s">
        <v>1983</v>
      </c>
      <c r="H7936" s="51" t="s">
        <v>16238</v>
      </c>
      <c r="I7936" t="s">
        <v>16239</v>
      </c>
      <c r="J7936" t="s">
        <v>33</v>
      </c>
      <c r="K7936" s="42">
        <v>22000</v>
      </c>
      <c r="L7936" s="12">
        <f t="shared" si="637"/>
        <v>31428.571428571431</v>
      </c>
      <c r="M7936" s="8">
        <v>1</v>
      </c>
      <c r="N7936" s="8" t="s">
        <v>27</v>
      </c>
      <c r="O7936" s="13"/>
      <c r="P7936" s="14">
        <v>0</v>
      </c>
      <c r="Q7936" s="15">
        <v>0.3</v>
      </c>
      <c r="R7936" s="16" t="str">
        <f t="shared" si="634"/>
        <v>DEXSON</v>
      </c>
    </row>
    <row r="7937" spans="1:20" customFormat="1" ht="27" customHeight="1" x14ac:dyDescent="0.25">
      <c r="A7937" t="s">
        <v>867</v>
      </c>
      <c r="H7937" t="s">
        <v>16135</v>
      </c>
      <c r="I7937" s="38" t="s">
        <v>16240</v>
      </c>
      <c r="J7937" t="s">
        <v>33</v>
      </c>
      <c r="K7937" s="42">
        <v>3200000</v>
      </c>
      <c r="L7937" s="12">
        <f t="shared" si="637"/>
        <v>4571428.5714285718</v>
      </c>
      <c r="M7937" s="8">
        <v>1</v>
      </c>
      <c r="N7937" s="8" t="s">
        <v>27</v>
      </c>
      <c r="O7937" s="13"/>
      <c r="P7937" s="14">
        <v>0</v>
      </c>
      <c r="Q7937" s="15">
        <v>0.3</v>
      </c>
      <c r="R7937" s="16" t="str">
        <f t="shared" si="634"/>
        <v>BOSE</v>
      </c>
    </row>
    <row r="7938" spans="1:20" customFormat="1" ht="27" customHeight="1" x14ac:dyDescent="0.25">
      <c r="A7938" t="s">
        <v>867</v>
      </c>
      <c r="H7938" s="51" t="s">
        <v>16139</v>
      </c>
      <c r="I7938" t="s">
        <v>16241</v>
      </c>
      <c r="J7938" t="s">
        <v>33</v>
      </c>
      <c r="K7938" s="42">
        <v>200000</v>
      </c>
      <c r="L7938" s="12">
        <f t="shared" si="637"/>
        <v>285714.28571428574</v>
      </c>
      <c r="M7938" s="8">
        <v>1</v>
      </c>
      <c r="N7938" s="8" t="s">
        <v>27</v>
      </c>
      <c r="O7938" s="13"/>
      <c r="P7938" s="14">
        <v>0</v>
      </c>
      <c r="Q7938" s="15">
        <v>0.3</v>
      </c>
      <c r="R7938" s="16" t="str">
        <f t="shared" si="634"/>
        <v>BOSE</v>
      </c>
    </row>
    <row r="7939" spans="1:20" customFormat="1" ht="27" customHeight="1" x14ac:dyDescent="0.25">
      <c r="A7939" t="s">
        <v>2095</v>
      </c>
      <c r="H7939" t="s">
        <v>16242</v>
      </c>
      <c r="I7939" s="38" t="s">
        <v>16243</v>
      </c>
      <c r="J7939" t="s">
        <v>33</v>
      </c>
      <c r="K7939" s="42">
        <v>11000</v>
      </c>
      <c r="L7939" s="12">
        <f t="shared" si="637"/>
        <v>15714.285714285716</v>
      </c>
      <c r="M7939" s="8">
        <v>1</v>
      </c>
      <c r="N7939" s="8" t="s">
        <v>27</v>
      </c>
      <c r="O7939" s="13"/>
      <c r="P7939" s="14">
        <v>0</v>
      </c>
      <c r="Q7939" s="15">
        <v>0.3</v>
      </c>
      <c r="R7939" s="16" t="str">
        <f t="shared" si="634"/>
        <v>ECOLITE</v>
      </c>
    </row>
    <row r="7940" spans="1:20" customFormat="1" ht="27" customHeight="1" x14ac:dyDescent="0.25">
      <c r="A7940" t="s">
        <v>2512</v>
      </c>
      <c r="H7940" s="51" t="s">
        <v>16244</v>
      </c>
      <c r="I7940" t="s">
        <v>16245</v>
      </c>
      <c r="J7940" t="s">
        <v>33</v>
      </c>
      <c r="K7940" s="42">
        <v>2500</v>
      </c>
      <c r="L7940" s="12">
        <f t="shared" si="637"/>
        <v>4166.666666666667</v>
      </c>
      <c r="M7940" s="8">
        <v>1</v>
      </c>
      <c r="N7940" s="8" t="s">
        <v>27</v>
      </c>
      <c r="O7940" s="13"/>
      <c r="P7940" s="14">
        <v>0</v>
      </c>
      <c r="Q7940" s="15">
        <v>0.4</v>
      </c>
      <c r="R7940" s="16" t="str">
        <f t="shared" si="634"/>
        <v>GENERAL</v>
      </c>
    </row>
    <row r="7941" spans="1:20" customFormat="1" ht="27" customHeight="1" x14ac:dyDescent="0.25">
      <c r="A7941" t="s">
        <v>2512</v>
      </c>
      <c r="H7941" s="51" t="s">
        <v>16246</v>
      </c>
      <c r="I7941" t="s">
        <v>16247</v>
      </c>
      <c r="J7941" t="s">
        <v>33</v>
      </c>
      <c r="K7941" s="42">
        <v>2500</v>
      </c>
      <c r="L7941" s="12">
        <f t="shared" si="637"/>
        <v>4166.666666666667</v>
      </c>
      <c r="M7941" s="8">
        <v>1</v>
      </c>
      <c r="N7941" s="8" t="s">
        <v>27</v>
      </c>
      <c r="O7941" s="13"/>
      <c r="P7941" s="14">
        <v>0</v>
      </c>
      <c r="Q7941" s="15">
        <v>0.4</v>
      </c>
      <c r="R7941" s="16" t="str">
        <f t="shared" ref="R7941:R8004" si="638">A7941</f>
        <v>GENERAL</v>
      </c>
    </row>
    <row r="7942" spans="1:20" customFormat="1" ht="27" customHeight="1" x14ac:dyDescent="0.25">
      <c r="A7942" t="s">
        <v>7931</v>
      </c>
      <c r="H7942" s="51" t="s">
        <v>16248</v>
      </c>
      <c r="I7942" t="s">
        <v>16249</v>
      </c>
      <c r="J7942" t="s">
        <v>33</v>
      </c>
      <c r="K7942" s="42">
        <v>61600</v>
      </c>
      <c r="L7942" s="12">
        <f t="shared" si="637"/>
        <v>88000</v>
      </c>
      <c r="M7942" s="8">
        <v>1</v>
      </c>
      <c r="N7942" s="8" t="s">
        <v>27</v>
      </c>
      <c r="O7942" s="13"/>
      <c r="P7942" s="14">
        <v>0</v>
      </c>
      <c r="Q7942" s="15">
        <v>0.3</v>
      </c>
      <c r="R7942" s="16" t="str">
        <f t="shared" si="638"/>
        <v>SYLVANIA</v>
      </c>
    </row>
    <row r="7943" spans="1:20" customFormat="1" ht="27" customHeight="1" x14ac:dyDescent="0.25">
      <c r="A7943" t="s">
        <v>7931</v>
      </c>
      <c r="H7943" s="51" t="s">
        <v>16250</v>
      </c>
      <c r="I7943" t="s">
        <v>16251</v>
      </c>
      <c r="J7943" t="s">
        <v>33</v>
      </c>
      <c r="K7943" s="42">
        <v>42400</v>
      </c>
      <c r="L7943" s="12">
        <f t="shared" si="637"/>
        <v>60571.428571428572</v>
      </c>
      <c r="M7943" s="8">
        <v>1</v>
      </c>
      <c r="N7943" s="8" t="s">
        <v>27</v>
      </c>
      <c r="O7943" s="13"/>
      <c r="P7943" s="14">
        <v>0</v>
      </c>
      <c r="Q7943" s="15">
        <v>0.3</v>
      </c>
      <c r="R7943" s="16" t="str">
        <f t="shared" si="638"/>
        <v>SYLVANIA</v>
      </c>
    </row>
    <row r="7944" spans="1:20" customFormat="1" ht="27" customHeight="1" x14ac:dyDescent="0.25">
      <c r="A7944" t="s">
        <v>2512</v>
      </c>
      <c r="H7944" s="51" t="s">
        <v>16252</v>
      </c>
      <c r="I7944" t="s">
        <v>16253</v>
      </c>
      <c r="J7944" t="s">
        <v>33</v>
      </c>
      <c r="K7944" s="42">
        <v>34000</v>
      </c>
      <c r="L7944" s="12">
        <f t="shared" si="637"/>
        <v>48571.428571428572</v>
      </c>
      <c r="M7944" s="8">
        <v>1</v>
      </c>
      <c r="N7944" s="8" t="s">
        <v>27</v>
      </c>
      <c r="O7944" s="13"/>
      <c r="P7944" s="14">
        <v>0</v>
      </c>
      <c r="Q7944" s="15">
        <v>0.3</v>
      </c>
      <c r="R7944" s="16" t="str">
        <f t="shared" si="638"/>
        <v>GENERAL</v>
      </c>
    </row>
    <row r="7945" spans="1:20" customFormat="1" ht="27" customHeight="1" x14ac:dyDescent="0.25">
      <c r="A7945" t="s">
        <v>2512</v>
      </c>
      <c r="H7945" s="51" t="s">
        <v>16254</v>
      </c>
      <c r="I7945" t="s">
        <v>16255</v>
      </c>
      <c r="J7945" t="s">
        <v>33</v>
      </c>
      <c r="K7945" s="42">
        <v>19000</v>
      </c>
      <c r="L7945" s="12">
        <f t="shared" si="637"/>
        <v>27142.857142857145</v>
      </c>
      <c r="M7945" s="8">
        <v>1</v>
      </c>
      <c r="N7945" s="8" t="s">
        <v>27</v>
      </c>
      <c r="O7945" s="13"/>
      <c r="P7945" s="14">
        <v>0</v>
      </c>
      <c r="Q7945" s="15">
        <v>0.3</v>
      </c>
      <c r="R7945" s="16" t="str">
        <f t="shared" si="638"/>
        <v>GENERAL</v>
      </c>
    </row>
    <row r="7946" spans="1:20" customFormat="1" ht="27" customHeight="1" x14ac:dyDescent="0.25">
      <c r="A7946" s="32" t="s">
        <v>2095</v>
      </c>
      <c r="H7946" t="s">
        <v>16256</v>
      </c>
      <c r="I7946" s="33" t="s">
        <v>16257</v>
      </c>
      <c r="J7946" t="s">
        <v>33</v>
      </c>
      <c r="K7946" s="42">
        <v>65400</v>
      </c>
      <c r="L7946" s="12">
        <f t="shared" si="637"/>
        <v>109000</v>
      </c>
      <c r="M7946" s="8">
        <v>1</v>
      </c>
      <c r="N7946" s="8" t="s">
        <v>27</v>
      </c>
      <c r="O7946" s="13"/>
      <c r="P7946" s="14">
        <v>0</v>
      </c>
      <c r="Q7946" s="15">
        <v>0.4</v>
      </c>
      <c r="R7946" s="40" t="str">
        <f t="shared" si="638"/>
        <v>ECOLITE</v>
      </c>
    </row>
    <row r="7947" spans="1:20" customFormat="1" ht="27" customHeight="1" x14ac:dyDescent="0.25">
      <c r="A7947" s="32" t="s">
        <v>2095</v>
      </c>
      <c r="H7947" t="s">
        <v>16258</v>
      </c>
      <c r="I7947" s="33" t="s">
        <v>16259</v>
      </c>
      <c r="J7947" s="34" t="s">
        <v>33</v>
      </c>
      <c r="K7947" s="42">
        <v>11500</v>
      </c>
      <c r="L7947" s="12">
        <f t="shared" si="637"/>
        <v>19166.666666666668</v>
      </c>
      <c r="M7947" s="8">
        <v>1</v>
      </c>
      <c r="N7947" s="8" t="s">
        <v>27</v>
      </c>
      <c r="O7947" s="13"/>
      <c r="P7947" s="14">
        <v>0</v>
      </c>
      <c r="Q7947" s="15">
        <v>0.4</v>
      </c>
      <c r="R7947" s="40" t="str">
        <f t="shared" si="638"/>
        <v>ECOLITE</v>
      </c>
    </row>
    <row r="7948" spans="1:20" customFormat="1" ht="27" customHeight="1" x14ac:dyDescent="0.25">
      <c r="A7948" s="32" t="s">
        <v>2095</v>
      </c>
      <c r="H7948" t="s">
        <v>16260</v>
      </c>
      <c r="I7948" s="33" t="s">
        <v>16261</v>
      </c>
      <c r="J7948" t="s">
        <v>33</v>
      </c>
      <c r="K7948" s="42">
        <v>45400</v>
      </c>
      <c r="L7948" s="12">
        <f t="shared" si="637"/>
        <v>75666.666666666672</v>
      </c>
      <c r="M7948" s="8">
        <v>1</v>
      </c>
      <c r="N7948" s="8" t="s">
        <v>27</v>
      </c>
      <c r="O7948" s="13"/>
      <c r="P7948" s="14">
        <v>0</v>
      </c>
      <c r="Q7948" s="15">
        <v>0.4</v>
      </c>
      <c r="R7948" s="40" t="str">
        <f t="shared" si="638"/>
        <v>ECOLITE</v>
      </c>
    </row>
    <row r="7949" spans="1:20" customFormat="1" ht="27" customHeight="1" x14ac:dyDescent="0.25">
      <c r="A7949" s="32" t="s">
        <v>9465</v>
      </c>
      <c r="B7949" s="9"/>
      <c r="C7949" s="9"/>
      <c r="D7949" s="8"/>
      <c r="E7949" s="8"/>
      <c r="F7949" s="8" t="s">
        <v>22</v>
      </c>
      <c r="G7949" s="10" t="s">
        <v>9468</v>
      </c>
      <c r="H7949" s="8" t="s">
        <v>16262</v>
      </c>
      <c r="I7949" s="10" t="s">
        <v>16263</v>
      </c>
      <c r="J7949" s="11" t="s">
        <v>33</v>
      </c>
      <c r="K7949" s="18">
        <v>554000</v>
      </c>
      <c r="L7949" s="12">
        <f t="shared" ref="L7949:L7957" si="639">IF(J7949="P",ROUNDUP(K7949/(1-Q7949),-2),K7949*(1+P7949)/(1-Q7949))</f>
        <v>791500</v>
      </c>
      <c r="M7949" s="8">
        <v>1</v>
      </c>
      <c r="N7949" s="8" t="s">
        <v>27</v>
      </c>
      <c r="O7949" s="13"/>
      <c r="P7949" s="14">
        <v>0</v>
      </c>
      <c r="Q7949" s="15">
        <v>0.3</v>
      </c>
      <c r="R7949" s="16" t="str">
        <f t="shared" si="638"/>
        <v>VIDA_UTIL</v>
      </c>
      <c r="S7949" s="17"/>
      <c r="T7949" s="10" t="str">
        <f>G7949</f>
        <v>LUMINARIA OVOIDE DE 60cm DE DIÁMETRO CON BOMBILLA PAR 38 CÁLIDA DIMERIZABLE.</v>
      </c>
    </row>
    <row r="7950" spans="1:20" customFormat="1" ht="27" customHeight="1" x14ac:dyDescent="0.25">
      <c r="A7950" s="32" t="s">
        <v>9465</v>
      </c>
      <c r="H7950" t="s">
        <v>16264</v>
      </c>
      <c r="I7950" s="33" t="s">
        <v>16265</v>
      </c>
      <c r="J7950" t="s">
        <v>33</v>
      </c>
      <c r="K7950" s="42">
        <v>158824</v>
      </c>
      <c r="L7950" s="12">
        <f t="shared" si="639"/>
        <v>226900</v>
      </c>
      <c r="M7950" s="8">
        <v>1</v>
      </c>
      <c r="N7950" s="8" t="s">
        <v>27</v>
      </c>
      <c r="O7950" s="13"/>
      <c r="P7950" s="14">
        <v>0</v>
      </c>
      <c r="Q7950" s="15">
        <v>0.3</v>
      </c>
      <c r="R7950" s="16" t="str">
        <f t="shared" si="638"/>
        <v>VIDA_UTIL</v>
      </c>
    </row>
    <row r="7951" spans="1:20" customFormat="1" ht="27" customHeight="1" x14ac:dyDescent="0.25">
      <c r="A7951" s="32" t="s">
        <v>9465</v>
      </c>
      <c r="H7951" t="s">
        <v>10810</v>
      </c>
      <c r="I7951" s="33" t="s">
        <v>16266</v>
      </c>
      <c r="J7951" s="34" t="s">
        <v>33</v>
      </c>
      <c r="K7951" s="42">
        <v>21849</v>
      </c>
      <c r="L7951" s="12">
        <f t="shared" si="639"/>
        <v>31300</v>
      </c>
      <c r="M7951" s="8">
        <v>1</v>
      </c>
      <c r="N7951" s="8" t="s">
        <v>27</v>
      </c>
      <c r="O7951" s="13"/>
      <c r="P7951" s="14">
        <v>0</v>
      </c>
      <c r="Q7951" s="15">
        <v>0.3</v>
      </c>
      <c r="R7951" s="16" t="str">
        <f t="shared" si="638"/>
        <v>VIDA_UTIL</v>
      </c>
    </row>
    <row r="7952" spans="1:20" customFormat="1" ht="27" customHeight="1" x14ac:dyDescent="0.25">
      <c r="A7952" s="32" t="s">
        <v>9426</v>
      </c>
      <c r="H7952" t="s">
        <v>16267</v>
      </c>
      <c r="I7952" s="33" t="s">
        <v>16268</v>
      </c>
      <c r="J7952" t="s">
        <v>33</v>
      </c>
      <c r="K7952" s="42">
        <v>38000</v>
      </c>
      <c r="L7952" s="12">
        <f t="shared" si="639"/>
        <v>54300</v>
      </c>
      <c r="M7952" s="8">
        <v>1</v>
      </c>
      <c r="N7952" s="8" t="s">
        <v>27</v>
      </c>
      <c r="O7952" s="13"/>
      <c r="P7952" s="14">
        <v>0</v>
      </c>
      <c r="Q7952" s="15">
        <v>0.3</v>
      </c>
      <c r="R7952" s="16" t="str">
        <f t="shared" si="638"/>
        <v>UNIVERSAL</v>
      </c>
    </row>
    <row r="7953" spans="1:21" customFormat="1" ht="27" customHeight="1" x14ac:dyDescent="0.25">
      <c r="A7953" s="32" t="s">
        <v>16269</v>
      </c>
      <c r="H7953" t="s">
        <v>16270</v>
      </c>
      <c r="I7953" s="33" t="s">
        <v>16271</v>
      </c>
      <c r="J7953" s="34" t="s">
        <v>33</v>
      </c>
      <c r="K7953" s="42">
        <v>37000</v>
      </c>
      <c r="L7953" s="12">
        <f t="shared" si="639"/>
        <v>52900</v>
      </c>
      <c r="M7953" s="8">
        <v>1</v>
      </c>
      <c r="N7953" s="8" t="s">
        <v>27</v>
      </c>
      <c r="O7953" s="13"/>
      <c r="P7953" s="14">
        <v>0</v>
      </c>
      <c r="Q7953" s="15">
        <v>0.3</v>
      </c>
      <c r="R7953" s="16" t="str">
        <f t="shared" si="638"/>
        <v>LINFU</v>
      </c>
    </row>
    <row r="7954" spans="1:21" customFormat="1" ht="27" customHeight="1" x14ac:dyDescent="0.25">
      <c r="A7954" s="32" t="s">
        <v>16269</v>
      </c>
      <c r="H7954" t="s">
        <v>16272</v>
      </c>
      <c r="I7954" s="33" t="s">
        <v>16273</v>
      </c>
      <c r="J7954" t="s">
        <v>33</v>
      </c>
      <c r="K7954" s="42">
        <v>45000</v>
      </c>
      <c r="L7954" s="12">
        <f t="shared" si="639"/>
        <v>64300</v>
      </c>
      <c r="M7954" s="8">
        <v>1</v>
      </c>
      <c r="N7954" s="8" t="s">
        <v>27</v>
      </c>
      <c r="O7954" s="13"/>
      <c r="P7954" s="14">
        <v>0</v>
      </c>
      <c r="Q7954" s="15">
        <v>0.3</v>
      </c>
      <c r="R7954" s="16" t="str">
        <f t="shared" si="638"/>
        <v>LINFU</v>
      </c>
    </row>
    <row r="7955" spans="1:21" customFormat="1" ht="27" customHeight="1" x14ac:dyDescent="0.25">
      <c r="A7955" s="32" t="s">
        <v>16269</v>
      </c>
      <c r="H7955" t="s">
        <v>16274</v>
      </c>
      <c r="I7955" s="33" t="s">
        <v>16275</v>
      </c>
      <c r="J7955" s="34" t="s">
        <v>33</v>
      </c>
      <c r="K7955" s="42">
        <v>130000</v>
      </c>
      <c r="L7955" s="12">
        <f t="shared" si="639"/>
        <v>185800</v>
      </c>
      <c r="M7955" s="8">
        <v>1</v>
      </c>
      <c r="N7955" s="8" t="s">
        <v>27</v>
      </c>
      <c r="O7955" s="13"/>
      <c r="P7955" s="14">
        <v>0</v>
      </c>
      <c r="Q7955" s="15">
        <v>0.3</v>
      </c>
      <c r="R7955" s="16" t="str">
        <f t="shared" si="638"/>
        <v>LINFU</v>
      </c>
    </row>
    <row r="7956" spans="1:21" customFormat="1" ht="27" customHeight="1" x14ac:dyDescent="0.25">
      <c r="A7956" s="32" t="s">
        <v>6990</v>
      </c>
      <c r="H7956" t="s">
        <v>16276</v>
      </c>
      <c r="I7956" s="33" t="s">
        <v>16277</v>
      </c>
      <c r="J7956" t="s">
        <v>26</v>
      </c>
      <c r="K7956" s="42">
        <v>4228</v>
      </c>
      <c r="L7956" s="12">
        <f t="shared" si="639"/>
        <v>6764.7999999999993</v>
      </c>
      <c r="M7956" s="8">
        <v>1</v>
      </c>
      <c r="N7956" s="8" t="s">
        <v>27</v>
      </c>
      <c r="O7956" s="13"/>
      <c r="P7956" s="14">
        <v>0.2</v>
      </c>
      <c r="Q7956" s="15">
        <v>0.25</v>
      </c>
      <c r="R7956" s="16" t="str">
        <f t="shared" si="638"/>
        <v>NEC</v>
      </c>
    </row>
    <row r="7957" spans="1:21" customFormat="1" ht="27" customHeight="1" x14ac:dyDescent="0.25">
      <c r="A7957" s="32" t="s">
        <v>6990</v>
      </c>
      <c r="H7957" t="s">
        <v>16278</v>
      </c>
      <c r="I7957" s="33" t="s">
        <v>16279</v>
      </c>
      <c r="J7957" t="s">
        <v>26</v>
      </c>
      <c r="K7957" s="42">
        <v>4228</v>
      </c>
      <c r="L7957" s="12">
        <f t="shared" si="639"/>
        <v>6764.7999999999993</v>
      </c>
      <c r="M7957" s="8">
        <v>1</v>
      </c>
      <c r="N7957" s="8" t="s">
        <v>27</v>
      </c>
      <c r="O7957" s="13"/>
      <c r="P7957" s="14">
        <v>0.2</v>
      </c>
      <c r="Q7957" s="15">
        <v>0.25</v>
      </c>
      <c r="R7957" s="16" t="str">
        <f t="shared" si="638"/>
        <v>NEC</v>
      </c>
    </row>
    <row r="7958" spans="1:21" customFormat="1" ht="27" customHeight="1" x14ac:dyDescent="0.25">
      <c r="A7958" s="32" t="s">
        <v>8308</v>
      </c>
      <c r="H7958" s="32" t="s">
        <v>16280</v>
      </c>
      <c r="I7958" s="33" t="s">
        <v>16281</v>
      </c>
      <c r="J7958" s="34" t="s">
        <v>33</v>
      </c>
      <c r="K7958" s="42">
        <v>8282000</v>
      </c>
      <c r="L7958" s="12">
        <f>ROUNDUP(K7958*(1+P7958)/(1-Q7958),0)</f>
        <v>11042667</v>
      </c>
      <c r="M7958" s="8">
        <v>1</v>
      </c>
      <c r="N7958" s="8" t="s">
        <v>27</v>
      </c>
      <c r="O7958" s="13"/>
      <c r="P7958" s="14">
        <v>0</v>
      </c>
      <c r="Q7958" s="15">
        <v>0.25</v>
      </c>
      <c r="R7958" s="16" t="str">
        <f t="shared" si="638"/>
        <v>SOLIDVIEW</v>
      </c>
      <c r="S7958" s="17" t="str">
        <f>A7958</f>
        <v>SOLIDVIEW</v>
      </c>
    </row>
    <row r="7959" spans="1:21" customFormat="1" ht="27" customHeight="1" x14ac:dyDescent="0.25">
      <c r="A7959" s="32" t="s">
        <v>12893</v>
      </c>
      <c r="H7959" s="32" t="s">
        <v>16282</v>
      </c>
      <c r="I7959" s="33" t="s">
        <v>16283</v>
      </c>
      <c r="J7959" s="34" t="s">
        <v>26</v>
      </c>
      <c r="K7959" s="42">
        <v>981</v>
      </c>
      <c r="L7959" s="12">
        <f>ROUNDUP(K7959*(1+P7959)/(1-Q7959),0)</f>
        <v>1308</v>
      </c>
      <c r="M7959" s="8">
        <v>1</v>
      </c>
      <c r="N7959" s="8" t="s">
        <v>27</v>
      </c>
      <c r="O7959" s="13"/>
      <c r="P7959" s="14">
        <v>0</v>
      </c>
      <c r="Q7959" s="15">
        <v>0.25</v>
      </c>
      <c r="R7959" s="16" t="str">
        <f t="shared" si="638"/>
        <v>MARTIN_LOGAN</v>
      </c>
      <c r="S7959" s="17" t="str">
        <f>A7959</f>
        <v>MARTIN_LOGAN</v>
      </c>
    </row>
    <row r="7960" spans="1:21" customFormat="1" ht="27" customHeight="1" x14ac:dyDescent="0.25">
      <c r="A7960" s="32" t="s">
        <v>12893</v>
      </c>
      <c r="H7960" s="32" t="s">
        <v>15897</v>
      </c>
      <c r="I7960" s="38" t="s">
        <v>16284</v>
      </c>
      <c r="J7960" s="34" t="s">
        <v>26</v>
      </c>
      <c r="K7960" s="42">
        <v>898</v>
      </c>
      <c r="L7960" s="12">
        <f>ROUNDUP(K7960*(1+P7960)/(1-Q7960),0)</f>
        <v>1198</v>
      </c>
      <c r="M7960" s="8">
        <v>1</v>
      </c>
      <c r="N7960" s="8" t="s">
        <v>27</v>
      </c>
      <c r="O7960" s="13"/>
      <c r="P7960" s="14">
        <v>0</v>
      </c>
      <c r="Q7960" s="15">
        <v>0.25</v>
      </c>
      <c r="R7960" s="16" t="str">
        <f t="shared" si="638"/>
        <v>MARTIN_LOGAN</v>
      </c>
    </row>
    <row r="7961" spans="1:21" customFormat="1" ht="27" customHeight="1" x14ac:dyDescent="0.25">
      <c r="A7961" s="8" t="s">
        <v>10258</v>
      </c>
      <c r="H7961" t="s">
        <v>16285</v>
      </c>
      <c r="I7961" s="33" t="s">
        <v>16286</v>
      </c>
      <c r="J7961" t="s">
        <v>26</v>
      </c>
      <c r="K7961">
        <f>11</f>
        <v>11</v>
      </c>
      <c r="L7961" s="12">
        <f t="shared" ref="L7961:L7968" si="640">K7961*(1+P7961)/(1-Q7961)</f>
        <v>25.666666666666664</v>
      </c>
      <c r="M7961" s="8">
        <v>1</v>
      </c>
      <c r="N7961" s="8" t="s">
        <v>27</v>
      </c>
      <c r="O7961" s="13"/>
      <c r="P7961" s="14">
        <v>0.4</v>
      </c>
      <c r="Q7961" s="15">
        <v>0.4</v>
      </c>
      <c r="R7961" s="16" t="str">
        <f t="shared" si="638"/>
        <v>SC_POWER</v>
      </c>
      <c r="T7961">
        <v>10</v>
      </c>
      <c r="U7961">
        <f>+K7961*T7961</f>
        <v>110</v>
      </c>
    </row>
    <row r="7962" spans="1:21" customFormat="1" ht="27" customHeight="1" x14ac:dyDescent="0.25">
      <c r="A7962" s="32" t="s">
        <v>13983</v>
      </c>
      <c r="H7962" s="32" t="s">
        <v>16287</v>
      </c>
      <c r="I7962" s="33" t="s">
        <v>16288</v>
      </c>
      <c r="J7962" s="34" t="s">
        <v>26</v>
      </c>
      <c r="K7962" s="42">
        <f>67.5*1.2*0.5</f>
        <v>40.5</v>
      </c>
      <c r="L7962" s="12">
        <f t="shared" si="640"/>
        <v>75.214285714285722</v>
      </c>
      <c r="M7962" s="8">
        <v>1</v>
      </c>
      <c r="N7962" s="8" t="s">
        <v>27</v>
      </c>
      <c r="O7962" s="13"/>
      <c r="P7962" s="14">
        <v>0.3</v>
      </c>
      <c r="Q7962" s="15">
        <v>0.3</v>
      </c>
      <c r="R7962" s="16" t="str">
        <f t="shared" si="638"/>
        <v>HOFFLIGHTS</v>
      </c>
    </row>
    <row r="7963" spans="1:21" customFormat="1" ht="27" customHeight="1" x14ac:dyDescent="0.25">
      <c r="A7963" s="32" t="s">
        <v>2512</v>
      </c>
      <c r="H7963" s="32" t="s">
        <v>16289</v>
      </c>
      <c r="I7963" s="32" t="s">
        <v>16290</v>
      </c>
      <c r="J7963" s="34" t="s">
        <v>33</v>
      </c>
      <c r="K7963" s="42">
        <v>250000</v>
      </c>
      <c r="L7963" s="12">
        <f t="shared" si="640"/>
        <v>333333.33333333331</v>
      </c>
      <c r="M7963" s="8">
        <v>1</v>
      </c>
      <c r="N7963" s="8" t="s">
        <v>27</v>
      </c>
      <c r="O7963" s="13"/>
      <c r="P7963" s="14">
        <v>0</v>
      </c>
      <c r="Q7963" s="15">
        <v>0.25</v>
      </c>
      <c r="R7963" s="16" t="str">
        <f t="shared" si="638"/>
        <v>GENERAL</v>
      </c>
    </row>
    <row r="7964" spans="1:21" customFormat="1" ht="27" customHeight="1" x14ac:dyDescent="0.25">
      <c r="A7964" s="32" t="s">
        <v>2512</v>
      </c>
      <c r="H7964" s="32" t="s">
        <v>16291</v>
      </c>
      <c r="I7964" s="33" t="s">
        <v>16292</v>
      </c>
      <c r="J7964" s="34" t="s">
        <v>33</v>
      </c>
      <c r="K7964" s="42">
        <v>12500</v>
      </c>
      <c r="L7964" s="12">
        <f t="shared" si="640"/>
        <v>17857.142857142859</v>
      </c>
      <c r="M7964" s="8">
        <v>1</v>
      </c>
      <c r="N7964" s="8" t="s">
        <v>27</v>
      </c>
      <c r="O7964" s="13"/>
      <c r="P7964" s="14">
        <v>0</v>
      </c>
      <c r="Q7964" s="15">
        <v>0.3</v>
      </c>
      <c r="R7964" s="16" t="str">
        <f t="shared" si="638"/>
        <v>GENERAL</v>
      </c>
    </row>
    <row r="7965" spans="1:21" customFormat="1" ht="27" customHeight="1" x14ac:dyDescent="0.25">
      <c r="A7965" s="32" t="s">
        <v>2512</v>
      </c>
      <c r="H7965" s="32" t="s">
        <v>16293</v>
      </c>
      <c r="I7965" s="33" t="s">
        <v>16294</v>
      </c>
      <c r="J7965" s="34" t="s">
        <v>26</v>
      </c>
      <c r="K7965" s="42">
        <v>40</v>
      </c>
      <c r="L7965" s="12">
        <f t="shared" si="640"/>
        <v>57.142857142857146</v>
      </c>
      <c r="M7965" s="8">
        <v>1</v>
      </c>
      <c r="N7965" s="8" t="s">
        <v>27</v>
      </c>
      <c r="O7965" s="13"/>
      <c r="P7965" s="14">
        <v>0</v>
      </c>
      <c r="Q7965" s="15">
        <v>0.3</v>
      </c>
      <c r="R7965" s="16" t="str">
        <f t="shared" si="638"/>
        <v>GENERAL</v>
      </c>
      <c r="S7965" t="s">
        <v>16295</v>
      </c>
    </row>
    <row r="7966" spans="1:21" customFormat="1" ht="27" customHeight="1" x14ac:dyDescent="0.25">
      <c r="A7966" s="32" t="s">
        <v>2512</v>
      </c>
      <c r="H7966" s="32" t="s">
        <v>16296</v>
      </c>
      <c r="I7966" s="33" t="s">
        <v>16297</v>
      </c>
      <c r="J7966" s="34" t="s">
        <v>26</v>
      </c>
      <c r="K7966" s="42">
        <v>1.3</v>
      </c>
      <c r="L7966" s="12">
        <f t="shared" si="640"/>
        <v>1.8571428571428574</v>
      </c>
      <c r="M7966" s="8">
        <v>1</v>
      </c>
      <c r="N7966" s="8" t="s">
        <v>27</v>
      </c>
      <c r="O7966" s="13"/>
      <c r="P7966" s="14">
        <v>0</v>
      </c>
      <c r="Q7966" s="15">
        <v>0.3</v>
      </c>
      <c r="R7966" s="40" t="str">
        <f t="shared" si="638"/>
        <v>GENERAL</v>
      </c>
      <c r="S7966" t="s">
        <v>16298</v>
      </c>
    </row>
    <row r="7967" spans="1:21" customFormat="1" ht="27" customHeight="1" x14ac:dyDescent="0.25">
      <c r="A7967" s="32" t="s">
        <v>8836</v>
      </c>
      <c r="H7967" s="32" t="s">
        <v>16299</v>
      </c>
      <c r="I7967" s="33" t="s">
        <v>16300</v>
      </c>
      <c r="J7967" s="34" t="s">
        <v>33</v>
      </c>
      <c r="K7967" s="42">
        <v>224000</v>
      </c>
      <c r="L7967" s="12">
        <f t="shared" si="640"/>
        <v>320000</v>
      </c>
      <c r="M7967" s="8">
        <v>1</v>
      </c>
      <c r="N7967" s="8" t="s">
        <v>27</v>
      </c>
      <c r="O7967" s="13"/>
      <c r="P7967" s="14">
        <v>0</v>
      </c>
      <c r="Q7967" s="15">
        <v>0.3</v>
      </c>
      <c r="R7967" s="40" t="str">
        <f t="shared" si="638"/>
        <v>TECNOLITE</v>
      </c>
    </row>
    <row r="7968" spans="1:21" customFormat="1" ht="27" customHeight="1" x14ac:dyDescent="0.25">
      <c r="A7968" s="32" t="s">
        <v>2095</v>
      </c>
      <c r="H7968" s="32" t="s">
        <v>16301</v>
      </c>
      <c r="I7968" s="33" t="s">
        <v>16302</v>
      </c>
      <c r="J7968" s="34" t="s">
        <v>33</v>
      </c>
      <c r="K7968" s="42">
        <v>28000</v>
      </c>
      <c r="L7968" s="12">
        <f t="shared" si="640"/>
        <v>46666.666666666672</v>
      </c>
      <c r="M7968" s="8">
        <v>1</v>
      </c>
      <c r="N7968" s="8" t="s">
        <v>27</v>
      </c>
      <c r="O7968" s="13"/>
      <c r="P7968" s="14">
        <v>0</v>
      </c>
      <c r="Q7968" s="15">
        <v>0.4</v>
      </c>
      <c r="R7968" s="40" t="str">
        <f t="shared" si="638"/>
        <v>ECOLITE</v>
      </c>
    </row>
    <row r="7969" spans="1:20" customFormat="1" ht="27" customHeight="1" x14ac:dyDescent="0.25">
      <c r="A7969" s="32" t="s">
        <v>5672</v>
      </c>
      <c r="H7969" s="32" t="s">
        <v>16303</v>
      </c>
      <c r="I7969" s="38" t="s">
        <v>15786</v>
      </c>
      <c r="J7969" t="s">
        <v>26</v>
      </c>
      <c r="K7969" s="42">
        <v>8.75</v>
      </c>
      <c r="L7969" s="12">
        <f>IF(J7969="P",ROUNDUP(K7969/(1-Q7969),-2),K7969*(1+P7969)/(1-Q7969))</f>
        <v>17.5</v>
      </c>
      <c r="M7969" s="8">
        <v>1</v>
      </c>
      <c r="N7969" s="8" t="s">
        <v>27</v>
      </c>
      <c r="O7969" s="13">
        <f>F7969</f>
        <v>0</v>
      </c>
      <c r="P7969" s="14">
        <v>0.2</v>
      </c>
      <c r="Q7969" s="15">
        <v>0.4</v>
      </c>
      <c r="R7969" s="64" t="str">
        <f t="shared" si="638"/>
        <v>LUTRON</v>
      </c>
    </row>
    <row r="7970" spans="1:20" customFormat="1" ht="27" customHeight="1" x14ac:dyDescent="0.25">
      <c r="A7970" s="8" t="s">
        <v>5672</v>
      </c>
      <c r="B7970" s="9" t="s">
        <v>5666</v>
      </c>
      <c r="C7970" s="9"/>
      <c r="D7970" s="8" t="s">
        <v>4058</v>
      </c>
      <c r="E7970" s="8">
        <v>10</v>
      </c>
      <c r="F7970" s="8" t="s">
        <v>22</v>
      </c>
      <c r="G7970" s="10" t="s">
        <v>5902</v>
      </c>
      <c r="H7970" s="8" t="s">
        <v>16304</v>
      </c>
      <c r="I7970" s="10" t="s">
        <v>5904</v>
      </c>
      <c r="J7970" s="11" t="s">
        <v>26</v>
      </c>
      <c r="K7970" s="57">
        <v>125.4</v>
      </c>
      <c r="L7970" s="12">
        <f t="shared" ref="L7970:L7976" si="641">ROUNDUP(K7970*(1+P7970)/(1-Q7970),0)</f>
        <v>209</v>
      </c>
      <c r="M7970" s="8">
        <v>1</v>
      </c>
      <c r="N7970" s="8" t="s">
        <v>27</v>
      </c>
      <c r="O7970" s="13"/>
      <c r="P7970" s="14">
        <v>0.2</v>
      </c>
      <c r="Q7970" s="15">
        <v>0.28000000000000003</v>
      </c>
      <c r="R7970" s="16" t="str">
        <f t="shared" si="638"/>
        <v>LUTRON</v>
      </c>
      <c r="S7970" s="17" t="str">
        <f>A7970</f>
        <v>LUTRON</v>
      </c>
      <c r="T7970" s="10" t="str">
        <f>G7970</f>
        <v>DIMMER DE FASE ADAPTATIVA PARA CARGAS LED O HALÓGENAS ATENUABLES.</v>
      </c>
    </row>
    <row r="7971" spans="1:20" customFormat="1" ht="27" customHeight="1" x14ac:dyDescent="0.25">
      <c r="A7971" s="8" t="s">
        <v>5672</v>
      </c>
      <c r="B7971" s="9" t="s">
        <v>5666</v>
      </c>
      <c r="C7971" s="9"/>
      <c r="D7971" s="8" t="s">
        <v>5909</v>
      </c>
      <c r="E7971" s="8">
        <v>1</v>
      </c>
      <c r="F7971" s="8" t="s">
        <v>22</v>
      </c>
      <c r="G7971" s="10" t="s">
        <v>6287</v>
      </c>
      <c r="H7971" s="8" t="s">
        <v>16305</v>
      </c>
      <c r="I7971" s="10" t="s">
        <v>6289</v>
      </c>
      <c r="J7971" s="11" t="s">
        <v>26</v>
      </c>
      <c r="K7971" s="57">
        <v>95.4</v>
      </c>
      <c r="L7971" s="12">
        <f t="shared" si="641"/>
        <v>159</v>
      </c>
      <c r="M7971" s="8">
        <v>1</v>
      </c>
      <c r="N7971" s="8" t="s">
        <v>27</v>
      </c>
      <c r="O7971" s="13"/>
      <c r="P7971" s="14">
        <v>0.2</v>
      </c>
      <c r="Q7971" s="15">
        <v>0.28000000000000003</v>
      </c>
      <c r="R7971" s="16" t="str">
        <f t="shared" si="638"/>
        <v>LUTRON</v>
      </c>
      <c r="S7971" s="17"/>
      <c r="T7971" s="10" t="str">
        <f>G7971</f>
        <v>DIMMER INALÁMBRICO PARA LUMINARIA DE MESA EN COLOR BLANCO NIEVE.</v>
      </c>
    </row>
    <row r="7972" spans="1:20" customFormat="1" ht="27" customHeight="1" x14ac:dyDescent="0.25">
      <c r="A7972" s="8" t="s">
        <v>5672</v>
      </c>
      <c r="B7972" s="9" t="s">
        <v>5666</v>
      </c>
      <c r="C7972" s="9"/>
      <c r="D7972" s="8" t="s">
        <v>208</v>
      </c>
      <c r="E7972" s="8">
        <v>11</v>
      </c>
      <c r="F7972" s="8" t="s">
        <v>22</v>
      </c>
      <c r="G7972" s="10" t="s">
        <v>6110</v>
      </c>
      <c r="H7972" s="8" t="s">
        <v>16306</v>
      </c>
      <c r="I7972" s="10" t="s">
        <v>6110</v>
      </c>
      <c r="J7972" s="11" t="s">
        <v>26</v>
      </c>
      <c r="K7972" s="57">
        <v>221.4</v>
      </c>
      <c r="L7972" s="12">
        <f t="shared" si="641"/>
        <v>369</v>
      </c>
      <c r="M7972" s="8">
        <v>1</v>
      </c>
      <c r="N7972" s="8" t="s">
        <v>27</v>
      </c>
      <c r="O7972" s="13"/>
      <c r="P7972" s="14">
        <v>0.2</v>
      </c>
      <c r="Q7972" s="15">
        <v>0.28000000000000003</v>
      </c>
      <c r="R7972" s="16" t="str">
        <f t="shared" si="638"/>
        <v>LUTRON</v>
      </c>
      <c r="S7972" s="17" t="str">
        <f>A7972</f>
        <v>LUTRON</v>
      </c>
      <c r="T7972" s="10" t="str">
        <f>G7972</f>
        <v>REPETIDORA AUXILIAR PARA AUMENTO DE COBERTURA DE SISTEMAS RADIO RA2</v>
      </c>
    </row>
    <row r="7973" spans="1:20" customFormat="1" ht="27" customHeight="1" x14ac:dyDescent="0.25">
      <c r="A7973" s="32" t="s">
        <v>5672</v>
      </c>
      <c r="H7973" s="32" t="s">
        <v>16307</v>
      </c>
      <c r="I7973" s="33" t="s">
        <v>16308</v>
      </c>
      <c r="J7973" s="34" t="s">
        <v>26</v>
      </c>
      <c r="K7973" s="42">
        <v>154</v>
      </c>
      <c r="L7973" s="12">
        <f t="shared" si="641"/>
        <v>220</v>
      </c>
      <c r="M7973" s="8">
        <v>1</v>
      </c>
      <c r="N7973" s="8" t="s">
        <v>27</v>
      </c>
      <c r="O7973" s="13"/>
      <c r="P7973" s="14">
        <v>0</v>
      </c>
      <c r="Q7973" s="15">
        <v>0.3</v>
      </c>
      <c r="R7973" s="16" t="str">
        <f t="shared" si="638"/>
        <v>LUTRON</v>
      </c>
      <c r="S7973" s="17" t="str">
        <f>A7973</f>
        <v>LUTRON</v>
      </c>
      <c r="T7973" s="10">
        <f>G7973</f>
        <v>0</v>
      </c>
    </row>
    <row r="7974" spans="1:20" customFormat="1" ht="27" customHeight="1" x14ac:dyDescent="0.25">
      <c r="A7974" s="32" t="s">
        <v>2095</v>
      </c>
      <c r="H7974" s="32" t="s">
        <v>16309</v>
      </c>
      <c r="I7974" s="33" t="s">
        <v>16310</v>
      </c>
      <c r="J7974" s="34" t="s">
        <v>33</v>
      </c>
      <c r="K7974" s="42">
        <v>265000</v>
      </c>
      <c r="L7974" s="12">
        <f t="shared" si="641"/>
        <v>378572</v>
      </c>
      <c r="M7974" s="8">
        <v>1</v>
      </c>
      <c r="N7974" s="8" t="s">
        <v>27</v>
      </c>
      <c r="O7974" s="13"/>
      <c r="P7974" s="14">
        <v>0</v>
      </c>
      <c r="Q7974" s="15">
        <v>0.3</v>
      </c>
      <c r="R7974" s="16" t="str">
        <f t="shared" si="638"/>
        <v>ECOLITE</v>
      </c>
      <c r="S7974" s="17" t="str">
        <f>A7974</f>
        <v>ECOLITE</v>
      </c>
    </row>
    <row r="7975" spans="1:20" customFormat="1" ht="27" customHeight="1" x14ac:dyDescent="0.25">
      <c r="A7975" s="32" t="s">
        <v>16311</v>
      </c>
      <c r="H7975" s="32" t="s">
        <v>16312</v>
      </c>
      <c r="I7975" s="33" t="s">
        <v>16313</v>
      </c>
      <c r="J7975" s="34" t="s">
        <v>33</v>
      </c>
      <c r="K7975" s="42">
        <v>722000</v>
      </c>
      <c r="L7975" s="12">
        <f t="shared" si="641"/>
        <v>1031429</v>
      </c>
      <c r="M7975" s="8">
        <v>1</v>
      </c>
      <c r="N7975" s="8" t="s">
        <v>27</v>
      </c>
      <c r="O7975" s="13"/>
      <c r="P7975" s="14">
        <v>0</v>
      </c>
      <c r="Q7975" s="15">
        <v>0.3</v>
      </c>
      <c r="R7975" s="16" t="str">
        <f t="shared" si="638"/>
        <v>ELECTROEXTERT</v>
      </c>
      <c r="S7975" s="17" t="str">
        <f>A7975</f>
        <v>ELECTROEXTERT</v>
      </c>
    </row>
    <row r="7976" spans="1:20" customFormat="1" ht="27" customHeight="1" x14ac:dyDescent="0.25">
      <c r="A7976" s="32" t="s">
        <v>5672</v>
      </c>
      <c r="H7976" s="32" t="s">
        <v>16314</v>
      </c>
      <c r="I7976" s="33" t="s">
        <v>16315</v>
      </c>
      <c r="J7976" s="34" t="s">
        <v>26</v>
      </c>
      <c r="K7976" s="42">
        <v>255</v>
      </c>
      <c r="L7976" s="12">
        <f t="shared" si="641"/>
        <v>510</v>
      </c>
      <c r="M7976" s="8">
        <v>1</v>
      </c>
      <c r="N7976" s="8" t="s">
        <v>27</v>
      </c>
      <c r="O7976" s="13"/>
      <c r="P7976" s="14">
        <v>0.2</v>
      </c>
      <c r="Q7976" s="15">
        <v>0.4</v>
      </c>
      <c r="R7976" s="16" t="str">
        <f t="shared" si="638"/>
        <v>LUTRON</v>
      </c>
      <c r="S7976" s="17" t="str">
        <f>A7976</f>
        <v>LUTRON</v>
      </c>
    </row>
    <row r="7977" spans="1:20" customFormat="1" ht="27" customHeight="1" x14ac:dyDescent="0.25">
      <c r="A7977" s="32" t="s">
        <v>3694</v>
      </c>
      <c r="H7977" s="32" t="s">
        <v>16316</v>
      </c>
      <c r="I7977" s="33" t="s">
        <v>16317</v>
      </c>
      <c r="J7977" s="34" t="s">
        <v>33</v>
      </c>
      <c r="K7977" s="42">
        <v>31000</v>
      </c>
      <c r="L7977" s="12">
        <f>IF(J7977="P",ROUNDUP(K7977/(1-Q7977),-2),K7977*(1+P7977)/(1-Q7977))</f>
        <v>62000</v>
      </c>
      <c r="M7977" s="8">
        <v>1</v>
      </c>
      <c r="N7977" s="8" t="s">
        <v>27</v>
      </c>
      <c r="O7977" s="13">
        <f>F7977</f>
        <v>0</v>
      </c>
      <c r="P7977" s="14">
        <v>0</v>
      </c>
      <c r="Q7977" s="15">
        <v>0.5</v>
      </c>
      <c r="R7977" s="64" t="str">
        <f t="shared" si="638"/>
        <v>IMOU</v>
      </c>
    </row>
    <row r="7978" spans="1:20" customFormat="1" ht="27" customHeight="1" x14ac:dyDescent="0.25">
      <c r="A7978" s="32" t="s">
        <v>3694</v>
      </c>
      <c r="H7978" t="s">
        <v>16318</v>
      </c>
      <c r="I7978" s="33" t="s">
        <v>16319</v>
      </c>
      <c r="J7978" s="34" t="s">
        <v>33</v>
      </c>
      <c r="K7978" s="42">
        <v>184000</v>
      </c>
      <c r="L7978" s="12">
        <f>IF(J7978="P",ROUNDUP(K7978/(1-Q7978),-2),K7978*(1+P7978)/(1-Q7978))</f>
        <v>283100</v>
      </c>
      <c r="M7978" s="8">
        <v>1</v>
      </c>
      <c r="N7978" s="8" t="s">
        <v>27</v>
      </c>
      <c r="O7978" s="13">
        <f>F7978</f>
        <v>0</v>
      </c>
      <c r="P7978" s="14">
        <v>0</v>
      </c>
      <c r="Q7978" s="15">
        <v>0.35</v>
      </c>
      <c r="R7978" s="64" t="str">
        <f t="shared" si="638"/>
        <v>IMOU</v>
      </c>
    </row>
    <row r="7979" spans="1:20" customFormat="1" ht="27" customHeight="1" x14ac:dyDescent="0.25">
      <c r="A7979" s="32" t="s">
        <v>13021</v>
      </c>
      <c r="H7979" s="32" t="s">
        <v>16320</v>
      </c>
      <c r="I7979" s="33" t="s">
        <v>16321</v>
      </c>
      <c r="J7979" s="34" t="s">
        <v>26</v>
      </c>
      <c r="K7979" s="42">
        <f>207*1.18</f>
        <v>244.26</v>
      </c>
      <c r="L7979" s="12">
        <f>K7979*(1+P7979)/(1-Q7979)</f>
        <v>418.73142857142852</v>
      </c>
      <c r="M7979" s="8">
        <v>1</v>
      </c>
      <c r="N7979" s="8" t="s">
        <v>27</v>
      </c>
      <c r="P7979" s="14">
        <v>0.2</v>
      </c>
      <c r="Q7979" s="15">
        <v>0.3</v>
      </c>
      <c r="R7979" s="40" t="str">
        <f t="shared" si="638"/>
        <v>IADEA</v>
      </c>
    </row>
    <row r="7980" spans="1:20" customFormat="1" ht="27" customHeight="1" x14ac:dyDescent="0.25">
      <c r="A7980" t="s">
        <v>3977</v>
      </c>
      <c r="H7980" t="s">
        <v>16322</v>
      </c>
      <c r="I7980" t="s">
        <v>16323</v>
      </c>
      <c r="J7980" t="s">
        <v>33</v>
      </c>
      <c r="K7980" s="42">
        <v>950000</v>
      </c>
      <c r="L7980" s="12">
        <f>K7980*(1+P7980)/(1-Q7980)</f>
        <v>1449000.0000005728</v>
      </c>
      <c r="M7980" s="8">
        <v>1</v>
      </c>
      <c r="N7980" s="8" t="s">
        <v>27</v>
      </c>
      <c r="P7980" s="14">
        <v>0</v>
      </c>
      <c r="Q7980" s="15">
        <v>0.34437543133221221</v>
      </c>
      <c r="R7980" s="40" t="str">
        <f t="shared" si="638"/>
        <v>KOMODO</v>
      </c>
    </row>
    <row r="7981" spans="1:20" customFormat="1" ht="27" customHeight="1" x14ac:dyDescent="0.25">
      <c r="A7981" t="s">
        <v>3977</v>
      </c>
      <c r="H7981" t="s">
        <v>16324</v>
      </c>
      <c r="I7981" t="s">
        <v>16325</v>
      </c>
      <c r="J7981" t="s">
        <v>33</v>
      </c>
      <c r="K7981" s="42">
        <v>950000</v>
      </c>
      <c r="L7981" s="12">
        <f>K7981*(1+P7981)/(1-Q7981)</f>
        <v>1449000.0000005728</v>
      </c>
      <c r="M7981" s="8">
        <v>1</v>
      </c>
      <c r="N7981" s="8" t="s">
        <v>27</v>
      </c>
      <c r="P7981" s="14">
        <v>0</v>
      </c>
      <c r="Q7981" s="15">
        <v>0.34437543133221221</v>
      </c>
      <c r="R7981" s="40" t="str">
        <f t="shared" si="638"/>
        <v>KOMODO</v>
      </c>
    </row>
    <row r="7982" spans="1:20" customFormat="1" ht="27" customHeight="1" x14ac:dyDescent="0.25">
      <c r="A7982" t="s">
        <v>16326</v>
      </c>
      <c r="H7982" t="s">
        <v>16327</v>
      </c>
      <c r="I7982" s="33" t="s">
        <v>16328</v>
      </c>
      <c r="J7982" t="s">
        <v>33</v>
      </c>
      <c r="K7982" s="42">
        <v>130000</v>
      </c>
      <c r="L7982" s="12">
        <f>K7982*(1+P7982)/(1-Q7982)</f>
        <v>198284.21052639419</v>
      </c>
      <c r="M7982" s="8">
        <v>1</v>
      </c>
      <c r="N7982" s="8" t="s">
        <v>27</v>
      </c>
      <c r="P7982" s="14">
        <v>0</v>
      </c>
      <c r="Q7982" s="15">
        <v>0.34437543133221221</v>
      </c>
      <c r="R7982" s="40" t="str">
        <f t="shared" si="638"/>
        <v>LIFUT</v>
      </c>
    </row>
    <row r="7983" spans="1:20" customFormat="1" ht="27" customHeight="1" x14ac:dyDescent="0.25">
      <c r="A7983" t="s">
        <v>11685</v>
      </c>
      <c r="H7983" t="s">
        <v>16329</v>
      </c>
      <c r="I7983" s="38" t="s">
        <v>16330</v>
      </c>
      <c r="J7983" t="s">
        <v>33</v>
      </c>
      <c r="K7983" s="42">
        <v>274500</v>
      </c>
      <c r="L7983" s="12">
        <f>K7983*(1+P7983)/(1-Q7983)</f>
        <v>457500</v>
      </c>
      <c r="M7983" s="8">
        <v>1</v>
      </c>
      <c r="N7983" s="8" t="s">
        <v>27</v>
      </c>
      <c r="P7983" s="14">
        <v>0</v>
      </c>
      <c r="Q7983" s="15">
        <v>0.4</v>
      </c>
      <c r="R7983" s="40" t="str">
        <f t="shared" si="638"/>
        <v>RUIJIE</v>
      </c>
    </row>
    <row r="7984" spans="1:20" customFormat="1" ht="27" customHeight="1" x14ac:dyDescent="0.25">
      <c r="A7984" s="49" t="s">
        <v>5672</v>
      </c>
      <c r="B7984" s="24"/>
      <c r="C7984" s="24"/>
      <c r="D7984" s="24"/>
      <c r="E7984" s="24"/>
      <c r="F7984" s="24"/>
      <c r="G7984" s="24"/>
      <c r="H7984" s="24" t="s">
        <v>16331</v>
      </c>
      <c r="I7984" s="24" t="s">
        <v>16332</v>
      </c>
      <c r="J7984" s="24" t="s">
        <v>26</v>
      </c>
      <c r="K7984" s="26">
        <v>36.5</v>
      </c>
      <c r="L7984" s="12">
        <f>ROUNDUP(K7984*(1+P7984)/(1-Q7984),0)</f>
        <v>53</v>
      </c>
      <c r="M7984" s="8">
        <v>1</v>
      </c>
      <c r="N7984" s="8" t="s">
        <v>27</v>
      </c>
      <c r="O7984" s="13"/>
      <c r="P7984" s="14">
        <v>0</v>
      </c>
      <c r="Q7984" s="15">
        <v>0.3</v>
      </c>
      <c r="R7984" s="16" t="str">
        <f t="shared" si="638"/>
        <v>LUTRON</v>
      </c>
      <c r="S7984" s="17" t="str">
        <f>A7984</f>
        <v>LUTRON</v>
      </c>
    </row>
    <row r="7985" spans="1:20" customFormat="1" ht="27" customHeight="1" x14ac:dyDescent="0.25">
      <c r="A7985" s="8" t="s">
        <v>3977</v>
      </c>
      <c r="B7985" s="9" t="s">
        <v>2515</v>
      </c>
      <c r="C7985" s="9"/>
      <c r="D7985" s="8" t="s">
        <v>4009</v>
      </c>
      <c r="E7985" s="8"/>
      <c r="F7985" s="8" t="s">
        <v>22</v>
      </c>
      <c r="G7985" s="10" t="s">
        <v>4110</v>
      </c>
      <c r="H7985" s="8" t="s">
        <v>16333</v>
      </c>
      <c r="I7985" s="10" t="s">
        <v>16334</v>
      </c>
      <c r="J7985" s="11" t="s">
        <v>33</v>
      </c>
      <c r="K7985" s="18">
        <v>45000</v>
      </c>
      <c r="L7985" s="12">
        <f t="shared" ref="L7985:L8024" si="642">IF(J7985="P",ROUNDUP(K7985/(1-Q7985),-2),K7985*(1+P7985)/(1-Q7985))</f>
        <v>75000</v>
      </c>
      <c r="M7985" s="8">
        <v>1</v>
      </c>
      <c r="N7985" s="8" t="s">
        <v>27</v>
      </c>
      <c r="O7985" s="13" t="s">
        <v>587</v>
      </c>
      <c r="P7985" s="14">
        <v>0.2</v>
      </c>
      <c r="Q7985" s="15">
        <v>0.4</v>
      </c>
      <c r="R7985" s="16" t="str">
        <f t="shared" si="638"/>
        <v>KOMODO</v>
      </c>
      <c r="S7985" s="17"/>
      <c r="T7985" s="10" t="str">
        <f>G7985</f>
        <v>INSTALACIÓN DE LÁMPARA TIPO LED EN ESTRUCTURA TIPO DRYWALL O MODULAR.</v>
      </c>
    </row>
    <row r="7986" spans="1:20" customFormat="1" ht="27" customHeight="1" x14ac:dyDescent="0.25">
      <c r="A7986" t="s">
        <v>2512</v>
      </c>
      <c r="H7986" t="s">
        <v>16335</v>
      </c>
      <c r="I7986" t="s">
        <v>16336</v>
      </c>
      <c r="J7986" t="s">
        <v>33</v>
      </c>
      <c r="K7986" s="42">
        <v>19000</v>
      </c>
      <c r="L7986" s="12">
        <f t="shared" si="642"/>
        <v>31700</v>
      </c>
      <c r="M7986" s="8">
        <v>1</v>
      </c>
      <c r="N7986" s="8" t="s">
        <v>27</v>
      </c>
      <c r="O7986" s="13" t="s">
        <v>587</v>
      </c>
      <c r="P7986" s="14">
        <v>0</v>
      </c>
      <c r="Q7986" s="15">
        <v>0.4</v>
      </c>
      <c r="R7986" s="16" t="str">
        <f t="shared" si="638"/>
        <v>GENERAL</v>
      </c>
      <c r="S7986" s="17"/>
      <c r="T7986" s="10">
        <f>G7986</f>
        <v>0</v>
      </c>
    </row>
    <row r="7987" spans="1:20" customFormat="1" ht="27" customHeight="1" x14ac:dyDescent="0.25">
      <c r="A7987" t="s">
        <v>5672</v>
      </c>
      <c r="H7987" t="s">
        <v>16337</v>
      </c>
      <c r="I7987" s="38" t="s">
        <v>16338</v>
      </c>
      <c r="J7987" t="s">
        <v>26</v>
      </c>
      <c r="K7987" s="42">
        <v>153.5</v>
      </c>
      <c r="L7987" s="12">
        <f t="shared" si="642"/>
        <v>307</v>
      </c>
      <c r="M7987" s="8">
        <v>1</v>
      </c>
      <c r="N7987" s="8" t="s">
        <v>27</v>
      </c>
      <c r="O7987" s="13" t="s">
        <v>587</v>
      </c>
      <c r="P7987" s="14">
        <v>0.2</v>
      </c>
      <c r="Q7987" s="15">
        <v>0.4</v>
      </c>
      <c r="R7987" s="16" t="str">
        <f t="shared" si="638"/>
        <v>LUTRON</v>
      </c>
      <c r="S7987" s="17"/>
      <c r="T7987" s="10">
        <f>G7987</f>
        <v>0</v>
      </c>
    </row>
    <row r="7988" spans="1:20" customFormat="1" ht="27" customHeight="1" x14ac:dyDescent="0.25">
      <c r="A7988" t="s">
        <v>5672</v>
      </c>
      <c r="H7988" t="s">
        <v>16339</v>
      </c>
      <c r="I7988" s="38" t="s">
        <v>16340</v>
      </c>
      <c r="J7988" t="s">
        <v>26</v>
      </c>
      <c r="K7988" s="42">
        <v>234</v>
      </c>
      <c r="L7988" s="12">
        <f t="shared" si="642"/>
        <v>468.00000000000006</v>
      </c>
      <c r="M7988" s="8">
        <v>1</v>
      </c>
      <c r="N7988" s="8" t="s">
        <v>27</v>
      </c>
      <c r="O7988" s="13" t="s">
        <v>587</v>
      </c>
      <c r="P7988" s="14">
        <v>0.2</v>
      </c>
      <c r="Q7988" s="15">
        <v>0.4</v>
      </c>
      <c r="R7988" s="16" t="str">
        <f t="shared" si="638"/>
        <v>LUTRON</v>
      </c>
      <c r="S7988" s="17"/>
      <c r="T7988" s="10">
        <f>G7988</f>
        <v>0</v>
      </c>
    </row>
    <row r="7989" spans="1:20" customFormat="1" ht="27" customHeight="1" x14ac:dyDescent="0.25">
      <c r="A7989" s="32" t="s">
        <v>12893</v>
      </c>
      <c r="H7989" t="s">
        <v>16341</v>
      </c>
      <c r="I7989" t="s">
        <v>16342</v>
      </c>
      <c r="J7989" t="s">
        <v>26</v>
      </c>
      <c r="K7989" s="42">
        <v>103</v>
      </c>
      <c r="L7989" s="12">
        <f t="shared" si="642"/>
        <v>206</v>
      </c>
      <c r="M7989" s="8">
        <v>1</v>
      </c>
      <c r="N7989" s="8" t="s">
        <v>27</v>
      </c>
      <c r="O7989" s="13" t="s">
        <v>587</v>
      </c>
      <c r="P7989" s="14">
        <v>0.2</v>
      </c>
      <c r="Q7989" s="15">
        <v>0.4</v>
      </c>
      <c r="R7989" s="16" t="str">
        <f t="shared" si="638"/>
        <v>MARTIN_LOGAN</v>
      </c>
      <c r="S7989" s="17"/>
      <c r="T7989" s="10">
        <f>G7989</f>
        <v>0</v>
      </c>
    </row>
    <row r="7990" spans="1:20" customFormat="1" ht="27" customHeight="1" x14ac:dyDescent="0.25">
      <c r="A7990" s="32" t="s">
        <v>12893</v>
      </c>
      <c r="H7990" t="s">
        <v>16343</v>
      </c>
      <c r="I7990" s="38" t="s">
        <v>16344</v>
      </c>
      <c r="J7990" s="34" t="s">
        <v>26</v>
      </c>
      <c r="K7990" s="42">
        <v>132</v>
      </c>
      <c r="L7990" s="12">
        <f t="shared" si="642"/>
        <v>220</v>
      </c>
      <c r="M7990" s="8">
        <v>1</v>
      </c>
      <c r="N7990" s="8" t="s">
        <v>27</v>
      </c>
      <c r="O7990" s="13" t="s">
        <v>587</v>
      </c>
      <c r="P7990" s="14">
        <v>0</v>
      </c>
      <c r="Q7990" s="15">
        <v>0.4</v>
      </c>
      <c r="R7990" s="16" t="str">
        <f t="shared" si="638"/>
        <v>MARTIN_LOGAN</v>
      </c>
      <c r="S7990" s="17"/>
    </row>
    <row r="7991" spans="1:20" customFormat="1" ht="27" customHeight="1" x14ac:dyDescent="0.25">
      <c r="A7991" s="32" t="s">
        <v>8308</v>
      </c>
      <c r="H7991" t="s">
        <v>16345</v>
      </c>
      <c r="I7991" s="38" t="s">
        <v>16346</v>
      </c>
      <c r="J7991" s="34" t="s">
        <v>33</v>
      </c>
      <c r="K7991" s="42">
        <v>349500</v>
      </c>
      <c r="L7991" s="12">
        <f t="shared" si="642"/>
        <v>582500</v>
      </c>
      <c r="M7991" s="8">
        <v>1</v>
      </c>
      <c r="N7991" s="8" t="s">
        <v>27</v>
      </c>
      <c r="O7991" s="13" t="s">
        <v>587</v>
      </c>
      <c r="P7991" s="14">
        <v>0</v>
      </c>
      <c r="Q7991" s="15">
        <v>0.4</v>
      </c>
      <c r="R7991" s="16" t="str">
        <f t="shared" si="638"/>
        <v>SOLIDVIEW</v>
      </c>
    </row>
    <row r="7992" spans="1:20" customFormat="1" ht="27" customHeight="1" x14ac:dyDescent="0.25">
      <c r="A7992" s="32" t="s">
        <v>16347</v>
      </c>
      <c r="H7992" t="s">
        <v>16348</v>
      </c>
      <c r="I7992" s="38" t="s">
        <v>16349</v>
      </c>
      <c r="J7992" s="34" t="s">
        <v>26</v>
      </c>
      <c r="K7992" s="42">
        <v>50</v>
      </c>
      <c r="L7992" s="12">
        <f t="shared" si="642"/>
        <v>83.333333333333343</v>
      </c>
      <c r="M7992" s="8">
        <v>1</v>
      </c>
      <c r="N7992" s="8" t="s">
        <v>27</v>
      </c>
      <c r="O7992" s="13" t="s">
        <v>587</v>
      </c>
      <c r="P7992" s="14">
        <v>0</v>
      </c>
      <c r="Q7992" s="15">
        <v>0.4</v>
      </c>
      <c r="R7992" s="40" t="str">
        <f t="shared" si="638"/>
        <v>MII</v>
      </c>
      <c r="S7992" t="s">
        <v>16350</v>
      </c>
    </row>
    <row r="7993" spans="1:20" customFormat="1" ht="27" customHeight="1" x14ac:dyDescent="0.25">
      <c r="A7993" s="32" t="s">
        <v>16351</v>
      </c>
      <c r="H7993" t="s">
        <v>16352</v>
      </c>
      <c r="I7993" s="38" t="s">
        <v>16353</v>
      </c>
      <c r="J7993" s="34" t="s">
        <v>33</v>
      </c>
      <c r="K7993" s="42">
        <f>139000+19000</f>
        <v>158000</v>
      </c>
      <c r="L7993" s="12">
        <f t="shared" si="642"/>
        <v>263400</v>
      </c>
      <c r="M7993" s="8">
        <v>1</v>
      </c>
      <c r="N7993" s="8" t="s">
        <v>27</v>
      </c>
      <c r="O7993" s="13" t="s">
        <v>587</v>
      </c>
      <c r="P7993" s="14">
        <v>0.2</v>
      </c>
      <c r="Q7993" s="15">
        <v>0.4</v>
      </c>
      <c r="R7993" s="40" t="str">
        <f t="shared" si="638"/>
        <v>SUNRISER</v>
      </c>
      <c r="S7993" t="s">
        <v>16354</v>
      </c>
    </row>
    <row r="7994" spans="1:20" customFormat="1" ht="27" customHeight="1" x14ac:dyDescent="0.25">
      <c r="A7994" s="32" t="s">
        <v>16351</v>
      </c>
      <c r="H7994" t="s">
        <v>16355</v>
      </c>
      <c r="I7994" s="38" t="s">
        <v>16356</v>
      </c>
      <c r="J7994" s="34" t="s">
        <v>33</v>
      </c>
      <c r="K7994" s="42">
        <f>75000+18000</f>
        <v>93000</v>
      </c>
      <c r="L7994" s="12">
        <f t="shared" si="642"/>
        <v>155000</v>
      </c>
      <c r="M7994" s="8">
        <v>1</v>
      </c>
      <c r="N7994" s="8" t="s">
        <v>27</v>
      </c>
      <c r="O7994" s="13" t="s">
        <v>587</v>
      </c>
      <c r="P7994" s="14">
        <v>0.2</v>
      </c>
      <c r="Q7994" s="15">
        <v>0.4</v>
      </c>
      <c r="R7994" s="40" t="str">
        <f t="shared" si="638"/>
        <v>SUNRISER</v>
      </c>
    </row>
    <row r="7995" spans="1:20" customFormat="1" ht="27" customHeight="1" x14ac:dyDescent="0.25">
      <c r="A7995" s="32" t="s">
        <v>16351</v>
      </c>
      <c r="H7995" t="s">
        <v>16357</v>
      </c>
      <c r="I7995" s="38" t="s">
        <v>16358</v>
      </c>
      <c r="J7995" s="34" t="s">
        <v>33</v>
      </c>
      <c r="K7995" s="42">
        <f>23000+18000</f>
        <v>41000</v>
      </c>
      <c r="L7995" s="12">
        <f t="shared" si="642"/>
        <v>68400</v>
      </c>
      <c r="M7995" s="8">
        <v>1</v>
      </c>
      <c r="N7995" s="8" t="s">
        <v>27</v>
      </c>
      <c r="O7995" s="13" t="s">
        <v>587</v>
      </c>
      <c r="P7995" s="14">
        <v>0.2</v>
      </c>
      <c r="Q7995" s="15">
        <v>0.4</v>
      </c>
      <c r="R7995" s="40" t="str">
        <f t="shared" si="638"/>
        <v>SUNRISER</v>
      </c>
    </row>
    <row r="7996" spans="1:20" customFormat="1" ht="27" customHeight="1" x14ac:dyDescent="0.25">
      <c r="A7996" s="32" t="s">
        <v>16351</v>
      </c>
      <c r="H7996" t="s">
        <v>16359</v>
      </c>
      <c r="I7996" s="38" t="s">
        <v>16360</v>
      </c>
      <c r="J7996" s="34" t="s">
        <v>33</v>
      </c>
      <c r="K7996" s="42">
        <f>139000+25000</f>
        <v>164000</v>
      </c>
      <c r="L7996" s="12">
        <f t="shared" si="642"/>
        <v>273400</v>
      </c>
      <c r="M7996" s="8">
        <v>1</v>
      </c>
      <c r="N7996" s="8" t="s">
        <v>27</v>
      </c>
      <c r="O7996" s="13" t="s">
        <v>587</v>
      </c>
      <c r="P7996" s="14">
        <v>0.2</v>
      </c>
      <c r="Q7996" s="15">
        <v>0.4</v>
      </c>
      <c r="R7996" s="40" t="str">
        <f t="shared" si="638"/>
        <v>SUNRISER</v>
      </c>
    </row>
    <row r="7997" spans="1:20" customFormat="1" ht="27" customHeight="1" x14ac:dyDescent="0.25">
      <c r="A7997" s="32" t="s">
        <v>16351</v>
      </c>
      <c r="H7997" t="s">
        <v>16361</v>
      </c>
      <c r="I7997" s="38" t="s">
        <v>16362</v>
      </c>
      <c r="J7997" s="34" t="s">
        <v>33</v>
      </c>
      <c r="K7997" s="42">
        <v>9800</v>
      </c>
      <c r="L7997" s="12">
        <f t="shared" si="642"/>
        <v>16400</v>
      </c>
      <c r="M7997" s="8">
        <v>1</v>
      </c>
      <c r="N7997" s="8" t="s">
        <v>27</v>
      </c>
      <c r="O7997" s="13" t="s">
        <v>587</v>
      </c>
      <c r="P7997" s="14">
        <v>0.2</v>
      </c>
      <c r="Q7997" s="15">
        <v>0.4</v>
      </c>
      <c r="R7997" s="40" t="str">
        <f t="shared" si="638"/>
        <v>SUNRISER</v>
      </c>
    </row>
    <row r="7998" spans="1:20" customFormat="1" ht="27" customHeight="1" x14ac:dyDescent="0.25">
      <c r="A7998" s="32" t="s">
        <v>16351</v>
      </c>
      <c r="H7998" t="s">
        <v>16363</v>
      </c>
      <c r="I7998" s="38" t="s">
        <v>16364</v>
      </c>
      <c r="J7998" s="34" t="s">
        <v>33</v>
      </c>
      <c r="K7998" s="42">
        <v>44000</v>
      </c>
      <c r="L7998" s="12">
        <f t="shared" si="642"/>
        <v>73400</v>
      </c>
      <c r="M7998" s="8">
        <v>1</v>
      </c>
      <c r="N7998" s="8" t="s">
        <v>27</v>
      </c>
      <c r="O7998" s="13" t="s">
        <v>587</v>
      </c>
      <c r="P7998" s="14">
        <v>0.2</v>
      </c>
      <c r="Q7998" s="15">
        <v>0.4</v>
      </c>
      <c r="R7998" s="40" t="str">
        <f t="shared" si="638"/>
        <v>SUNRISER</v>
      </c>
      <c r="S7998" t="s">
        <v>16365</v>
      </c>
    </row>
    <row r="7999" spans="1:20" customFormat="1" ht="27" customHeight="1" x14ac:dyDescent="0.25">
      <c r="A7999" s="32" t="s">
        <v>16351</v>
      </c>
      <c r="H7999" t="s">
        <v>16366</v>
      </c>
      <c r="I7999" s="38" t="s">
        <v>16367</v>
      </c>
      <c r="J7999" s="34" t="s">
        <v>33</v>
      </c>
      <c r="K7999" s="42">
        <f>51000+44000</f>
        <v>95000</v>
      </c>
      <c r="L7999" s="12">
        <f t="shared" si="642"/>
        <v>158400</v>
      </c>
      <c r="M7999" s="8">
        <v>1</v>
      </c>
      <c r="N7999" s="8" t="s">
        <v>27</v>
      </c>
      <c r="O7999" s="13" t="s">
        <v>587</v>
      </c>
      <c r="P7999" s="14">
        <v>0.2</v>
      </c>
      <c r="Q7999" s="15">
        <v>0.4</v>
      </c>
      <c r="R7999" s="40" t="str">
        <f t="shared" si="638"/>
        <v>SUNRISER</v>
      </c>
      <c r="S7999" t="s">
        <v>16365</v>
      </c>
    </row>
    <row r="8000" spans="1:20" customFormat="1" ht="27" customHeight="1" x14ac:dyDescent="0.25">
      <c r="A8000" s="32" t="s">
        <v>16351</v>
      </c>
      <c r="H8000" t="s">
        <v>16368</v>
      </c>
      <c r="I8000" s="38" t="s">
        <v>16369</v>
      </c>
      <c r="J8000" s="34" t="s">
        <v>33</v>
      </c>
      <c r="K8000" s="42">
        <f>59000+18000</f>
        <v>77000</v>
      </c>
      <c r="L8000" s="12">
        <f t="shared" si="642"/>
        <v>128400</v>
      </c>
      <c r="M8000" s="8">
        <v>1</v>
      </c>
      <c r="N8000" s="8" t="s">
        <v>27</v>
      </c>
      <c r="O8000" s="13" t="s">
        <v>587</v>
      </c>
      <c r="P8000" s="14">
        <v>0.2</v>
      </c>
      <c r="Q8000" s="15">
        <v>0.4</v>
      </c>
      <c r="R8000" s="40" t="str">
        <f t="shared" si="638"/>
        <v>SUNRISER</v>
      </c>
      <c r="S8000" t="s">
        <v>16354</v>
      </c>
    </row>
    <row r="8001" spans="1:19" customFormat="1" ht="27" customHeight="1" x14ac:dyDescent="0.25">
      <c r="A8001" s="32" t="s">
        <v>16351</v>
      </c>
      <c r="H8001" t="s">
        <v>16370</v>
      </c>
      <c r="I8001" s="38" t="s">
        <v>16371</v>
      </c>
      <c r="J8001" s="34" t="s">
        <v>33</v>
      </c>
      <c r="K8001" s="42">
        <f>36000+19000</f>
        <v>55000</v>
      </c>
      <c r="L8001" s="12">
        <f t="shared" si="642"/>
        <v>91700</v>
      </c>
      <c r="M8001" s="8">
        <v>1</v>
      </c>
      <c r="N8001" s="8" t="s">
        <v>27</v>
      </c>
      <c r="O8001" s="13" t="s">
        <v>587</v>
      </c>
      <c r="P8001" s="14">
        <v>0.2</v>
      </c>
      <c r="Q8001" s="15">
        <v>0.4</v>
      </c>
      <c r="R8001" s="40" t="str">
        <f t="shared" si="638"/>
        <v>SUNRISER</v>
      </c>
    </row>
    <row r="8002" spans="1:19" customFormat="1" ht="27" customHeight="1" x14ac:dyDescent="0.25">
      <c r="A8002" s="32" t="s">
        <v>10249</v>
      </c>
      <c r="H8002" t="s">
        <v>16372</v>
      </c>
      <c r="I8002" s="38" t="s">
        <v>16373</v>
      </c>
      <c r="J8002" s="34" t="s">
        <v>33</v>
      </c>
      <c r="K8002" s="42">
        <f>49000+35000</f>
        <v>84000</v>
      </c>
      <c r="L8002" s="12">
        <f t="shared" si="642"/>
        <v>140000</v>
      </c>
      <c r="M8002" s="8">
        <v>1</v>
      </c>
      <c r="N8002" s="8" t="s">
        <v>27</v>
      </c>
      <c r="O8002" s="13" t="s">
        <v>587</v>
      </c>
      <c r="P8002" s="14">
        <v>0.2</v>
      </c>
      <c r="Q8002" s="15">
        <v>0.4</v>
      </c>
      <c r="R8002" s="40" t="str">
        <f t="shared" si="638"/>
        <v>SKYDANCE</v>
      </c>
    </row>
    <row r="8003" spans="1:19" customFormat="1" ht="27" customHeight="1" x14ac:dyDescent="0.25">
      <c r="A8003" s="32" t="s">
        <v>11685</v>
      </c>
      <c r="H8003" t="s">
        <v>16374</v>
      </c>
      <c r="I8003" s="38" t="s">
        <v>16375</v>
      </c>
      <c r="J8003" s="34" t="s">
        <v>26</v>
      </c>
      <c r="K8003" s="42">
        <v>76</v>
      </c>
      <c r="L8003" s="12">
        <f t="shared" si="642"/>
        <v>126.66666666666667</v>
      </c>
      <c r="M8003" s="8">
        <v>1</v>
      </c>
      <c r="N8003" s="8" t="s">
        <v>27</v>
      </c>
      <c r="O8003" s="13" t="s">
        <v>587</v>
      </c>
      <c r="P8003" s="14">
        <v>0</v>
      </c>
      <c r="Q8003" s="15">
        <v>0.4</v>
      </c>
      <c r="R8003" s="40" t="str">
        <f t="shared" si="638"/>
        <v>RUIJIE</v>
      </c>
    </row>
    <row r="8004" spans="1:19" customFormat="1" ht="27" customHeight="1" x14ac:dyDescent="0.25">
      <c r="A8004" s="32" t="s">
        <v>3388</v>
      </c>
      <c r="H8004" t="s">
        <v>16376</v>
      </c>
      <c r="I8004" s="38" t="s">
        <v>16377</v>
      </c>
      <c r="J8004" s="34" t="s">
        <v>33</v>
      </c>
      <c r="K8004" s="42">
        <v>44000</v>
      </c>
      <c r="L8004" s="12">
        <f t="shared" si="642"/>
        <v>67700</v>
      </c>
      <c r="M8004" s="8">
        <v>1</v>
      </c>
      <c r="N8004" s="8" t="s">
        <v>27</v>
      </c>
      <c r="O8004" s="13" t="s">
        <v>587</v>
      </c>
      <c r="P8004" s="14">
        <v>0</v>
      </c>
      <c r="Q8004" s="15">
        <v>0.35</v>
      </c>
      <c r="R8004" s="40" t="str">
        <f t="shared" si="638"/>
        <v>SIGNCOMPLEX</v>
      </c>
    </row>
    <row r="8005" spans="1:19" customFormat="1" ht="27" customHeight="1" x14ac:dyDescent="0.25">
      <c r="A8005" s="32" t="s">
        <v>3672</v>
      </c>
      <c r="H8005" t="s">
        <v>16378</v>
      </c>
      <c r="I8005" s="38" t="s">
        <v>16379</v>
      </c>
      <c r="J8005" s="34" t="s">
        <v>33</v>
      </c>
      <c r="K8005" s="42">
        <v>35000</v>
      </c>
      <c r="L8005" s="12">
        <f t="shared" si="642"/>
        <v>53900</v>
      </c>
      <c r="M8005" s="8">
        <v>1</v>
      </c>
      <c r="N8005" s="8" t="s">
        <v>27</v>
      </c>
      <c r="O8005" s="13" t="s">
        <v>587</v>
      </c>
      <c r="P8005" s="14">
        <v>0</v>
      </c>
      <c r="Q8005" s="15">
        <v>0.35</v>
      </c>
      <c r="R8005" s="40" t="str">
        <f t="shared" ref="R8005:R8068" si="643">A8005</f>
        <v>ILUMAX</v>
      </c>
    </row>
    <row r="8006" spans="1:19" customFormat="1" ht="27" customHeight="1" x14ac:dyDescent="0.25">
      <c r="A8006" s="32" t="s">
        <v>2512</v>
      </c>
      <c r="H8006" t="s">
        <v>16380</v>
      </c>
      <c r="I8006" s="135" t="s">
        <v>16381</v>
      </c>
      <c r="J8006" s="34" t="s">
        <v>33</v>
      </c>
      <c r="K8006" s="42">
        <f>34500*3</f>
        <v>103500</v>
      </c>
      <c r="L8006" s="12">
        <f t="shared" si="642"/>
        <v>159300</v>
      </c>
      <c r="M8006" s="8">
        <v>1</v>
      </c>
      <c r="N8006" s="8" t="s">
        <v>27</v>
      </c>
      <c r="O8006" s="13" t="s">
        <v>587</v>
      </c>
      <c r="P8006" s="14">
        <v>0</v>
      </c>
      <c r="Q8006" s="15">
        <v>0.35</v>
      </c>
      <c r="R8006" s="40" t="str">
        <f t="shared" si="643"/>
        <v>GENERAL</v>
      </c>
    </row>
    <row r="8007" spans="1:19" customFormat="1" ht="27" customHeight="1" x14ac:dyDescent="0.25">
      <c r="A8007" s="32" t="s">
        <v>2512</v>
      </c>
      <c r="H8007" t="s">
        <v>16382</v>
      </c>
      <c r="I8007" s="38" t="s">
        <v>16383</v>
      </c>
      <c r="J8007" s="34" t="s">
        <v>33</v>
      </c>
      <c r="K8007" s="42">
        <v>2700</v>
      </c>
      <c r="L8007" s="12">
        <f t="shared" si="642"/>
        <v>4200</v>
      </c>
      <c r="M8007" s="8">
        <v>1</v>
      </c>
      <c r="N8007" s="8" t="s">
        <v>27</v>
      </c>
      <c r="O8007" s="13" t="s">
        <v>587</v>
      </c>
      <c r="P8007" s="14">
        <v>0</v>
      </c>
      <c r="Q8007" s="15">
        <v>0.35</v>
      </c>
      <c r="R8007" s="40" t="str">
        <f t="shared" si="643"/>
        <v>GENERAL</v>
      </c>
    </row>
    <row r="8008" spans="1:19" customFormat="1" ht="27" customHeight="1" x14ac:dyDescent="0.25">
      <c r="A8008" s="32" t="s">
        <v>5672</v>
      </c>
      <c r="H8008" t="s">
        <v>16384</v>
      </c>
      <c r="I8008" s="38" t="s">
        <v>16385</v>
      </c>
      <c r="J8008" s="34" t="s">
        <v>26</v>
      </c>
      <c r="K8008" s="42">
        <v>109</v>
      </c>
      <c r="L8008" s="12">
        <f t="shared" si="642"/>
        <v>192.35294117647058</v>
      </c>
      <c r="M8008" s="8">
        <v>1</v>
      </c>
      <c r="N8008" s="8" t="s">
        <v>27</v>
      </c>
      <c r="O8008" s="13" t="s">
        <v>587</v>
      </c>
      <c r="P8008" s="14">
        <v>0.2</v>
      </c>
      <c r="Q8008" s="15">
        <v>0.32</v>
      </c>
      <c r="R8008" s="40" t="str">
        <f t="shared" si="643"/>
        <v>LUTRON</v>
      </c>
    </row>
    <row r="8009" spans="1:19" customFormat="1" ht="27" customHeight="1" x14ac:dyDescent="0.25">
      <c r="A8009" s="32" t="s">
        <v>6853</v>
      </c>
      <c r="H8009" t="s">
        <v>16386</v>
      </c>
      <c r="I8009" s="38" t="s">
        <v>16387</v>
      </c>
      <c r="J8009" s="34" t="s">
        <v>33</v>
      </c>
      <c r="K8009" s="42">
        <v>653500</v>
      </c>
      <c r="L8009" s="12">
        <f t="shared" si="642"/>
        <v>961100</v>
      </c>
      <c r="M8009" s="8">
        <v>1</v>
      </c>
      <c r="N8009" s="8" t="s">
        <v>27</v>
      </c>
      <c r="O8009" s="13" t="s">
        <v>587</v>
      </c>
      <c r="P8009" s="14">
        <v>0.2</v>
      </c>
      <c r="Q8009" s="15">
        <v>0.32</v>
      </c>
      <c r="R8009" s="40" t="str">
        <f t="shared" si="643"/>
        <v>MAXHUB</v>
      </c>
    </row>
    <row r="8010" spans="1:19" customFormat="1" ht="27" customHeight="1" x14ac:dyDescent="0.25">
      <c r="A8010" s="32" t="s">
        <v>3977</v>
      </c>
      <c r="H8010" t="s">
        <v>16388</v>
      </c>
      <c r="I8010" s="38" t="s">
        <v>16389</v>
      </c>
      <c r="J8010" s="34" t="s">
        <v>33</v>
      </c>
      <c r="K8010" s="42">
        <f>+S8010*0.065</f>
        <v>1255800</v>
      </c>
      <c r="L8010" s="12">
        <f t="shared" si="642"/>
        <v>1794000</v>
      </c>
      <c r="M8010" s="8">
        <v>1</v>
      </c>
      <c r="N8010" s="8" t="s">
        <v>27</v>
      </c>
      <c r="O8010" s="13" t="s">
        <v>587</v>
      </c>
      <c r="P8010" s="14">
        <v>0</v>
      </c>
      <c r="Q8010" s="15">
        <v>0.3</v>
      </c>
      <c r="R8010" s="40" t="str">
        <f t="shared" si="643"/>
        <v>KOMODO</v>
      </c>
      <c r="S8010">
        <v>19320000</v>
      </c>
    </row>
    <row r="8011" spans="1:19" customFormat="1" ht="27" customHeight="1" x14ac:dyDescent="0.25">
      <c r="A8011" s="32" t="s">
        <v>3977</v>
      </c>
      <c r="H8011" t="s">
        <v>16390</v>
      </c>
      <c r="I8011" s="38" t="s">
        <v>16391</v>
      </c>
      <c r="J8011" s="34" t="s">
        <v>33</v>
      </c>
      <c r="K8011" s="42">
        <f>+S8011*0.03</f>
        <v>315360</v>
      </c>
      <c r="L8011" s="12">
        <f t="shared" si="642"/>
        <v>450600</v>
      </c>
      <c r="M8011" s="8">
        <v>1</v>
      </c>
      <c r="N8011" s="8" t="s">
        <v>27</v>
      </c>
      <c r="O8011" s="13" t="s">
        <v>587</v>
      </c>
      <c r="P8011" s="14">
        <v>0</v>
      </c>
      <c r="Q8011" s="15">
        <v>0.3</v>
      </c>
      <c r="R8011" s="40" t="str">
        <f t="shared" si="643"/>
        <v>KOMODO</v>
      </c>
      <c r="S8011" s="136">
        <v>10512000</v>
      </c>
    </row>
    <row r="8012" spans="1:19" customFormat="1" ht="27" customHeight="1" x14ac:dyDescent="0.25">
      <c r="A8012" s="32" t="s">
        <v>15901</v>
      </c>
      <c r="H8012" t="s">
        <v>16392</v>
      </c>
      <c r="I8012" s="38" t="s">
        <v>16393</v>
      </c>
      <c r="J8012" s="34" t="s">
        <v>33</v>
      </c>
      <c r="K8012" s="42">
        <f>278900+32000</f>
        <v>310900</v>
      </c>
      <c r="L8012" s="12">
        <f t="shared" si="642"/>
        <v>444200</v>
      </c>
      <c r="M8012" s="8">
        <v>1</v>
      </c>
      <c r="N8012" s="8" t="s">
        <v>27</v>
      </c>
      <c r="O8012" s="13" t="s">
        <v>587</v>
      </c>
      <c r="P8012" s="14">
        <v>0</v>
      </c>
      <c r="Q8012" s="15">
        <v>0.3</v>
      </c>
      <c r="R8012" s="40" t="str">
        <f t="shared" si="643"/>
        <v>BY</v>
      </c>
      <c r="S8012" s="136">
        <v>10512000</v>
      </c>
    </row>
    <row r="8013" spans="1:19" customFormat="1" ht="27" customHeight="1" x14ac:dyDescent="0.25">
      <c r="A8013" s="32" t="s">
        <v>15901</v>
      </c>
      <c r="H8013" t="s">
        <v>16394</v>
      </c>
      <c r="I8013" s="38" t="s">
        <v>16395</v>
      </c>
      <c r="J8013" s="34" t="s">
        <v>33</v>
      </c>
      <c r="K8013" s="42">
        <f>278900+32000</f>
        <v>310900</v>
      </c>
      <c r="L8013" s="12">
        <f t="shared" si="642"/>
        <v>444200</v>
      </c>
      <c r="M8013" s="8">
        <v>1</v>
      </c>
      <c r="N8013" s="8" t="s">
        <v>27</v>
      </c>
      <c r="O8013" s="13" t="s">
        <v>587</v>
      </c>
      <c r="P8013" s="14">
        <v>0</v>
      </c>
      <c r="Q8013" s="15">
        <v>0.3</v>
      </c>
      <c r="R8013" s="40" t="str">
        <f t="shared" si="643"/>
        <v>BY</v>
      </c>
      <c r="S8013" s="136">
        <v>10512000</v>
      </c>
    </row>
    <row r="8014" spans="1:19" customFormat="1" ht="27" customHeight="1" x14ac:dyDescent="0.25">
      <c r="A8014" s="32" t="s">
        <v>15901</v>
      </c>
      <c r="H8014" t="s">
        <v>16396</v>
      </c>
      <c r="I8014" s="38" t="s">
        <v>16397</v>
      </c>
      <c r="J8014" s="34" t="s">
        <v>33</v>
      </c>
      <c r="K8014" s="42">
        <f>369200+49500</f>
        <v>418700</v>
      </c>
      <c r="L8014" s="12">
        <f t="shared" si="642"/>
        <v>598200</v>
      </c>
      <c r="M8014" s="8">
        <v>1</v>
      </c>
      <c r="N8014" s="8" t="s">
        <v>27</v>
      </c>
      <c r="O8014" s="13" t="s">
        <v>587</v>
      </c>
      <c r="P8014" s="14">
        <v>0</v>
      </c>
      <c r="Q8014" s="15">
        <v>0.3</v>
      </c>
      <c r="R8014" s="40" t="str">
        <f t="shared" si="643"/>
        <v>BY</v>
      </c>
      <c r="S8014" s="136">
        <v>10512000</v>
      </c>
    </row>
    <row r="8015" spans="1:19" customFormat="1" ht="27" customHeight="1" x14ac:dyDescent="0.25">
      <c r="A8015" s="32" t="s">
        <v>15901</v>
      </c>
      <c r="H8015" t="s">
        <v>16398</v>
      </c>
      <c r="I8015" s="38" t="s">
        <v>16399</v>
      </c>
      <c r="J8015" s="34" t="s">
        <v>33</v>
      </c>
      <c r="K8015" s="42">
        <f>875600+98500</f>
        <v>974100</v>
      </c>
      <c r="L8015" s="12">
        <f t="shared" si="642"/>
        <v>1391600</v>
      </c>
      <c r="M8015" s="8">
        <v>1</v>
      </c>
      <c r="N8015" s="8" t="s">
        <v>27</v>
      </c>
      <c r="O8015" s="13" t="s">
        <v>587</v>
      </c>
      <c r="P8015" s="14">
        <v>0</v>
      </c>
      <c r="Q8015" s="15">
        <v>0.3</v>
      </c>
      <c r="R8015" s="40" t="str">
        <f t="shared" si="643"/>
        <v>BY</v>
      </c>
      <c r="S8015" s="136">
        <v>10512000</v>
      </c>
    </row>
    <row r="8016" spans="1:19" customFormat="1" ht="27" customHeight="1" x14ac:dyDescent="0.25">
      <c r="A8016" s="32" t="s">
        <v>11685</v>
      </c>
      <c r="H8016" t="s">
        <v>16400</v>
      </c>
      <c r="I8016" s="38" t="s">
        <v>16401</v>
      </c>
      <c r="J8016" s="34" t="s">
        <v>33</v>
      </c>
      <c r="K8016" s="42">
        <v>273000</v>
      </c>
      <c r="L8016" s="12">
        <f t="shared" si="642"/>
        <v>390000</v>
      </c>
      <c r="M8016" s="8">
        <v>1</v>
      </c>
      <c r="N8016" s="8" t="s">
        <v>27</v>
      </c>
      <c r="O8016" s="13" t="s">
        <v>587</v>
      </c>
      <c r="P8016" s="14">
        <v>0</v>
      </c>
      <c r="Q8016" s="15">
        <v>0.3</v>
      </c>
      <c r="R8016" s="40" t="str">
        <f t="shared" si="643"/>
        <v>RUIJIE</v>
      </c>
      <c r="S8016" s="136">
        <v>10512000</v>
      </c>
    </row>
    <row r="8017" spans="1:20" customFormat="1" ht="27" customHeight="1" x14ac:dyDescent="0.25">
      <c r="A8017" s="32" t="s">
        <v>11685</v>
      </c>
      <c r="H8017" t="s">
        <v>16402</v>
      </c>
      <c r="I8017" s="38" t="s">
        <v>16403</v>
      </c>
      <c r="J8017" s="34" t="s">
        <v>33</v>
      </c>
      <c r="K8017" s="42">
        <v>434000</v>
      </c>
      <c r="L8017" s="12">
        <f t="shared" si="642"/>
        <v>723400</v>
      </c>
      <c r="M8017" s="8">
        <v>1</v>
      </c>
      <c r="N8017" s="8" t="s">
        <v>27</v>
      </c>
      <c r="O8017" s="13" t="s">
        <v>587</v>
      </c>
      <c r="P8017" s="14">
        <v>0</v>
      </c>
      <c r="Q8017" s="15">
        <v>0.4</v>
      </c>
      <c r="R8017" s="40" t="str">
        <f t="shared" si="643"/>
        <v>RUIJIE</v>
      </c>
    </row>
    <row r="8018" spans="1:20" customFormat="1" ht="27" customHeight="1" x14ac:dyDescent="0.25">
      <c r="A8018" s="32" t="s">
        <v>11685</v>
      </c>
      <c r="H8018" t="s">
        <v>16404</v>
      </c>
      <c r="I8018" s="38" t="s">
        <v>16405</v>
      </c>
      <c r="J8018" s="34" t="s">
        <v>33</v>
      </c>
      <c r="K8018" s="42">
        <v>96900</v>
      </c>
      <c r="L8018" s="12">
        <f t="shared" si="642"/>
        <v>161500</v>
      </c>
      <c r="M8018" s="8">
        <v>1</v>
      </c>
      <c r="N8018" s="8" t="s">
        <v>27</v>
      </c>
      <c r="O8018" s="13" t="s">
        <v>587</v>
      </c>
      <c r="P8018" s="14">
        <v>0</v>
      </c>
      <c r="Q8018" s="15">
        <v>0.4</v>
      </c>
      <c r="R8018" s="40" t="str">
        <f t="shared" si="643"/>
        <v>RUIJIE</v>
      </c>
    </row>
    <row r="8019" spans="1:20" customFormat="1" ht="27" customHeight="1" x14ac:dyDescent="0.25">
      <c r="A8019" s="32" t="s">
        <v>16406</v>
      </c>
      <c r="H8019" t="s">
        <v>16407</v>
      </c>
      <c r="I8019" s="38" t="s">
        <v>16408</v>
      </c>
      <c r="J8019" s="34" t="s">
        <v>33</v>
      </c>
      <c r="K8019" s="42">
        <v>520000</v>
      </c>
      <c r="L8019" s="12">
        <f t="shared" si="642"/>
        <v>866700</v>
      </c>
      <c r="M8019" s="8">
        <v>1</v>
      </c>
      <c r="N8019" s="8" t="s">
        <v>27</v>
      </c>
      <c r="O8019" s="13" t="s">
        <v>587</v>
      </c>
      <c r="P8019" s="14">
        <v>0</v>
      </c>
      <c r="Q8019" s="15">
        <v>0.4</v>
      </c>
      <c r="R8019" s="40" t="str">
        <f t="shared" si="643"/>
        <v>LEADER</v>
      </c>
    </row>
    <row r="8020" spans="1:20" customFormat="1" ht="27" customHeight="1" x14ac:dyDescent="0.25">
      <c r="A8020" s="32" t="s">
        <v>16406</v>
      </c>
      <c r="H8020" t="s">
        <v>16409</v>
      </c>
      <c r="I8020" s="38" t="s">
        <v>16410</v>
      </c>
      <c r="J8020" s="34" t="s">
        <v>33</v>
      </c>
      <c r="K8020" s="42">
        <v>490000</v>
      </c>
      <c r="L8020" s="12">
        <f t="shared" si="642"/>
        <v>816700</v>
      </c>
      <c r="M8020" s="8">
        <v>1</v>
      </c>
      <c r="N8020" s="8" t="s">
        <v>27</v>
      </c>
      <c r="O8020" s="13" t="s">
        <v>587</v>
      </c>
      <c r="P8020" s="14">
        <v>0</v>
      </c>
      <c r="Q8020" s="15">
        <v>0.4</v>
      </c>
      <c r="R8020" s="40" t="str">
        <f t="shared" si="643"/>
        <v>LEADER</v>
      </c>
    </row>
    <row r="8021" spans="1:20" customFormat="1" ht="27" customHeight="1" x14ac:dyDescent="0.25">
      <c r="A8021" s="32" t="s">
        <v>16406</v>
      </c>
      <c r="H8021" t="s">
        <v>16411</v>
      </c>
      <c r="I8021" s="38" t="s">
        <v>16412</v>
      </c>
      <c r="J8021" s="34" t="s">
        <v>33</v>
      </c>
      <c r="K8021" s="42">
        <v>355000</v>
      </c>
      <c r="L8021" s="12">
        <f t="shared" si="642"/>
        <v>591700</v>
      </c>
      <c r="M8021" s="8">
        <v>1</v>
      </c>
      <c r="N8021" s="8" t="s">
        <v>27</v>
      </c>
      <c r="O8021" s="13" t="s">
        <v>587</v>
      </c>
      <c r="P8021" s="14">
        <v>0</v>
      </c>
      <c r="Q8021" s="15">
        <v>0.4</v>
      </c>
      <c r="R8021" s="40" t="str">
        <f t="shared" si="643"/>
        <v>LEADER</v>
      </c>
    </row>
    <row r="8022" spans="1:20" customFormat="1" ht="27" customHeight="1" x14ac:dyDescent="0.25">
      <c r="A8022" s="32" t="s">
        <v>16413</v>
      </c>
      <c r="H8022" t="s">
        <v>16414</v>
      </c>
      <c r="I8022" s="38" t="s">
        <v>16415</v>
      </c>
      <c r="J8022" s="34" t="s">
        <v>33</v>
      </c>
      <c r="K8022" s="42">
        <v>890000</v>
      </c>
      <c r="L8022" s="12">
        <f t="shared" si="642"/>
        <v>1271500</v>
      </c>
      <c r="M8022" s="8">
        <v>1</v>
      </c>
      <c r="N8022" s="8" t="s">
        <v>27</v>
      </c>
      <c r="O8022" s="13" t="s">
        <v>587</v>
      </c>
      <c r="P8022" s="14">
        <v>0</v>
      </c>
      <c r="Q8022" s="15">
        <v>0.3</v>
      </c>
      <c r="R8022" s="40" t="str">
        <f t="shared" si="643"/>
        <v>HR</v>
      </c>
    </row>
    <row r="8023" spans="1:20" customFormat="1" ht="27" customHeight="1" x14ac:dyDescent="0.25">
      <c r="A8023" s="32" t="s">
        <v>16413</v>
      </c>
      <c r="H8023" t="s">
        <v>16416</v>
      </c>
      <c r="I8023" s="38" t="s">
        <v>16415</v>
      </c>
      <c r="J8023" s="34" t="s">
        <v>33</v>
      </c>
      <c r="K8023" s="42">
        <v>730000</v>
      </c>
      <c r="L8023" s="12">
        <f t="shared" si="642"/>
        <v>1042900</v>
      </c>
      <c r="M8023" s="8">
        <v>1</v>
      </c>
      <c r="N8023" s="8" t="s">
        <v>27</v>
      </c>
      <c r="O8023" s="13" t="s">
        <v>587</v>
      </c>
      <c r="P8023" s="14">
        <v>0</v>
      </c>
      <c r="Q8023" s="15">
        <v>0.3</v>
      </c>
      <c r="R8023" s="40" t="str">
        <f t="shared" si="643"/>
        <v>HR</v>
      </c>
    </row>
    <row r="8024" spans="1:20" customFormat="1" ht="27" customHeight="1" x14ac:dyDescent="0.25">
      <c r="A8024" s="8" t="s">
        <v>7931</v>
      </c>
      <c r="B8024" s="9"/>
      <c r="C8024" s="9"/>
      <c r="D8024" s="8"/>
      <c r="E8024" s="8"/>
      <c r="F8024" s="8" t="s">
        <v>22</v>
      </c>
      <c r="G8024" s="10" t="s">
        <v>8661</v>
      </c>
      <c r="H8024" s="8" t="s">
        <v>8798</v>
      </c>
      <c r="I8024" s="10" t="s">
        <v>16417</v>
      </c>
      <c r="J8024" s="11" t="s">
        <v>33</v>
      </c>
      <c r="K8024" s="18">
        <v>94000</v>
      </c>
      <c r="L8024" s="12">
        <f t="shared" si="642"/>
        <v>156700</v>
      </c>
      <c r="M8024" s="8">
        <v>1</v>
      </c>
      <c r="N8024" s="8" t="s">
        <v>27</v>
      </c>
      <c r="O8024" s="13" t="s">
        <v>588</v>
      </c>
      <c r="P8024" s="14">
        <v>0.2</v>
      </c>
      <c r="Q8024" s="15">
        <v>0.4</v>
      </c>
      <c r="R8024" s="16" t="str">
        <f t="shared" si="643"/>
        <v>SYLVANIA</v>
      </c>
      <c r="S8024" s="17"/>
      <c r="T8024" s="10" t="str">
        <f>G8024</f>
        <v>LUMINARIA DE EMERGENCIA DE 4.5W, MULTIVOLTAJE, 170 LUMENS.</v>
      </c>
    </row>
    <row r="8025" spans="1:20" customFormat="1" ht="27" customHeight="1" x14ac:dyDescent="0.25">
      <c r="A8025" s="32" t="s">
        <v>13391</v>
      </c>
      <c r="H8025" s="32" t="s">
        <v>16418</v>
      </c>
      <c r="I8025" s="33" t="s">
        <v>16419</v>
      </c>
      <c r="J8025" s="34" t="s">
        <v>33</v>
      </c>
      <c r="K8025" s="42">
        <v>180000</v>
      </c>
      <c r="L8025" s="12">
        <f t="shared" ref="L8025:L8035" si="644">K8025*(1+P8025)/(1-Q8025)</f>
        <v>257142.85714285716</v>
      </c>
      <c r="M8025" s="8">
        <v>1</v>
      </c>
      <c r="N8025" s="8" t="s">
        <v>27</v>
      </c>
      <c r="O8025" s="13"/>
      <c r="P8025" s="14">
        <v>0</v>
      </c>
      <c r="Q8025" s="15">
        <v>0.3</v>
      </c>
      <c r="R8025" s="16" t="str">
        <f t="shared" si="643"/>
        <v>COLORS</v>
      </c>
    </row>
    <row r="8026" spans="1:20" customFormat="1" ht="27" customHeight="1" x14ac:dyDescent="0.25">
      <c r="A8026" s="32" t="s">
        <v>5454</v>
      </c>
      <c r="H8026" t="s">
        <v>16420</v>
      </c>
      <c r="I8026" s="38" t="s">
        <v>16421</v>
      </c>
      <c r="J8026" s="34" t="s">
        <v>33</v>
      </c>
      <c r="K8026" s="42">
        <v>126000</v>
      </c>
      <c r="L8026" s="12">
        <f t="shared" si="644"/>
        <v>180000</v>
      </c>
      <c r="M8026" s="8">
        <v>1</v>
      </c>
      <c r="N8026" s="8" t="s">
        <v>27</v>
      </c>
      <c r="O8026" s="13"/>
      <c r="P8026" s="14">
        <v>0</v>
      </c>
      <c r="Q8026" s="15">
        <v>0.3</v>
      </c>
      <c r="R8026" s="16" t="str">
        <f t="shared" si="643"/>
        <v>LUMEK</v>
      </c>
    </row>
    <row r="8027" spans="1:20" customFormat="1" ht="27" customHeight="1" x14ac:dyDescent="0.25">
      <c r="A8027" s="32" t="s">
        <v>2095</v>
      </c>
      <c r="H8027" t="s">
        <v>16422</v>
      </c>
      <c r="I8027" s="38" t="s">
        <v>16423</v>
      </c>
      <c r="J8027" s="34" t="s">
        <v>33</v>
      </c>
      <c r="K8027" s="42">
        <v>96600</v>
      </c>
      <c r="L8027" s="12">
        <f t="shared" si="644"/>
        <v>113647.05882352941</v>
      </c>
      <c r="M8027" s="8">
        <v>1</v>
      </c>
      <c r="N8027" s="8" t="s">
        <v>27</v>
      </c>
      <c r="O8027" s="13"/>
      <c r="P8027" s="14">
        <v>0</v>
      </c>
      <c r="Q8027" s="15">
        <v>0.15</v>
      </c>
      <c r="R8027" s="16" t="str">
        <f t="shared" si="643"/>
        <v>ECOLITE</v>
      </c>
    </row>
    <row r="8028" spans="1:20" customFormat="1" ht="27" customHeight="1" x14ac:dyDescent="0.25">
      <c r="A8028" s="32" t="s">
        <v>1561</v>
      </c>
      <c r="H8028" t="s">
        <v>16424</v>
      </c>
      <c r="I8028" s="38" t="s">
        <v>16425</v>
      </c>
      <c r="J8028" s="34" t="s">
        <v>33</v>
      </c>
      <c r="K8028" s="42">
        <v>213000</v>
      </c>
      <c r="L8028" s="12">
        <f t="shared" si="644"/>
        <v>426000</v>
      </c>
      <c r="M8028" s="8">
        <v>1</v>
      </c>
      <c r="N8028" s="8" t="s">
        <v>27</v>
      </c>
      <c r="O8028" s="13"/>
      <c r="P8028" s="14">
        <v>0</v>
      </c>
      <c r="Q8028" s="15">
        <v>0.5</v>
      </c>
      <c r="R8028" s="16" t="str">
        <f t="shared" si="643"/>
        <v>DAHUA</v>
      </c>
    </row>
    <row r="8029" spans="1:20" customFormat="1" ht="27" customHeight="1" x14ac:dyDescent="0.25">
      <c r="A8029" s="32" t="s">
        <v>13983</v>
      </c>
      <c r="H8029" s="66" t="s">
        <v>16426</v>
      </c>
      <c r="I8029" s="38" t="s">
        <v>16749</v>
      </c>
      <c r="J8029" s="34" t="s">
        <v>26</v>
      </c>
      <c r="K8029" s="42">
        <f>28*0.5*1.116</f>
        <v>15.624000000000002</v>
      </c>
      <c r="L8029" s="12">
        <f t="shared" si="644"/>
        <v>32.479873957088948</v>
      </c>
      <c r="M8029" s="8">
        <v>1</v>
      </c>
      <c r="N8029" s="8" t="s">
        <v>27</v>
      </c>
      <c r="O8029" s="13"/>
      <c r="P8029" s="14">
        <v>0.3</v>
      </c>
      <c r="Q8029" s="15">
        <v>0.37465274567154072</v>
      </c>
      <c r="R8029" s="16" t="str">
        <f t="shared" si="643"/>
        <v>HOFFLIGHTS</v>
      </c>
      <c r="S8029">
        <f>+L8029/1.16</f>
        <v>27.999891342318062</v>
      </c>
    </row>
    <row r="8030" spans="1:20" customFormat="1" ht="27" customHeight="1" x14ac:dyDescent="0.25">
      <c r="A8030" s="32" t="s">
        <v>13983</v>
      </c>
      <c r="H8030" s="66" t="s">
        <v>16427</v>
      </c>
      <c r="I8030" s="38" t="s">
        <v>16428</v>
      </c>
      <c r="J8030" s="34" t="s">
        <v>26</v>
      </c>
      <c r="K8030" s="42">
        <f>3.95*0.5*1.16</f>
        <v>2.2909999999999999</v>
      </c>
      <c r="L8030" s="12">
        <f t="shared" si="644"/>
        <v>4.5817733846959152</v>
      </c>
      <c r="M8030" s="8">
        <v>1</v>
      </c>
      <c r="N8030" s="8" t="s">
        <v>27</v>
      </c>
      <c r="O8030" s="13"/>
      <c r="P8030" s="14">
        <v>0.3</v>
      </c>
      <c r="Q8030" s="15">
        <v>0.34996785088757398</v>
      </c>
      <c r="R8030" s="16" t="str">
        <f t="shared" si="643"/>
        <v>HOFFLIGHTS</v>
      </c>
      <c r="S8030">
        <f>+L8030/1.16</f>
        <v>3.9498046419792376</v>
      </c>
    </row>
    <row r="8031" spans="1:20" customFormat="1" ht="27" customHeight="1" x14ac:dyDescent="0.25">
      <c r="A8031" s="32" t="s">
        <v>13983</v>
      </c>
      <c r="H8031" s="66" t="s">
        <v>16429</v>
      </c>
      <c r="I8031" s="38" t="s">
        <v>16430</v>
      </c>
      <c r="J8031" s="34" t="s">
        <v>26</v>
      </c>
      <c r="K8031" s="42">
        <f>69.5*0.5*1.16</f>
        <v>40.309999999999995</v>
      </c>
      <c r="L8031" s="12">
        <f t="shared" si="644"/>
        <v>80.616012718067367</v>
      </c>
      <c r="M8031" s="8">
        <v>1</v>
      </c>
      <c r="N8031" s="8" t="s">
        <v>27</v>
      </c>
      <c r="O8031" s="13"/>
      <c r="P8031" s="14">
        <v>0.3</v>
      </c>
      <c r="Q8031" s="15">
        <v>0.34996785088757398</v>
      </c>
      <c r="R8031" s="16" t="str">
        <f t="shared" si="643"/>
        <v>HOFFLIGHTS</v>
      </c>
      <c r="S8031">
        <f>+L8031/1.16</f>
        <v>69.496562687989112</v>
      </c>
    </row>
    <row r="8032" spans="1:20" customFormat="1" ht="27" customHeight="1" x14ac:dyDescent="0.25">
      <c r="A8032" s="32" t="s">
        <v>13983</v>
      </c>
      <c r="H8032" s="66" t="s">
        <v>16431</v>
      </c>
      <c r="I8032" s="38" t="s">
        <v>16432</v>
      </c>
      <c r="J8032" s="34" t="s">
        <v>26</v>
      </c>
      <c r="K8032" s="42">
        <f>14.2*0.5*1.16</f>
        <v>8.2359999999999989</v>
      </c>
      <c r="L8032" s="12">
        <f t="shared" si="644"/>
        <v>16.471185332324556</v>
      </c>
      <c r="M8032" s="8">
        <v>1</v>
      </c>
      <c r="N8032" s="8" t="s">
        <v>27</v>
      </c>
      <c r="O8032" s="13"/>
      <c r="P8032" s="14">
        <v>0.3</v>
      </c>
      <c r="Q8032" s="15">
        <v>0.34996785088757398</v>
      </c>
      <c r="R8032" s="16" t="str">
        <f t="shared" si="643"/>
        <v>HOFFLIGHTS</v>
      </c>
      <c r="S8032">
        <f>+L8032/1.16</f>
        <v>14.199297700279791</v>
      </c>
    </row>
    <row r="8033" spans="1:19" customFormat="1" ht="27" customHeight="1" x14ac:dyDescent="0.25">
      <c r="A8033" s="32" t="s">
        <v>13983</v>
      </c>
      <c r="H8033" s="66" t="s">
        <v>16433</v>
      </c>
      <c r="I8033" s="38" t="s">
        <v>16434</v>
      </c>
      <c r="J8033" s="34" t="s">
        <v>26</v>
      </c>
      <c r="K8033" s="42">
        <f>119*0.5*1.16</f>
        <v>69.02</v>
      </c>
      <c r="L8033" s="12">
        <f t="shared" si="644"/>
        <v>138.03317285539592</v>
      </c>
      <c r="M8033" s="8">
        <v>1</v>
      </c>
      <c r="N8033" s="8" t="s">
        <v>27</v>
      </c>
      <c r="O8033" s="13"/>
      <c r="P8033" s="14">
        <v>0.3</v>
      </c>
      <c r="Q8033" s="15">
        <v>0.34996785088757398</v>
      </c>
      <c r="R8033" s="16" t="str">
        <f t="shared" si="643"/>
        <v>HOFFLIGHTS</v>
      </c>
      <c r="S8033">
        <f>+L8033/1.16</f>
        <v>118.99411453051373</v>
      </c>
    </row>
    <row r="8034" spans="1:19" customFormat="1" ht="27" customHeight="1" x14ac:dyDescent="0.25">
      <c r="A8034" s="32" t="s">
        <v>13983</v>
      </c>
      <c r="H8034" s="66" t="s">
        <v>16435</v>
      </c>
      <c r="I8034" s="38" t="s">
        <v>16436</v>
      </c>
      <c r="J8034" s="34" t="s">
        <v>26</v>
      </c>
      <c r="K8034" s="42">
        <f>135*0.5*1.16</f>
        <v>78.3</v>
      </c>
      <c r="L8034" s="12">
        <f t="shared" si="644"/>
        <v>156.59225491998697</v>
      </c>
      <c r="M8034" s="8">
        <v>1</v>
      </c>
      <c r="N8034" s="8" t="s">
        <v>27</v>
      </c>
      <c r="O8034" s="13"/>
      <c r="P8034" s="14">
        <v>0.3</v>
      </c>
      <c r="Q8034" s="15">
        <v>0.34996785088757398</v>
      </c>
      <c r="R8034" s="16" t="str">
        <f t="shared" si="643"/>
        <v>HOFFLIGHTS</v>
      </c>
    </row>
    <row r="8035" spans="1:19" customFormat="1" ht="27" customHeight="1" x14ac:dyDescent="0.25">
      <c r="A8035" s="32" t="s">
        <v>3977</v>
      </c>
      <c r="H8035" s="66" t="s">
        <v>11129</v>
      </c>
      <c r="I8035" s="38" t="s">
        <v>16437</v>
      </c>
      <c r="J8035" s="34" t="s">
        <v>33</v>
      </c>
      <c r="K8035" s="42">
        <v>450000</v>
      </c>
      <c r="L8035" s="12">
        <f t="shared" si="644"/>
        <v>899955.48804590211</v>
      </c>
      <c r="M8035" s="8">
        <v>1</v>
      </c>
      <c r="N8035" s="8" t="s">
        <v>27</v>
      </c>
      <c r="O8035" s="13"/>
      <c r="P8035" s="14">
        <v>0.3</v>
      </c>
      <c r="Q8035" s="15">
        <v>0.34996785088757398</v>
      </c>
      <c r="R8035" s="16" t="str">
        <f t="shared" si="643"/>
        <v>KOMODO</v>
      </c>
    </row>
    <row r="8036" spans="1:19" customFormat="1" ht="27" customHeight="1" x14ac:dyDescent="0.25">
      <c r="A8036" s="32" t="s">
        <v>9452</v>
      </c>
      <c r="H8036" s="32" t="s">
        <v>16438</v>
      </c>
      <c r="I8036" s="33" t="s">
        <v>16439</v>
      </c>
      <c r="J8036" s="34" t="s">
        <v>26</v>
      </c>
      <c r="K8036" s="42">
        <f>2877*1.16*0.8</f>
        <v>2669.8559999999998</v>
      </c>
      <c r="L8036" s="12">
        <f>IF(J8036="P",ROUNDUP(K8036/(1-Q8036),-2),K8036*(1+P8036)/(1-Q8036))</f>
        <v>3337.3199999999997</v>
      </c>
      <c r="M8036" s="8">
        <v>1</v>
      </c>
      <c r="N8036" s="8" t="s">
        <v>27</v>
      </c>
      <c r="O8036" s="13"/>
      <c r="P8036" s="14">
        <v>0</v>
      </c>
      <c r="Q8036" s="15">
        <v>0.2</v>
      </c>
      <c r="R8036" s="40" t="str">
        <f t="shared" si="643"/>
        <v>VIBIA</v>
      </c>
    </row>
    <row r="8037" spans="1:19" customFormat="1" ht="27" customHeight="1" x14ac:dyDescent="0.25">
      <c r="A8037" s="32" t="s">
        <v>16440</v>
      </c>
      <c r="H8037" s="32" t="s">
        <v>16441</v>
      </c>
      <c r="I8037" s="33" t="s">
        <v>16442</v>
      </c>
      <c r="J8037" s="34" t="s">
        <v>26</v>
      </c>
      <c r="K8037" s="42">
        <v>26</v>
      </c>
      <c r="L8037" s="12">
        <f t="shared" ref="L8037:L8061" si="645">K8037*(1+P8037)/(1-Q8037)</f>
        <v>43.333333333333336</v>
      </c>
      <c r="M8037" s="8">
        <v>1</v>
      </c>
      <c r="N8037" s="8" t="s">
        <v>27</v>
      </c>
      <c r="O8037" s="13"/>
      <c r="P8037" s="14">
        <v>0</v>
      </c>
      <c r="Q8037" s="15">
        <v>0.4</v>
      </c>
      <c r="R8037" s="16" t="str">
        <f t="shared" si="643"/>
        <v>MESKLIU</v>
      </c>
    </row>
    <row r="8038" spans="1:19" customFormat="1" ht="27" customHeight="1" x14ac:dyDescent="0.25">
      <c r="A8038" s="32" t="s">
        <v>3611</v>
      </c>
      <c r="H8038" s="66" t="s">
        <v>16443</v>
      </c>
      <c r="I8038" s="38" t="s">
        <v>16444</v>
      </c>
      <c r="J8038" s="34" t="s">
        <v>33</v>
      </c>
      <c r="K8038" s="42">
        <v>270000</v>
      </c>
      <c r="L8038" s="12">
        <f t="shared" si="645"/>
        <v>415384.61538461538</v>
      </c>
      <c r="M8038" s="8">
        <v>1</v>
      </c>
      <c r="N8038" s="8" t="s">
        <v>27</v>
      </c>
      <c r="O8038" s="13"/>
      <c r="P8038" s="14">
        <v>0</v>
      </c>
      <c r="Q8038" s="15">
        <v>0.35</v>
      </c>
      <c r="R8038" s="16" t="str">
        <f t="shared" si="643"/>
        <v>IDEA</v>
      </c>
    </row>
    <row r="8039" spans="1:19" customFormat="1" ht="27" customHeight="1" x14ac:dyDescent="0.25">
      <c r="A8039" s="32" t="s">
        <v>3611</v>
      </c>
      <c r="H8039" s="66" t="s">
        <v>16445</v>
      </c>
      <c r="I8039" s="66" t="s">
        <v>16446</v>
      </c>
      <c r="J8039" s="34" t="s">
        <v>33</v>
      </c>
      <c r="K8039" s="42">
        <v>35600</v>
      </c>
      <c r="L8039" s="12">
        <f t="shared" si="645"/>
        <v>54769.230769230766</v>
      </c>
      <c r="M8039" s="8">
        <v>1</v>
      </c>
      <c r="N8039" s="8" t="s">
        <v>27</v>
      </c>
      <c r="O8039" s="13"/>
      <c r="P8039" s="14">
        <v>0</v>
      </c>
      <c r="Q8039" s="15">
        <v>0.35</v>
      </c>
      <c r="R8039" s="16" t="str">
        <f t="shared" si="643"/>
        <v>IDEA</v>
      </c>
    </row>
    <row r="8040" spans="1:19" customFormat="1" ht="27" customHeight="1" x14ac:dyDescent="0.25">
      <c r="A8040" s="32" t="s">
        <v>3611</v>
      </c>
      <c r="H8040" s="66" t="s">
        <v>16447</v>
      </c>
      <c r="I8040" t="s">
        <v>16448</v>
      </c>
      <c r="J8040" s="34" t="s">
        <v>33</v>
      </c>
      <c r="K8040" s="42">
        <v>78400</v>
      </c>
      <c r="L8040" s="12">
        <f t="shared" si="645"/>
        <v>120615.38461538461</v>
      </c>
      <c r="M8040" s="8">
        <v>1</v>
      </c>
      <c r="N8040" s="8" t="s">
        <v>27</v>
      </c>
      <c r="O8040" s="13"/>
      <c r="P8040" s="14">
        <v>0</v>
      </c>
      <c r="Q8040" s="15">
        <v>0.35</v>
      </c>
      <c r="R8040" s="16" t="str">
        <f t="shared" si="643"/>
        <v>IDEA</v>
      </c>
    </row>
    <row r="8041" spans="1:19" customFormat="1" ht="27" customHeight="1" x14ac:dyDescent="0.25">
      <c r="A8041" s="32" t="s">
        <v>3611</v>
      </c>
      <c r="H8041" s="66" t="s">
        <v>16449</v>
      </c>
      <c r="I8041" t="s">
        <v>16362</v>
      </c>
      <c r="J8041" s="34" t="s">
        <v>33</v>
      </c>
      <c r="K8041" s="42">
        <v>2400</v>
      </c>
      <c r="L8041" s="12">
        <f t="shared" si="645"/>
        <v>4000</v>
      </c>
      <c r="M8041" s="8">
        <v>1</v>
      </c>
      <c r="N8041" s="8" t="s">
        <v>27</v>
      </c>
      <c r="O8041" s="13"/>
      <c r="P8041" s="14">
        <v>0</v>
      </c>
      <c r="Q8041" s="15">
        <v>0.4</v>
      </c>
      <c r="R8041" s="16" t="str">
        <f t="shared" si="643"/>
        <v>IDEA</v>
      </c>
    </row>
    <row r="8042" spans="1:19" customFormat="1" ht="27" customHeight="1" x14ac:dyDescent="0.25">
      <c r="A8042" s="32" t="s">
        <v>3611</v>
      </c>
      <c r="H8042" s="66" t="s">
        <v>16450</v>
      </c>
      <c r="I8042" t="s">
        <v>16451</v>
      </c>
      <c r="J8042" s="34" t="s">
        <v>33</v>
      </c>
      <c r="K8042" s="42">
        <v>3700</v>
      </c>
      <c r="L8042" s="12">
        <f t="shared" si="645"/>
        <v>6166.666666666667</v>
      </c>
      <c r="M8042" s="8">
        <v>1</v>
      </c>
      <c r="N8042" s="8" t="s">
        <v>27</v>
      </c>
      <c r="O8042" s="13"/>
      <c r="P8042" s="14">
        <v>0</v>
      </c>
      <c r="Q8042" s="15">
        <v>0.4</v>
      </c>
      <c r="R8042" s="16" t="str">
        <f t="shared" si="643"/>
        <v>IDEA</v>
      </c>
    </row>
    <row r="8043" spans="1:19" customFormat="1" ht="27" customHeight="1" x14ac:dyDescent="0.25">
      <c r="A8043" s="32" t="s">
        <v>3611</v>
      </c>
      <c r="H8043" s="66" t="s">
        <v>16452</v>
      </c>
      <c r="I8043" t="s">
        <v>16453</v>
      </c>
      <c r="J8043" s="34" t="s">
        <v>33</v>
      </c>
      <c r="K8043" s="42">
        <v>45400</v>
      </c>
      <c r="L8043" s="12">
        <f t="shared" si="645"/>
        <v>69846.153846153844</v>
      </c>
      <c r="M8043" s="8">
        <v>1</v>
      </c>
      <c r="N8043" s="8" t="s">
        <v>27</v>
      </c>
      <c r="O8043" s="13"/>
      <c r="P8043" s="14">
        <v>0</v>
      </c>
      <c r="Q8043" s="15">
        <v>0.35</v>
      </c>
      <c r="R8043" s="16" t="str">
        <f t="shared" si="643"/>
        <v>IDEA</v>
      </c>
    </row>
    <row r="8044" spans="1:19" customFormat="1" ht="27" customHeight="1" x14ac:dyDescent="0.25">
      <c r="A8044" s="32" t="s">
        <v>3611</v>
      </c>
      <c r="H8044" s="66" t="s">
        <v>16454</v>
      </c>
      <c r="I8044" t="s">
        <v>16455</v>
      </c>
      <c r="J8044" s="34" t="s">
        <v>33</v>
      </c>
      <c r="K8044" s="42">
        <v>64100</v>
      </c>
      <c r="L8044" s="12">
        <f t="shared" si="645"/>
        <v>98615.38461538461</v>
      </c>
      <c r="M8044" s="8">
        <v>1</v>
      </c>
      <c r="N8044" s="8" t="s">
        <v>27</v>
      </c>
      <c r="O8044" s="13"/>
      <c r="P8044" s="14">
        <v>0</v>
      </c>
      <c r="Q8044" s="15">
        <v>0.35</v>
      </c>
      <c r="R8044" s="16" t="str">
        <f t="shared" si="643"/>
        <v>IDEA</v>
      </c>
    </row>
    <row r="8045" spans="1:19" customFormat="1" ht="27" customHeight="1" x14ac:dyDescent="0.25">
      <c r="A8045" s="32" t="s">
        <v>3611</v>
      </c>
      <c r="H8045" s="66" t="s">
        <v>16456</v>
      </c>
      <c r="I8045" t="s">
        <v>16457</v>
      </c>
      <c r="J8045" s="34" t="s">
        <v>33</v>
      </c>
      <c r="K8045" s="42">
        <v>244200</v>
      </c>
      <c r="L8045" s="12">
        <f t="shared" si="645"/>
        <v>407000</v>
      </c>
      <c r="M8045" s="8">
        <v>1</v>
      </c>
      <c r="N8045" s="8" t="s">
        <v>27</v>
      </c>
      <c r="O8045" s="13"/>
      <c r="P8045" s="14">
        <v>0</v>
      </c>
      <c r="Q8045" s="15">
        <v>0.4</v>
      </c>
      <c r="R8045" s="16" t="str">
        <f t="shared" si="643"/>
        <v>IDEA</v>
      </c>
    </row>
    <row r="8046" spans="1:19" customFormat="1" ht="27" customHeight="1" x14ac:dyDescent="0.25">
      <c r="A8046" s="32" t="s">
        <v>15683</v>
      </c>
      <c r="H8046" s="66" t="s">
        <v>16458</v>
      </c>
      <c r="I8046" t="s">
        <v>16459</v>
      </c>
      <c r="J8046" s="34" t="s">
        <v>33</v>
      </c>
      <c r="K8046" s="42">
        <v>241441.8</v>
      </c>
      <c r="L8046" s="12">
        <f t="shared" si="645"/>
        <v>402403</v>
      </c>
      <c r="M8046" s="8">
        <v>1</v>
      </c>
      <c r="N8046" s="8" t="s">
        <v>27</v>
      </c>
      <c r="O8046" s="13"/>
      <c r="P8046" s="14">
        <v>0</v>
      </c>
      <c r="Q8046" s="15">
        <v>0.4</v>
      </c>
      <c r="R8046" s="16" t="str">
        <f t="shared" si="643"/>
        <v>LEDC4</v>
      </c>
    </row>
    <row r="8047" spans="1:19" customFormat="1" ht="27" customHeight="1" x14ac:dyDescent="0.25">
      <c r="A8047" s="32" t="s">
        <v>1561</v>
      </c>
      <c r="H8047" t="s">
        <v>16460</v>
      </c>
      <c r="I8047" s="38" t="s">
        <v>16461</v>
      </c>
      <c r="J8047" s="34" t="s">
        <v>33</v>
      </c>
      <c r="K8047" s="42">
        <v>359700</v>
      </c>
      <c r="L8047" s="12">
        <f t="shared" si="645"/>
        <v>719400</v>
      </c>
      <c r="M8047" s="8">
        <v>1</v>
      </c>
      <c r="N8047" s="8" t="s">
        <v>27</v>
      </c>
      <c r="O8047" s="13"/>
      <c r="P8047" s="14">
        <v>0</v>
      </c>
      <c r="Q8047" s="15">
        <v>0.5</v>
      </c>
      <c r="R8047" s="16" t="str">
        <f t="shared" si="643"/>
        <v>DAHUA</v>
      </c>
    </row>
    <row r="8048" spans="1:19" customFormat="1" ht="27" customHeight="1" x14ac:dyDescent="0.25">
      <c r="A8048" s="32" t="s">
        <v>2512</v>
      </c>
      <c r="H8048" s="32" t="s">
        <v>16462</v>
      </c>
      <c r="I8048" t="s">
        <v>16463</v>
      </c>
      <c r="J8048" s="34" t="s">
        <v>33</v>
      </c>
      <c r="K8048" s="42">
        <v>312100</v>
      </c>
      <c r="L8048" s="12">
        <f t="shared" si="645"/>
        <v>567454.54545454541</v>
      </c>
      <c r="M8048" s="8">
        <v>1</v>
      </c>
      <c r="N8048" s="8" t="s">
        <v>27</v>
      </c>
      <c r="O8048" s="13"/>
      <c r="P8048" s="14">
        <v>0</v>
      </c>
      <c r="Q8048" s="15">
        <v>0.45</v>
      </c>
      <c r="R8048" s="40" t="str">
        <f t="shared" si="643"/>
        <v>GENERAL</v>
      </c>
    </row>
    <row r="8049" spans="1:20" customFormat="1" ht="27" customHeight="1" x14ac:dyDescent="0.25">
      <c r="A8049" s="32" t="s">
        <v>5672</v>
      </c>
      <c r="H8049" t="s">
        <v>16464</v>
      </c>
      <c r="I8049" t="s">
        <v>16465</v>
      </c>
      <c r="J8049" s="34" t="s">
        <v>26</v>
      </c>
      <c r="K8049" s="42">
        <v>146.5</v>
      </c>
      <c r="L8049" s="12">
        <f t="shared" si="645"/>
        <v>293</v>
      </c>
      <c r="M8049" s="8">
        <v>1</v>
      </c>
      <c r="N8049" s="8" t="s">
        <v>27</v>
      </c>
      <c r="O8049" s="13"/>
      <c r="P8049" s="14">
        <v>0.2</v>
      </c>
      <c r="Q8049" s="15">
        <v>0.4</v>
      </c>
      <c r="R8049" s="40" t="str">
        <f t="shared" si="643"/>
        <v>LUTRON</v>
      </c>
    </row>
    <row r="8050" spans="1:20" customFormat="1" ht="27" customHeight="1" x14ac:dyDescent="0.25">
      <c r="A8050" s="32" t="s">
        <v>5672</v>
      </c>
      <c r="H8050" t="s">
        <v>16466</v>
      </c>
      <c r="I8050" t="s">
        <v>16467</v>
      </c>
      <c r="J8050" s="34" t="s">
        <v>26</v>
      </c>
      <c r="K8050" s="42">
        <v>120.25</v>
      </c>
      <c r="L8050" s="12">
        <f t="shared" si="645"/>
        <v>240.49999999999997</v>
      </c>
      <c r="M8050" s="8">
        <v>1</v>
      </c>
      <c r="N8050" s="8" t="s">
        <v>27</v>
      </c>
      <c r="O8050" s="13"/>
      <c r="P8050" s="14">
        <v>0.2</v>
      </c>
      <c r="Q8050" s="15">
        <v>0.4</v>
      </c>
      <c r="R8050" s="40" t="str">
        <f t="shared" si="643"/>
        <v>LUTRON</v>
      </c>
    </row>
    <row r="8051" spans="1:20" customFormat="1" ht="27" customHeight="1" x14ac:dyDescent="0.25">
      <c r="A8051" s="32" t="s">
        <v>13983</v>
      </c>
      <c r="H8051" t="s">
        <v>14064</v>
      </c>
      <c r="I8051" t="s">
        <v>16468</v>
      </c>
      <c r="J8051" s="34" t="s">
        <v>26</v>
      </c>
      <c r="K8051" s="42">
        <f>36.25*0.5*1.16</f>
        <v>21.024999999999999</v>
      </c>
      <c r="L8051" s="12">
        <f t="shared" si="645"/>
        <v>39.046428571428571</v>
      </c>
      <c r="M8051" s="8">
        <v>1</v>
      </c>
      <c r="N8051" s="8" t="s">
        <v>27</v>
      </c>
      <c r="O8051" s="13"/>
      <c r="P8051" s="14">
        <v>0.3</v>
      </c>
      <c r="Q8051" s="15">
        <v>0.3</v>
      </c>
      <c r="R8051" s="40" t="str">
        <f t="shared" si="643"/>
        <v>HOFFLIGHTS</v>
      </c>
    </row>
    <row r="8052" spans="1:20" customFormat="1" ht="27" customHeight="1" x14ac:dyDescent="0.25">
      <c r="A8052" s="32" t="s">
        <v>13983</v>
      </c>
      <c r="H8052" t="s">
        <v>15032</v>
      </c>
      <c r="I8052" t="s">
        <v>16469</v>
      </c>
      <c r="J8052" s="34" t="s">
        <v>26</v>
      </c>
      <c r="K8052" s="42">
        <f>71*1.16*0.5</f>
        <v>41.18</v>
      </c>
      <c r="L8052" s="12">
        <f t="shared" si="645"/>
        <v>76.477142857142866</v>
      </c>
      <c r="M8052" s="8">
        <v>1</v>
      </c>
      <c r="N8052" s="8" t="s">
        <v>27</v>
      </c>
      <c r="O8052" s="13"/>
      <c r="P8052" s="14">
        <v>0.3</v>
      </c>
      <c r="Q8052" s="15">
        <v>0.3</v>
      </c>
      <c r="R8052" s="40" t="str">
        <f t="shared" si="643"/>
        <v>HOFFLIGHTS</v>
      </c>
    </row>
    <row r="8053" spans="1:20" customFormat="1" ht="27" customHeight="1" x14ac:dyDescent="0.25">
      <c r="A8053" s="32" t="s">
        <v>13983</v>
      </c>
      <c r="H8053" t="s">
        <v>15042</v>
      </c>
      <c r="I8053" t="s">
        <v>16470</v>
      </c>
      <c r="J8053" s="34" t="s">
        <v>26</v>
      </c>
      <c r="K8053" s="42">
        <f>163*0.5*1.16</f>
        <v>94.539999999999992</v>
      </c>
      <c r="L8053" s="12">
        <f t="shared" si="645"/>
        <v>175.57428571428571</v>
      </c>
      <c r="M8053" s="8">
        <v>1</v>
      </c>
      <c r="N8053" s="8" t="s">
        <v>27</v>
      </c>
      <c r="O8053" s="13"/>
      <c r="P8053" s="14">
        <v>0.3</v>
      </c>
      <c r="Q8053" s="15">
        <v>0.3</v>
      </c>
      <c r="R8053" s="40" t="str">
        <f t="shared" si="643"/>
        <v>HOFFLIGHTS</v>
      </c>
    </row>
    <row r="8054" spans="1:20" customFormat="1" ht="27" customHeight="1" x14ac:dyDescent="0.25">
      <c r="A8054" s="32" t="s">
        <v>2512</v>
      </c>
      <c r="H8054" t="s">
        <v>16471</v>
      </c>
      <c r="I8054" t="s">
        <v>16472</v>
      </c>
      <c r="J8054" s="34" t="s">
        <v>33</v>
      </c>
      <c r="K8054" s="42">
        <v>87000</v>
      </c>
      <c r="L8054" s="12">
        <f t="shared" si="645"/>
        <v>161571.42857142858</v>
      </c>
      <c r="M8054" s="8">
        <v>1</v>
      </c>
      <c r="N8054" s="8" t="s">
        <v>27</v>
      </c>
      <c r="O8054" s="13"/>
      <c r="P8054" s="14">
        <v>0.3</v>
      </c>
      <c r="Q8054" s="15">
        <v>0.3</v>
      </c>
      <c r="R8054" s="40" t="str">
        <f t="shared" si="643"/>
        <v>GENERAL</v>
      </c>
    </row>
    <row r="8055" spans="1:20" customFormat="1" ht="27" customHeight="1" x14ac:dyDescent="0.25">
      <c r="A8055" s="32" t="s">
        <v>2512</v>
      </c>
      <c r="H8055" t="s">
        <v>16473</v>
      </c>
      <c r="I8055" t="s">
        <v>16474</v>
      </c>
      <c r="J8055" s="34" t="s">
        <v>33</v>
      </c>
      <c r="K8055" s="42">
        <v>57000</v>
      </c>
      <c r="L8055" s="12">
        <f t="shared" si="645"/>
        <v>81428.571428571435</v>
      </c>
      <c r="M8055" s="8">
        <v>1</v>
      </c>
      <c r="N8055" s="8" t="s">
        <v>27</v>
      </c>
      <c r="O8055" s="13"/>
      <c r="P8055" s="14">
        <v>0</v>
      </c>
      <c r="Q8055" s="15">
        <v>0.3</v>
      </c>
      <c r="R8055" s="40" t="str">
        <f t="shared" si="643"/>
        <v>GENERAL</v>
      </c>
    </row>
    <row r="8056" spans="1:20" customFormat="1" ht="27" customHeight="1" x14ac:dyDescent="0.25">
      <c r="A8056" s="32" t="s">
        <v>16475</v>
      </c>
      <c r="H8056" t="s">
        <v>16476</v>
      </c>
      <c r="I8056" t="s">
        <v>16477</v>
      </c>
      <c r="J8056" s="34" t="s">
        <v>33</v>
      </c>
      <c r="K8056" s="42">
        <v>40811</v>
      </c>
      <c r="L8056" s="12">
        <f t="shared" si="645"/>
        <v>68018.333333333343</v>
      </c>
      <c r="M8056" s="8">
        <v>1</v>
      </c>
      <c r="N8056" s="8" t="s">
        <v>27</v>
      </c>
      <c r="O8056" s="13"/>
      <c r="P8056" s="14">
        <v>0</v>
      </c>
      <c r="Q8056" s="15">
        <v>0.4</v>
      </c>
      <c r="R8056" s="40" t="str">
        <f t="shared" si="643"/>
        <v>POWER_GEAR</v>
      </c>
    </row>
    <row r="8057" spans="1:20" customFormat="1" ht="27" customHeight="1" x14ac:dyDescent="0.25">
      <c r="A8057" s="32" t="s">
        <v>16475</v>
      </c>
      <c r="H8057" t="s">
        <v>16478</v>
      </c>
      <c r="I8057" t="s">
        <v>16479</v>
      </c>
      <c r="J8057" s="34" t="s">
        <v>33</v>
      </c>
      <c r="K8057" s="42">
        <v>16430</v>
      </c>
      <c r="L8057" s="12">
        <f t="shared" si="645"/>
        <v>27383.333333333336</v>
      </c>
      <c r="M8057" s="8">
        <v>1</v>
      </c>
      <c r="N8057" s="8" t="s">
        <v>27</v>
      </c>
      <c r="O8057" s="13"/>
      <c r="P8057" s="14">
        <v>0</v>
      </c>
      <c r="Q8057" s="15">
        <v>0.4</v>
      </c>
      <c r="R8057" s="40" t="str">
        <f t="shared" si="643"/>
        <v>POWER_GEAR</v>
      </c>
    </row>
    <row r="8058" spans="1:20" customFormat="1" ht="27" customHeight="1" x14ac:dyDescent="0.25">
      <c r="A8058" s="32" t="s">
        <v>9426</v>
      </c>
      <c r="H8058" t="s">
        <v>16480</v>
      </c>
      <c r="I8058" t="s">
        <v>16481</v>
      </c>
      <c r="J8058" s="34" t="s">
        <v>33</v>
      </c>
      <c r="K8058" s="42">
        <v>22000</v>
      </c>
      <c r="L8058" s="12">
        <f t="shared" si="645"/>
        <v>36666.666666666672</v>
      </c>
      <c r="M8058" s="8">
        <v>1</v>
      </c>
      <c r="N8058" s="8" t="s">
        <v>27</v>
      </c>
      <c r="O8058" s="13"/>
      <c r="P8058" s="14">
        <v>0</v>
      </c>
      <c r="Q8058" s="15">
        <v>0.4</v>
      </c>
      <c r="R8058" s="40" t="str">
        <f t="shared" si="643"/>
        <v>UNIVERSAL</v>
      </c>
    </row>
    <row r="8059" spans="1:20" customFormat="1" ht="27" customHeight="1" x14ac:dyDescent="0.25">
      <c r="A8059" s="32" t="s">
        <v>9426</v>
      </c>
      <c r="H8059" t="s">
        <v>16482</v>
      </c>
      <c r="I8059" t="s">
        <v>16483</v>
      </c>
      <c r="J8059" s="34" t="s">
        <v>33</v>
      </c>
      <c r="K8059" s="42">
        <v>140000</v>
      </c>
      <c r="L8059" s="12">
        <f t="shared" si="645"/>
        <v>233333.33333333334</v>
      </c>
      <c r="M8059" s="8">
        <v>1</v>
      </c>
      <c r="N8059" s="8" t="s">
        <v>27</v>
      </c>
      <c r="O8059" s="13"/>
      <c r="P8059" s="14">
        <v>0</v>
      </c>
      <c r="Q8059" s="15">
        <v>0.4</v>
      </c>
      <c r="R8059" s="40" t="str">
        <f t="shared" si="643"/>
        <v>UNIVERSAL</v>
      </c>
    </row>
    <row r="8060" spans="1:20" customFormat="1" ht="27" customHeight="1" x14ac:dyDescent="0.25">
      <c r="A8060" s="32" t="s">
        <v>9426</v>
      </c>
      <c r="H8060" t="s">
        <v>16484</v>
      </c>
      <c r="I8060" t="s">
        <v>16485</v>
      </c>
      <c r="J8060" s="34" t="s">
        <v>33</v>
      </c>
      <c r="K8060" s="42">
        <v>182000</v>
      </c>
      <c r="L8060" s="12">
        <f t="shared" si="645"/>
        <v>303333.33333333337</v>
      </c>
      <c r="M8060" s="8">
        <v>1</v>
      </c>
      <c r="N8060" s="8" t="s">
        <v>27</v>
      </c>
      <c r="O8060" s="13"/>
      <c r="P8060" s="14">
        <v>0</v>
      </c>
      <c r="Q8060" s="15">
        <v>0.4</v>
      </c>
      <c r="R8060" s="40" t="str">
        <f t="shared" si="643"/>
        <v>UNIVERSAL</v>
      </c>
    </row>
    <row r="8061" spans="1:20" customFormat="1" ht="27" customHeight="1" x14ac:dyDescent="0.25">
      <c r="A8061" s="32" t="s">
        <v>2512</v>
      </c>
      <c r="H8061" t="s">
        <v>16486</v>
      </c>
      <c r="I8061" t="s">
        <v>16487</v>
      </c>
      <c r="J8061" s="34" t="s">
        <v>33</v>
      </c>
      <c r="K8061" s="42">
        <v>2000</v>
      </c>
      <c r="L8061" s="12">
        <f t="shared" si="645"/>
        <v>3333.3333333333335</v>
      </c>
      <c r="M8061" s="8">
        <v>1</v>
      </c>
      <c r="N8061" s="8" t="s">
        <v>27</v>
      </c>
      <c r="O8061" s="13"/>
      <c r="P8061" s="14">
        <v>0</v>
      </c>
      <c r="Q8061" s="15">
        <v>0.4</v>
      </c>
      <c r="R8061" s="40" t="str">
        <f t="shared" si="643"/>
        <v>GENERAL</v>
      </c>
    </row>
    <row r="8062" spans="1:20" customFormat="1" ht="27" customHeight="1" x14ac:dyDescent="0.25">
      <c r="A8062" s="8" t="s">
        <v>10258</v>
      </c>
      <c r="B8062" s="9"/>
      <c r="C8062" s="9"/>
      <c r="D8062" s="8"/>
      <c r="E8062" s="8"/>
      <c r="F8062" s="8"/>
      <c r="G8062" s="10"/>
      <c r="H8062" s="8" t="s">
        <v>16488</v>
      </c>
      <c r="I8062" s="10" t="s">
        <v>16489</v>
      </c>
      <c r="J8062" s="11" t="s">
        <v>33</v>
      </c>
      <c r="K8062" s="18">
        <v>256302</v>
      </c>
      <c r="L8062" s="12">
        <f t="shared" ref="L8062:L8081" si="646">IF(J8062="P",ROUNDUP(K8062/(1-Q8062),-2),K8062*(1+P8062)/(1-Q8062))</f>
        <v>427200</v>
      </c>
      <c r="M8062" s="8">
        <v>1</v>
      </c>
      <c r="N8062" s="8" t="s">
        <v>27</v>
      </c>
      <c r="O8062" s="13"/>
      <c r="P8062" s="14">
        <v>0.2</v>
      </c>
      <c r="Q8062" s="15">
        <v>0.4</v>
      </c>
      <c r="R8062" s="16" t="str">
        <f t="shared" si="643"/>
        <v>SC_POWER</v>
      </c>
      <c r="S8062" s="17"/>
      <c r="T8062" s="10"/>
    </row>
    <row r="8063" spans="1:20" customFormat="1" ht="27" customHeight="1" x14ac:dyDescent="0.25">
      <c r="A8063" s="32" t="s">
        <v>2512</v>
      </c>
      <c r="H8063" s="32" t="s">
        <v>12859</v>
      </c>
      <c r="I8063" s="33" t="s">
        <v>16490</v>
      </c>
      <c r="J8063" s="34" t="s">
        <v>33</v>
      </c>
      <c r="K8063" s="42">
        <v>5000</v>
      </c>
      <c r="L8063" s="12">
        <f t="shared" si="646"/>
        <v>10000</v>
      </c>
      <c r="M8063" s="8">
        <v>1</v>
      </c>
      <c r="N8063" s="8" t="s">
        <v>27</v>
      </c>
      <c r="O8063" s="13"/>
      <c r="P8063" s="14">
        <v>0</v>
      </c>
      <c r="Q8063" s="15">
        <v>0.5</v>
      </c>
      <c r="R8063" s="16" t="str">
        <f t="shared" si="643"/>
        <v>GENERAL</v>
      </c>
      <c r="S8063" s="17"/>
    </row>
    <row r="8064" spans="1:20" customFormat="1" ht="27" customHeight="1" x14ac:dyDescent="0.25">
      <c r="A8064" s="32" t="s">
        <v>1561</v>
      </c>
      <c r="H8064" s="32" t="s">
        <v>16491</v>
      </c>
      <c r="I8064" s="33" t="s">
        <v>16492</v>
      </c>
      <c r="J8064" s="34" t="s">
        <v>33</v>
      </c>
      <c r="K8064">
        <v>199101</v>
      </c>
      <c r="L8064" s="12">
        <f t="shared" si="646"/>
        <v>331900</v>
      </c>
      <c r="M8064" s="8">
        <v>1</v>
      </c>
      <c r="N8064" s="8" t="s">
        <v>27</v>
      </c>
      <c r="O8064" s="13"/>
      <c r="P8064" s="14">
        <v>0</v>
      </c>
      <c r="Q8064" s="15">
        <v>0.4</v>
      </c>
      <c r="R8064" s="16" t="str">
        <f t="shared" si="643"/>
        <v>DAHUA</v>
      </c>
      <c r="S8064" s="17"/>
    </row>
    <row r="8065" spans="1:19" customFormat="1" ht="27" customHeight="1" x14ac:dyDescent="0.25">
      <c r="A8065" s="32" t="s">
        <v>16493</v>
      </c>
      <c r="H8065" s="32" t="s">
        <v>16494</v>
      </c>
      <c r="I8065" s="38" t="s">
        <v>16495</v>
      </c>
      <c r="J8065" s="34" t="s">
        <v>26</v>
      </c>
      <c r="K8065" s="42">
        <v>989</v>
      </c>
      <c r="L8065" s="12">
        <f t="shared" si="646"/>
        <v>1483.4999999999998</v>
      </c>
      <c r="M8065" s="8">
        <v>1</v>
      </c>
      <c r="N8065" s="8" t="s">
        <v>27</v>
      </c>
      <c r="O8065" s="13"/>
      <c r="P8065" s="14">
        <v>0.2</v>
      </c>
      <c r="Q8065" s="15">
        <v>0.2</v>
      </c>
      <c r="R8065" s="16" t="str">
        <f t="shared" si="643"/>
        <v>CAME</v>
      </c>
      <c r="S8065" s="17"/>
    </row>
    <row r="8066" spans="1:19" customFormat="1" ht="27" customHeight="1" x14ac:dyDescent="0.25">
      <c r="A8066" s="32" t="s">
        <v>16493</v>
      </c>
      <c r="H8066" s="32" t="s">
        <v>16496</v>
      </c>
      <c r="I8066" s="33" t="s">
        <v>16497</v>
      </c>
      <c r="J8066" s="34" t="s">
        <v>26</v>
      </c>
      <c r="K8066" s="42">
        <v>530</v>
      </c>
      <c r="L8066" s="12">
        <f t="shared" si="646"/>
        <v>795</v>
      </c>
      <c r="M8066" s="8">
        <v>1</v>
      </c>
      <c r="N8066" s="8" t="s">
        <v>27</v>
      </c>
      <c r="O8066" s="13"/>
      <c r="P8066" s="14">
        <v>0.2</v>
      </c>
      <c r="Q8066" s="15">
        <v>0.2</v>
      </c>
      <c r="R8066" s="16" t="str">
        <f t="shared" si="643"/>
        <v>CAME</v>
      </c>
      <c r="S8066" s="17"/>
    </row>
    <row r="8067" spans="1:19" customFormat="1" ht="27" customHeight="1" x14ac:dyDescent="0.25">
      <c r="A8067" s="32" t="s">
        <v>16493</v>
      </c>
      <c r="H8067" s="32" t="s">
        <v>16498</v>
      </c>
      <c r="I8067" s="33" t="s">
        <v>16499</v>
      </c>
      <c r="J8067" s="34" t="s">
        <v>26</v>
      </c>
      <c r="K8067" s="42">
        <v>95</v>
      </c>
      <c r="L8067" s="12">
        <f t="shared" si="646"/>
        <v>142.5</v>
      </c>
      <c r="M8067" s="8">
        <v>1</v>
      </c>
      <c r="N8067" s="8" t="s">
        <v>27</v>
      </c>
      <c r="O8067" s="13"/>
      <c r="P8067" s="14">
        <v>0.2</v>
      </c>
      <c r="Q8067" s="15">
        <v>0.2</v>
      </c>
      <c r="R8067" s="16" t="str">
        <f t="shared" si="643"/>
        <v>CAME</v>
      </c>
      <c r="S8067" s="17"/>
    </row>
    <row r="8068" spans="1:19" customFormat="1" ht="27" customHeight="1" x14ac:dyDescent="0.25">
      <c r="A8068" s="32" t="s">
        <v>16493</v>
      </c>
      <c r="H8068" s="32" t="s">
        <v>16500</v>
      </c>
      <c r="I8068" s="38" t="s">
        <v>16501</v>
      </c>
      <c r="J8068" s="34" t="s">
        <v>26</v>
      </c>
      <c r="K8068" s="42">
        <v>880</v>
      </c>
      <c r="L8068" s="12">
        <f t="shared" si="646"/>
        <v>1320</v>
      </c>
      <c r="M8068" s="8">
        <v>1</v>
      </c>
      <c r="N8068" s="8" t="s">
        <v>27</v>
      </c>
      <c r="O8068" s="13"/>
      <c r="P8068" s="14">
        <v>0.2</v>
      </c>
      <c r="Q8068" s="15">
        <v>0.2</v>
      </c>
      <c r="R8068" s="16" t="str">
        <f t="shared" si="643"/>
        <v>CAME</v>
      </c>
      <c r="S8068" s="17"/>
    </row>
    <row r="8069" spans="1:19" customFormat="1" ht="27" customHeight="1" x14ac:dyDescent="0.25">
      <c r="A8069" s="32" t="s">
        <v>16493</v>
      </c>
      <c r="H8069" s="32" t="s">
        <v>16502</v>
      </c>
      <c r="I8069" s="33" t="s">
        <v>16503</v>
      </c>
      <c r="J8069" s="34" t="s">
        <v>26</v>
      </c>
      <c r="K8069" s="42">
        <v>47</v>
      </c>
      <c r="L8069" s="12">
        <f t="shared" si="646"/>
        <v>70.5</v>
      </c>
      <c r="M8069" s="8">
        <v>1</v>
      </c>
      <c r="N8069" s="8" t="s">
        <v>27</v>
      </c>
      <c r="O8069" s="13"/>
      <c r="P8069" s="14">
        <v>0.2</v>
      </c>
      <c r="Q8069" s="15">
        <v>0.2</v>
      </c>
      <c r="R8069" s="16" t="str">
        <f t="shared" ref="R8069:R8132" si="647">A8069</f>
        <v>CAME</v>
      </c>
      <c r="S8069" s="17"/>
    </row>
    <row r="8070" spans="1:19" customFormat="1" ht="27" customHeight="1" x14ac:dyDescent="0.25">
      <c r="A8070" s="32" t="s">
        <v>16493</v>
      </c>
      <c r="H8070" s="32" t="s">
        <v>16504</v>
      </c>
      <c r="I8070" s="33" t="s">
        <v>16505</v>
      </c>
      <c r="J8070" s="34" t="s">
        <v>26</v>
      </c>
      <c r="K8070" s="42">
        <v>51</v>
      </c>
      <c r="L8070" s="12">
        <f t="shared" si="646"/>
        <v>76.499999999999986</v>
      </c>
      <c r="M8070" s="8">
        <v>1</v>
      </c>
      <c r="N8070" s="8" t="s">
        <v>27</v>
      </c>
      <c r="O8070" s="13"/>
      <c r="P8070" s="14">
        <v>0.2</v>
      </c>
      <c r="Q8070" s="15">
        <v>0.2</v>
      </c>
      <c r="R8070" s="16" t="str">
        <f t="shared" si="647"/>
        <v>CAME</v>
      </c>
      <c r="S8070" s="17"/>
    </row>
    <row r="8071" spans="1:19" customFormat="1" ht="27" customHeight="1" x14ac:dyDescent="0.25">
      <c r="A8071" s="32" t="s">
        <v>13691</v>
      </c>
      <c r="H8071" s="32" t="s">
        <v>16506</v>
      </c>
      <c r="I8071" s="33" t="s">
        <v>16507</v>
      </c>
      <c r="J8071" s="34" t="s">
        <v>26</v>
      </c>
      <c r="K8071" s="42">
        <v>22</v>
      </c>
      <c r="L8071" s="12">
        <f t="shared" si="646"/>
        <v>47.666666666666671</v>
      </c>
      <c r="M8071" s="8">
        <v>1</v>
      </c>
      <c r="N8071" s="8" t="s">
        <v>27</v>
      </c>
      <c r="O8071" s="13"/>
      <c r="P8071" s="14">
        <v>0.3</v>
      </c>
      <c r="Q8071" s="15">
        <v>0.4</v>
      </c>
      <c r="R8071" s="16" t="str">
        <f t="shared" si="647"/>
        <v>RAYZEEK</v>
      </c>
      <c r="S8071" s="17"/>
    </row>
    <row r="8072" spans="1:19" customFormat="1" ht="27" customHeight="1" x14ac:dyDescent="0.25">
      <c r="A8072" s="32" t="s">
        <v>3977</v>
      </c>
      <c r="H8072" s="32" t="s">
        <v>16508</v>
      </c>
      <c r="I8072" s="33" t="s">
        <v>16509</v>
      </c>
      <c r="J8072" s="34" t="s">
        <v>33</v>
      </c>
      <c r="K8072" s="42">
        <v>238000</v>
      </c>
      <c r="L8072" s="12">
        <f t="shared" si="646"/>
        <v>340000</v>
      </c>
      <c r="M8072" s="8">
        <v>1</v>
      </c>
      <c r="N8072" s="8" t="s">
        <v>27</v>
      </c>
      <c r="O8072" s="13"/>
      <c r="P8072" s="14">
        <v>0</v>
      </c>
      <c r="Q8072" s="15">
        <v>0.3</v>
      </c>
      <c r="R8072" s="16" t="str">
        <f t="shared" si="647"/>
        <v>KOMODO</v>
      </c>
      <c r="S8072" s="17"/>
    </row>
    <row r="8073" spans="1:19" customFormat="1" ht="27" customHeight="1" x14ac:dyDescent="0.25">
      <c r="A8073" s="32" t="s">
        <v>3977</v>
      </c>
      <c r="H8073" s="32" t="s">
        <v>16510</v>
      </c>
      <c r="I8073" s="33" t="s">
        <v>16511</v>
      </c>
      <c r="J8073" s="34" t="s">
        <v>33</v>
      </c>
      <c r="K8073" s="42">
        <v>154000</v>
      </c>
      <c r="L8073" s="12">
        <f t="shared" si="646"/>
        <v>220000</v>
      </c>
      <c r="M8073" s="8">
        <v>1</v>
      </c>
      <c r="N8073" s="8" t="s">
        <v>27</v>
      </c>
      <c r="O8073" s="13"/>
      <c r="P8073" s="14">
        <v>0</v>
      </c>
      <c r="Q8073" s="15">
        <v>0.3</v>
      </c>
      <c r="R8073" s="16" t="str">
        <f t="shared" si="647"/>
        <v>KOMODO</v>
      </c>
      <c r="S8073" s="17"/>
    </row>
    <row r="8074" spans="1:19" customFormat="1" ht="27" customHeight="1" x14ac:dyDescent="0.25">
      <c r="A8074" s="32" t="s">
        <v>2512</v>
      </c>
      <c r="H8074" s="32" t="s">
        <v>16512</v>
      </c>
      <c r="I8074" s="33" t="s">
        <v>16513</v>
      </c>
      <c r="J8074" s="34" t="s">
        <v>33</v>
      </c>
      <c r="K8074" s="42">
        <v>59000</v>
      </c>
      <c r="L8074" s="12">
        <f t="shared" si="646"/>
        <v>84300</v>
      </c>
      <c r="M8074" s="8">
        <v>1</v>
      </c>
      <c r="N8074" s="8" t="s">
        <v>27</v>
      </c>
      <c r="O8074" s="13"/>
      <c r="P8074" s="14">
        <v>0</v>
      </c>
      <c r="Q8074" s="15">
        <v>0.3</v>
      </c>
      <c r="R8074" s="16" t="str">
        <f t="shared" si="647"/>
        <v>GENERAL</v>
      </c>
      <c r="S8074" s="17"/>
    </row>
    <row r="8075" spans="1:19" customFormat="1" ht="27" customHeight="1" x14ac:dyDescent="0.25">
      <c r="A8075" s="32" t="s">
        <v>7633</v>
      </c>
      <c r="H8075" s="32" t="s">
        <v>16514</v>
      </c>
      <c r="I8075" s="33" t="s">
        <v>16515</v>
      </c>
      <c r="J8075" s="34" t="s">
        <v>33</v>
      </c>
      <c r="K8075" s="42">
        <v>540288.78</v>
      </c>
      <c r="L8075" s="12">
        <f t="shared" si="646"/>
        <v>771900</v>
      </c>
      <c r="M8075" s="8">
        <v>1</v>
      </c>
      <c r="N8075" s="8" t="s">
        <v>27</v>
      </c>
      <c r="O8075" s="13"/>
      <c r="P8075" s="14">
        <v>0</v>
      </c>
      <c r="Q8075" s="15">
        <v>0.3</v>
      </c>
      <c r="R8075" s="16" t="str">
        <f t="shared" si="647"/>
        <v>PANDUIT</v>
      </c>
      <c r="S8075" s="17"/>
    </row>
    <row r="8076" spans="1:19" customFormat="1" ht="27" customHeight="1" x14ac:dyDescent="0.25">
      <c r="A8076" s="32" t="s">
        <v>7633</v>
      </c>
      <c r="H8076" s="32" t="s">
        <v>16516</v>
      </c>
      <c r="I8076" s="33" t="s">
        <v>16517</v>
      </c>
      <c r="J8076" s="34" t="s">
        <v>33</v>
      </c>
      <c r="K8076" s="42">
        <v>517059.54</v>
      </c>
      <c r="L8076" s="12">
        <f t="shared" si="646"/>
        <v>738700</v>
      </c>
      <c r="M8076" s="8">
        <v>1</v>
      </c>
      <c r="N8076" s="8" t="s">
        <v>27</v>
      </c>
      <c r="O8076" s="13"/>
      <c r="P8076" s="14">
        <v>0</v>
      </c>
      <c r="Q8076" s="15">
        <v>0.3</v>
      </c>
      <c r="R8076" s="16" t="str">
        <f t="shared" si="647"/>
        <v>PANDUIT</v>
      </c>
      <c r="S8076" s="17"/>
    </row>
    <row r="8077" spans="1:19" customFormat="1" ht="27" customHeight="1" x14ac:dyDescent="0.25">
      <c r="A8077" s="32" t="s">
        <v>1997</v>
      </c>
      <c r="H8077" s="32" t="s">
        <v>16518</v>
      </c>
      <c r="I8077" s="33" t="s">
        <v>16519</v>
      </c>
      <c r="J8077" s="34" t="s">
        <v>33</v>
      </c>
      <c r="K8077" s="42">
        <v>28000</v>
      </c>
      <c r="L8077" s="12">
        <f t="shared" si="646"/>
        <v>40000</v>
      </c>
      <c r="M8077" s="8">
        <v>1</v>
      </c>
      <c r="N8077" s="8" t="s">
        <v>27</v>
      </c>
      <c r="O8077" s="13"/>
      <c r="P8077" s="14">
        <v>0</v>
      </c>
      <c r="Q8077" s="15">
        <v>0.3</v>
      </c>
      <c r="R8077" s="16" t="str">
        <f t="shared" si="647"/>
        <v>DIGITAL</v>
      </c>
      <c r="S8077" s="17"/>
    </row>
    <row r="8078" spans="1:19" customFormat="1" ht="27" customHeight="1" x14ac:dyDescent="0.25">
      <c r="A8078" s="32" t="s">
        <v>2512</v>
      </c>
      <c r="H8078" s="32" t="s">
        <v>16520</v>
      </c>
      <c r="I8078" s="33" t="s">
        <v>16521</v>
      </c>
      <c r="J8078" s="34" t="s">
        <v>33</v>
      </c>
      <c r="K8078" s="42">
        <v>150000</v>
      </c>
      <c r="L8078" s="12">
        <f t="shared" si="646"/>
        <v>214300</v>
      </c>
      <c r="M8078" s="8">
        <v>1</v>
      </c>
      <c r="N8078" s="8" t="s">
        <v>27</v>
      </c>
      <c r="O8078" s="13"/>
      <c r="P8078" s="14">
        <v>0</v>
      </c>
      <c r="Q8078" s="15">
        <v>0.3</v>
      </c>
      <c r="R8078" s="16" t="str">
        <f t="shared" si="647"/>
        <v>GENERAL</v>
      </c>
      <c r="S8078" s="17"/>
    </row>
    <row r="8079" spans="1:19" customFormat="1" ht="27" customHeight="1" x14ac:dyDescent="0.25">
      <c r="A8079" s="32" t="s">
        <v>3813</v>
      </c>
      <c r="H8079" s="32" t="s">
        <v>16522</v>
      </c>
      <c r="I8079" s="33" t="s">
        <v>16523</v>
      </c>
      <c r="J8079" s="34" t="s">
        <v>33</v>
      </c>
      <c r="K8079" s="42">
        <v>12200</v>
      </c>
      <c r="L8079" s="12">
        <f t="shared" si="646"/>
        <v>20400</v>
      </c>
      <c r="M8079" s="8">
        <v>1</v>
      </c>
      <c r="N8079" s="8" t="s">
        <v>27</v>
      </c>
      <c r="O8079" s="13"/>
      <c r="P8079" s="14">
        <v>0.2</v>
      </c>
      <c r="Q8079" s="15">
        <v>0.4</v>
      </c>
      <c r="R8079" s="16" t="str">
        <f t="shared" si="647"/>
        <v>KALLEY</v>
      </c>
      <c r="S8079" s="17"/>
    </row>
    <row r="8080" spans="1:19" customFormat="1" ht="27" customHeight="1" x14ac:dyDescent="0.25">
      <c r="A8080" s="32" t="s">
        <v>16524</v>
      </c>
      <c r="H8080" s="32" t="s">
        <v>16525</v>
      </c>
      <c r="I8080" s="33" t="s">
        <v>16526</v>
      </c>
      <c r="J8080" s="34" t="s">
        <v>33</v>
      </c>
      <c r="K8080" s="42">
        <v>277311</v>
      </c>
      <c r="L8080" s="12">
        <f t="shared" si="646"/>
        <v>462200</v>
      </c>
      <c r="M8080" s="8">
        <v>1</v>
      </c>
      <c r="N8080" s="8" t="s">
        <v>27</v>
      </c>
      <c r="O8080" s="13"/>
      <c r="P8080" s="14">
        <v>0</v>
      </c>
      <c r="Q8080" s="15">
        <v>0.4</v>
      </c>
      <c r="R8080" s="16" t="str">
        <f t="shared" si="647"/>
        <v>D-LINK</v>
      </c>
      <c r="S8080" s="17"/>
    </row>
    <row r="8081" spans="1:20" customFormat="1" ht="27" customHeight="1" x14ac:dyDescent="0.25">
      <c r="A8081" s="32" t="s">
        <v>8308</v>
      </c>
      <c r="H8081" s="32" t="s">
        <v>16527</v>
      </c>
      <c r="I8081" s="33" t="s">
        <v>16528</v>
      </c>
      <c r="J8081" s="34" t="s">
        <v>33</v>
      </c>
      <c r="K8081" s="42">
        <v>142900</v>
      </c>
      <c r="L8081" s="12">
        <f t="shared" si="646"/>
        <v>238200</v>
      </c>
      <c r="M8081" s="8">
        <v>1</v>
      </c>
      <c r="N8081" s="8" t="s">
        <v>27</v>
      </c>
      <c r="O8081" s="13"/>
      <c r="P8081" s="14">
        <v>0</v>
      </c>
      <c r="Q8081" s="15">
        <v>0.4</v>
      </c>
      <c r="R8081" s="16" t="str">
        <f t="shared" si="647"/>
        <v>SOLIDVIEW</v>
      </c>
      <c r="S8081" s="17"/>
    </row>
    <row r="8082" spans="1:20" customFormat="1" ht="27" customHeight="1" x14ac:dyDescent="0.25">
      <c r="A8082" s="32" t="s">
        <v>5672</v>
      </c>
      <c r="H8082" s="32" t="s">
        <v>13605</v>
      </c>
      <c r="I8082" s="33" t="s">
        <v>16529</v>
      </c>
      <c r="J8082" s="34" t="s">
        <v>33</v>
      </c>
      <c r="K8082" s="42">
        <v>26630</v>
      </c>
      <c r="L8082" s="12">
        <f t="shared" ref="L8082:L8089" si="648">K8082*(1+P8082)/(1-Q8082)</f>
        <v>44383.333333333336</v>
      </c>
      <c r="M8082" s="8">
        <v>1</v>
      </c>
      <c r="N8082" s="8" t="s">
        <v>27</v>
      </c>
      <c r="O8082" s="13"/>
      <c r="P8082" s="14">
        <v>0</v>
      </c>
      <c r="Q8082" s="15">
        <v>0.4</v>
      </c>
      <c r="R8082" s="16" t="str">
        <f t="shared" si="647"/>
        <v>LUTRON</v>
      </c>
    </row>
    <row r="8083" spans="1:20" customFormat="1" ht="27" customHeight="1" x14ac:dyDescent="0.25">
      <c r="A8083" s="32" t="s">
        <v>1561</v>
      </c>
      <c r="H8083" s="32" t="s">
        <v>1721</v>
      </c>
      <c r="I8083" t="s">
        <v>16530</v>
      </c>
      <c r="J8083" s="34" t="s">
        <v>33</v>
      </c>
      <c r="K8083" s="42">
        <v>385810</v>
      </c>
      <c r="L8083" s="12">
        <f t="shared" si="648"/>
        <v>551157.14285714284</v>
      </c>
      <c r="M8083" s="8">
        <v>1</v>
      </c>
      <c r="N8083" s="8" t="s">
        <v>27</v>
      </c>
      <c r="O8083" s="13"/>
      <c r="P8083" s="14">
        <v>0</v>
      </c>
      <c r="Q8083" s="15">
        <v>0.3</v>
      </c>
      <c r="R8083" s="40" t="str">
        <f t="shared" si="647"/>
        <v>DAHUA</v>
      </c>
    </row>
    <row r="8084" spans="1:20" customFormat="1" ht="27" customHeight="1" x14ac:dyDescent="0.25">
      <c r="A8084" s="32" t="s">
        <v>1561</v>
      </c>
      <c r="H8084" s="32" t="s">
        <v>16531</v>
      </c>
      <c r="I8084" s="33" t="s">
        <v>16532</v>
      </c>
      <c r="J8084" s="34" t="s">
        <v>33</v>
      </c>
      <c r="K8084" s="42">
        <v>1625025</v>
      </c>
      <c r="L8084" s="12">
        <f t="shared" si="648"/>
        <v>2321464.2857142859</v>
      </c>
      <c r="M8084" s="8">
        <v>1</v>
      </c>
      <c r="N8084" s="8" t="s">
        <v>27</v>
      </c>
      <c r="O8084" s="13"/>
      <c r="P8084" s="14">
        <v>0</v>
      </c>
      <c r="Q8084" s="15">
        <v>0.3</v>
      </c>
      <c r="R8084" s="40" t="str">
        <f t="shared" si="647"/>
        <v>DAHUA</v>
      </c>
    </row>
    <row r="8085" spans="1:20" customFormat="1" ht="27" customHeight="1" x14ac:dyDescent="0.25">
      <c r="A8085" s="32" t="s">
        <v>864</v>
      </c>
      <c r="H8085" s="32" t="s">
        <v>16533</v>
      </c>
      <c r="I8085" s="33" t="s">
        <v>16534</v>
      </c>
      <c r="J8085" s="34" t="s">
        <v>33</v>
      </c>
      <c r="K8085" s="42">
        <v>898235</v>
      </c>
      <c r="L8085" s="12">
        <f t="shared" si="648"/>
        <v>1283192.8571428573</v>
      </c>
      <c r="M8085" s="8">
        <v>1</v>
      </c>
      <c r="N8085" s="8" t="s">
        <v>27</v>
      </c>
      <c r="O8085" s="13"/>
      <c r="P8085" s="14">
        <v>0</v>
      </c>
      <c r="Q8085" s="15">
        <v>0.3</v>
      </c>
      <c r="R8085" s="40" t="str">
        <f t="shared" si="647"/>
        <v>BOSCH</v>
      </c>
    </row>
    <row r="8086" spans="1:20" customFormat="1" ht="27" customHeight="1" x14ac:dyDescent="0.25">
      <c r="A8086" s="32" t="s">
        <v>864</v>
      </c>
      <c r="H8086" s="32" t="s">
        <v>16535</v>
      </c>
      <c r="I8086" s="33" t="s">
        <v>16536</v>
      </c>
      <c r="J8086" s="34" t="s">
        <v>33</v>
      </c>
      <c r="K8086" s="42">
        <v>669664</v>
      </c>
      <c r="L8086" s="12">
        <f t="shared" si="648"/>
        <v>956662.85714285716</v>
      </c>
      <c r="M8086" s="8">
        <v>1</v>
      </c>
      <c r="N8086" s="8" t="s">
        <v>27</v>
      </c>
      <c r="O8086" s="13"/>
      <c r="P8086" s="14">
        <v>0</v>
      </c>
      <c r="Q8086" s="15">
        <v>0.3</v>
      </c>
      <c r="R8086" s="40" t="str">
        <f t="shared" si="647"/>
        <v>BOSCH</v>
      </c>
    </row>
    <row r="8087" spans="1:20" customFormat="1" ht="27" customHeight="1" x14ac:dyDescent="0.25">
      <c r="A8087" s="32" t="s">
        <v>16537</v>
      </c>
      <c r="H8087" s="32" t="s">
        <v>16538</v>
      </c>
      <c r="I8087" s="38" t="s">
        <v>16539</v>
      </c>
      <c r="J8087" s="34" t="s">
        <v>26</v>
      </c>
      <c r="K8087" s="42">
        <f>385000/3748</f>
        <v>102.7214514407684</v>
      </c>
      <c r="L8087" s="12">
        <f t="shared" si="648"/>
        <v>146.74493062966917</v>
      </c>
      <c r="M8087" s="8">
        <v>1</v>
      </c>
      <c r="N8087" s="8" t="s">
        <v>27</v>
      </c>
      <c r="O8087" s="13"/>
      <c r="P8087" s="14">
        <v>0</v>
      </c>
      <c r="Q8087" s="15">
        <v>0.3</v>
      </c>
      <c r="R8087" s="40" t="str">
        <f t="shared" si="647"/>
        <v>PELADN</v>
      </c>
    </row>
    <row r="8088" spans="1:20" customFormat="1" ht="27" customHeight="1" x14ac:dyDescent="0.25">
      <c r="A8088" s="32" t="s">
        <v>16540</v>
      </c>
      <c r="H8088" s="32" t="s">
        <v>16541</v>
      </c>
      <c r="I8088" s="33" t="s">
        <v>16542</v>
      </c>
      <c r="J8088" s="34" t="s">
        <v>26</v>
      </c>
      <c r="K8088" s="42">
        <v>12.97</v>
      </c>
      <c r="L8088" s="12">
        <f t="shared" si="648"/>
        <v>31.128</v>
      </c>
      <c r="M8088" s="8">
        <v>1</v>
      </c>
      <c r="N8088" s="8" t="s">
        <v>27</v>
      </c>
      <c r="O8088" s="13"/>
      <c r="P8088" s="14">
        <v>0.2</v>
      </c>
      <c r="Q8088" s="15">
        <v>0.5</v>
      </c>
      <c r="R8088" s="40" t="str">
        <f t="shared" si="647"/>
        <v>TIEBUTIE</v>
      </c>
    </row>
    <row r="8089" spans="1:20" customFormat="1" ht="27" customHeight="1" x14ac:dyDescent="0.25">
      <c r="A8089" s="32" t="s">
        <v>16543</v>
      </c>
      <c r="H8089" s="32" t="s">
        <v>16544</v>
      </c>
      <c r="I8089" s="33" t="s">
        <v>16545</v>
      </c>
      <c r="J8089" s="34" t="s">
        <v>26</v>
      </c>
      <c r="K8089" s="42">
        <f>6.99/5</f>
        <v>1.3980000000000001</v>
      </c>
      <c r="L8089" s="12">
        <f t="shared" si="648"/>
        <v>8.3880000000000035</v>
      </c>
      <c r="M8089" s="8">
        <v>1</v>
      </c>
      <c r="N8089" s="8" t="s">
        <v>27</v>
      </c>
      <c r="O8089" s="13"/>
      <c r="P8089" s="14">
        <v>0.2</v>
      </c>
      <c r="Q8089" s="15">
        <v>0.8</v>
      </c>
      <c r="R8089" s="40" t="str">
        <f t="shared" si="647"/>
        <v>FAB</v>
      </c>
    </row>
    <row r="8090" spans="1:20" customFormat="1" ht="27" customHeight="1" x14ac:dyDescent="0.25">
      <c r="A8090" t="s">
        <v>16058</v>
      </c>
      <c r="H8090" t="s">
        <v>16546</v>
      </c>
      <c r="I8090" t="s">
        <v>16547</v>
      </c>
      <c r="J8090" t="s">
        <v>26</v>
      </c>
      <c r="K8090" s="42">
        <v>90</v>
      </c>
      <c r="L8090" s="12">
        <f t="shared" ref="L8090:L8096" si="649">IF(J8090="P",ROUNDUP(K8090/(1-Q8090),-2),K8090*(1+P8090)/(1-Q8090))</f>
        <v>154.28571428571431</v>
      </c>
      <c r="M8090" s="8">
        <v>1</v>
      </c>
      <c r="N8090" s="8" t="s">
        <v>27</v>
      </c>
      <c r="O8090" s="13"/>
      <c r="P8090" s="14">
        <v>0.2</v>
      </c>
      <c r="Q8090" s="15">
        <v>0.3</v>
      </c>
      <c r="R8090" s="16" t="str">
        <f t="shared" si="647"/>
        <v>HUNTER</v>
      </c>
    </row>
    <row r="8091" spans="1:20" customFormat="1" ht="27" customHeight="1" x14ac:dyDescent="0.25">
      <c r="A8091" t="s">
        <v>11856</v>
      </c>
      <c r="H8091" t="s">
        <v>16548</v>
      </c>
      <c r="I8091" t="s">
        <v>16549</v>
      </c>
      <c r="J8091" t="s">
        <v>26</v>
      </c>
      <c r="K8091" s="42">
        <v>30</v>
      </c>
      <c r="L8091" s="12">
        <f t="shared" si="649"/>
        <v>51.428571428571431</v>
      </c>
      <c r="M8091" s="8">
        <v>1</v>
      </c>
      <c r="N8091" s="8" t="s">
        <v>27</v>
      </c>
      <c r="O8091" s="13"/>
      <c r="P8091" s="14">
        <v>0.2</v>
      </c>
      <c r="Q8091" s="15">
        <v>0.3</v>
      </c>
      <c r="R8091" s="16" t="str">
        <f t="shared" si="647"/>
        <v>PAUTIX</v>
      </c>
      <c r="S8091" s="39" t="s">
        <v>16550</v>
      </c>
    </row>
    <row r="8092" spans="1:20" customFormat="1" ht="27" customHeight="1" x14ac:dyDescent="0.25">
      <c r="A8092" t="s">
        <v>16551</v>
      </c>
      <c r="H8092" t="s">
        <v>16552</v>
      </c>
      <c r="I8092" t="s">
        <v>16553</v>
      </c>
      <c r="J8092" t="s">
        <v>26</v>
      </c>
      <c r="K8092" s="42">
        <v>169</v>
      </c>
      <c r="L8092" s="12">
        <f t="shared" si="649"/>
        <v>289.71428571428572</v>
      </c>
      <c r="M8092" s="8">
        <v>1</v>
      </c>
      <c r="N8092" s="8" t="s">
        <v>27</v>
      </c>
      <c r="O8092" s="13"/>
      <c r="P8092" s="14">
        <v>0.2</v>
      </c>
      <c r="Q8092" s="15">
        <v>0.3</v>
      </c>
      <c r="R8092" s="16" t="str">
        <f t="shared" si="647"/>
        <v>GMKTEC</v>
      </c>
      <c r="S8092" t="s">
        <v>16554</v>
      </c>
    </row>
    <row r="8093" spans="1:20" customFormat="1" ht="27" customHeight="1" x14ac:dyDescent="0.25">
      <c r="A8093" s="32" t="s">
        <v>16555</v>
      </c>
      <c r="H8093" s="32" t="s">
        <v>16556</v>
      </c>
      <c r="I8093" s="33" t="s">
        <v>16557</v>
      </c>
      <c r="J8093" s="34" t="s">
        <v>33</v>
      </c>
      <c r="K8093" s="42">
        <f>370000+25000</f>
        <v>395000</v>
      </c>
      <c r="L8093" s="12">
        <f t="shared" si="649"/>
        <v>607700</v>
      </c>
      <c r="M8093" s="8">
        <v>1</v>
      </c>
      <c r="N8093" s="8" t="s">
        <v>27</v>
      </c>
      <c r="O8093" s="13"/>
      <c r="P8093" s="14">
        <v>0</v>
      </c>
      <c r="Q8093" s="14">
        <v>0.35</v>
      </c>
      <c r="R8093" s="16" t="str">
        <f t="shared" si="647"/>
        <v>NETION</v>
      </c>
    </row>
    <row r="8094" spans="1:20" customFormat="1" ht="27" customHeight="1" x14ac:dyDescent="0.25">
      <c r="A8094" s="8" t="s">
        <v>839</v>
      </c>
      <c r="B8094" s="9"/>
      <c r="C8094" s="9"/>
      <c r="D8094" s="8"/>
      <c r="E8094" s="8"/>
      <c r="F8094" s="8"/>
      <c r="G8094" s="10"/>
      <c r="H8094" s="8" t="s">
        <v>16558</v>
      </c>
      <c r="I8094" s="10" t="s">
        <v>16559</v>
      </c>
      <c r="J8094" s="11" t="s">
        <v>33</v>
      </c>
      <c r="K8094" s="18">
        <v>22000</v>
      </c>
      <c r="L8094" s="12">
        <f t="shared" si="649"/>
        <v>36700</v>
      </c>
      <c r="M8094" s="8">
        <v>1</v>
      </c>
      <c r="N8094" s="8" t="s">
        <v>27</v>
      </c>
      <c r="O8094" s="13" t="s">
        <v>588</v>
      </c>
      <c r="P8094" s="14">
        <v>0</v>
      </c>
      <c r="Q8094" s="15">
        <v>0.4</v>
      </c>
      <c r="R8094" s="16" t="str">
        <f t="shared" si="647"/>
        <v>BJB</v>
      </c>
      <c r="S8094" s="17"/>
      <c r="T8094" s="10"/>
    </row>
    <row r="8095" spans="1:20" customFormat="1" ht="27" customHeight="1" x14ac:dyDescent="0.25">
      <c r="A8095" t="s">
        <v>9452</v>
      </c>
      <c r="H8095" t="s">
        <v>16560</v>
      </c>
      <c r="I8095" t="s">
        <v>16561</v>
      </c>
      <c r="J8095" t="s">
        <v>33</v>
      </c>
      <c r="K8095" s="42">
        <v>2912000</v>
      </c>
      <c r="L8095" s="12">
        <f t="shared" si="649"/>
        <v>4853400</v>
      </c>
      <c r="M8095" s="8">
        <v>1</v>
      </c>
      <c r="N8095" s="8" t="s">
        <v>27</v>
      </c>
      <c r="O8095" s="13" t="s">
        <v>588</v>
      </c>
      <c r="P8095" s="14">
        <v>0</v>
      </c>
      <c r="Q8095" s="15">
        <v>0.4</v>
      </c>
      <c r="R8095" s="16" t="str">
        <f t="shared" si="647"/>
        <v>VIBIA</v>
      </c>
      <c r="S8095" s="17"/>
      <c r="T8095" s="10"/>
    </row>
    <row r="8096" spans="1:20" customFormat="1" ht="27" customHeight="1" x14ac:dyDescent="0.25">
      <c r="A8096" t="s">
        <v>9452</v>
      </c>
      <c r="H8096" t="s">
        <v>16562</v>
      </c>
      <c r="I8096" t="s">
        <v>16563</v>
      </c>
      <c r="J8096" t="s">
        <v>33</v>
      </c>
      <c r="K8096" s="42">
        <v>20586000</v>
      </c>
      <c r="L8096" s="12">
        <f t="shared" si="649"/>
        <v>34310000</v>
      </c>
      <c r="M8096" s="8">
        <v>1</v>
      </c>
      <c r="N8096" s="8" t="s">
        <v>27</v>
      </c>
      <c r="O8096" s="13" t="s">
        <v>588</v>
      </c>
      <c r="P8096" s="14">
        <v>0</v>
      </c>
      <c r="Q8096" s="15">
        <v>0.4</v>
      </c>
      <c r="R8096" s="16" t="str">
        <f t="shared" si="647"/>
        <v>VIBIA</v>
      </c>
    </row>
    <row r="8097" spans="1:19" customFormat="1" ht="27" customHeight="1" x14ac:dyDescent="0.25">
      <c r="A8097" s="32" t="s">
        <v>8836</v>
      </c>
      <c r="H8097" s="32" t="s">
        <v>16564</v>
      </c>
      <c r="I8097" s="33" t="s">
        <v>16565</v>
      </c>
      <c r="J8097" s="34" t="s">
        <v>33</v>
      </c>
      <c r="K8097" s="42">
        <v>432773.11</v>
      </c>
      <c r="L8097" s="12">
        <f t="shared" ref="L8097:L8112" si="650">K8097*(1+P8097)/(1-Q8097)</f>
        <v>618247.30000000005</v>
      </c>
      <c r="M8097" s="8">
        <v>1</v>
      </c>
      <c r="N8097" s="8" t="s">
        <v>27</v>
      </c>
      <c r="O8097" s="13"/>
      <c r="P8097" s="14">
        <v>0</v>
      </c>
      <c r="Q8097" s="15">
        <v>0.3</v>
      </c>
      <c r="R8097" s="40" t="str">
        <f t="shared" si="647"/>
        <v>TECNOLITE</v>
      </c>
    </row>
    <row r="8098" spans="1:19" customFormat="1" ht="27" customHeight="1" x14ac:dyDescent="0.25">
      <c r="A8098" s="32" t="s">
        <v>3821</v>
      </c>
      <c r="H8098" s="32" t="s">
        <v>16566</v>
      </c>
      <c r="I8098" s="33" t="s">
        <v>16567</v>
      </c>
      <c r="J8098" s="34" t="s">
        <v>33</v>
      </c>
      <c r="K8098" s="42">
        <v>579832</v>
      </c>
      <c r="L8098" s="12">
        <f t="shared" si="650"/>
        <v>828331.42857142864</v>
      </c>
      <c r="M8098" s="8">
        <v>1</v>
      </c>
      <c r="N8098" s="8" t="s">
        <v>27</v>
      </c>
      <c r="O8098" s="13"/>
      <c r="P8098" s="14">
        <v>0</v>
      </c>
      <c r="Q8098" s="15">
        <v>0.3</v>
      </c>
      <c r="R8098" s="40" t="str">
        <f t="shared" si="647"/>
        <v>KEF</v>
      </c>
    </row>
    <row r="8099" spans="1:19" customFormat="1" ht="27" customHeight="1" x14ac:dyDescent="0.25">
      <c r="A8099" s="32" t="s">
        <v>16568</v>
      </c>
      <c r="H8099" s="32" t="s">
        <v>16569</v>
      </c>
      <c r="I8099" s="33" t="s">
        <v>16570</v>
      </c>
      <c r="J8099" s="34" t="s">
        <v>33</v>
      </c>
      <c r="K8099" s="42">
        <v>139920</v>
      </c>
      <c r="L8099" s="12">
        <f t="shared" si="650"/>
        <v>233200</v>
      </c>
      <c r="M8099" s="8">
        <v>1</v>
      </c>
      <c r="N8099" s="8" t="s">
        <v>27</v>
      </c>
      <c r="O8099" s="13"/>
      <c r="P8099" s="14">
        <v>0</v>
      </c>
      <c r="Q8099" s="15">
        <v>0.4</v>
      </c>
      <c r="R8099" s="40" t="str">
        <f t="shared" si="647"/>
        <v>KOWET</v>
      </c>
    </row>
    <row r="8100" spans="1:19" customFormat="1" ht="27" customHeight="1" x14ac:dyDescent="0.25">
      <c r="A8100" s="32" t="s">
        <v>2095</v>
      </c>
      <c r="H8100" s="32" t="s">
        <v>16571</v>
      </c>
      <c r="I8100" s="33" t="s">
        <v>16572</v>
      </c>
      <c r="J8100" s="34" t="s">
        <v>33</v>
      </c>
      <c r="K8100" s="42">
        <v>260400</v>
      </c>
      <c r="L8100" s="12">
        <f t="shared" si="650"/>
        <v>289333.33333333331</v>
      </c>
      <c r="M8100" s="8">
        <v>1</v>
      </c>
      <c r="N8100" s="8" t="s">
        <v>27</v>
      </c>
      <c r="O8100" s="13"/>
      <c r="P8100" s="14">
        <v>0</v>
      </c>
      <c r="Q8100" s="15">
        <v>0.1</v>
      </c>
      <c r="R8100" s="40" t="str">
        <f t="shared" si="647"/>
        <v>ECOLITE</v>
      </c>
    </row>
    <row r="8101" spans="1:19" customFormat="1" ht="27" customHeight="1" x14ac:dyDescent="0.25">
      <c r="A8101" s="32" t="s">
        <v>2095</v>
      </c>
      <c r="H8101" s="32" t="s">
        <v>16573</v>
      </c>
      <c r="I8101" s="33" t="s">
        <v>16574</v>
      </c>
      <c r="J8101" s="34" t="s">
        <v>33</v>
      </c>
      <c r="K8101" s="42">
        <v>294400</v>
      </c>
      <c r="L8101" s="12">
        <f t="shared" si="650"/>
        <v>392533.33333333331</v>
      </c>
      <c r="M8101" s="8">
        <v>1</v>
      </c>
      <c r="N8101" s="8" t="s">
        <v>27</v>
      </c>
      <c r="O8101" s="13"/>
      <c r="P8101" s="14">
        <v>0</v>
      </c>
      <c r="Q8101" s="15">
        <v>0.25</v>
      </c>
      <c r="R8101" s="40" t="str">
        <f t="shared" si="647"/>
        <v>ECOLITE</v>
      </c>
    </row>
    <row r="8102" spans="1:19" customFormat="1" ht="27" customHeight="1" x14ac:dyDescent="0.25">
      <c r="A8102" s="32" t="s">
        <v>13021</v>
      </c>
      <c r="H8102" s="32" t="s">
        <v>16320</v>
      </c>
      <c r="I8102" s="33" t="s">
        <v>16575</v>
      </c>
      <c r="J8102" s="34" t="s">
        <v>26</v>
      </c>
      <c r="K8102" s="42">
        <v>258</v>
      </c>
      <c r="L8102" s="12">
        <f t="shared" si="650"/>
        <v>442.28571428571428</v>
      </c>
      <c r="M8102" s="8">
        <v>1</v>
      </c>
      <c r="N8102" s="8" t="s">
        <v>27</v>
      </c>
      <c r="P8102" s="14">
        <v>0.2</v>
      </c>
      <c r="Q8102" s="15">
        <v>0.3</v>
      </c>
      <c r="R8102" s="40" t="str">
        <f t="shared" si="647"/>
        <v>IADEA</v>
      </c>
    </row>
    <row r="8103" spans="1:19" customFormat="1" ht="27" customHeight="1" x14ac:dyDescent="0.25">
      <c r="A8103" s="32" t="s">
        <v>16576</v>
      </c>
      <c r="H8103" s="32" t="s">
        <v>16577</v>
      </c>
      <c r="I8103" s="33" t="s">
        <v>16578</v>
      </c>
      <c r="J8103" s="34" t="s">
        <v>26</v>
      </c>
      <c r="K8103" s="42">
        <v>3.666666666666667</v>
      </c>
      <c r="L8103" s="12">
        <f t="shared" si="650"/>
        <v>6.2857142857142865</v>
      </c>
      <c r="M8103" s="8">
        <v>1</v>
      </c>
      <c r="N8103" s="8" t="s">
        <v>27</v>
      </c>
      <c r="P8103" s="14">
        <v>0.2</v>
      </c>
      <c r="Q8103" s="15">
        <v>0.3</v>
      </c>
      <c r="R8103" s="40" t="str">
        <f t="shared" si="647"/>
        <v>TORKASE</v>
      </c>
      <c r="S8103" t="s">
        <v>16579</v>
      </c>
    </row>
    <row r="8104" spans="1:19" customFormat="1" ht="27" customHeight="1" x14ac:dyDescent="0.25">
      <c r="A8104" s="32" t="s">
        <v>13983</v>
      </c>
      <c r="H8104" s="32" t="s">
        <v>14316</v>
      </c>
      <c r="I8104" s="33" t="s">
        <v>16580</v>
      </c>
      <c r="J8104" s="34" t="s">
        <v>26</v>
      </c>
      <c r="K8104" s="42">
        <f>55*1.16*0.6</f>
        <v>38.279999999999994</v>
      </c>
      <c r="L8104" s="12">
        <f t="shared" si="650"/>
        <v>76.559999999999988</v>
      </c>
      <c r="M8104" s="8">
        <v>1</v>
      </c>
      <c r="N8104" s="8" t="s">
        <v>27</v>
      </c>
      <c r="P8104" s="14">
        <v>0.2</v>
      </c>
      <c r="Q8104" s="15">
        <v>0.4</v>
      </c>
      <c r="R8104" s="40" t="str">
        <f t="shared" si="647"/>
        <v>HOFFLIGHTS</v>
      </c>
    </row>
    <row r="8105" spans="1:19" customFormat="1" ht="27" customHeight="1" x14ac:dyDescent="0.25">
      <c r="A8105" s="32" t="s">
        <v>13983</v>
      </c>
      <c r="H8105" s="32" t="s">
        <v>15540</v>
      </c>
      <c r="I8105" s="33" t="s">
        <v>16581</v>
      </c>
      <c r="J8105" s="34" t="s">
        <v>26</v>
      </c>
      <c r="K8105" s="42">
        <f>29*1.16*0.6</f>
        <v>20.184000000000001</v>
      </c>
      <c r="L8105" s="12">
        <f t="shared" si="650"/>
        <v>40.368000000000002</v>
      </c>
      <c r="M8105" s="8">
        <v>1</v>
      </c>
      <c r="N8105" s="8" t="s">
        <v>27</v>
      </c>
      <c r="P8105" s="14">
        <v>0.2</v>
      </c>
      <c r="Q8105" s="15">
        <v>0.4</v>
      </c>
      <c r="R8105" s="40" t="str">
        <f t="shared" si="647"/>
        <v>HOFFLIGHTS</v>
      </c>
    </row>
    <row r="8106" spans="1:19" customFormat="1" ht="27" customHeight="1" x14ac:dyDescent="0.25">
      <c r="A8106" s="32" t="s">
        <v>10249</v>
      </c>
      <c r="H8106" s="32" t="s">
        <v>16582</v>
      </c>
      <c r="I8106" s="33" t="s">
        <v>16583</v>
      </c>
      <c r="J8106" s="34" t="s">
        <v>26</v>
      </c>
      <c r="K8106" s="42">
        <v>66000</v>
      </c>
      <c r="L8106" s="12">
        <f t="shared" si="650"/>
        <v>110000</v>
      </c>
      <c r="M8106" s="8">
        <v>1</v>
      </c>
      <c r="N8106" s="8" t="s">
        <v>27</v>
      </c>
      <c r="P8106" s="14">
        <v>0</v>
      </c>
      <c r="Q8106" s="15">
        <v>0.4</v>
      </c>
      <c r="R8106" s="40" t="str">
        <f t="shared" si="647"/>
        <v>SKYDANCE</v>
      </c>
    </row>
    <row r="8107" spans="1:19" customFormat="1" ht="27" customHeight="1" x14ac:dyDescent="0.25">
      <c r="A8107" s="32" t="s">
        <v>6886</v>
      </c>
      <c r="H8107" s="32" t="s">
        <v>13830</v>
      </c>
      <c r="I8107" s="33" t="s">
        <v>16584</v>
      </c>
      <c r="J8107" s="34" t="s">
        <v>33</v>
      </c>
      <c r="K8107" s="42">
        <f>116000*1.19</f>
        <v>138040</v>
      </c>
      <c r="L8107" s="12">
        <f t="shared" si="650"/>
        <v>230066.66666666669</v>
      </c>
      <c r="M8107" s="8">
        <v>1</v>
      </c>
      <c r="N8107" s="8" t="s">
        <v>27</v>
      </c>
      <c r="P8107" s="14">
        <v>0</v>
      </c>
      <c r="Q8107" s="15">
        <v>0.4</v>
      </c>
      <c r="R8107" s="40" t="str">
        <f t="shared" si="647"/>
        <v>MEANWELL</v>
      </c>
    </row>
    <row r="8108" spans="1:19" customFormat="1" ht="27" customHeight="1" x14ac:dyDescent="0.25">
      <c r="A8108" s="32" t="s">
        <v>6886</v>
      </c>
      <c r="H8108" s="32" t="s">
        <v>15813</v>
      </c>
      <c r="I8108" s="33" t="s">
        <v>16585</v>
      </c>
      <c r="J8108" s="34" t="s">
        <v>33</v>
      </c>
      <c r="K8108" s="42">
        <f>85000/1.19</f>
        <v>71428.571428571435</v>
      </c>
      <c r="L8108" s="12">
        <f t="shared" si="650"/>
        <v>119047.61904761907</v>
      </c>
      <c r="M8108" s="8">
        <v>1</v>
      </c>
      <c r="N8108" s="8" t="s">
        <v>27</v>
      </c>
      <c r="P8108" s="14">
        <v>0</v>
      </c>
      <c r="Q8108" s="15">
        <v>0.4</v>
      </c>
      <c r="R8108" s="40" t="str">
        <f t="shared" si="647"/>
        <v>MEANWELL</v>
      </c>
    </row>
    <row r="8109" spans="1:19" customFormat="1" ht="27" customHeight="1" x14ac:dyDescent="0.25">
      <c r="A8109" s="32" t="s">
        <v>6886</v>
      </c>
      <c r="H8109" s="32" t="s">
        <v>16586</v>
      </c>
      <c r="I8109" s="33" t="s">
        <v>16585</v>
      </c>
      <c r="J8109" s="34" t="s">
        <v>33</v>
      </c>
      <c r="K8109" s="42">
        <f>65000/1.19</f>
        <v>54621.848739495799</v>
      </c>
      <c r="L8109" s="12">
        <f t="shared" si="650"/>
        <v>91036.41456582633</v>
      </c>
      <c r="M8109" s="8">
        <v>1</v>
      </c>
      <c r="N8109" s="8" t="s">
        <v>27</v>
      </c>
      <c r="P8109" s="14">
        <v>0</v>
      </c>
      <c r="Q8109" s="15">
        <v>0.4</v>
      </c>
      <c r="R8109" s="40" t="str">
        <f t="shared" si="647"/>
        <v>MEANWELL</v>
      </c>
    </row>
    <row r="8110" spans="1:19" customFormat="1" ht="27" customHeight="1" x14ac:dyDescent="0.25">
      <c r="A8110" s="32" t="s">
        <v>13983</v>
      </c>
      <c r="H8110" s="32" t="s">
        <v>14246</v>
      </c>
      <c r="I8110" s="33" t="s">
        <v>16587</v>
      </c>
      <c r="J8110" s="34" t="s">
        <v>26</v>
      </c>
      <c r="K8110" s="42">
        <f>38.5*0.5*1.16</f>
        <v>22.33</v>
      </c>
      <c r="L8110" s="12">
        <f t="shared" si="650"/>
        <v>46.520833333333329</v>
      </c>
      <c r="M8110" s="8">
        <v>1</v>
      </c>
      <c r="N8110" s="8" t="s">
        <v>27</v>
      </c>
      <c r="P8110" s="14">
        <v>0.25</v>
      </c>
      <c r="Q8110" s="15">
        <v>0.4</v>
      </c>
      <c r="R8110" s="40" t="str">
        <f t="shared" si="647"/>
        <v>HOFFLIGHTS</v>
      </c>
    </row>
    <row r="8111" spans="1:19" customFormat="1" ht="27" customHeight="1" x14ac:dyDescent="0.25">
      <c r="A8111" s="32" t="s">
        <v>13983</v>
      </c>
      <c r="H8111" s="32" t="s">
        <v>14240</v>
      </c>
      <c r="I8111" s="33" t="s">
        <v>16588</v>
      </c>
      <c r="J8111" s="34" t="s">
        <v>26</v>
      </c>
      <c r="K8111" s="42">
        <f>3.95*0.5*1.16</f>
        <v>2.2909999999999999</v>
      </c>
      <c r="L8111" s="12">
        <f t="shared" si="650"/>
        <v>4.7729166666666671</v>
      </c>
      <c r="M8111" s="8">
        <v>1</v>
      </c>
      <c r="N8111" s="8" t="s">
        <v>27</v>
      </c>
      <c r="P8111" s="14">
        <v>0.25</v>
      </c>
      <c r="Q8111" s="15">
        <v>0.4</v>
      </c>
      <c r="R8111" s="40" t="str">
        <f t="shared" si="647"/>
        <v>HOFFLIGHTS</v>
      </c>
    </row>
    <row r="8112" spans="1:19" customFormat="1" ht="27" customHeight="1" x14ac:dyDescent="0.25">
      <c r="A8112" s="32" t="s">
        <v>13983</v>
      </c>
      <c r="H8112" s="32" t="s">
        <v>14248</v>
      </c>
      <c r="I8112" s="33" t="s">
        <v>16589</v>
      </c>
      <c r="J8112" s="34" t="s">
        <v>26</v>
      </c>
      <c r="K8112" s="42">
        <f>5.5*0.5*1.16</f>
        <v>3.19</v>
      </c>
      <c r="L8112" s="12">
        <f t="shared" si="650"/>
        <v>6.645833333333333</v>
      </c>
      <c r="M8112" s="8">
        <v>1</v>
      </c>
      <c r="N8112" s="8" t="s">
        <v>27</v>
      </c>
      <c r="P8112" s="14">
        <v>0.25</v>
      </c>
      <c r="Q8112" s="15">
        <v>0.4</v>
      </c>
      <c r="R8112" s="40" t="str">
        <f t="shared" si="647"/>
        <v>HOFFLIGHTS</v>
      </c>
    </row>
    <row r="8113" spans="1:20" customFormat="1" ht="27" customHeight="1" x14ac:dyDescent="0.25">
      <c r="A8113" s="32" t="s">
        <v>2095</v>
      </c>
      <c r="H8113" s="32" t="s">
        <v>16590</v>
      </c>
      <c r="I8113" s="33" t="s">
        <v>16591</v>
      </c>
      <c r="J8113" s="34" t="s">
        <v>33</v>
      </c>
      <c r="K8113" s="42">
        <f>73334*0.8</f>
        <v>58667.200000000004</v>
      </c>
      <c r="L8113" s="12">
        <f t="shared" ref="L8113:L8139" si="651">IF(J8113="P",ROUNDUP(K8113/(1-Q8113),-2),K8113*(1+P8113)/(1-Q8113))</f>
        <v>83900</v>
      </c>
      <c r="M8113" s="8">
        <v>1</v>
      </c>
      <c r="N8113" s="8" t="s">
        <v>27</v>
      </c>
      <c r="O8113" s="13"/>
      <c r="P8113" s="14">
        <v>0</v>
      </c>
      <c r="Q8113" s="15">
        <v>0.3</v>
      </c>
      <c r="R8113" s="16" t="str">
        <f t="shared" si="647"/>
        <v>ECOLITE</v>
      </c>
    </row>
    <row r="8114" spans="1:20" customFormat="1" ht="27" customHeight="1" x14ac:dyDescent="0.25">
      <c r="A8114" s="32" t="s">
        <v>3977</v>
      </c>
      <c r="H8114" s="32" t="s">
        <v>16592</v>
      </c>
      <c r="I8114" s="33" t="s">
        <v>16593</v>
      </c>
      <c r="J8114" s="34" t="s">
        <v>33</v>
      </c>
      <c r="K8114" s="42">
        <v>180000</v>
      </c>
      <c r="L8114" s="12">
        <f t="shared" si="651"/>
        <v>257200</v>
      </c>
      <c r="M8114" s="8">
        <v>1</v>
      </c>
      <c r="N8114" s="8" t="s">
        <v>27</v>
      </c>
      <c r="O8114" s="13"/>
      <c r="P8114" s="14">
        <v>0</v>
      </c>
      <c r="Q8114" s="15">
        <v>0.3</v>
      </c>
      <c r="R8114" s="16" t="str">
        <f t="shared" si="647"/>
        <v>KOMODO</v>
      </c>
    </row>
    <row r="8115" spans="1:20" customFormat="1" ht="27" customHeight="1" x14ac:dyDescent="0.25">
      <c r="A8115" s="32" t="s">
        <v>2124</v>
      </c>
      <c r="H8115" s="32" t="s">
        <v>16594</v>
      </c>
      <c r="I8115" s="33" t="s">
        <v>16595</v>
      </c>
      <c r="J8115" s="34" t="s">
        <v>33</v>
      </c>
      <c r="K8115" s="42">
        <v>298000</v>
      </c>
      <c r="L8115" s="12">
        <f t="shared" si="651"/>
        <v>372500</v>
      </c>
      <c r="M8115" s="8">
        <v>1</v>
      </c>
      <c r="N8115" s="8" t="s">
        <v>27</v>
      </c>
      <c r="O8115" s="13"/>
      <c r="P8115" s="14">
        <v>0</v>
      </c>
      <c r="Q8115" s="15">
        <v>0.2</v>
      </c>
      <c r="R8115" s="16" t="str">
        <f t="shared" si="647"/>
        <v>ECOLUZ</v>
      </c>
    </row>
    <row r="8116" spans="1:20" customFormat="1" ht="27" customHeight="1" x14ac:dyDescent="0.25">
      <c r="A8116" s="32" t="s">
        <v>3977</v>
      </c>
      <c r="H8116" s="32" t="s">
        <v>16596</v>
      </c>
      <c r="I8116" s="33" t="s">
        <v>16597</v>
      </c>
      <c r="J8116" s="34" t="s">
        <v>33</v>
      </c>
      <c r="K8116" s="42">
        <v>2500000</v>
      </c>
      <c r="L8116" s="12">
        <f t="shared" si="651"/>
        <v>3125000</v>
      </c>
      <c r="M8116" s="8">
        <v>1</v>
      </c>
      <c r="N8116" s="8" t="s">
        <v>27</v>
      </c>
      <c r="O8116" s="13"/>
      <c r="P8116" s="14">
        <v>0</v>
      </c>
      <c r="Q8116" s="15">
        <v>0.2</v>
      </c>
      <c r="R8116" s="16" t="str">
        <f t="shared" si="647"/>
        <v>KOMODO</v>
      </c>
    </row>
    <row r="8117" spans="1:20" customFormat="1" ht="27" customHeight="1" x14ac:dyDescent="0.25">
      <c r="A8117" s="32" t="s">
        <v>3977</v>
      </c>
      <c r="H8117" s="32" t="s">
        <v>16598</v>
      </c>
      <c r="I8117" s="33" t="s">
        <v>16599</v>
      </c>
      <c r="J8117" s="34" t="s">
        <v>33</v>
      </c>
      <c r="K8117" s="42">
        <v>1500000</v>
      </c>
      <c r="L8117" s="12">
        <f t="shared" si="651"/>
        <v>1875000</v>
      </c>
      <c r="M8117" s="8">
        <v>1</v>
      </c>
      <c r="N8117" s="8" t="s">
        <v>27</v>
      </c>
      <c r="O8117" s="13"/>
      <c r="P8117" s="14">
        <v>0</v>
      </c>
      <c r="Q8117" s="15">
        <v>0.2</v>
      </c>
      <c r="R8117" s="16" t="str">
        <f t="shared" si="647"/>
        <v>KOMODO</v>
      </c>
    </row>
    <row r="8118" spans="1:20" customFormat="1" ht="27" customHeight="1" x14ac:dyDescent="0.25">
      <c r="A8118" s="32" t="s">
        <v>3977</v>
      </c>
      <c r="H8118" s="32" t="s">
        <v>16600</v>
      </c>
      <c r="I8118" s="33" t="s">
        <v>16601</v>
      </c>
      <c r="J8118" s="34" t="s">
        <v>33</v>
      </c>
      <c r="K8118" s="42">
        <v>500000</v>
      </c>
      <c r="L8118" s="12">
        <f t="shared" si="651"/>
        <v>625000</v>
      </c>
      <c r="M8118" s="8">
        <v>1</v>
      </c>
      <c r="N8118" s="8" t="s">
        <v>27</v>
      </c>
      <c r="O8118" s="13"/>
      <c r="P8118" s="14">
        <v>0</v>
      </c>
      <c r="Q8118" s="15">
        <v>0.2</v>
      </c>
      <c r="R8118" s="16" t="str">
        <f t="shared" si="647"/>
        <v>KOMODO</v>
      </c>
    </row>
    <row r="8119" spans="1:20" customFormat="1" ht="27" customHeight="1" x14ac:dyDescent="0.25">
      <c r="A8119" s="32" t="s">
        <v>7654</v>
      </c>
      <c r="H8119" s="32" t="s">
        <v>16602</v>
      </c>
      <c r="I8119" s="33" t="s">
        <v>16603</v>
      </c>
      <c r="J8119" s="34" t="s">
        <v>33</v>
      </c>
      <c r="K8119" s="42">
        <v>47900</v>
      </c>
      <c r="L8119" s="12">
        <f t="shared" si="651"/>
        <v>59900</v>
      </c>
      <c r="M8119" s="8">
        <v>1</v>
      </c>
      <c r="N8119" s="8" t="s">
        <v>27</v>
      </c>
      <c r="O8119" s="13"/>
      <c r="P8119" s="14">
        <v>0</v>
      </c>
      <c r="Q8119" s="15">
        <v>0.2</v>
      </c>
      <c r="R8119" s="16" t="str">
        <f t="shared" si="647"/>
        <v>PAVCO</v>
      </c>
    </row>
    <row r="8120" spans="1:20" customFormat="1" ht="27" customHeight="1" x14ac:dyDescent="0.25">
      <c r="A8120" s="32" t="s">
        <v>34</v>
      </c>
      <c r="H8120" s="32" t="s">
        <v>16604</v>
      </c>
      <c r="I8120" s="33" t="s">
        <v>16605</v>
      </c>
      <c r="J8120" s="34" t="s">
        <v>33</v>
      </c>
      <c r="K8120" s="42">
        <v>6100</v>
      </c>
      <c r="L8120" s="12">
        <f t="shared" si="651"/>
        <v>7700</v>
      </c>
      <c r="M8120" s="8">
        <v>1</v>
      </c>
      <c r="N8120" s="8" t="s">
        <v>27</v>
      </c>
      <c r="O8120" s="13"/>
      <c r="P8120" s="14">
        <v>0</v>
      </c>
      <c r="Q8120" s="15">
        <v>0.2</v>
      </c>
      <c r="R8120" s="16" t="str">
        <f t="shared" si="647"/>
        <v>3M</v>
      </c>
    </row>
    <row r="8121" spans="1:20" customFormat="1" ht="27" customHeight="1" x14ac:dyDescent="0.25">
      <c r="A8121" s="32" t="s">
        <v>2512</v>
      </c>
      <c r="H8121" s="32" t="s">
        <v>16606</v>
      </c>
      <c r="I8121" s="33" t="s">
        <v>16607</v>
      </c>
      <c r="J8121" s="34" t="s">
        <v>33</v>
      </c>
      <c r="K8121" s="42">
        <v>12000</v>
      </c>
      <c r="L8121" s="12">
        <f t="shared" si="651"/>
        <v>15000</v>
      </c>
      <c r="M8121" s="8">
        <v>1</v>
      </c>
      <c r="N8121" s="8" t="s">
        <v>27</v>
      </c>
      <c r="O8121" s="13"/>
      <c r="P8121" s="14">
        <v>0</v>
      </c>
      <c r="Q8121" s="15">
        <v>0.2</v>
      </c>
      <c r="R8121" s="16" t="str">
        <f t="shared" si="647"/>
        <v>GENERAL</v>
      </c>
    </row>
    <row r="8122" spans="1:20" customFormat="1" ht="27" customHeight="1" x14ac:dyDescent="0.25">
      <c r="A8122" s="32" t="s">
        <v>5066</v>
      </c>
      <c r="H8122" s="32" t="s">
        <v>16608</v>
      </c>
      <c r="I8122" s="33" t="s">
        <v>16609</v>
      </c>
      <c r="J8122" s="34" t="s">
        <v>33</v>
      </c>
      <c r="K8122" s="42">
        <f>641000/1.19</f>
        <v>538655.46218487399</v>
      </c>
      <c r="L8122" s="12">
        <f t="shared" si="651"/>
        <v>633800</v>
      </c>
      <c r="M8122" s="8">
        <v>1</v>
      </c>
      <c r="N8122" s="8" t="s">
        <v>27</v>
      </c>
      <c r="O8122" s="13"/>
      <c r="P8122" s="14">
        <v>0</v>
      </c>
      <c r="Q8122" s="15">
        <v>0.15</v>
      </c>
      <c r="R8122" s="16" t="str">
        <f t="shared" si="647"/>
        <v>LEGRAND</v>
      </c>
    </row>
    <row r="8123" spans="1:20" customFormat="1" ht="27" customHeight="1" x14ac:dyDescent="0.25">
      <c r="A8123" s="32" t="s">
        <v>5066</v>
      </c>
      <c r="H8123" s="32" t="s">
        <v>16610</v>
      </c>
      <c r="I8123" s="33" t="s">
        <v>16611</v>
      </c>
      <c r="J8123" s="34" t="s">
        <v>33</v>
      </c>
      <c r="K8123" s="42">
        <v>179900</v>
      </c>
      <c r="L8123" s="12">
        <f t="shared" si="651"/>
        <v>257000</v>
      </c>
      <c r="M8123" s="8">
        <v>1</v>
      </c>
      <c r="N8123" s="8" t="s">
        <v>27</v>
      </c>
      <c r="O8123" s="13"/>
      <c r="P8123" s="14">
        <v>0</v>
      </c>
      <c r="Q8123" s="15">
        <v>0.3</v>
      </c>
      <c r="R8123" s="16" t="str">
        <f t="shared" si="647"/>
        <v>LEGRAND</v>
      </c>
    </row>
    <row r="8124" spans="1:20" customFormat="1" ht="27" customHeight="1" x14ac:dyDescent="0.25">
      <c r="A8124" s="32" t="s">
        <v>12893</v>
      </c>
      <c r="H8124" s="32" t="s">
        <v>16612</v>
      </c>
      <c r="I8124" s="33" t="s">
        <v>16613</v>
      </c>
      <c r="J8124" s="34" t="s">
        <v>26</v>
      </c>
      <c r="K8124" s="42">
        <v>361</v>
      </c>
      <c r="L8124" s="12">
        <f t="shared" si="651"/>
        <v>601.66666666666674</v>
      </c>
      <c r="M8124" s="8">
        <v>1</v>
      </c>
      <c r="N8124" s="8" t="s">
        <v>27</v>
      </c>
      <c r="O8124" s="13"/>
      <c r="P8124" s="14">
        <v>0</v>
      </c>
      <c r="Q8124" s="15">
        <v>0.4</v>
      </c>
      <c r="R8124" s="16" t="str">
        <f t="shared" si="647"/>
        <v>MARTIN_LOGAN</v>
      </c>
    </row>
    <row r="8125" spans="1:20" customFormat="1" ht="27" customHeight="1" x14ac:dyDescent="0.25">
      <c r="A8125" s="8" t="s">
        <v>1141</v>
      </c>
      <c r="B8125" s="9" t="s">
        <v>1070</v>
      </c>
      <c r="C8125" s="9"/>
      <c r="D8125" s="8" t="s">
        <v>28</v>
      </c>
      <c r="E8125" s="8">
        <v>8</v>
      </c>
      <c r="F8125" s="8" t="s">
        <v>22</v>
      </c>
      <c r="G8125" s="10" t="s">
        <v>1159</v>
      </c>
      <c r="H8125" s="8" t="s">
        <v>16614</v>
      </c>
      <c r="I8125" s="10" t="s">
        <v>16615</v>
      </c>
      <c r="J8125" s="11" t="s">
        <v>33</v>
      </c>
      <c r="K8125" s="18">
        <v>248000</v>
      </c>
      <c r="L8125" s="12">
        <f t="shared" si="651"/>
        <v>310000</v>
      </c>
      <c r="M8125" s="8">
        <v>1</v>
      </c>
      <c r="N8125" s="8" t="s">
        <v>27</v>
      </c>
      <c r="O8125" s="13"/>
      <c r="P8125" s="14">
        <v>0</v>
      </c>
      <c r="Q8125" s="15">
        <v>0.2</v>
      </c>
      <c r="R8125" s="16" t="str">
        <f t="shared" si="647"/>
        <v>CENTELSA</v>
      </c>
      <c r="S8125" s="17"/>
      <c r="T8125" s="10" t="str">
        <f>G8125</f>
        <v>ROLLO DE 100 METROS DE ALAMBRE AWG12</v>
      </c>
    </row>
    <row r="8126" spans="1:20" customFormat="1" ht="27" customHeight="1" x14ac:dyDescent="0.25">
      <c r="A8126" s="32" t="s">
        <v>5027</v>
      </c>
      <c r="H8126" s="32" t="s">
        <v>16616</v>
      </c>
      <c r="I8126" s="38" t="s">
        <v>16617</v>
      </c>
      <c r="J8126" s="34" t="s">
        <v>33</v>
      </c>
      <c r="K8126" s="42">
        <v>5383300</v>
      </c>
      <c r="L8126" s="12">
        <f t="shared" si="651"/>
        <v>6729200</v>
      </c>
      <c r="M8126" s="8">
        <v>1</v>
      </c>
      <c r="N8126" s="8" t="s">
        <v>27</v>
      </c>
      <c r="O8126" s="13"/>
      <c r="P8126" s="14">
        <v>0</v>
      </c>
      <c r="Q8126" s="15">
        <v>0.2</v>
      </c>
      <c r="R8126" s="16" t="str">
        <f t="shared" si="647"/>
        <v>LEDS_C4</v>
      </c>
    </row>
    <row r="8127" spans="1:20" customFormat="1" ht="27" customHeight="1" x14ac:dyDescent="0.25">
      <c r="A8127" s="32" t="s">
        <v>5027</v>
      </c>
      <c r="H8127" s="32" t="s">
        <v>16618</v>
      </c>
      <c r="I8127" s="38" t="s">
        <v>16619</v>
      </c>
      <c r="J8127" s="34" t="s">
        <v>33</v>
      </c>
      <c r="K8127" s="42">
        <v>4268100</v>
      </c>
      <c r="L8127" s="12">
        <f t="shared" si="651"/>
        <v>5335200</v>
      </c>
      <c r="M8127" s="8">
        <v>1</v>
      </c>
      <c r="N8127" s="8" t="s">
        <v>27</v>
      </c>
      <c r="O8127" s="13"/>
      <c r="P8127" s="14">
        <v>0</v>
      </c>
      <c r="Q8127" s="15">
        <v>0.2</v>
      </c>
      <c r="R8127" s="16" t="str">
        <f t="shared" si="647"/>
        <v>LEDS_C4</v>
      </c>
    </row>
    <row r="8128" spans="1:20" customFormat="1" ht="27" customHeight="1" x14ac:dyDescent="0.25">
      <c r="A8128" s="32" t="s">
        <v>13391</v>
      </c>
      <c r="H8128" t="s">
        <v>16620</v>
      </c>
      <c r="I8128" s="33" t="s">
        <v>16621</v>
      </c>
      <c r="J8128" s="34" t="s">
        <v>33</v>
      </c>
      <c r="K8128" s="42">
        <v>225500</v>
      </c>
      <c r="L8128" s="12">
        <f t="shared" si="651"/>
        <v>281900</v>
      </c>
      <c r="M8128" s="8">
        <v>2</v>
      </c>
      <c r="N8128" s="8" t="s">
        <v>27</v>
      </c>
      <c r="O8128" s="13"/>
      <c r="P8128" s="14">
        <v>0</v>
      </c>
      <c r="Q8128" s="15">
        <v>0.2</v>
      </c>
      <c r="R8128" s="16" t="str">
        <f t="shared" si="647"/>
        <v>COLORS</v>
      </c>
    </row>
    <row r="8129" spans="1:18" customFormat="1" ht="27" customHeight="1" x14ac:dyDescent="0.25">
      <c r="A8129" s="32" t="s">
        <v>13391</v>
      </c>
      <c r="H8129" t="s">
        <v>16622</v>
      </c>
      <c r="I8129" s="33" t="s">
        <v>16623</v>
      </c>
      <c r="J8129" s="34" t="s">
        <v>33</v>
      </c>
      <c r="K8129" s="42">
        <v>118900</v>
      </c>
      <c r="L8129" s="12">
        <f t="shared" si="651"/>
        <v>148700</v>
      </c>
      <c r="M8129" s="8">
        <v>3</v>
      </c>
      <c r="N8129" s="8" t="s">
        <v>27</v>
      </c>
      <c r="O8129" s="13"/>
      <c r="P8129" s="14">
        <v>0</v>
      </c>
      <c r="Q8129" s="15">
        <v>0.2</v>
      </c>
      <c r="R8129" s="16" t="str">
        <f t="shared" si="647"/>
        <v>COLORS</v>
      </c>
    </row>
    <row r="8130" spans="1:18" customFormat="1" ht="27" customHeight="1" x14ac:dyDescent="0.25">
      <c r="A8130" s="32" t="s">
        <v>13391</v>
      </c>
      <c r="H8130" t="s">
        <v>16624</v>
      </c>
      <c r="I8130" s="33" t="s">
        <v>16625</v>
      </c>
      <c r="J8130" s="34" t="s">
        <v>33</v>
      </c>
      <c r="K8130" s="42">
        <v>200900</v>
      </c>
      <c r="L8130" s="12">
        <f t="shared" si="651"/>
        <v>251200</v>
      </c>
      <c r="M8130" s="8">
        <v>4</v>
      </c>
      <c r="N8130" s="8" t="s">
        <v>27</v>
      </c>
      <c r="O8130" s="13"/>
      <c r="P8130" s="14">
        <v>0</v>
      </c>
      <c r="Q8130" s="15">
        <v>0.2</v>
      </c>
      <c r="R8130" s="16" t="str">
        <f t="shared" si="647"/>
        <v>COLORS</v>
      </c>
    </row>
    <row r="8131" spans="1:18" customFormat="1" ht="27" customHeight="1" x14ac:dyDescent="0.25">
      <c r="A8131" s="32" t="s">
        <v>13391</v>
      </c>
      <c r="H8131" t="s">
        <v>16626</v>
      </c>
      <c r="I8131" s="33" t="s">
        <v>16627</v>
      </c>
      <c r="J8131" s="34" t="s">
        <v>33</v>
      </c>
      <c r="K8131" s="42">
        <v>118900</v>
      </c>
      <c r="L8131" s="12">
        <f t="shared" si="651"/>
        <v>148700</v>
      </c>
      <c r="M8131" s="8">
        <v>5</v>
      </c>
      <c r="N8131" s="8" t="s">
        <v>27</v>
      </c>
      <c r="O8131" s="13"/>
      <c r="P8131" s="14">
        <v>0</v>
      </c>
      <c r="Q8131" s="15">
        <v>0.2</v>
      </c>
      <c r="R8131" s="16" t="str">
        <f t="shared" si="647"/>
        <v>COLORS</v>
      </c>
    </row>
    <row r="8132" spans="1:18" customFormat="1" ht="27" customHeight="1" x14ac:dyDescent="0.25">
      <c r="A8132" s="32" t="s">
        <v>13391</v>
      </c>
      <c r="H8132" t="s">
        <v>16628</v>
      </c>
      <c r="I8132" s="33" t="s">
        <v>16629</v>
      </c>
      <c r="J8132" s="34" t="s">
        <v>33</v>
      </c>
      <c r="K8132" s="42">
        <v>196800</v>
      </c>
      <c r="L8132" s="12">
        <f t="shared" si="651"/>
        <v>246000</v>
      </c>
      <c r="M8132" s="8">
        <v>6</v>
      </c>
      <c r="N8132" s="8" t="s">
        <v>27</v>
      </c>
      <c r="O8132" s="13"/>
      <c r="P8132" s="14">
        <v>0</v>
      </c>
      <c r="Q8132" s="15">
        <v>0.2</v>
      </c>
      <c r="R8132" s="16" t="str">
        <f t="shared" si="647"/>
        <v>COLORS</v>
      </c>
    </row>
    <row r="8133" spans="1:18" customFormat="1" ht="27" customHeight="1" x14ac:dyDescent="0.25">
      <c r="A8133" s="32" t="s">
        <v>13391</v>
      </c>
      <c r="H8133" t="s">
        <v>16630</v>
      </c>
      <c r="I8133" s="33" t="s">
        <v>16631</v>
      </c>
      <c r="J8133" s="34" t="s">
        <v>33</v>
      </c>
      <c r="K8133" s="42">
        <v>118900</v>
      </c>
      <c r="L8133" s="12">
        <f t="shared" si="651"/>
        <v>148700</v>
      </c>
      <c r="M8133" s="8">
        <v>7</v>
      </c>
      <c r="N8133" s="8" t="s">
        <v>27</v>
      </c>
      <c r="O8133" s="13"/>
      <c r="P8133" s="14">
        <v>0</v>
      </c>
      <c r="Q8133" s="15">
        <v>0.2</v>
      </c>
      <c r="R8133" s="16" t="str">
        <f t="shared" ref="R8133:R8139" si="652">A8133</f>
        <v>COLORS</v>
      </c>
    </row>
    <row r="8134" spans="1:18" customFormat="1" ht="27" customHeight="1" x14ac:dyDescent="0.25">
      <c r="A8134" s="32" t="s">
        <v>13391</v>
      </c>
      <c r="H8134" t="s">
        <v>16632</v>
      </c>
      <c r="I8134" s="33" t="s">
        <v>16633</v>
      </c>
      <c r="J8134" s="34" t="s">
        <v>33</v>
      </c>
      <c r="K8134" s="42">
        <v>205000</v>
      </c>
      <c r="L8134" s="12">
        <f t="shared" si="651"/>
        <v>256300</v>
      </c>
      <c r="M8134" s="8">
        <v>8</v>
      </c>
      <c r="N8134" s="8" t="s">
        <v>27</v>
      </c>
      <c r="O8134" s="13"/>
      <c r="P8134" s="14">
        <v>0</v>
      </c>
      <c r="Q8134" s="15">
        <v>0.2</v>
      </c>
      <c r="R8134" s="16" t="str">
        <f t="shared" si="652"/>
        <v>COLORS</v>
      </c>
    </row>
    <row r="8135" spans="1:18" customFormat="1" ht="27" customHeight="1" x14ac:dyDescent="0.25">
      <c r="A8135" s="32" t="s">
        <v>13391</v>
      </c>
      <c r="H8135" t="s">
        <v>16634</v>
      </c>
      <c r="I8135" s="33" t="s">
        <v>16635</v>
      </c>
      <c r="J8135" s="34" t="s">
        <v>33</v>
      </c>
      <c r="K8135" s="42">
        <v>118900</v>
      </c>
      <c r="L8135" s="12">
        <f t="shared" si="651"/>
        <v>148700</v>
      </c>
      <c r="M8135" s="8">
        <v>9</v>
      </c>
      <c r="N8135" s="8" t="s">
        <v>27</v>
      </c>
      <c r="O8135" s="13"/>
      <c r="P8135" s="14">
        <v>0</v>
      </c>
      <c r="Q8135" s="15">
        <v>0.2</v>
      </c>
      <c r="R8135" s="16" t="str">
        <f t="shared" si="652"/>
        <v>COLORS</v>
      </c>
    </row>
    <row r="8136" spans="1:18" customFormat="1" ht="27" customHeight="1" x14ac:dyDescent="0.25">
      <c r="A8136" s="32" t="s">
        <v>16636</v>
      </c>
      <c r="H8136" t="s">
        <v>16637</v>
      </c>
      <c r="I8136" s="33" t="s">
        <v>16638</v>
      </c>
      <c r="J8136" s="34" t="s">
        <v>33</v>
      </c>
      <c r="K8136" s="42">
        <v>3840000</v>
      </c>
      <c r="L8136" s="12">
        <f t="shared" si="651"/>
        <v>4800000</v>
      </c>
      <c r="M8136" s="8">
        <v>9</v>
      </c>
      <c r="N8136" s="8" t="s">
        <v>27</v>
      </c>
      <c r="O8136" s="13"/>
      <c r="P8136" s="14">
        <v>0</v>
      </c>
      <c r="Q8136" s="15">
        <v>0.2</v>
      </c>
      <c r="R8136" s="16" t="str">
        <f t="shared" si="652"/>
        <v>MARSET</v>
      </c>
    </row>
    <row r="8137" spans="1:18" customFormat="1" ht="27" customHeight="1" x14ac:dyDescent="0.25">
      <c r="A8137" s="32" t="s">
        <v>4994</v>
      </c>
      <c r="H8137" t="s">
        <v>16639</v>
      </c>
      <c r="I8137" s="33" t="s">
        <v>16640</v>
      </c>
      <c r="J8137" s="34" t="s">
        <v>33</v>
      </c>
      <c r="K8137" s="42">
        <v>541015</v>
      </c>
      <c r="L8137" s="12">
        <f t="shared" si="651"/>
        <v>676300</v>
      </c>
      <c r="M8137" s="8">
        <v>9</v>
      </c>
      <c r="N8137" s="8" t="s">
        <v>27</v>
      </c>
      <c r="O8137" s="13"/>
      <c r="P8137" s="14">
        <v>0</v>
      </c>
      <c r="Q8137" s="15">
        <v>0.2</v>
      </c>
      <c r="R8137" s="16" t="str">
        <f t="shared" si="652"/>
        <v>LAMP</v>
      </c>
    </row>
    <row r="8138" spans="1:18" customFormat="1" ht="27" customHeight="1" x14ac:dyDescent="0.25">
      <c r="A8138" s="32" t="s">
        <v>5027</v>
      </c>
      <c r="H8138" t="s">
        <v>16641</v>
      </c>
      <c r="I8138" t="str">
        <f>UPPER("Downlight Lite Deep Fix ø70mm 8.5W Blanco neutro - 4000K CRI
92 34º PHASE CUT Negro IP54 627lm (TEK)")</f>
        <v>DOWNLIGHT LITE DEEP FIX Ø70MM 8.5W BLANCO NEUTRO - 4000K CRI
92 34º PHASE CUT NEGRO IP54 627LM (TEK)</v>
      </c>
      <c r="J8138" s="34" t="s">
        <v>33</v>
      </c>
      <c r="K8138" s="42">
        <v>148000</v>
      </c>
      <c r="L8138" s="12">
        <f t="shared" si="651"/>
        <v>185000</v>
      </c>
      <c r="M8138" s="8">
        <v>9</v>
      </c>
      <c r="N8138" s="8" t="s">
        <v>27</v>
      </c>
      <c r="O8138" s="13"/>
      <c r="P8138" s="14">
        <v>0</v>
      </c>
      <c r="Q8138" s="15">
        <v>0.2</v>
      </c>
      <c r="R8138" s="16" t="str">
        <f t="shared" si="652"/>
        <v>LEDS_C4</v>
      </c>
    </row>
    <row r="8139" spans="1:18" customFormat="1" ht="27" customHeight="1" x14ac:dyDescent="0.25">
      <c r="A8139" s="32" t="s">
        <v>4994</v>
      </c>
      <c r="H8139" t="s">
        <v>16642</v>
      </c>
      <c r="I8139" s="33" t="s">
        <v>16643</v>
      </c>
      <c r="J8139" s="34" t="s">
        <v>33</v>
      </c>
      <c r="K8139" s="42">
        <v>15400</v>
      </c>
      <c r="L8139" s="12">
        <f t="shared" si="651"/>
        <v>19300</v>
      </c>
      <c r="M8139" s="8">
        <v>9</v>
      </c>
      <c r="N8139" s="8" t="s">
        <v>27</v>
      </c>
      <c r="O8139" s="13"/>
      <c r="P8139" s="14">
        <v>0</v>
      </c>
      <c r="Q8139" s="15">
        <v>0.2</v>
      </c>
      <c r="R8139" s="16" t="str">
        <f t="shared" si="652"/>
        <v>LAMP</v>
      </c>
    </row>
    <row r="8140" spans="1:18" customFormat="1" ht="27" customHeight="1" x14ac:dyDescent="0.25">
      <c r="A8140" s="32" t="s">
        <v>4994</v>
      </c>
      <c r="H8140" t="s">
        <v>16644</v>
      </c>
      <c r="I8140" s="33" t="s">
        <v>16645</v>
      </c>
      <c r="J8140" s="34" t="s">
        <v>33</v>
      </c>
      <c r="K8140" s="42"/>
    </row>
    <row r="8141" spans="1:18" customFormat="1" ht="27" customHeight="1" x14ac:dyDescent="0.25">
      <c r="A8141" s="32" t="s">
        <v>4994</v>
      </c>
      <c r="H8141" t="s">
        <v>16646</v>
      </c>
      <c r="I8141" t="s">
        <v>16647</v>
      </c>
      <c r="J8141" s="34" t="s">
        <v>33</v>
      </c>
      <c r="K8141" s="42">
        <v>750000</v>
      </c>
      <c r="L8141" s="12">
        <f>IF(J8141="P",ROUNDUP(K8141/(1-Q8141),-2),K8141*(1+P8141)/(1-Q8141))</f>
        <v>937500</v>
      </c>
      <c r="M8141" s="8">
        <v>9</v>
      </c>
      <c r="N8141" s="8" t="s">
        <v>27</v>
      </c>
      <c r="O8141" s="13"/>
      <c r="P8141" s="14">
        <v>0</v>
      </c>
      <c r="Q8141" s="15">
        <v>0.2</v>
      </c>
      <c r="R8141" s="16" t="str">
        <f>A8141</f>
        <v>LAMP</v>
      </c>
    </row>
    <row r="8142" spans="1:18" customFormat="1" ht="27" customHeight="1" x14ac:dyDescent="0.25">
      <c r="A8142" s="32" t="s">
        <v>4994</v>
      </c>
      <c r="H8142" t="s">
        <v>16648</v>
      </c>
      <c r="I8142" t="s">
        <v>15678</v>
      </c>
      <c r="J8142" s="34" t="s">
        <v>33</v>
      </c>
      <c r="K8142" s="42">
        <v>650000</v>
      </c>
      <c r="L8142" s="12">
        <f>IF(J8142="P",ROUNDUP(K8142/(1-Q8142),-2),K8142*(1+P8142)/(1-Q8142))</f>
        <v>812500</v>
      </c>
      <c r="M8142" s="8">
        <v>9</v>
      </c>
      <c r="N8142" s="8" t="s">
        <v>27</v>
      </c>
      <c r="O8142" s="13"/>
      <c r="P8142" s="14">
        <v>0</v>
      </c>
      <c r="Q8142" s="15">
        <v>0.2</v>
      </c>
      <c r="R8142" s="16" t="str">
        <f>A8142</f>
        <v>LAMP</v>
      </c>
    </row>
    <row r="8143" spans="1:18" customFormat="1" ht="27" customHeight="1" x14ac:dyDescent="0.25">
      <c r="A8143" s="32" t="s">
        <v>4994</v>
      </c>
      <c r="H8143" t="s">
        <v>15681</v>
      </c>
      <c r="I8143" t="s">
        <v>15682</v>
      </c>
      <c r="J8143" s="34" t="s">
        <v>33</v>
      </c>
      <c r="K8143" s="42"/>
    </row>
    <row r="8144" spans="1:18" customFormat="1" ht="27" customHeight="1" x14ac:dyDescent="0.25">
      <c r="A8144" s="32" t="s">
        <v>4994</v>
      </c>
      <c r="H8144" t="s">
        <v>15686</v>
      </c>
      <c r="I8144" s="38" t="s">
        <v>16156</v>
      </c>
      <c r="J8144" t="s">
        <v>33</v>
      </c>
      <c r="K8144" s="42">
        <v>592150</v>
      </c>
      <c r="L8144" s="12">
        <f t="shared" ref="L8144:L8155" si="653">IF(J8144="P",ROUNDUP(K8144/(1-Q8144),-2),K8144*(1+P8144)/(1-Q8144))</f>
        <v>987000</v>
      </c>
      <c r="M8144" s="8">
        <v>1</v>
      </c>
      <c r="N8144" s="8" t="s">
        <v>27</v>
      </c>
      <c r="O8144" s="13">
        <f t="shared" ref="O8144:O8155" si="654">F8144</f>
        <v>0</v>
      </c>
      <c r="P8144" s="14">
        <v>0</v>
      </c>
      <c r="Q8144" s="15">
        <v>0.4</v>
      </c>
      <c r="R8144" s="64" t="str">
        <f t="shared" ref="R8144:R8155" si="655">A8144</f>
        <v>LAMP</v>
      </c>
    </row>
    <row r="8145" spans="1:18" customFormat="1" ht="27" customHeight="1" x14ac:dyDescent="0.25">
      <c r="A8145" s="32" t="s">
        <v>4994</v>
      </c>
      <c r="H8145" t="s">
        <v>16649</v>
      </c>
      <c r="I8145" t="s">
        <v>15693</v>
      </c>
      <c r="J8145" s="34" t="s">
        <v>33</v>
      </c>
      <c r="K8145" s="42">
        <v>290769</v>
      </c>
      <c r="L8145" s="12">
        <f t="shared" si="653"/>
        <v>484700</v>
      </c>
      <c r="M8145" s="8">
        <v>1</v>
      </c>
      <c r="N8145" s="8" t="s">
        <v>27</v>
      </c>
      <c r="O8145" s="13">
        <f t="shared" si="654"/>
        <v>0</v>
      </c>
      <c r="P8145" s="14">
        <v>0</v>
      </c>
      <c r="Q8145" s="15">
        <v>0.4</v>
      </c>
      <c r="R8145" s="64" t="str">
        <f t="shared" si="655"/>
        <v>LAMP</v>
      </c>
    </row>
    <row r="8146" spans="1:18" customFormat="1" ht="27" customHeight="1" x14ac:dyDescent="0.25">
      <c r="A8146" s="32" t="s">
        <v>1561</v>
      </c>
      <c r="H8146" t="s">
        <v>16650</v>
      </c>
      <c r="I8146" t="s">
        <v>16651</v>
      </c>
      <c r="J8146" s="34" t="s">
        <v>33</v>
      </c>
      <c r="K8146" s="42">
        <f>1723000</f>
        <v>1723000</v>
      </c>
      <c r="L8146" s="12">
        <f t="shared" si="653"/>
        <v>2650800</v>
      </c>
      <c r="M8146" s="8">
        <v>1</v>
      </c>
      <c r="N8146" s="8" t="s">
        <v>27</v>
      </c>
      <c r="O8146" s="13">
        <f t="shared" si="654"/>
        <v>0</v>
      </c>
      <c r="P8146" s="14">
        <v>0</v>
      </c>
      <c r="Q8146" s="15">
        <v>0.35</v>
      </c>
      <c r="R8146" s="64" t="str">
        <f t="shared" si="655"/>
        <v>DAHUA</v>
      </c>
    </row>
    <row r="8147" spans="1:18" customFormat="1" ht="27" customHeight="1" x14ac:dyDescent="0.25">
      <c r="A8147" s="32" t="s">
        <v>11685</v>
      </c>
      <c r="H8147" t="s">
        <v>16652</v>
      </c>
      <c r="I8147" t="s">
        <v>16653</v>
      </c>
      <c r="J8147" s="34" t="s">
        <v>26</v>
      </c>
      <c r="K8147" s="42">
        <v>57</v>
      </c>
      <c r="L8147" s="12">
        <f t="shared" si="653"/>
        <v>95</v>
      </c>
      <c r="M8147" s="8">
        <v>1</v>
      </c>
      <c r="N8147" s="8" t="s">
        <v>27</v>
      </c>
      <c r="O8147" s="13">
        <f t="shared" si="654"/>
        <v>0</v>
      </c>
      <c r="P8147" s="14">
        <v>0</v>
      </c>
      <c r="Q8147" s="15">
        <v>0.4</v>
      </c>
      <c r="R8147" s="64" t="str">
        <f t="shared" si="655"/>
        <v>RUIJIE</v>
      </c>
    </row>
    <row r="8148" spans="1:18" customFormat="1" ht="27" customHeight="1" x14ac:dyDescent="0.25">
      <c r="A8148" s="32" t="s">
        <v>11685</v>
      </c>
      <c r="H8148" t="s">
        <v>16654</v>
      </c>
      <c r="I8148" s="38" t="s">
        <v>16655</v>
      </c>
      <c r="J8148" s="34" t="s">
        <v>26</v>
      </c>
      <c r="K8148" s="42">
        <v>79.2</v>
      </c>
      <c r="L8148" s="12">
        <f t="shared" si="653"/>
        <v>132</v>
      </c>
      <c r="M8148" s="8">
        <v>1</v>
      </c>
      <c r="N8148" s="8" t="s">
        <v>27</v>
      </c>
      <c r="O8148" s="13">
        <f t="shared" si="654"/>
        <v>0</v>
      </c>
      <c r="P8148" s="14">
        <v>0</v>
      </c>
      <c r="Q8148" s="15">
        <v>0.4</v>
      </c>
      <c r="R8148" s="64" t="str">
        <f t="shared" si="655"/>
        <v>RUIJIE</v>
      </c>
    </row>
    <row r="8149" spans="1:18" customFormat="1" ht="27" customHeight="1" x14ac:dyDescent="0.25">
      <c r="A8149" s="32" t="s">
        <v>12433</v>
      </c>
      <c r="H8149" t="s">
        <v>16656</v>
      </c>
      <c r="I8149" t="s">
        <v>16657</v>
      </c>
      <c r="J8149" s="34" t="s">
        <v>33</v>
      </c>
      <c r="K8149" s="42">
        <v>800000</v>
      </c>
      <c r="L8149" s="12">
        <f t="shared" si="653"/>
        <v>1022800</v>
      </c>
      <c r="M8149" s="8">
        <v>1</v>
      </c>
      <c r="N8149" s="8" t="s">
        <v>27</v>
      </c>
      <c r="O8149" s="13">
        <f t="shared" si="654"/>
        <v>0</v>
      </c>
      <c r="P8149" s="14">
        <v>0</v>
      </c>
      <c r="Q8149" s="15">
        <v>0.2177572569379615</v>
      </c>
      <c r="R8149" s="64" t="str">
        <f t="shared" si="655"/>
        <v>LEDSC4</v>
      </c>
    </row>
    <row r="8150" spans="1:18" customFormat="1" ht="27" customHeight="1" x14ac:dyDescent="0.25">
      <c r="A8150" s="32" t="s">
        <v>12433</v>
      </c>
      <c r="H8150" t="s">
        <v>16658</v>
      </c>
      <c r="I8150" t="s">
        <v>16659</v>
      </c>
      <c r="J8150" s="34" t="s">
        <v>33</v>
      </c>
      <c r="K8150" s="42">
        <f>3242316*0.8</f>
        <v>2593852.8000000003</v>
      </c>
      <c r="L8150" s="12">
        <f t="shared" si="653"/>
        <v>3242400</v>
      </c>
      <c r="M8150" s="8">
        <v>1</v>
      </c>
      <c r="N8150" s="8" t="s">
        <v>27</v>
      </c>
      <c r="O8150" s="13">
        <f t="shared" si="654"/>
        <v>0</v>
      </c>
      <c r="P8150" s="14">
        <v>0</v>
      </c>
      <c r="Q8150" s="15">
        <v>0.2</v>
      </c>
      <c r="R8150" s="64" t="str">
        <f t="shared" si="655"/>
        <v>LEDSC4</v>
      </c>
    </row>
    <row r="8151" spans="1:18" customFormat="1" ht="27" customHeight="1" x14ac:dyDescent="0.25">
      <c r="A8151" s="32" t="s">
        <v>12433</v>
      </c>
      <c r="H8151" t="s">
        <v>16660</v>
      </c>
      <c r="I8151" t="s">
        <v>16661</v>
      </c>
      <c r="J8151" s="34" t="s">
        <v>33</v>
      </c>
      <c r="K8151" s="42">
        <f>406186*0.8</f>
        <v>324948.80000000005</v>
      </c>
      <c r="L8151" s="12">
        <f t="shared" si="653"/>
        <v>406200</v>
      </c>
      <c r="M8151" s="8">
        <v>1</v>
      </c>
      <c r="N8151" s="8" t="s">
        <v>27</v>
      </c>
      <c r="O8151" s="13">
        <f t="shared" si="654"/>
        <v>0</v>
      </c>
      <c r="P8151" s="14">
        <v>0</v>
      </c>
      <c r="Q8151" s="15">
        <v>0.2</v>
      </c>
      <c r="R8151" s="64" t="str">
        <f t="shared" si="655"/>
        <v>LEDSC4</v>
      </c>
    </row>
    <row r="8152" spans="1:18" customFormat="1" ht="27" customHeight="1" x14ac:dyDescent="0.25">
      <c r="A8152" s="32" t="s">
        <v>12433</v>
      </c>
      <c r="H8152" t="s">
        <v>16662</v>
      </c>
      <c r="I8152" t="s">
        <v>16663</v>
      </c>
      <c r="J8152" s="34" t="s">
        <v>33</v>
      </c>
      <c r="K8152" s="42">
        <f>130139*0.8</f>
        <v>104111.20000000001</v>
      </c>
      <c r="L8152" s="12">
        <f t="shared" si="653"/>
        <v>130200</v>
      </c>
      <c r="M8152" s="8">
        <v>1</v>
      </c>
      <c r="N8152" s="8" t="s">
        <v>27</v>
      </c>
      <c r="O8152" s="13">
        <f t="shared" si="654"/>
        <v>0</v>
      </c>
      <c r="P8152" s="14">
        <v>0</v>
      </c>
      <c r="Q8152" s="15">
        <v>0.2</v>
      </c>
      <c r="R8152" s="64" t="str">
        <f t="shared" si="655"/>
        <v>LEDSC4</v>
      </c>
    </row>
    <row r="8153" spans="1:18" customFormat="1" ht="27" customHeight="1" x14ac:dyDescent="0.25">
      <c r="A8153" s="32" t="s">
        <v>12433</v>
      </c>
      <c r="H8153" t="s">
        <v>16664</v>
      </c>
      <c r="I8153" t="s">
        <v>16665</v>
      </c>
      <c r="J8153" s="34" t="s">
        <v>33</v>
      </c>
      <c r="K8153" s="42">
        <f>141358*0.8</f>
        <v>113086.40000000001</v>
      </c>
      <c r="L8153" s="12">
        <f t="shared" si="653"/>
        <v>141400</v>
      </c>
      <c r="M8153" s="8">
        <v>1</v>
      </c>
      <c r="N8153" s="8" t="s">
        <v>27</v>
      </c>
      <c r="O8153" s="13">
        <f t="shared" si="654"/>
        <v>0</v>
      </c>
      <c r="P8153" s="14">
        <v>0</v>
      </c>
      <c r="Q8153" s="15">
        <v>0.2</v>
      </c>
      <c r="R8153" s="64" t="str">
        <f t="shared" si="655"/>
        <v>LEDSC4</v>
      </c>
    </row>
    <row r="8154" spans="1:18" customFormat="1" ht="27" customHeight="1" x14ac:dyDescent="0.25">
      <c r="A8154" s="32" t="s">
        <v>2095</v>
      </c>
      <c r="H8154" t="s">
        <v>16666</v>
      </c>
      <c r="I8154" t="s">
        <v>16667</v>
      </c>
      <c r="J8154" s="34" t="s">
        <v>33</v>
      </c>
      <c r="K8154" s="42">
        <v>50000</v>
      </c>
      <c r="L8154" s="12">
        <f t="shared" si="653"/>
        <v>55000</v>
      </c>
      <c r="M8154" s="8">
        <v>1</v>
      </c>
      <c r="N8154" s="8" t="s">
        <v>27</v>
      </c>
      <c r="O8154" s="13">
        <f t="shared" si="654"/>
        <v>0</v>
      </c>
      <c r="P8154" s="14">
        <v>0</v>
      </c>
      <c r="Q8154" s="15">
        <v>8.9641618233617229E-2</v>
      </c>
      <c r="R8154" s="64" t="str">
        <f t="shared" si="655"/>
        <v>ECOLITE</v>
      </c>
    </row>
    <row r="8155" spans="1:18" customFormat="1" ht="27" customHeight="1" x14ac:dyDescent="0.25">
      <c r="A8155" s="32" t="s">
        <v>2512</v>
      </c>
      <c r="H8155" t="s">
        <v>16668</v>
      </c>
      <c r="I8155" t="s">
        <v>16669</v>
      </c>
      <c r="J8155" s="34" t="s">
        <v>33</v>
      </c>
      <c r="K8155" s="42">
        <v>300</v>
      </c>
      <c r="L8155" s="12">
        <f t="shared" si="653"/>
        <v>400</v>
      </c>
      <c r="M8155" s="8">
        <v>1</v>
      </c>
      <c r="N8155" s="8" t="s">
        <v>27</v>
      </c>
      <c r="O8155" s="13">
        <f t="shared" si="654"/>
        <v>0</v>
      </c>
      <c r="P8155" s="14">
        <v>0</v>
      </c>
      <c r="Q8155" s="15">
        <v>0.1</v>
      </c>
      <c r="R8155" s="64" t="str">
        <f t="shared" si="655"/>
        <v>GENERAL</v>
      </c>
    </row>
    <row r="8156" spans="1:18" customFormat="1" ht="27" customHeight="1" x14ac:dyDescent="0.25">
      <c r="A8156" s="32" t="s">
        <v>16493</v>
      </c>
      <c r="H8156" t="s">
        <v>16670</v>
      </c>
      <c r="I8156" t="s">
        <v>16671</v>
      </c>
      <c r="J8156" s="34" t="s">
        <v>26</v>
      </c>
      <c r="K8156" s="42">
        <v>1448</v>
      </c>
      <c r="L8156" s="12">
        <f t="shared" ref="L8156" si="656">IF(J8156="P",ROUNDUP(K8156/(1-Q8156),-2),K8156*(1+P8156)/(1-Q8156))</f>
        <v>2413.3333333333335</v>
      </c>
      <c r="M8156" s="8">
        <v>1</v>
      </c>
      <c r="N8156" s="8" t="s">
        <v>27</v>
      </c>
      <c r="O8156" s="13">
        <f t="shared" ref="O8156" si="657">F8156</f>
        <v>0</v>
      </c>
      <c r="P8156" s="14">
        <v>0</v>
      </c>
      <c r="Q8156" s="15">
        <v>0.4</v>
      </c>
      <c r="R8156" s="64" t="str">
        <f t="shared" ref="R8156" si="658">A8156</f>
        <v>CAME</v>
      </c>
    </row>
    <row r="8157" spans="1:18" customFormat="1" ht="27" customHeight="1" x14ac:dyDescent="0.25">
      <c r="A8157" s="32" t="s">
        <v>3459</v>
      </c>
      <c r="H8157" s="66" t="s">
        <v>16672</v>
      </c>
      <c r="I8157" s="38" t="s">
        <v>16685</v>
      </c>
      <c r="J8157" s="34" t="s">
        <v>33</v>
      </c>
      <c r="K8157" s="42">
        <v>782000</v>
      </c>
      <c r="L8157" s="12">
        <f t="shared" ref="L8157:L8166" si="659">IF(J8157="P",ROUNDUP(K8157/(1-Q8157),-2),K8157*(1+P8157)/(1-Q8157))</f>
        <v>1303400</v>
      </c>
      <c r="M8157" s="8">
        <v>1</v>
      </c>
      <c r="N8157" s="8" t="s">
        <v>27</v>
      </c>
      <c r="O8157" s="13">
        <f t="shared" ref="O8157:O8166" si="660">F8157</f>
        <v>0</v>
      </c>
      <c r="P8157" s="14">
        <v>0</v>
      </c>
      <c r="Q8157" s="15">
        <v>0.4</v>
      </c>
      <c r="R8157" s="64" t="str">
        <f t="shared" ref="R8157:R8166" si="661">A8157</f>
        <v>HIKVISION</v>
      </c>
    </row>
    <row r="8158" spans="1:18" customFormat="1" ht="27" customHeight="1" x14ac:dyDescent="0.25">
      <c r="A8158" s="32" t="s">
        <v>2512</v>
      </c>
      <c r="H8158" s="66" t="s">
        <v>16673</v>
      </c>
      <c r="I8158" s="38" t="s">
        <v>16686</v>
      </c>
      <c r="J8158" s="34" t="s">
        <v>33</v>
      </c>
      <c r="K8158" s="42">
        <v>1302000</v>
      </c>
      <c r="L8158" s="12">
        <f t="shared" si="659"/>
        <v>2170000</v>
      </c>
      <c r="M8158" s="8">
        <v>1</v>
      </c>
      <c r="N8158" s="8" t="s">
        <v>27</v>
      </c>
      <c r="O8158" s="13">
        <f t="shared" si="660"/>
        <v>0</v>
      </c>
      <c r="P8158" s="14">
        <v>0</v>
      </c>
      <c r="Q8158" s="15">
        <v>0.4</v>
      </c>
      <c r="R8158" s="64" t="str">
        <f t="shared" si="661"/>
        <v>GENERAL</v>
      </c>
    </row>
    <row r="8159" spans="1:18" customFormat="1" ht="27" customHeight="1" x14ac:dyDescent="0.25">
      <c r="A8159" s="32" t="s">
        <v>2512</v>
      </c>
      <c r="H8159" s="66" t="s">
        <v>16674</v>
      </c>
      <c r="I8159" s="38" t="s">
        <v>16687</v>
      </c>
      <c r="J8159" s="34" t="s">
        <v>33</v>
      </c>
      <c r="K8159" s="42">
        <v>3600</v>
      </c>
      <c r="L8159" s="12">
        <f t="shared" si="659"/>
        <v>6000</v>
      </c>
      <c r="M8159" s="8">
        <v>1</v>
      </c>
      <c r="N8159" s="8" t="s">
        <v>27</v>
      </c>
      <c r="O8159" s="13">
        <f t="shared" si="660"/>
        <v>0</v>
      </c>
      <c r="P8159" s="14">
        <v>0</v>
      </c>
      <c r="Q8159" s="15">
        <v>0.4</v>
      </c>
      <c r="R8159" s="64" t="str">
        <f t="shared" si="661"/>
        <v>GENERAL</v>
      </c>
    </row>
    <row r="8160" spans="1:18" customFormat="1" ht="27" customHeight="1" x14ac:dyDescent="0.25">
      <c r="A8160" s="32" t="s">
        <v>2512</v>
      </c>
      <c r="H8160" s="66" t="s">
        <v>16675</v>
      </c>
      <c r="I8160" s="38" t="s">
        <v>16682</v>
      </c>
      <c r="J8160" s="34" t="s">
        <v>33</v>
      </c>
      <c r="K8160" s="42">
        <v>246000</v>
      </c>
      <c r="L8160" s="12">
        <f t="shared" si="659"/>
        <v>410000</v>
      </c>
      <c r="M8160" s="8">
        <v>1</v>
      </c>
      <c r="N8160" s="8" t="s">
        <v>27</v>
      </c>
      <c r="O8160" s="13">
        <f t="shared" si="660"/>
        <v>0</v>
      </c>
      <c r="P8160" s="14">
        <v>0</v>
      </c>
      <c r="Q8160" s="15">
        <v>0.4</v>
      </c>
      <c r="R8160" s="64" t="str">
        <f t="shared" si="661"/>
        <v>GENERAL</v>
      </c>
    </row>
    <row r="8161" spans="1:20" customFormat="1" ht="27" customHeight="1" x14ac:dyDescent="0.25">
      <c r="A8161" s="32" t="s">
        <v>2512</v>
      </c>
      <c r="H8161" s="66" t="s">
        <v>16676</v>
      </c>
      <c r="I8161" s="38" t="s">
        <v>16688</v>
      </c>
      <c r="J8161" s="34" t="s">
        <v>33</v>
      </c>
      <c r="K8161" s="42">
        <v>879000</v>
      </c>
      <c r="L8161" s="12">
        <f t="shared" si="659"/>
        <v>1465000</v>
      </c>
      <c r="M8161" s="8">
        <v>1</v>
      </c>
      <c r="N8161" s="8" t="s">
        <v>27</v>
      </c>
      <c r="O8161" s="13">
        <f t="shared" si="660"/>
        <v>0</v>
      </c>
      <c r="P8161" s="14">
        <v>0</v>
      </c>
      <c r="Q8161" s="15">
        <v>0.4</v>
      </c>
      <c r="R8161" s="64" t="str">
        <f t="shared" si="661"/>
        <v>GENERAL</v>
      </c>
    </row>
    <row r="8162" spans="1:20" customFormat="1" ht="27" customHeight="1" x14ac:dyDescent="0.25">
      <c r="A8162" s="32" t="s">
        <v>2512</v>
      </c>
      <c r="H8162" s="66" t="s">
        <v>16677</v>
      </c>
      <c r="I8162" s="38" t="s">
        <v>16691</v>
      </c>
      <c r="J8162" s="34" t="s">
        <v>33</v>
      </c>
      <c r="K8162" s="42">
        <v>149000</v>
      </c>
      <c r="L8162" s="12">
        <f t="shared" si="659"/>
        <v>248400</v>
      </c>
      <c r="M8162" s="8">
        <v>1</v>
      </c>
      <c r="N8162" s="8" t="s">
        <v>27</v>
      </c>
      <c r="O8162" s="13">
        <f t="shared" si="660"/>
        <v>0</v>
      </c>
      <c r="P8162" s="14">
        <v>0</v>
      </c>
      <c r="Q8162" s="15">
        <v>0.4</v>
      </c>
      <c r="R8162" s="64" t="str">
        <f t="shared" si="661"/>
        <v>GENERAL</v>
      </c>
    </row>
    <row r="8163" spans="1:20" customFormat="1" ht="27" customHeight="1" x14ac:dyDescent="0.25">
      <c r="A8163" s="32" t="s">
        <v>2512</v>
      </c>
      <c r="H8163" s="66" t="s">
        <v>16678</v>
      </c>
      <c r="I8163" s="38" t="s">
        <v>16690</v>
      </c>
      <c r="J8163" s="34" t="s">
        <v>33</v>
      </c>
      <c r="K8163" s="42">
        <v>5600</v>
      </c>
      <c r="L8163" s="12">
        <f t="shared" si="659"/>
        <v>9400</v>
      </c>
      <c r="M8163" s="8">
        <v>1</v>
      </c>
      <c r="N8163" s="8" t="s">
        <v>27</v>
      </c>
      <c r="O8163" s="13">
        <f t="shared" si="660"/>
        <v>0</v>
      </c>
      <c r="P8163" s="14">
        <v>0</v>
      </c>
      <c r="Q8163" s="15">
        <v>0.4</v>
      </c>
      <c r="R8163" s="64" t="str">
        <f t="shared" si="661"/>
        <v>GENERAL</v>
      </c>
    </row>
    <row r="8164" spans="1:20" customFormat="1" ht="27" customHeight="1" x14ac:dyDescent="0.25">
      <c r="A8164" s="32" t="s">
        <v>2512</v>
      </c>
      <c r="H8164" s="66" t="s">
        <v>16679</v>
      </c>
      <c r="I8164" s="38" t="s">
        <v>16683</v>
      </c>
      <c r="J8164" s="34" t="s">
        <v>33</v>
      </c>
      <c r="K8164" s="42">
        <v>423000</v>
      </c>
      <c r="L8164" s="12">
        <f t="shared" si="659"/>
        <v>705000</v>
      </c>
      <c r="M8164" s="8">
        <v>1</v>
      </c>
      <c r="N8164" s="8" t="s">
        <v>27</v>
      </c>
      <c r="O8164" s="13">
        <f t="shared" si="660"/>
        <v>0</v>
      </c>
      <c r="P8164" s="14">
        <v>0</v>
      </c>
      <c r="Q8164" s="15">
        <v>0.4</v>
      </c>
      <c r="R8164" s="64" t="str">
        <f t="shared" si="661"/>
        <v>GENERAL</v>
      </c>
    </row>
    <row r="8165" spans="1:20" customFormat="1" ht="27" customHeight="1" x14ac:dyDescent="0.25">
      <c r="A8165" s="32" t="s">
        <v>2512</v>
      </c>
      <c r="H8165" s="66" t="s">
        <v>16680</v>
      </c>
      <c r="I8165" t="s">
        <v>16689</v>
      </c>
      <c r="J8165" s="34" t="s">
        <v>33</v>
      </c>
      <c r="K8165" s="42">
        <v>533000</v>
      </c>
      <c r="L8165" s="12">
        <f t="shared" si="659"/>
        <v>888400</v>
      </c>
      <c r="M8165" s="8">
        <v>1</v>
      </c>
      <c r="N8165" s="8" t="s">
        <v>27</v>
      </c>
      <c r="O8165" s="13">
        <f t="shared" si="660"/>
        <v>0</v>
      </c>
      <c r="P8165" s="14">
        <v>0</v>
      </c>
      <c r="Q8165" s="15">
        <v>0.4</v>
      </c>
      <c r="R8165" s="64" t="str">
        <f t="shared" si="661"/>
        <v>GENERAL</v>
      </c>
    </row>
    <row r="8166" spans="1:20" customFormat="1" ht="27" customHeight="1" x14ac:dyDescent="0.25">
      <c r="A8166" s="32" t="s">
        <v>2512</v>
      </c>
      <c r="H8166" s="66" t="s">
        <v>16681</v>
      </c>
      <c r="I8166" s="38" t="s">
        <v>16684</v>
      </c>
      <c r="J8166" s="34" t="s">
        <v>33</v>
      </c>
      <c r="K8166" s="42">
        <v>424500</v>
      </c>
      <c r="L8166" s="12">
        <f t="shared" si="659"/>
        <v>707500</v>
      </c>
      <c r="M8166" s="8">
        <v>1</v>
      </c>
      <c r="N8166" s="8" t="s">
        <v>27</v>
      </c>
      <c r="O8166" s="13">
        <f t="shared" si="660"/>
        <v>0</v>
      </c>
      <c r="P8166" s="14">
        <v>0</v>
      </c>
      <c r="Q8166" s="15">
        <v>0.4</v>
      </c>
      <c r="R8166" s="64" t="str">
        <f t="shared" si="661"/>
        <v>GENERAL</v>
      </c>
    </row>
    <row r="8167" spans="1:20" customFormat="1" ht="27" customHeight="1" x14ac:dyDescent="0.25">
      <c r="A8167" s="32" t="s">
        <v>3977</v>
      </c>
      <c r="H8167" s="66" t="s">
        <v>16692</v>
      </c>
      <c r="I8167" s="38" t="s">
        <v>16693</v>
      </c>
      <c r="J8167" s="34" t="s">
        <v>33</v>
      </c>
      <c r="K8167" s="42">
        <v>550000</v>
      </c>
      <c r="L8167" s="12">
        <f t="shared" ref="L8167" si="662">IF(J8167="P",ROUNDUP(K8167/(1-Q8167),-2),K8167*(1+P8167)/(1-Q8167))</f>
        <v>916700</v>
      </c>
      <c r="M8167" s="8">
        <v>1</v>
      </c>
      <c r="N8167" s="8" t="s">
        <v>27</v>
      </c>
      <c r="O8167" s="13">
        <f t="shared" ref="O8167" si="663">F8167</f>
        <v>0</v>
      </c>
      <c r="P8167" s="14">
        <v>0</v>
      </c>
      <c r="Q8167" s="15">
        <v>0.4</v>
      </c>
      <c r="R8167" s="64" t="str">
        <f t="shared" ref="R8167" si="664">A8167</f>
        <v>KOMODO</v>
      </c>
    </row>
    <row r="8168" spans="1:20" customFormat="1" ht="27" customHeight="1" x14ac:dyDescent="0.25">
      <c r="A8168" s="32" t="s">
        <v>6853</v>
      </c>
      <c r="H8168" s="66" t="s">
        <v>16694</v>
      </c>
      <c r="I8168" s="38" t="s">
        <v>16696</v>
      </c>
      <c r="J8168" s="34" t="s">
        <v>33</v>
      </c>
      <c r="K8168" s="42">
        <v>8950000</v>
      </c>
      <c r="L8168" s="12">
        <f t="shared" ref="L8168:L8169" si="665">IF(J8168="P",ROUNDUP(K8168/(1-Q8168),-2),K8168*(1+P8168)/(1-Q8168))</f>
        <v>11933400</v>
      </c>
      <c r="M8168" s="8">
        <v>1</v>
      </c>
      <c r="N8168" s="8" t="s">
        <v>27</v>
      </c>
      <c r="O8168" s="13">
        <f t="shared" ref="O8168:O8169" si="666">F8168</f>
        <v>0</v>
      </c>
      <c r="P8168" s="14">
        <v>0</v>
      </c>
      <c r="Q8168" s="15">
        <v>0.25</v>
      </c>
      <c r="R8168" s="64" t="str">
        <f t="shared" ref="R8168:R8169" si="667">A8168</f>
        <v>MAXHUB</v>
      </c>
    </row>
    <row r="8169" spans="1:20" customFormat="1" ht="27" customHeight="1" x14ac:dyDescent="0.25">
      <c r="A8169" s="32" t="s">
        <v>6853</v>
      </c>
      <c r="H8169" s="66" t="s">
        <v>16695</v>
      </c>
      <c r="I8169" s="38" t="s">
        <v>16697</v>
      </c>
      <c r="J8169" s="34" t="s">
        <v>33</v>
      </c>
      <c r="K8169" s="42">
        <v>12771000</v>
      </c>
      <c r="L8169" s="12">
        <f t="shared" si="665"/>
        <v>17028000</v>
      </c>
      <c r="M8169" s="8">
        <v>1</v>
      </c>
      <c r="N8169" s="8" t="s">
        <v>27</v>
      </c>
      <c r="O8169" s="13">
        <f t="shared" si="666"/>
        <v>0</v>
      </c>
      <c r="P8169" s="14">
        <v>0</v>
      </c>
      <c r="Q8169" s="15">
        <v>0.25</v>
      </c>
      <c r="R8169" s="64" t="str">
        <f t="shared" si="667"/>
        <v>MAXHUB</v>
      </c>
    </row>
    <row r="8170" spans="1:20" customFormat="1" ht="27" customHeight="1" x14ac:dyDescent="0.25">
      <c r="A8170" s="32" t="s">
        <v>12041</v>
      </c>
      <c r="H8170" s="66" t="s">
        <v>16698</v>
      </c>
      <c r="I8170" s="38" t="s">
        <v>16699</v>
      </c>
      <c r="J8170" s="34" t="s">
        <v>33</v>
      </c>
      <c r="K8170" s="42">
        <v>3375000</v>
      </c>
      <c r="L8170" s="12">
        <f t="shared" ref="L8170:L8171" si="668">IF(J8170="P",ROUNDUP(K8170/(1-Q8170),-2),K8170*(1+P8170)/(1-Q8170))</f>
        <v>4500000</v>
      </c>
      <c r="M8170" s="8">
        <v>1</v>
      </c>
      <c r="N8170" s="8" t="s">
        <v>27</v>
      </c>
      <c r="O8170" s="13">
        <f t="shared" ref="O8170:O8171" si="669">F8170</f>
        <v>0</v>
      </c>
      <c r="P8170" s="14">
        <v>0</v>
      </c>
      <c r="Q8170" s="15">
        <v>0.25</v>
      </c>
      <c r="R8170" s="64" t="str">
        <f t="shared" ref="R8170:R8171" si="670">A8170</f>
        <v>INTEL</v>
      </c>
    </row>
    <row r="8171" spans="1:20" customFormat="1" ht="27" customHeight="1" x14ac:dyDescent="0.25">
      <c r="A8171" s="32" t="s">
        <v>3977</v>
      </c>
      <c r="H8171" s="32" t="s">
        <v>11392</v>
      </c>
      <c r="I8171" t="s">
        <v>16700</v>
      </c>
      <c r="J8171" t="s">
        <v>33</v>
      </c>
      <c r="K8171" s="42">
        <v>120000</v>
      </c>
      <c r="L8171" s="12">
        <f t="shared" si="668"/>
        <v>200000</v>
      </c>
      <c r="M8171" s="8">
        <v>1</v>
      </c>
      <c r="N8171" s="8" t="s">
        <v>27</v>
      </c>
      <c r="O8171" s="13">
        <f t="shared" si="669"/>
        <v>0</v>
      </c>
      <c r="P8171" s="14">
        <v>0</v>
      </c>
      <c r="Q8171" s="15">
        <v>0.4</v>
      </c>
      <c r="R8171" s="64" t="str">
        <f t="shared" si="670"/>
        <v>KOMODO</v>
      </c>
    </row>
    <row r="8172" spans="1:20" customFormat="1" ht="27" customHeight="1" x14ac:dyDescent="0.25">
      <c r="A8172" s="32" t="s">
        <v>2512</v>
      </c>
      <c r="H8172" s="66" t="s">
        <v>16701</v>
      </c>
      <c r="I8172" s="38" t="s">
        <v>16702</v>
      </c>
      <c r="J8172" s="34" t="s">
        <v>33</v>
      </c>
      <c r="K8172" s="42">
        <v>158000</v>
      </c>
      <c r="L8172" s="12">
        <f t="shared" ref="L8172" si="671">IF(J8172="P",ROUNDUP(K8172/(1-Q8172),-2),K8172*(1+P8172)/(1-Q8172))</f>
        <v>263400</v>
      </c>
      <c r="M8172" s="8">
        <v>1</v>
      </c>
      <c r="N8172" s="8" t="s">
        <v>27</v>
      </c>
      <c r="O8172" s="13">
        <f t="shared" ref="O8172" si="672">F8172</f>
        <v>0</v>
      </c>
      <c r="P8172" s="14">
        <v>0</v>
      </c>
      <c r="Q8172" s="15">
        <v>0.4</v>
      </c>
      <c r="R8172" s="64" t="str">
        <f t="shared" ref="R8172" si="673">A8172</f>
        <v>GENERAL</v>
      </c>
    </row>
    <row r="8173" spans="1:20" customFormat="1" ht="27" customHeight="1" x14ac:dyDescent="0.25">
      <c r="A8173" s="32" t="s">
        <v>2512</v>
      </c>
      <c r="H8173" s="66" t="s">
        <v>16703</v>
      </c>
      <c r="I8173" s="38" t="s">
        <v>16704</v>
      </c>
      <c r="J8173" s="34" t="s">
        <v>33</v>
      </c>
      <c r="K8173" s="42">
        <v>1050252</v>
      </c>
      <c r="L8173" s="12">
        <f t="shared" ref="L8173:L8174" si="674">IF(J8173="P",ROUNDUP(K8173/(1-Q8173),-2),K8173*(1+P8173)/(1-Q8173))</f>
        <v>1500400</v>
      </c>
      <c r="M8173" s="8">
        <v>1</v>
      </c>
      <c r="N8173" s="8" t="s">
        <v>27</v>
      </c>
      <c r="O8173" s="13">
        <f t="shared" ref="O8173" si="675">F8173</f>
        <v>0</v>
      </c>
      <c r="P8173" s="14">
        <v>0</v>
      </c>
      <c r="Q8173" s="15">
        <v>0.3</v>
      </c>
      <c r="R8173" s="64" t="str">
        <f t="shared" ref="R8173:R8174" si="676">A8173</f>
        <v>GENERAL</v>
      </c>
    </row>
    <row r="8174" spans="1:20" customFormat="1" ht="27" customHeight="1" x14ac:dyDescent="0.25">
      <c r="A8174" s="8" t="s">
        <v>2512</v>
      </c>
      <c r="B8174" s="9"/>
      <c r="C8174" s="9"/>
      <c r="D8174" s="8"/>
      <c r="E8174" s="8"/>
      <c r="F8174" s="8" t="s">
        <v>22</v>
      </c>
      <c r="G8174" s="10" t="s">
        <v>2674</v>
      </c>
      <c r="H8174" s="8" t="s">
        <v>16855</v>
      </c>
      <c r="I8174" s="10" t="s">
        <v>16856</v>
      </c>
      <c r="J8174" s="11" t="s">
        <v>33</v>
      </c>
      <c r="K8174" s="18">
        <v>4300</v>
      </c>
      <c r="L8174" s="12">
        <f t="shared" si="674"/>
        <v>6200</v>
      </c>
      <c r="M8174" s="8">
        <v>1</v>
      </c>
      <c r="N8174" s="8" t="s">
        <v>27</v>
      </c>
      <c r="O8174" s="13"/>
      <c r="P8174" s="14">
        <v>0.2</v>
      </c>
      <c r="Q8174" s="15">
        <v>0.3</v>
      </c>
      <c r="R8174" s="16" t="str">
        <f t="shared" si="676"/>
        <v>GENERAL</v>
      </c>
      <c r="S8174" s="17"/>
      <c r="T8174" s="10" t="str">
        <f t="shared" ref="T8174" si="677">G8174</f>
        <v>METRO DE CORAZA AMERICANA DE 3/4 DE PULGADA</v>
      </c>
    </row>
    <row r="8175" spans="1:20" customFormat="1" ht="27" customHeight="1" x14ac:dyDescent="0.25">
      <c r="A8175" s="32" t="s">
        <v>2512</v>
      </c>
      <c r="H8175" t="s">
        <v>16705</v>
      </c>
      <c r="I8175" s="33" t="s">
        <v>16709</v>
      </c>
      <c r="J8175" s="34" t="s">
        <v>33</v>
      </c>
      <c r="K8175" s="42">
        <v>67000</v>
      </c>
      <c r="L8175" s="12">
        <f t="shared" ref="L8175" si="678">IF(J8175="P",ROUNDUP(K8175/(1-Q8175),-2),K8175*(1+P8175)/(1-Q8175))</f>
        <v>111700</v>
      </c>
      <c r="M8175" s="8">
        <v>9</v>
      </c>
      <c r="N8175" s="8" t="s">
        <v>27</v>
      </c>
      <c r="O8175" s="13"/>
      <c r="P8175" s="14">
        <v>0</v>
      </c>
      <c r="Q8175" s="15">
        <v>0.4</v>
      </c>
      <c r="R8175" s="16" t="str">
        <f t="shared" ref="R8175" si="679">A8175</f>
        <v>GENERAL</v>
      </c>
    </row>
    <row r="8176" spans="1:20" customFormat="1" ht="27" customHeight="1" x14ac:dyDescent="0.25">
      <c r="A8176" s="32" t="s">
        <v>16706</v>
      </c>
      <c r="H8176" t="s">
        <v>16707</v>
      </c>
      <c r="I8176" s="33" t="s">
        <v>16708</v>
      </c>
      <c r="J8176" s="34" t="s">
        <v>33</v>
      </c>
      <c r="K8176" s="42">
        <v>8235</v>
      </c>
      <c r="L8176" s="12">
        <f t="shared" ref="L8176" si="680">IF(J8176="P",ROUNDUP(K8176/(1-Q8176),-2),K8176*(1+P8176)/(1-Q8176))</f>
        <v>13800</v>
      </c>
      <c r="M8176" s="8">
        <v>9</v>
      </c>
      <c r="N8176" s="8" t="s">
        <v>27</v>
      </c>
      <c r="O8176" s="13"/>
      <c r="P8176" s="14">
        <v>0</v>
      </c>
      <c r="Q8176" s="15">
        <v>0.4</v>
      </c>
      <c r="R8176" s="16" t="str">
        <f t="shared" ref="R8176:R8177" si="681">A8176</f>
        <v>COMFERVI</v>
      </c>
    </row>
    <row r="8177" spans="1:18" customFormat="1" ht="27" customHeight="1" x14ac:dyDescent="0.25">
      <c r="A8177" s="32" t="s">
        <v>13983</v>
      </c>
      <c r="H8177" t="s">
        <v>16710</v>
      </c>
      <c r="I8177" t="s">
        <v>14059</v>
      </c>
      <c r="J8177" s="34" t="s">
        <v>26</v>
      </c>
      <c r="K8177" s="77">
        <v>19.89</v>
      </c>
      <c r="L8177" s="12">
        <f t="shared" ref="L8177" si="682">K8177*(1+P8177)/(1-Q8177)</f>
        <v>43.095000000000006</v>
      </c>
      <c r="M8177" s="106">
        <v>1</v>
      </c>
      <c r="N8177" s="106" t="s">
        <v>27</v>
      </c>
      <c r="O8177" s="78"/>
      <c r="P8177" s="107">
        <v>0.3</v>
      </c>
      <c r="Q8177" s="108">
        <v>0.4</v>
      </c>
      <c r="R8177" s="45" t="str">
        <f t="shared" si="681"/>
        <v>HOFFLIGHTS</v>
      </c>
    </row>
    <row r="8178" spans="1:18" customFormat="1" ht="27" customHeight="1" x14ac:dyDescent="0.25">
      <c r="A8178" s="32" t="s">
        <v>6853</v>
      </c>
      <c r="H8178" t="s">
        <v>16695</v>
      </c>
      <c r="I8178" s="33" t="s">
        <v>16711</v>
      </c>
      <c r="J8178" s="34" t="s">
        <v>33</v>
      </c>
      <c r="K8178" s="42">
        <v>8929050</v>
      </c>
      <c r="L8178" s="12">
        <f t="shared" ref="L8178:L8179" si="683">K8178*(1+P8178)/(1-Q8178)</f>
        <v>14881750</v>
      </c>
      <c r="M8178" s="106">
        <v>1</v>
      </c>
      <c r="N8178" s="106" t="s">
        <v>27</v>
      </c>
      <c r="O8178" s="78"/>
      <c r="P8178" s="107">
        <v>0</v>
      </c>
      <c r="Q8178" s="108">
        <v>0.4</v>
      </c>
      <c r="R8178" s="45" t="str">
        <f t="shared" ref="R8178:R8179" si="684">A8178</f>
        <v>MAXHUB</v>
      </c>
    </row>
    <row r="8179" spans="1:18" customFormat="1" ht="27" customHeight="1" x14ac:dyDescent="0.25">
      <c r="A8179" s="32" t="s">
        <v>6853</v>
      </c>
      <c r="H8179" t="s">
        <v>16694</v>
      </c>
      <c r="I8179" s="33" t="s">
        <v>16712</v>
      </c>
      <c r="J8179" s="34" t="s">
        <v>33</v>
      </c>
      <c r="K8179" s="42">
        <v>11010500</v>
      </c>
      <c r="L8179" s="12">
        <f t="shared" si="683"/>
        <v>18350833.333333336</v>
      </c>
      <c r="M8179" s="106">
        <v>1</v>
      </c>
      <c r="N8179" s="106" t="s">
        <v>27</v>
      </c>
      <c r="O8179" s="78"/>
      <c r="P8179" s="107">
        <v>0</v>
      </c>
      <c r="Q8179" s="108">
        <v>0.4</v>
      </c>
      <c r="R8179" s="45" t="str">
        <f t="shared" si="684"/>
        <v>MAXHUB</v>
      </c>
    </row>
    <row r="8180" spans="1:18" customFormat="1" ht="27" customHeight="1" x14ac:dyDescent="0.25">
      <c r="A8180" s="32" t="s">
        <v>4994</v>
      </c>
      <c r="H8180" t="s">
        <v>16713</v>
      </c>
      <c r="I8180" s="33" t="s">
        <v>16714</v>
      </c>
      <c r="J8180" s="34" t="s">
        <v>33</v>
      </c>
      <c r="K8180" s="42">
        <v>541015</v>
      </c>
      <c r="L8180" s="12">
        <f t="shared" ref="L8180" si="685">K8180*(1+P8180)/(1-Q8180)</f>
        <v>676268.75</v>
      </c>
      <c r="M8180" s="106">
        <v>1</v>
      </c>
      <c r="N8180" s="106" t="s">
        <v>27</v>
      </c>
      <c r="O8180" s="78"/>
      <c r="P8180" s="107">
        <v>0</v>
      </c>
      <c r="Q8180" s="108">
        <v>0.2</v>
      </c>
      <c r="R8180" s="45" t="str">
        <f t="shared" ref="R8180:R8181" si="686">A8180</f>
        <v>LAMP</v>
      </c>
    </row>
    <row r="8181" spans="1:18" customFormat="1" ht="27" customHeight="1" x14ac:dyDescent="0.25">
      <c r="A8181" s="32" t="s">
        <v>4994</v>
      </c>
      <c r="H8181" t="s">
        <v>16715</v>
      </c>
      <c r="I8181" s="33" t="s">
        <v>16716</v>
      </c>
      <c r="J8181" s="34" t="s">
        <v>33</v>
      </c>
      <c r="K8181" s="42"/>
      <c r="R8181" s="45" t="str">
        <f t="shared" si="686"/>
        <v>LAMP</v>
      </c>
    </row>
    <row r="8182" spans="1:18" customFormat="1" ht="27" customHeight="1" x14ac:dyDescent="0.25">
      <c r="A8182" s="32" t="s">
        <v>16724</v>
      </c>
      <c r="H8182" s="32" t="s">
        <v>16717</v>
      </c>
      <c r="I8182" s="38" t="s">
        <v>16726</v>
      </c>
      <c r="J8182" s="34" t="s">
        <v>33</v>
      </c>
      <c r="K8182" s="42">
        <f>360000*0.9</f>
        <v>324000</v>
      </c>
      <c r="L8182" s="12">
        <f t="shared" ref="L8182:L8188" si="687">K8182*(1+P8182)/(1-Q8182)</f>
        <v>381176.4705882353</v>
      </c>
      <c r="M8182" s="106">
        <v>1</v>
      </c>
      <c r="N8182" s="106" t="s">
        <v>27</v>
      </c>
      <c r="O8182" s="78"/>
      <c r="P8182" s="107">
        <v>0</v>
      </c>
      <c r="Q8182" s="108">
        <v>0.15</v>
      </c>
      <c r="R8182" s="45" t="str">
        <f t="shared" ref="R8182:R8188" si="688">A8182</f>
        <v>HIGH_LIGHTS</v>
      </c>
    </row>
    <row r="8183" spans="1:18" customFormat="1" ht="27" customHeight="1" x14ac:dyDescent="0.25">
      <c r="A8183" s="32" t="s">
        <v>10367</v>
      </c>
      <c r="H8183" s="32" t="s">
        <v>16718</v>
      </c>
      <c r="I8183" s="33" t="s">
        <v>16725</v>
      </c>
      <c r="J8183" s="34" t="s">
        <v>33</v>
      </c>
      <c r="K8183" s="42">
        <f>141700*0.85</f>
        <v>120445</v>
      </c>
      <c r="L8183" s="12">
        <f t="shared" si="687"/>
        <v>141700</v>
      </c>
      <c r="M8183" s="106">
        <v>1</v>
      </c>
      <c r="N8183" s="106" t="s">
        <v>27</v>
      </c>
      <c r="O8183" s="78"/>
      <c r="P8183" s="107">
        <v>0</v>
      </c>
      <c r="Q8183" s="108">
        <v>0.15</v>
      </c>
      <c r="R8183" s="45" t="str">
        <f t="shared" si="688"/>
        <v>COOPER</v>
      </c>
    </row>
    <row r="8184" spans="1:18" customFormat="1" ht="27" customHeight="1" x14ac:dyDescent="0.25">
      <c r="A8184" s="32" t="s">
        <v>16724</v>
      </c>
      <c r="H8184" s="32" t="s">
        <v>16719</v>
      </c>
      <c r="I8184" s="38" t="s">
        <v>16727</v>
      </c>
      <c r="J8184" s="34" t="s">
        <v>33</v>
      </c>
      <c r="K8184" s="42">
        <f>360000*0.85</f>
        <v>306000</v>
      </c>
      <c r="L8184" s="12">
        <f t="shared" si="687"/>
        <v>360000</v>
      </c>
      <c r="M8184" s="106">
        <v>1</v>
      </c>
      <c r="N8184" s="106" t="s">
        <v>27</v>
      </c>
      <c r="O8184" s="78"/>
      <c r="P8184" s="107">
        <v>0</v>
      </c>
      <c r="Q8184" s="108">
        <v>0.15</v>
      </c>
      <c r="R8184" s="45" t="str">
        <f t="shared" si="688"/>
        <v>HIGH_LIGHTS</v>
      </c>
    </row>
    <row r="8185" spans="1:18" customFormat="1" ht="27" customHeight="1" x14ac:dyDescent="0.25">
      <c r="A8185" s="32" t="s">
        <v>16724</v>
      </c>
      <c r="H8185" t="s">
        <v>16720</v>
      </c>
      <c r="I8185" s="33" t="s">
        <v>16728</v>
      </c>
      <c r="J8185" s="34" t="s">
        <v>33</v>
      </c>
      <c r="K8185" s="42">
        <f>48900*0.85</f>
        <v>41565</v>
      </c>
      <c r="L8185" s="12">
        <f t="shared" si="687"/>
        <v>48900</v>
      </c>
      <c r="M8185" s="106">
        <v>1</v>
      </c>
      <c r="N8185" s="106" t="s">
        <v>27</v>
      </c>
      <c r="O8185" s="78"/>
      <c r="P8185" s="107">
        <v>0</v>
      </c>
      <c r="Q8185" s="108">
        <v>0.15</v>
      </c>
      <c r="R8185" s="45" t="str">
        <f t="shared" si="688"/>
        <v>HIGH_LIGHTS</v>
      </c>
    </row>
    <row r="8186" spans="1:18" customFormat="1" ht="27" customHeight="1" x14ac:dyDescent="0.25">
      <c r="A8186" s="32" t="s">
        <v>16724</v>
      </c>
      <c r="H8186" s="32" t="s">
        <v>16721</v>
      </c>
      <c r="I8186" s="38" t="s">
        <v>16729</v>
      </c>
      <c r="J8186" s="34" t="s">
        <v>33</v>
      </c>
      <c r="K8186" s="42">
        <f>198900*0.85</f>
        <v>169065</v>
      </c>
      <c r="L8186" s="12">
        <f t="shared" si="687"/>
        <v>198900</v>
      </c>
      <c r="M8186" s="106">
        <v>1</v>
      </c>
      <c r="N8186" s="106" t="s">
        <v>27</v>
      </c>
      <c r="O8186" s="78"/>
      <c r="P8186" s="107">
        <v>0</v>
      </c>
      <c r="Q8186" s="108">
        <v>0.15</v>
      </c>
      <c r="R8186" s="45" t="str">
        <f t="shared" si="688"/>
        <v>HIGH_LIGHTS</v>
      </c>
    </row>
    <row r="8187" spans="1:18" customFormat="1" ht="27" customHeight="1" x14ac:dyDescent="0.25">
      <c r="A8187" s="32" t="s">
        <v>16724</v>
      </c>
      <c r="H8187" s="32" t="s">
        <v>16722</v>
      </c>
      <c r="I8187" s="33" t="s">
        <v>16730</v>
      </c>
      <c r="J8187" s="34" t="s">
        <v>33</v>
      </c>
      <c r="K8187" s="42">
        <f>488900*0.85</f>
        <v>415565</v>
      </c>
      <c r="L8187" s="12">
        <f t="shared" si="687"/>
        <v>488900</v>
      </c>
      <c r="M8187" s="106">
        <v>1</v>
      </c>
      <c r="N8187" s="106" t="s">
        <v>27</v>
      </c>
      <c r="O8187" s="78"/>
      <c r="P8187" s="107">
        <v>0</v>
      </c>
      <c r="Q8187" s="108">
        <v>0.15</v>
      </c>
      <c r="R8187" s="45" t="str">
        <f t="shared" si="688"/>
        <v>HIGH_LIGHTS</v>
      </c>
    </row>
    <row r="8188" spans="1:18" customFormat="1" ht="27" customHeight="1" x14ac:dyDescent="0.25">
      <c r="A8188" s="32" t="s">
        <v>16724</v>
      </c>
      <c r="H8188" s="32" t="s">
        <v>16723</v>
      </c>
      <c r="I8188" s="38" t="s">
        <v>16731</v>
      </c>
      <c r="J8188" s="34" t="s">
        <v>33</v>
      </c>
      <c r="K8188" s="42">
        <f>1980000*0.85</f>
        <v>1683000</v>
      </c>
      <c r="L8188" s="12">
        <f t="shared" si="687"/>
        <v>1980000</v>
      </c>
      <c r="M8188" s="106">
        <v>1</v>
      </c>
      <c r="N8188" s="106" t="s">
        <v>27</v>
      </c>
      <c r="O8188" s="78"/>
      <c r="P8188" s="107">
        <v>0</v>
      </c>
      <c r="Q8188" s="108">
        <v>0.15</v>
      </c>
      <c r="R8188" s="45" t="str">
        <f t="shared" si="688"/>
        <v>HIGH_LIGHTS</v>
      </c>
    </row>
    <row r="8189" spans="1:18" customFormat="1" ht="27" customHeight="1" x14ac:dyDescent="0.25">
      <c r="A8189" s="32" t="s">
        <v>16732</v>
      </c>
      <c r="H8189" s="32" t="s">
        <v>16733</v>
      </c>
      <c r="I8189" s="33" t="s">
        <v>16734</v>
      </c>
      <c r="J8189" s="34" t="s">
        <v>33</v>
      </c>
      <c r="K8189" s="42">
        <v>469000</v>
      </c>
      <c r="L8189" s="12">
        <f t="shared" ref="L8189" si="689">K8189*(1+P8189)/(1-Q8189)</f>
        <v>551764.70588235301</v>
      </c>
      <c r="M8189" s="106">
        <v>1</v>
      </c>
      <c r="N8189" s="106" t="s">
        <v>27</v>
      </c>
      <c r="O8189" s="78"/>
      <c r="P8189" s="107">
        <v>0</v>
      </c>
      <c r="Q8189" s="108">
        <v>0.15</v>
      </c>
      <c r="R8189" s="45" t="str">
        <f t="shared" ref="R8189:R8191" si="690">A8189</f>
        <v>TERCOL</v>
      </c>
    </row>
    <row r="8190" spans="1:18" customFormat="1" ht="27" customHeight="1" x14ac:dyDescent="0.25">
      <c r="A8190" s="32" t="s">
        <v>13983</v>
      </c>
      <c r="H8190" s="32" t="s">
        <v>16735</v>
      </c>
      <c r="I8190" s="38" t="s">
        <v>16736</v>
      </c>
      <c r="J8190" s="34" t="s">
        <v>26</v>
      </c>
      <c r="K8190" s="42">
        <f>31.5*0.5*1.16</f>
        <v>18.27</v>
      </c>
      <c r="L8190" s="12">
        <f t="shared" ref="L8190:L8191" si="691">K8190*(1+P8190)/(1-Q8190)</f>
        <v>39.585000000000001</v>
      </c>
      <c r="M8190" s="106">
        <v>1</v>
      </c>
      <c r="N8190" s="106" t="s">
        <v>27</v>
      </c>
      <c r="O8190" s="78"/>
      <c r="P8190" s="107">
        <v>0.3</v>
      </c>
      <c r="Q8190" s="108">
        <v>0.4</v>
      </c>
      <c r="R8190" s="45" t="str">
        <f t="shared" si="690"/>
        <v>HOFFLIGHTS</v>
      </c>
    </row>
    <row r="8191" spans="1:18" customFormat="1" ht="27" customHeight="1" x14ac:dyDescent="0.25">
      <c r="A8191" s="32" t="s">
        <v>13983</v>
      </c>
      <c r="H8191" s="32" t="s">
        <v>16737</v>
      </c>
      <c r="I8191" s="33" t="s">
        <v>16738</v>
      </c>
      <c r="J8191" s="34" t="s">
        <v>26</v>
      </c>
      <c r="K8191" s="42">
        <f>107*0.5*1.2</f>
        <v>64.2</v>
      </c>
      <c r="L8191" s="12">
        <f t="shared" si="691"/>
        <v>111.28000000000002</v>
      </c>
      <c r="M8191" s="106">
        <v>1</v>
      </c>
      <c r="N8191" s="106" t="s">
        <v>27</v>
      </c>
      <c r="O8191" s="78"/>
      <c r="P8191" s="107">
        <v>0.3</v>
      </c>
      <c r="Q8191" s="108">
        <v>0.25</v>
      </c>
      <c r="R8191" s="45" t="str">
        <f t="shared" si="690"/>
        <v>HOFFLIGHTS</v>
      </c>
    </row>
    <row r="8192" spans="1:18" customFormat="1" ht="27" customHeight="1" x14ac:dyDescent="0.25">
      <c r="A8192" s="32" t="s">
        <v>13983</v>
      </c>
      <c r="H8192" s="32" t="s">
        <v>16740</v>
      </c>
      <c r="I8192" s="38" t="s">
        <v>16739</v>
      </c>
      <c r="J8192" s="34" t="s">
        <v>26</v>
      </c>
      <c r="K8192" s="42">
        <f>232*0.5*1.2</f>
        <v>139.19999999999999</v>
      </c>
      <c r="L8192" s="12">
        <f t="shared" ref="L8192" si="692">K8192*(1+P8192)/(1-Q8192)</f>
        <v>241.27999999999997</v>
      </c>
      <c r="M8192" s="106">
        <v>1</v>
      </c>
      <c r="N8192" s="106" t="s">
        <v>27</v>
      </c>
      <c r="O8192" s="78"/>
      <c r="P8192" s="107">
        <v>0.3</v>
      </c>
      <c r="Q8192" s="108">
        <v>0.25</v>
      </c>
      <c r="R8192" s="45" t="str">
        <f t="shared" ref="R8192" si="693">A8192</f>
        <v>HOFFLIGHTS</v>
      </c>
    </row>
    <row r="8193" spans="1:18" customFormat="1" ht="27" customHeight="1" x14ac:dyDescent="0.25">
      <c r="A8193" s="32" t="s">
        <v>5672</v>
      </c>
      <c r="H8193" s="32" t="s">
        <v>16741</v>
      </c>
      <c r="I8193" s="33" t="s">
        <v>16742</v>
      </c>
      <c r="J8193" s="34" t="s">
        <v>26</v>
      </c>
      <c r="K8193" s="42">
        <v>100</v>
      </c>
      <c r="L8193" s="12">
        <f t="shared" ref="L8193" si="694">K8193*(1+P8193)/(1-Q8193)</f>
        <v>200</v>
      </c>
      <c r="M8193" s="106">
        <v>1</v>
      </c>
      <c r="N8193" s="106" t="s">
        <v>27</v>
      </c>
      <c r="O8193" s="78"/>
      <c r="P8193" s="107">
        <v>0.2</v>
      </c>
      <c r="Q8193" s="108">
        <v>0.4</v>
      </c>
      <c r="R8193" s="45" t="str">
        <f t="shared" ref="R8193" si="695">A8193</f>
        <v>LUTRON</v>
      </c>
    </row>
    <row r="8194" spans="1:18" customFormat="1" ht="27" customHeight="1" x14ac:dyDescent="0.25">
      <c r="A8194" s="32" t="s">
        <v>13983</v>
      </c>
      <c r="H8194" s="32" t="s">
        <v>16743</v>
      </c>
      <c r="I8194" s="38" t="s">
        <v>16744</v>
      </c>
      <c r="J8194" s="34" t="s">
        <v>26</v>
      </c>
      <c r="K8194" s="42">
        <f>4.6*1.2*0.5</f>
        <v>2.76</v>
      </c>
      <c r="L8194" s="12">
        <f t="shared" ref="L8194" si="696">K8194*(1+P8194)/(1-Q8194)</f>
        <v>5.9799999999999995</v>
      </c>
      <c r="M8194" s="106">
        <v>1</v>
      </c>
      <c r="N8194" s="106" t="s">
        <v>27</v>
      </c>
      <c r="O8194" s="78"/>
      <c r="P8194" s="107">
        <v>0.3</v>
      </c>
      <c r="Q8194" s="108">
        <v>0.4</v>
      </c>
      <c r="R8194" s="45" t="str">
        <f t="shared" ref="R8194" si="697">A8194</f>
        <v>HOFFLIGHTS</v>
      </c>
    </row>
    <row r="8195" spans="1:18" customFormat="1" ht="27" customHeight="1" x14ac:dyDescent="0.25">
      <c r="A8195" s="32" t="s">
        <v>13983</v>
      </c>
      <c r="H8195" s="32" t="s">
        <v>16745</v>
      </c>
      <c r="I8195" s="33" t="s">
        <v>16746</v>
      </c>
      <c r="J8195" s="34" t="s">
        <v>26</v>
      </c>
      <c r="K8195" s="42">
        <f>81.5*1.2*0.5</f>
        <v>48.9</v>
      </c>
      <c r="L8195" s="12">
        <f t="shared" ref="L8195" si="698">K8195*(1+P8195)/(1-Q8195)</f>
        <v>105.95</v>
      </c>
      <c r="M8195" s="106">
        <v>1</v>
      </c>
      <c r="N8195" s="106" t="s">
        <v>27</v>
      </c>
      <c r="O8195" s="78"/>
      <c r="P8195" s="107">
        <v>0.3</v>
      </c>
      <c r="Q8195" s="108">
        <v>0.4</v>
      </c>
      <c r="R8195" s="45" t="str">
        <f t="shared" ref="R8195" si="699">A8195</f>
        <v>HOFFLIGHTS</v>
      </c>
    </row>
    <row r="8196" spans="1:18" customFormat="1" ht="27" customHeight="1" x14ac:dyDescent="0.25">
      <c r="A8196" s="32" t="s">
        <v>13983</v>
      </c>
      <c r="H8196" s="32" t="s">
        <v>16748</v>
      </c>
      <c r="I8196" s="38" t="s">
        <v>16747</v>
      </c>
      <c r="J8196" s="34" t="s">
        <v>26</v>
      </c>
      <c r="K8196" s="42">
        <f>3.65*1.2*0.5</f>
        <v>2.19</v>
      </c>
      <c r="L8196" s="12">
        <f t="shared" ref="L8196" si="700">K8196*(1+P8196)/(1-Q8196)</f>
        <v>4.7450000000000001</v>
      </c>
      <c r="M8196" s="106">
        <v>1</v>
      </c>
      <c r="N8196" s="106" t="s">
        <v>27</v>
      </c>
      <c r="O8196" s="78"/>
      <c r="P8196" s="107">
        <v>0.3</v>
      </c>
      <c r="Q8196" s="108">
        <v>0.4</v>
      </c>
      <c r="R8196" s="45" t="str">
        <f t="shared" ref="R8196" si="701">A8196</f>
        <v>HOFFLIGHTS</v>
      </c>
    </row>
    <row r="8197" spans="1:18" customFormat="1" ht="27" customHeight="1" x14ac:dyDescent="0.25">
      <c r="A8197" s="32" t="s">
        <v>2512</v>
      </c>
      <c r="H8197" s="32" t="s">
        <v>16750</v>
      </c>
      <c r="I8197" s="33" t="s">
        <v>16751</v>
      </c>
      <c r="J8197" s="34" t="s">
        <v>33</v>
      </c>
      <c r="K8197" s="42">
        <v>312100</v>
      </c>
      <c r="L8197" s="12">
        <f t="shared" ref="L8197" si="702">K8197*(1+P8197)/(1-Q8197)</f>
        <v>520166.66666666669</v>
      </c>
      <c r="M8197" s="106">
        <v>1</v>
      </c>
      <c r="N8197" s="106" t="s">
        <v>27</v>
      </c>
      <c r="O8197" s="78"/>
      <c r="P8197" s="107">
        <v>0</v>
      </c>
      <c r="Q8197" s="108">
        <v>0.4</v>
      </c>
      <c r="R8197" s="45" t="str">
        <f t="shared" ref="R8197" si="703">A8197</f>
        <v>GENERAL</v>
      </c>
    </row>
    <row r="8198" spans="1:18" customFormat="1" ht="27" customHeight="1" x14ac:dyDescent="0.25">
      <c r="A8198" s="32" t="s">
        <v>10367</v>
      </c>
      <c r="H8198" s="32" t="s">
        <v>16752</v>
      </c>
      <c r="I8198" s="38" t="s">
        <v>16753</v>
      </c>
      <c r="J8198" s="34" t="s">
        <v>26</v>
      </c>
      <c r="K8198" s="42">
        <f>387.5*0.5</f>
        <v>193.75</v>
      </c>
      <c r="L8198" s="12">
        <f t="shared" ref="L8198:L8199" si="704">K8198*(1+P8198)/(1-Q8198)</f>
        <v>387.50002351849616</v>
      </c>
      <c r="M8198" s="106">
        <v>1</v>
      </c>
      <c r="N8198" s="106" t="s">
        <v>27</v>
      </c>
      <c r="O8198" s="78"/>
      <c r="P8198" s="107">
        <v>0.25</v>
      </c>
      <c r="Q8198" s="108">
        <v>0.37500003793305603</v>
      </c>
      <c r="R8198" s="45" t="str">
        <f t="shared" ref="R8198:R8199" si="705">A8198</f>
        <v>COOPER</v>
      </c>
    </row>
    <row r="8199" spans="1:18" customFormat="1" ht="27" customHeight="1" x14ac:dyDescent="0.25">
      <c r="A8199" s="32" t="s">
        <v>2512</v>
      </c>
      <c r="H8199">
        <v>3510101</v>
      </c>
      <c r="I8199" s="38" t="s">
        <v>16754</v>
      </c>
      <c r="J8199" s="34" t="s">
        <v>33</v>
      </c>
      <c r="K8199" s="42">
        <v>144000</v>
      </c>
      <c r="L8199" s="12">
        <f t="shared" si="704"/>
        <v>240000</v>
      </c>
      <c r="M8199" s="8">
        <v>1</v>
      </c>
      <c r="N8199" s="8" t="s">
        <v>27</v>
      </c>
      <c r="P8199" s="14">
        <v>0</v>
      </c>
      <c r="Q8199" s="15">
        <v>0.4</v>
      </c>
      <c r="R8199" s="40" t="str">
        <f t="shared" si="705"/>
        <v>GENERAL</v>
      </c>
    </row>
    <row r="8200" spans="1:18" customFormat="1" ht="27" customHeight="1" x14ac:dyDescent="0.25">
      <c r="A8200" s="32" t="s">
        <v>3977</v>
      </c>
      <c r="H8200" t="s">
        <v>16782</v>
      </c>
      <c r="I8200" t="s">
        <v>16764</v>
      </c>
      <c r="J8200" s="34" t="s">
        <v>33</v>
      </c>
      <c r="K8200" s="42">
        <v>65000</v>
      </c>
      <c r="L8200" s="12">
        <f t="shared" ref="L8200" si="706">K8200*(1+P8200)/(1-Q8200)</f>
        <v>119800.00000106258</v>
      </c>
      <c r="M8200" s="8">
        <v>1</v>
      </c>
      <c r="N8200" s="8" t="s">
        <v>27</v>
      </c>
      <c r="P8200" s="14">
        <v>0</v>
      </c>
      <c r="Q8200" s="15">
        <v>0.4574290484188358</v>
      </c>
      <c r="R8200" s="40" t="str">
        <f t="shared" ref="R8200" si="707">A8200</f>
        <v>KOMODO</v>
      </c>
    </row>
    <row r="8201" spans="1:18" customFormat="1" ht="27" customHeight="1" x14ac:dyDescent="0.25">
      <c r="A8201" s="32" t="s">
        <v>3977</v>
      </c>
      <c r="H8201" t="s">
        <v>16783</v>
      </c>
      <c r="I8201" t="s">
        <v>16774</v>
      </c>
      <c r="J8201" s="34" t="s">
        <v>33</v>
      </c>
      <c r="K8201" s="42">
        <v>65000</v>
      </c>
      <c r="L8201" s="12">
        <f t="shared" ref="L8201:L8217" si="708">K8201*(1+P8201)/(1-Q8201)</f>
        <v>119800.00000106258</v>
      </c>
      <c r="M8201" s="8">
        <v>1</v>
      </c>
      <c r="N8201" s="8" t="s">
        <v>27</v>
      </c>
      <c r="P8201" s="14">
        <v>0</v>
      </c>
      <c r="Q8201" s="15">
        <v>0.4574290484188358</v>
      </c>
      <c r="R8201" s="40" t="str">
        <f t="shared" ref="R8201:R8217" si="709">A8201</f>
        <v>KOMODO</v>
      </c>
    </row>
    <row r="8202" spans="1:18" customFormat="1" ht="27" customHeight="1" x14ac:dyDescent="0.25">
      <c r="A8202" s="32" t="s">
        <v>3977</v>
      </c>
      <c r="H8202" t="s">
        <v>16784</v>
      </c>
      <c r="I8202" t="s">
        <v>16775</v>
      </c>
      <c r="J8202" s="34" t="s">
        <v>33</v>
      </c>
      <c r="K8202" s="42">
        <v>65000</v>
      </c>
      <c r="L8202" s="12">
        <f t="shared" si="708"/>
        <v>119800.00000106258</v>
      </c>
      <c r="M8202" s="8">
        <v>1</v>
      </c>
      <c r="N8202" s="8" t="s">
        <v>27</v>
      </c>
      <c r="P8202" s="14">
        <v>0</v>
      </c>
      <c r="Q8202" s="15">
        <v>0.4574290484188358</v>
      </c>
      <c r="R8202" s="40" t="str">
        <f t="shared" si="709"/>
        <v>KOMODO</v>
      </c>
    </row>
    <row r="8203" spans="1:18" customFormat="1" ht="27" customHeight="1" x14ac:dyDescent="0.25">
      <c r="A8203" s="32" t="s">
        <v>3977</v>
      </c>
      <c r="H8203" t="s">
        <v>16785</v>
      </c>
      <c r="I8203" t="s">
        <v>16776</v>
      </c>
      <c r="J8203" s="34" t="s">
        <v>33</v>
      </c>
      <c r="K8203" s="42">
        <v>65000</v>
      </c>
      <c r="L8203" s="12">
        <f t="shared" si="708"/>
        <v>119800.00000106258</v>
      </c>
      <c r="M8203" s="8">
        <v>1</v>
      </c>
      <c r="N8203" s="8" t="s">
        <v>27</v>
      </c>
      <c r="P8203" s="14">
        <v>0</v>
      </c>
      <c r="Q8203" s="15">
        <v>0.4574290484188358</v>
      </c>
      <c r="R8203" s="40" t="str">
        <f t="shared" si="709"/>
        <v>KOMODO</v>
      </c>
    </row>
    <row r="8204" spans="1:18" customFormat="1" ht="27" customHeight="1" x14ac:dyDescent="0.25">
      <c r="A8204" s="32" t="s">
        <v>3977</v>
      </c>
      <c r="H8204" t="s">
        <v>16786</v>
      </c>
      <c r="I8204" t="s">
        <v>16777</v>
      </c>
      <c r="J8204" s="34" t="s">
        <v>33</v>
      </c>
      <c r="K8204" s="42">
        <v>65000</v>
      </c>
      <c r="L8204" s="12">
        <f t="shared" si="708"/>
        <v>119800.00000106258</v>
      </c>
      <c r="M8204" s="8">
        <v>1</v>
      </c>
      <c r="N8204" s="8" t="s">
        <v>27</v>
      </c>
      <c r="P8204" s="14">
        <v>0</v>
      </c>
      <c r="Q8204" s="15">
        <v>0.4574290484188358</v>
      </c>
      <c r="R8204" s="40" t="str">
        <f t="shared" si="709"/>
        <v>KOMODO</v>
      </c>
    </row>
    <row r="8205" spans="1:18" customFormat="1" ht="27" customHeight="1" x14ac:dyDescent="0.25">
      <c r="A8205" s="32" t="s">
        <v>3977</v>
      </c>
      <c r="H8205" t="s">
        <v>16787</v>
      </c>
      <c r="I8205" t="s">
        <v>16778</v>
      </c>
      <c r="J8205" s="34" t="s">
        <v>33</v>
      </c>
      <c r="K8205" s="42">
        <v>65000</v>
      </c>
      <c r="L8205" s="12">
        <f t="shared" si="708"/>
        <v>119800.00000106258</v>
      </c>
      <c r="M8205" s="8">
        <v>1</v>
      </c>
      <c r="N8205" s="8" t="s">
        <v>27</v>
      </c>
      <c r="P8205" s="14">
        <v>0</v>
      </c>
      <c r="Q8205" s="15">
        <v>0.4574290484188358</v>
      </c>
      <c r="R8205" s="40" t="str">
        <f t="shared" si="709"/>
        <v>KOMODO</v>
      </c>
    </row>
    <row r="8206" spans="1:18" customFormat="1" ht="27" customHeight="1" x14ac:dyDescent="0.25">
      <c r="A8206" s="32" t="s">
        <v>3977</v>
      </c>
      <c r="H8206" t="s">
        <v>16788</v>
      </c>
      <c r="I8206" t="s">
        <v>16779</v>
      </c>
      <c r="J8206" s="34" t="s">
        <v>33</v>
      </c>
      <c r="K8206" s="42">
        <v>65000</v>
      </c>
      <c r="L8206" s="12">
        <f t="shared" si="708"/>
        <v>119800.00000106258</v>
      </c>
      <c r="M8206" s="8">
        <v>1</v>
      </c>
      <c r="N8206" s="8" t="s">
        <v>27</v>
      </c>
      <c r="P8206" s="14">
        <v>0</v>
      </c>
      <c r="Q8206" s="15">
        <v>0.4574290484188358</v>
      </c>
      <c r="R8206" s="40" t="str">
        <f t="shared" si="709"/>
        <v>KOMODO</v>
      </c>
    </row>
    <row r="8207" spans="1:18" customFormat="1" ht="27" customHeight="1" x14ac:dyDescent="0.25">
      <c r="A8207" s="32" t="s">
        <v>3977</v>
      </c>
      <c r="H8207" t="s">
        <v>16789</v>
      </c>
      <c r="I8207" t="s">
        <v>16780</v>
      </c>
      <c r="J8207" s="34" t="s">
        <v>33</v>
      </c>
      <c r="K8207" s="42">
        <v>65000</v>
      </c>
      <c r="L8207" s="12">
        <f t="shared" si="708"/>
        <v>119800.00000106258</v>
      </c>
      <c r="M8207" s="8">
        <v>1</v>
      </c>
      <c r="N8207" s="8" t="s">
        <v>27</v>
      </c>
      <c r="P8207" s="14">
        <v>0</v>
      </c>
      <c r="Q8207" s="15">
        <v>0.4574290484188358</v>
      </c>
      <c r="R8207" s="40" t="str">
        <f t="shared" si="709"/>
        <v>KOMODO</v>
      </c>
    </row>
    <row r="8208" spans="1:18" customFormat="1" ht="27" customHeight="1" x14ac:dyDescent="0.25">
      <c r="A8208" s="32" t="s">
        <v>3977</v>
      </c>
      <c r="H8208" t="s">
        <v>16790</v>
      </c>
      <c r="I8208" t="s">
        <v>16781</v>
      </c>
      <c r="J8208" s="34" t="s">
        <v>33</v>
      </c>
      <c r="K8208" s="42">
        <v>65000</v>
      </c>
      <c r="L8208" s="12">
        <f t="shared" si="708"/>
        <v>119800.00000106258</v>
      </c>
      <c r="M8208" s="8">
        <v>1</v>
      </c>
      <c r="N8208" s="8" t="s">
        <v>27</v>
      </c>
      <c r="P8208" s="14">
        <v>0</v>
      </c>
      <c r="Q8208" s="15">
        <v>0.4574290484188358</v>
      </c>
      <c r="R8208" s="40" t="str">
        <f t="shared" si="709"/>
        <v>KOMODO</v>
      </c>
    </row>
    <row r="8209" spans="1:18" customFormat="1" ht="27" customHeight="1" x14ac:dyDescent="0.25">
      <c r="A8209" s="32" t="s">
        <v>3977</v>
      </c>
      <c r="H8209" t="s">
        <v>16765</v>
      </c>
      <c r="I8209" t="s">
        <v>16755</v>
      </c>
      <c r="J8209" s="34" t="s">
        <v>33</v>
      </c>
      <c r="K8209" s="42">
        <v>35000</v>
      </c>
      <c r="L8209" s="12">
        <f t="shared" si="708"/>
        <v>57200.000001955952</v>
      </c>
      <c r="M8209" s="8">
        <v>1</v>
      </c>
      <c r="N8209" s="8" t="s">
        <v>27</v>
      </c>
      <c r="P8209" s="14">
        <v>0</v>
      </c>
      <c r="Q8209" s="15">
        <v>0.38811188813281161</v>
      </c>
      <c r="R8209" s="40" t="str">
        <f t="shared" si="709"/>
        <v>KOMODO</v>
      </c>
    </row>
    <row r="8210" spans="1:18" customFormat="1" ht="27" customHeight="1" x14ac:dyDescent="0.25">
      <c r="A8210" s="32" t="s">
        <v>3977</v>
      </c>
      <c r="H8210" t="s">
        <v>16766</v>
      </c>
      <c r="I8210" t="s">
        <v>16756</v>
      </c>
      <c r="J8210" s="34" t="s">
        <v>33</v>
      </c>
      <c r="K8210" s="42">
        <v>35000</v>
      </c>
      <c r="L8210" s="12">
        <f t="shared" si="708"/>
        <v>57200.000001955952</v>
      </c>
      <c r="M8210" s="8">
        <v>1</v>
      </c>
      <c r="N8210" s="8" t="s">
        <v>27</v>
      </c>
      <c r="P8210" s="14">
        <v>0</v>
      </c>
      <c r="Q8210" s="15">
        <v>0.38811188813281161</v>
      </c>
      <c r="R8210" s="40" t="str">
        <f t="shared" si="709"/>
        <v>KOMODO</v>
      </c>
    </row>
    <row r="8211" spans="1:18" customFormat="1" ht="27" customHeight="1" x14ac:dyDescent="0.25">
      <c r="A8211" s="32" t="s">
        <v>3977</v>
      </c>
      <c r="H8211" t="s">
        <v>16767</v>
      </c>
      <c r="I8211" t="s">
        <v>16757</v>
      </c>
      <c r="J8211" s="34" t="s">
        <v>33</v>
      </c>
      <c r="K8211" s="42">
        <v>35000</v>
      </c>
      <c r="L8211" s="12">
        <f t="shared" si="708"/>
        <v>57200.000001955952</v>
      </c>
      <c r="M8211" s="8">
        <v>1</v>
      </c>
      <c r="N8211" s="8" t="s">
        <v>27</v>
      </c>
      <c r="P8211" s="14">
        <v>0</v>
      </c>
      <c r="Q8211" s="15">
        <v>0.38811188813281161</v>
      </c>
      <c r="R8211" s="40" t="str">
        <f t="shared" si="709"/>
        <v>KOMODO</v>
      </c>
    </row>
    <row r="8212" spans="1:18" customFormat="1" ht="27" customHeight="1" x14ac:dyDescent="0.25">
      <c r="A8212" s="32" t="s">
        <v>3977</v>
      </c>
      <c r="H8212" t="s">
        <v>16769</v>
      </c>
      <c r="I8212" t="s">
        <v>16758</v>
      </c>
      <c r="J8212" s="34" t="s">
        <v>33</v>
      </c>
      <c r="K8212" s="42">
        <v>35000</v>
      </c>
      <c r="L8212" s="12">
        <f t="shared" si="708"/>
        <v>57200.000001955952</v>
      </c>
      <c r="M8212" s="8">
        <v>1</v>
      </c>
      <c r="N8212" s="8" t="s">
        <v>27</v>
      </c>
      <c r="P8212" s="14">
        <v>0</v>
      </c>
      <c r="Q8212" s="15">
        <v>0.38811188813281161</v>
      </c>
      <c r="R8212" s="40" t="str">
        <f t="shared" si="709"/>
        <v>KOMODO</v>
      </c>
    </row>
    <row r="8213" spans="1:18" customFormat="1" ht="27" customHeight="1" x14ac:dyDescent="0.25">
      <c r="A8213" s="32" t="s">
        <v>3977</v>
      </c>
      <c r="H8213" t="s">
        <v>16772</v>
      </c>
      <c r="I8213" t="s">
        <v>16759</v>
      </c>
      <c r="J8213" s="34" t="s">
        <v>33</v>
      </c>
      <c r="K8213" s="42">
        <v>35000</v>
      </c>
      <c r="L8213" s="12">
        <f t="shared" si="708"/>
        <v>57200.000001955952</v>
      </c>
      <c r="M8213" s="8">
        <v>1</v>
      </c>
      <c r="N8213" s="8" t="s">
        <v>27</v>
      </c>
      <c r="P8213" s="14">
        <v>0</v>
      </c>
      <c r="Q8213" s="15">
        <v>0.38811188813281161</v>
      </c>
      <c r="R8213" s="40" t="str">
        <f t="shared" si="709"/>
        <v>KOMODO</v>
      </c>
    </row>
    <row r="8214" spans="1:18" customFormat="1" ht="27" customHeight="1" x14ac:dyDescent="0.25">
      <c r="A8214" s="32" t="s">
        <v>3977</v>
      </c>
      <c r="H8214" t="s">
        <v>16770</v>
      </c>
      <c r="I8214" t="s">
        <v>16760</v>
      </c>
      <c r="J8214" s="34" t="s">
        <v>33</v>
      </c>
      <c r="K8214" s="42">
        <v>35000</v>
      </c>
      <c r="L8214" s="12">
        <f t="shared" si="708"/>
        <v>57200.000001955952</v>
      </c>
      <c r="M8214" s="8">
        <v>1</v>
      </c>
      <c r="N8214" s="8" t="s">
        <v>27</v>
      </c>
      <c r="P8214" s="14">
        <v>0</v>
      </c>
      <c r="Q8214" s="15">
        <v>0.38811188813281161</v>
      </c>
      <c r="R8214" s="40" t="str">
        <f t="shared" si="709"/>
        <v>KOMODO</v>
      </c>
    </row>
    <row r="8215" spans="1:18" customFormat="1" ht="27" customHeight="1" x14ac:dyDescent="0.25">
      <c r="A8215" s="32" t="s">
        <v>3977</v>
      </c>
      <c r="H8215" t="s">
        <v>16771</v>
      </c>
      <c r="I8215" t="s">
        <v>16761</v>
      </c>
      <c r="J8215" s="34" t="s">
        <v>33</v>
      </c>
      <c r="K8215" s="42">
        <v>35000</v>
      </c>
      <c r="L8215" s="12">
        <f t="shared" si="708"/>
        <v>57200.000001955952</v>
      </c>
      <c r="M8215" s="8">
        <v>1</v>
      </c>
      <c r="N8215" s="8" t="s">
        <v>27</v>
      </c>
      <c r="P8215" s="14">
        <v>0</v>
      </c>
      <c r="Q8215" s="15">
        <v>0.38811188813281161</v>
      </c>
      <c r="R8215" s="40" t="str">
        <f t="shared" si="709"/>
        <v>KOMODO</v>
      </c>
    </row>
    <row r="8216" spans="1:18" customFormat="1" ht="27" customHeight="1" x14ac:dyDescent="0.25">
      <c r="A8216" s="32" t="s">
        <v>3977</v>
      </c>
      <c r="H8216" t="s">
        <v>16768</v>
      </c>
      <c r="I8216" t="s">
        <v>16762</v>
      </c>
      <c r="J8216" s="34" t="s">
        <v>33</v>
      </c>
      <c r="K8216" s="42">
        <v>35000</v>
      </c>
      <c r="L8216" s="12">
        <f t="shared" si="708"/>
        <v>57200.000001955952</v>
      </c>
      <c r="M8216" s="8">
        <v>1</v>
      </c>
      <c r="N8216" s="8" t="s">
        <v>27</v>
      </c>
      <c r="P8216" s="14">
        <v>0</v>
      </c>
      <c r="Q8216" s="15">
        <v>0.38811188813281161</v>
      </c>
      <c r="R8216" s="40" t="str">
        <f t="shared" si="709"/>
        <v>KOMODO</v>
      </c>
    </row>
    <row r="8217" spans="1:18" customFormat="1" ht="27" customHeight="1" x14ac:dyDescent="0.25">
      <c r="A8217" s="32" t="s">
        <v>3977</v>
      </c>
      <c r="H8217" t="s">
        <v>16773</v>
      </c>
      <c r="I8217" t="s">
        <v>16763</v>
      </c>
      <c r="J8217" s="34" t="s">
        <v>33</v>
      </c>
      <c r="K8217" s="42">
        <v>35000</v>
      </c>
      <c r="L8217" s="12">
        <f t="shared" si="708"/>
        <v>57200.000001955952</v>
      </c>
      <c r="M8217" s="8">
        <v>1</v>
      </c>
      <c r="N8217" s="8" t="s">
        <v>27</v>
      </c>
      <c r="P8217" s="14">
        <v>0</v>
      </c>
      <c r="Q8217" s="15">
        <v>0.38811188813281161</v>
      </c>
      <c r="R8217" s="40" t="str">
        <f t="shared" si="709"/>
        <v>KOMODO</v>
      </c>
    </row>
    <row r="8218" spans="1:18" customFormat="1" ht="27" customHeight="1" x14ac:dyDescent="0.25">
      <c r="A8218" s="32" t="s">
        <v>15870</v>
      </c>
      <c r="H8218" t="s">
        <v>16791</v>
      </c>
      <c r="I8218" t="s">
        <v>16792</v>
      </c>
      <c r="J8218" s="34" t="s">
        <v>26</v>
      </c>
      <c r="K8218" s="42">
        <v>19</v>
      </c>
      <c r="L8218" s="12">
        <f t="shared" ref="L8218" si="710">K8218*(1+P8218)/(1-Q8218)</f>
        <v>31.666666666666668</v>
      </c>
      <c r="M8218" s="8">
        <v>1</v>
      </c>
      <c r="N8218" s="8" t="s">
        <v>27</v>
      </c>
      <c r="P8218" s="14">
        <v>0</v>
      </c>
      <c r="Q8218" s="15">
        <v>0.4</v>
      </c>
      <c r="R8218" s="40" t="str">
        <f t="shared" ref="R8218" si="711">A8218</f>
        <v>SHELLY</v>
      </c>
    </row>
    <row r="8219" spans="1:18" customFormat="1" ht="27" customHeight="1" x14ac:dyDescent="0.25">
      <c r="A8219" s="32" t="s">
        <v>15870</v>
      </c>
      <c r="H8219" t="s">
        <v>16793</v>
      </c>
      <c r="I8219" t="s">
        <v>16794</v>
      </c>
      <c r="J8219" s="34" t="s">
        <v>26</v>
      </c>
      <c r="K8219" s="42">
        <v>26</v>
      </c>
      <c r="L8219" s="12">
        <f t="shared" ref="L8219" si="712">K8219*(1+P8219)/(1-Q8219)</f>
        <v>43.333333333333336</v>
      </c>
      <c r="M8219" s="8">
        <v>1</v>
      </c>
      <c r="N8219" s="8" t="s">
        <v>27</v>
      </c>
      <c r="P8219" s="14">
        <v>0</v>
      </c>
      <c r="Q8219" s="15">
        <v>0.4</v>
      </c>
      <c r="R8219" s="40" t="str">
        <f t="shared" ref="R8219" si="713">A8219</f>
        <v>SHELLY</v>
      </c>
    </row>
    <row r="8220" spans="1:18" customFormat="1" ht="27" customHeight="1" x14ac:dyDescent="0.25">
      <c r="A8220" s="32" t="s">
        <v>2413</v>
      </c>
      <c r="H8220" t="s">
        <v>16795</v>
      </c>
      <c r="I8220" t="s">
        <v>16797</v>
      </c>
      <c r="J8220" s="34" t="s">
        <v>26</v>
      </c>
      <c r="K8220" s="42">
        <f>707.25*1.16</f>
        <v>820.41</v>
      </c>
      <c r="L8220" s="12">
        <f t="shared" ref="L8220:L8221" si="714">K8220*(1+P8220)/(1-Q8220)</f>
        <v>1367.35</v>
      </c>
      <c r="M8220" s="8">
        <v>1</v>
      </c>
      <c r="N8220" s="8" t="s">
        <v>27</v>
      </c>
      <c r="P8220" s="14">
        <v>0</v>
      </c>
      <c r="Q8220" s="15">
        <v>0.4</v>
      </c>
      <c r="R8220" s="40" t="str">
        <f t="shared" ref="R8220:R8221" si="715">A8220</f>
        <v>FLOS</v>
      </c>
    </row>
    <row r="8221" spans="1:18" customFormat="1" ht="27" customHeight="1" x14ac:dyDescent="0.25">
      <c r="A8221" s="32" t="s">
        <v>2413</v>
      </c>
      <c r="H8221" t="s">
        <v>16796</v>
      </c>
      <c r="I8221" t="s">
        <v>16798</v>
      </c>
      <c r="J8221" s="34" t="s">
        <v>26</v>
      </c>
      <c r="K8221" s="42">
        <f>609*1.16</f>
        <v>706.43999999999994</v>
      </c>
      <c r="L8221" s="12">
        <f t="shared" si="714"/>
        <v>1177.3999999999999</v>
      </c>
      <c r="M8221" s="8">
        <v>1</v>
      </c>
      <c r="N8221" s="8" t="s">
        <v>27</v>
      </c>
      <c r="P8221" s="14">
        <v>0</v>
      </c>
      <c r="Q8221" s="15">
        <v>0.4</v>
      </c>
      <c r="R8221" s="40" t="str">
        <f t="shared" si="715"/>
        <v>FLOS</v>
      </c>
    </row>
    <row r="8222" spans="1:18" customFormat="1" ht="27" customHeight="1" x14ac:dyDescent="0.25">
      <c r="A8222" s="32" t="s">
        <v>2512</v>
      </c>
      <c r="H8222" t="s">
        <v>16799</v>
      </c>
      <c r="I8222" t="s">
        <v>16800</v>
      </c>
      <c r="J8222" s="34" t="s">
        <v>33</v>
      </c>
      <c r="K8222" s="42">
        <v>11700</v>
      </c>
      <c r="L8222" s="12">
        <f t="shared" ref="L8222" si="716">K8222*(1+P8222)/(1-Q8222)</f>
        <v>19500</v>
      </c>
      <c r="M8222" s="8">
        <v>1</v>
      </c>
      <c r="N8222" s="8" t="s">
        <v>27</v>
      </c>
      <c r="P8222" s="14">
        <v>0</v>
      </c>
      <c r="Q8222" s="15">
        <v>0.4</v>
      </c>
      <c r="R8222" s="40" t="str">
        <f t="shared" ref="R8222" si="717">A8222</f>
        <v>GENERAL</v>
      </c>
    </row>
    <row r="8223" spans="1:18" customFormat="1" ht="27" customHeight="1" x14ac:dyDescent="0.25">
      <c r="A8223" s="32" t="s">
        <v>2413</v>
      </c>
      <c r="H8223" t="s">
        <v>16801</v>
      </c>
      <c r="I8223" t="s">
        <v>16802</v>
      </c>
      <c r="J8223" s="34" t="s">
        <v>33</v>
      </c>
      <c r="K8223" s="42">
        <f>22576090.4*0.8</f>
        <v>18060872.32</v>
      </c>
      <c r="L8223" s="12">
        <f t="shared" ref="L8223" si="718">K8223*(1+P8223)/(1-Q8223)</f>
        <v>22576090.399999999</v>
      </c>
      <c r="M8223" s="8">
        <v>1</v>
      </c>
      <c r="N8223" s="8" t="s">
        <v>27</v>
      </c>
      <c r="P8223" s="14">
        <v>0</v>
      </c>
      <c r="Q8223" s="15">
        <v>0.2</v>
      </c>
      <c r="R8223" s="40" t="str">
        <f t="shared" ref="R8223" si="719">A8223</f>
        <v>FLOS</v>
      </c>
    </row>
    <row r="8224" spans="1:18" customFormat="1" ht="27" customHeight="1" x14ac:dyDescent="0.25">
      <c r="A8224" s="32" t="s">
        <v>2413</v>
      </c>
      <c r="H8224" t="s">
        <v>16803</v>
      </c>
      <c r="I8224" t="s">
        <v>16804</v>
      </c>
      <c r="J8224" s="34" t="s">
        <v>33</v>
      </c>
      <c r="K8224" s="42">
        <v>1240746.3999999999</v>
      </c>
      <c r="L8224" s="12">
        <f t="shared" ref="L8224" si="720">K8224*(1+P8224)/(1-Q8224)</f>
        <v>1550932.9999999998</v>
      </c>
      <c r="M8224" s="8">
        <v>1</v>
      </c>
      <c r="N8224" s="8" t="s">
        <v>27</v>
      </c>
      <c r="P8224" s="14">
        <v>0</v>
      </c>
      <c r="Q8224" s="15">
        <v>0.2</v>
      </c>
      <c r="R8224" s="40" t="str">
        <f t="shared" ref="R8224:R8226" si="721">A8224</f>
        <v>FLOS</v>
      </c>
    </row>
    <row r="8225" spans="1:18" customFormat="1" ht="27" customHeight="1" x14ac:dyDescent="0.25">
      <c r="A8225" s="32" t="s">
        <v>5672</v>
      </c>
      <c r="H8225" t="s">
        <v>13662</v>
      </c>
      <c r="I8225" s="38" t="s">
        <v>16805</v>
      </c>
      <c r="J8225" s="34" t="s">
        <v>26</v>
      </c>
      <c r="K8225" s="42">
        <v>69.3</v>
      </c>
      <c r="L8225" s="12">
        <f t="shared" ref="L8225" si="722">IF(J8225="P",ROUNDUP(K8225/(1-Q8225),-2),K8225*(1+P8225)/(1-Q8225))</f>
        <v>105.00000319681548</v>
      </c>
      <c r="M8225" s="8">
        <v>1</v>
      </c>
      <c r="N8225" s="8" t="s">
        <v>27</v>
      </c>
      <c r="O8225" s="13">
        <f t="shared" ref="O8225" si="723">F8225</f>
        <v>0</v>
      </c>
      <c r="P8225" s="14">
        <v>0.2</v>
      </c>
      <c r="Q8225" s="15">
        <v>0.2080000241131218</v>
      </c>
      <c r="R8225" s="64" t="str">
        <f t="shared" si="721"/>
        <v>LUTRON</v>
      </c>
    </row>
    <row r="8226" spans="1:18" customFormat="1" ht="27" customHeight="1" x14ac:dyDescent="0.25">
      <c r="A8226" s="32" t="s">
        <v>1141</v>
      </c>
      <c r="H8226" t="s">
        <v>16806</v>
      </c>
      <c r="I8226" t="s">
        <v>16807</v>
      </c>
      <c r="J8226" s="34" t="s">
        <v>33</v>
      </c>
      <c r="K8226" s="42">
        <f>1570*100</f>
        <v>157000</v>
      </c>
      <c r="L8226" s="12">
        <f t="shared" ref="L8226" si="724">IF(J8226="P",ROUNDUP(K8226/(1-Q8226),-2),K8226*(1+P8226)/(1-Q8226))</f>
        <v>196300</v>
      </c>
      <c r="M8226" s="8">
        <v>1</v>
      </c>
      <c r="N8226" s="8" t="s">
        <v>27</v>
      </c>
      <c r="O8226" s="13">
        <f t="shared" ref="O8226" si="725">F8226</f>
        <v>0</v>
      </c>
      <c r="P8226" s="14">
        <v>0</v>
      </c>
      <c r="Q8226" s="15">
        <v>0.2</v>
      </c>
      <c r="R8226" s="64" t="str">
        <f t="shared" si="721"/>
        <v>CENTELSA</v>
      </c>
    </row>
    <row r="8227" spans="1:18" customFormat="1" ht="27" customHeight="1" x14ac:dyDescent="0.25">
      <c r="A8227" s="32" t="s">
        <v>1561</v>
      </c>
      <c r="H8227" t="s">
        <v>16808</v>
      </c>
      <c r="I8227" t="s">
        <v>16809</v>
      </c>
      <c r="J8227" s="34" t="s">
        <v>33</v>
      </c>
      <c r="K8227" s="42">
        <v>269000</v>
      </c>
      <c r="L8227" s="12">
        <f t="shared" ref="L8227" si="726">IF(J8227="P",ROUNDUP(K8227/(1-Q8227),-2),K8227*(1+P8227)/(1-Q8227))</f>
        <v>336300</v>
      </c>
      <c r="M8227" s="8">
        <v>1</v>
      </c>
      <c r="N8227" s="8" t="s">
        <v>27</v>
      </c>
      <c r="O8227" s="13">
        <f t="shared" ref="O8227" si="727">F8227</f>
        <v>0</v>
      </c>
      <c r="P8227" s="14">
        <v>0</v>
      </c>
      <c r="Q8227" s="15">
        <v>0.2</v>
      </c>
      <c r="R8227" s="64" t="str">
        <f t="shared" ref="R8227" si="728">A8227</f>
        <v>DAHUA</v>
      </c>
    </row>
    <row r="8228" spans="1:18" customFormat="1" ht="27" customHeight="1" x14ac:dyDescent="0.25">
      <c r="A8228" s="32" t="s">
        <v>7870</v>
      </c>
      <c r="H8228" t="s">
        <v>16810</v>
      </c>
      <c r="I8228" t="s">
        <v>16811</v>
      </c>
      <c r="J8228" s="34" t="s">
        <v>33</v>
      </c>
      <c r="K8228" s="42">
        <v>342000</v>
      </c>
      <c r="L8228" s="12">
        <f t="shared" ref="L8228" si="729">IF(J8228="P",ROUNDUP(K8228/(1-Q8228),-2),K8228*(1+P8228)/(1-Q8228))</f>
        <v>427500</v>
      </c>
      <c r="M8228" s="8">
        <v>1</v>
      </c>
      <c r="N8228" s="8" t="s">
        <v>27</v>
      </c>
      <c r="O8228" s="13">
        <f t="shared" ref="O8228" si="730">F8228</f>
        <v>0</v>
      </c>
      <c r="P8228" s="14">
        <v>0</v>
      </c>
      <c r="Q8228" s="15">
        <v>0.2</v>
      </c>
      <c r="R8228" s="64" t="str">
        <f t="shared" ref="R8228" si="731">A8228</f>
        <v>QUEST</v>
      </c>
    </row>
    <row r="8229" spans="1:18" customFormat="1" ht="27" customHeight="1" x14ac:dyDescent="0.25">
      <c r="A8229" s="32" t="s">
        <v>16813</v>
      </c>
      <c r="H8229" t="s">
        <v>16812</v>
      </c>
      <c r="I8229" t="s">
        <v>16814</v>
      </c>
      <c r="J8229" s="34" t="s">
        <v>33</v>
      </c>
      <c r="K8229" s="42">
        <v>1249800</v>
      </c>
      <c r="L8229" s="12">
        <f t="shared" ref="L8229" si="732">IF(J8229="P",ROUNDUP(K8229/(1-Q8229),-2),K8229*(1+P8229)/(1-Q8229))</f>
        <v>1562300</v>
      </c>
      <c r="M8229" s="8">
        <v>1</v>
      </c>
      <c r="N8229" s="8" t="s">
        <v>27</v>
      </c>
      <c r="O8229" s="13">
        <f t="shared" ref="O8229" si="733">F8229</f>
        <v>0</v>
      </c>
      <c r="P8229" s="14">
        <v>0</v>
      </c>
      <c r="Q8229" s="15">
        <v>0.2</v>
      </c>
      <c r="R8229" s="64" t="str">
        <f t="shared" ref="R8229" si="734">A8229</f>
        <v>COLOMBIA</v>
      </c>
    </row>
    <row r="8230" spans="1:18" customFormat="1" ht="27" customHeight="1" x14ac:dyDescent="0.25">
      <c r="A8230" s="32" t="s">
        <v>16813</v>
      </c>
      <c r="H8230" t="s">
        <v>16815</v>
      </c>
      <c r="I8230" t="s">
        <v>16817</v>
      </c>
      <c r="J8230" s="34" t="s">
        <v>33</v>
      </c>
      <c r="K8230" s="42">
        <v>244000</v>
      </c>
      <c r="L8230" s="12">
        <f t="shared" ref="L8230:L8231" si="735">IF(J8230="P",ROUNDUP(K8230/(1-Q8230),-2),K8230*(1+P8230)/(1-Q8230))</f>
        <v>305000</v>
      </c>
      <c r="M8230" s="8">
        <v>1</v>
      </c>
      <c r="N8230" s="8" t="s">
        <v>27</v>
      </c>
      <c r="O8230" s="13">
        <f t="shared" ref="O8230:O8231" si="736">F8230</f>
        <v>0</v>
      </c>
      <c r="P8230" s="14">
        <v>0</v>
      </c>
      <c r="Q8230" s="15">
        <v>0.2</v>
      </c>
      <c r="R8230" s="64" t="str">
        <f t="shared" ref="R8230:R8231" si="737">A8230</f>
        <v>COLOMBIA</v>
      </c>
    </row>
    <row r="8231" spans="1:18" customFormat="1" ht="27" customHeight="1" x14ac:dyDescent="0.25">
      <c r="A8231" s="32" t="s">
        <v>16813</v>
      </c>
      <c r="H8231" t="s">
        <v>16816</v>
      </c>
      <c r="I8231" t="s">
        <v>16818</v>
      </c>
      <c r="J8231" s="34" t="s">
        <v>33</v>
      </c>
      <c r="K8231" s="42">
        <v>269000</v>
      </c>
      <c r="L8231" s="12">
        <f t="shared" si="735"/>
        <v>336300</v>
      </c>
      <c r="M8231" s="8">
        <v>1</v>
      </c>
      <c r="N8231" s="8" t="s">
        <v>27</v>
      </c>
      <c r="O8231" s="13">
        <f t="shared" si="736"/>
        <v>0</v>
      </c>
      <c r="P8231" s="14">
        <v>0</v>
      </c>
      <c r="Q8231" s="15">
        <v>0.2</v>
      </c>
      <c r="R8231" s="64" t="str">
        <f t="shared" si="737"/>
        <v>COLOMBIA</v>
      </c>
    </row>
    <row r="8232" spans="1:18" customFormat="1" ht="27" customHeight="1" x14ac:dyDescent="0.25">
      <c r="A8232" s="32" t="s">
        <v>3520</v>
      </c>
      <c r="H8232" t="s">
        <v>16819</v>
      </c>
      <c r="I8232" t="s">
        <v>16820</v>
      </c>
      <c r="J8232" s="34" t="s">
        <v>33</v>
      </c>
      <c r="K8232" s="42">
        <f>1340000/305</f>
        <v>4393.4426229508199</v>
      </c>
      <c r="L8232" s="12">
        <f t="shared" ref="L8232" si="738">IF(J8232="P",ROUNDUP(K8232/(1-Q8232),-2),K8232*(1+P8232)/(1-Q8232))</f>
        <v>6300</v>
      </c>
      <c r="M8232" s="8">
        <v>1</v>
      </c>
      <c r="N8232" s="8" t="s">
        <v>27</v>
      </c>
      <c r="O8232" s="13">
        <f t="shared" ref="O8232" si="739">F8232</f>
        <v>0</v>
      </c>
      <c r="P8232" s="14">
        <v>0</v>
      </c>
      <c r="Q8232" s="15">
        <v>0.3</v>
      </c>
      <c r="R8232" s="64" t="str">
        <f t="shared" ref="R8232" si="740">A8232</f>
        <v>HONEYWELL</v>
      </c>
    </row>
    <row r="8233" spans="1:18" customFormat="1" ht="27" customHeight="1" x14ac:dyDescent="0.25">
      <c r="A8233" s="32" t="s">
        <v>16706</v>
      </c>
      <c r="H8233" t="s">
        <v>16821</v>
      </c>
      <c r="I8233" t="s">
        <v>16822</v>
      </c>
      <c r="J8233" s="34" t="s">
        <v>33</v>
      </c>
      <c r="K8233" s="42">
        <v>88300</v>
      </c>
      <c r="L8233" s="12">
        <f t="shared" ref="L8233" si="741">IF(J8233="P",ROUNDUP(K8233/(1-Q8233),-2),K8233*(1+P8233)/(1-Q8233))</f>
        <v>126200</v>
      </c>
      <c r="M8233" s="8">
        <v>1</v>
      </c>
      <c r="N8233" s="8" t="s">
        <v>27</v>
      </c>
      <c r="O8233" s="13">
        <f t="shared" ref="O8233" si="742">F8233</f>
        <v>0</v>
      </c>
      <c r="P8233" s="14">
        <v>0</v>
      </c>
      <c r="Q8233" s="15">
        <v>0.3</v>
      </c>
      <c r="R8233" s="64" t="str">
        <f t="shared" ref="R8233" si="743">A8233</f>
        <v>COMFERVI</v>
      </c>
    </row>
    <row r="8234" spans="1:18" customFormat="1" ht="27" customHeight="1" x14ac:dyDescent="0.25">
      <c r="A8234" s="32" t="s">
        <v>7989</v>
      </c>
      <c r="H8234" t="s">
        <v>16823</v>
      </c>
      <c r="I8234" t="s">
        <v>16824</v>
      </c>
      <c r="J8234" s="34" t="s">
        <v>26</v>
      </c>
      <c r="K8234" s="42">
        <v>180</v>
      </c>
      <c r="L8234" s="12">
        <f t="shared" ref="L8234" si="744">IF(J8234="P",ROUNDUP(K8234/(1-Q8234),-2),K8234*(1+P8234)/(1-Q8234))</f>
        <v>257.14285714285717</v>
      </c>
      <c r="M8234" s="8">
        <v>1</v>
      </c>
      <c r="N8234" s="8" t="s">
        <v>27</v>
      </c>
      <c r="O8234" s="13">
        <f t="shared" ref="O8234" si="745">F8234</f>
        <v>0</v>
      </c>
      <c r="P8234" s="14">
        <v>0</v>
      </c>
      <c r="Q8234" s="15">
        <v>0.3</v>
      </c>
      <c r="R8234" s="64" t="str">
        <f t="shared" ref="R8234:R8236" si="746">A8234</f>
        <v>RUSSOUND</v>
      </c>
    </row>
    <row r="8235" spans="1:18" customFormat="1" ht="27" customHeight="1" x14ac:dyDescent="0.25">
      <c r="A8235" s="32" t="s">
        <v>2413</v>
      </c>
      <c r="H8235" s="32" t="s">
        <v>16825</v>
      </c>
      <c r="I8235" s="33" t="s">
        <v>16827</v>
      </c>
      <c r="J8235" s="34" t="s">
        <v>26</v>
      </c>
      <c r="K8235" s="42">
        <f>4119*1.16*0.5</f>
        <v>2389.02</v>
      </c>
      <c r="L8235" s="12">
        <f t="shared" ref="L8235:L8236" si="747">ROUNDUP(K8235*(1+P8235)/(1-Q8235),0)</f>
        <v>4778</v>
      </c>
      <c r="M8235" s="8">
        <v>1</v>
      </c>
      <c r="N8235" s="8" t="s">
        <v>27</v>
      </c>
      <c r="O8235" s="13"/>
      <c r="P8235" s="14">
        <v>0.3</v>
      </c>
      <c r="Q8235" s="15">
        <v>0.34993095652173917</v>
      </c>
      <c r="R8235" s="40" t="str">
        <f t="shared" si="746"/>
        <v>FLOS</v>
      </c>
    </row>
    <row r="8236" spans="1:18" customFormat="1" ht="27" customHeight="1" x14ac:dyDescent="0.25">
      <c r="A8236" s="32" t="s">
        <v>2413</v>
      </c>
      <c r="H8236" s="32" t="s">
        <v>16826</v>
      </c>
      <c r="I8236" s="33" t="s">
        <v>16827</v>
      </c>
      <c r="J8236" s="34" t="s">
        <v>26</v>
      </c>
      <c r="K8236" s="42">
        <f>4119*1.16*0.5</f>
        <v>2389.02</v>
      </c>
      <c r="L8236" s="12">
        <f t="shared" si="747"/>
        <v>4778</v>
      </c>
      <c r="M8236" s="8">
        <v>1</v>
      </c>
      <c r="N8236" s="8" t="s">
        <v>27</v>
      </c>
      <c r="O8236" s="13"/>
      <c r="P8236" s="14">
        <v>0.3</v>
      </c>
      <c r="Q8236" s="15">
        <v>0.34993095652173917</v>
      </c>
      <c r="R8236" s="40" t="str">
        <f t="shared" si="746"/>
        <v>FLOS</v>
      </c>
    </row>
    <row r="8237" spans="1:18" customFormat="1" ht="27" customHeight="1" x14ac:dyDescent="0.25">
      <c r="A8237" s="32" t="s">
        <v>13983</v>
      </c>
      <c r="H8237" t="s">
        <v>16828</v>
      </c>
      <c r="I8237" t="s">
        <v>16829</v>
      </c>
      <c r="J8237" s="34" t="s">
        <v>26</v>
      </c>
      <c r="K8237" s="42">
        <f>65.5*1.16*0.5</f>
        <v>37.989999999999995</v>
      </c>
      <c r="L8237" s="12">
        <f t="shared" ref="L8237" si="748">ROUNDUP(K8237*(1+P8237)/(1-Q8237),0)</f>
        <v>76</v>
      </c>
      <c r="M8237" s="8">
        <v>1</v>
      </c>
      <c r="N8237" s="8" t="s">
        <v>27</v>
      </c>
      <c r="O8237" s="13"/>
      <c r="P8237" s="14">
        <v>0.3</v>
      </c>
      <c r="Q8237" s="15">
        <v>0.34993095652173917</v>
      </c>
      <c r="R8237" s="40" t="str">
        <f t="shared" ref="R8237:R8238" si="749">A8237</f>
        <v>HOFFLIGHTS</v>
      </c>
    </row>
    <row r="8238" spans="1:18" customFormat="1" ht="27" customHeight="1" x14ac:dyDescent="0.25">
      <c r="A8238" s="32" t="s">
        <v>5066</v>
      </c>
      <c r="H8238" t="s">
        <v>16830</v>
      </c>
      <c r="I8238" t="s">
        <v>16831</v>
      </c>
      <c r="J8238" s="34" t="s">
        <v>33</v>
      </c>
      <c r="K8238" s="42">
        <v>540635</v>
      </c>
      <c r="L8238" s="12">
        <f t="shared" ref="L8238" si="750">ROUNDUP(K8238*(1+P8238)/(1-Q8238),0)</f>
        <v>772336</v>
      </c>
      <c r="M8238" s="8">
        <v>1</v>
      </c>
      <c r="N8238" s="8" t="s">
        <v>27</v>
      </c>
      <c r="O8238" s="13"/>
      <c r="P8238" s="14">
        <v>0</v>
      </c>
      <c r="Q8238" s="15">
        <v>0.3</v>
      </c>
      <c r="R8238" s="64" t="str">
        <f t="shared" si="749"/>
        <v>LEGRAND</v>
      </c>
    </row>
    <row r="8239" spans="1:18" customFormat="1" ht="27" customHeight="1" x14ac:dyDescent="0.25">
      <c r="A8239" s="32" t="s">
        <v>5066</v>
      </c>
      <c r="H8239" t="s">
        <v>16833</v>
      </c>
      <c r="I8239" t="s">
        <v>16834</v>
      </c>
      <c r="J8239" s="34" t="s">
        <v>33</v>
      </c>
      <c r="K8239" s="42">
        <v>312000</v>
      </c>
      <c r="L8239" s="12">
        <f t="shared" ref="L8239" si="751">ROUNDUP(K8239*(1+P8239)/(1-Q8239),0)</f>
        <v>445715</v>
      </c>
      <c r="M8239" s="8">
        <v>1</v>
      </c>
      <c r="N8239" s="8" t="s">
        <v>27</v>
      </c>
      <c r="O8239" s="13"/>
      <c r="P8239" s="14">
        <v>0</v>
      </c>
      <c r="Q8239" s="15">
        <v>0.3</v>
      </c>
      <c r="R8239" s="64" t="str">
        <f t="shared" ref="R8239" si="752">A8239</f>
        <v>LEGRAND</v>
      </c>
    </row>
    <row r="8240" spans="1:18" customFormat="1" ht="27" customHeight="1" x14ac:dyDescent="0.25">
      <c r="A8240" s="32" t="s">
        <v>2512</v>
      </c>
      <c r="H8240" t="s">
        <v>16835</v>
      </c>
      <c r="I8240" t="s">
        <v>16836</v>
      </c>
      <c r="J8240" s="34" t="s">
        <v>33</v>
      </c>
      <c r="K8240" s="42">
        <v>3200</v>
      </c>
      <c r="L8240" s="12">
        <f t="shared" ref="L8240" si="753">ROUNDUP(K8240*(1+P8240)/(1-Q8240),0)</f>
        <v>4572</v>
      </c>
      <c r="M8240" s="8">
        <v>1</v>
      </c>
      <c r="N8240" s="8" t="s">
        <v>27</v>
      </c>
      <c r="O8240" s="13"/>
      <c r="P8240" s="14">
        <v>0</v>
      </c>
      <c r="Q8240" s="15">
        <v>0.3</v>
      </c>
      <c r="R8240" s="64" t="str">
        <f t="shared" ref="R8240" si="754">A8240</f>
        <v>GENERAL</v>
      </c>
    </row>
    <row r="8241" spans="1:20" customFormat="1" ht="27" customHeight="1" x14ac:dyDescent="0.25">
      <c r="A8241" s="32" t="s">
        <v>16838</v>
      </c>
      <c r="H8241" t="s">
        <v>16837</v>
      </c>
      <c r="I8241" t="s">
        <v>16839</v>
      </c>
      <c r="J8241" s="34" t="s">
        <v>33</v>
      </c>
      <c r="K8241" s="42">
        <v>317400</v>
      </c>
      <c r="L8241" s="12">
        <f t="shared" ref="L8241" si="755">ROUNDUP(K8241*(1+P8241)/(1-Q8241),0)</f>
        <v>453429</v>
      </c>
      <c r="M8241" s="8">
        <v>1</v>
      </c>
      <c r="N8241" s="8" t="s">
        <v>27</v>
      </c>
      <c r="O8241" s="13"/>
      <c r="P8241" s="14">
        <v>0</v>
      </c>
      <c r="Q8241" s="15">
        <v>0.3</v>
      </c>
      <c r="R8241" s="64" t="str">
        <f t="shared" ref="R8241" si="756">A8241</f>
        <v>XIAOMI</v>
      </c>
    </row>
    <row r="8242" spans="1:20" customFormat="1" ht="27" customHeight="1" x14ac:dyDescent="0.25">
      <c r="A8242" s="32" t="s">
        <v>16840</v>
      </c>
      <c r="H8242" t="s">
        <v>16841</v>
      </c>
      <c r="I8242" t="s">
        <v>16842</v>
      </c>
      <c r="J8242" s="34" t="s">
        <v>33</v>
      </c>
      <c r="K8242" s="42">
        <v>9500</v>
      </c>
      <c r="L8242" s="12">
        <f t="shared" ref="L8242" si="757">ROUNDUP(K8242*(1+P8242)/(1-Q8242),0)</f>
        <v>19000</v>
      </c>
      <c r="M8242" s="8">
        <v>1</v>
      </c>
      <c r="N8242" s="8" t="s">
        <v>27</v>
      </c>
      <c r="O8242" s="13"/>
      <c r="P8242" s="14">
        <v>0</v>
      </c>
      <c r="Q8242" s="15">
        <v>0.5</v>
      </c>
      <c r="R8242" s="64" t="str">
        <f t="shared" ref="R8242" si="758">A8242</f>
        <v>ILAP</v>
      </c>
    </row>
    <row r="8243" spans="1:20" customFormat="1" ht="27" customHeight="1" x14ac:dyDescent="0.25">
      <c r="A8243" s="32" t="s">
        <v>2512</v>
      </c>
      <c r="H8243" t="s">
        <v>16843</v>
      </c>
      <c r="I8243" t="s">
        <v>16844</v>
      </c>
      <c r="J8243" s="34" t="s">
        <v>33</v>
      </c>
      <c r="K8243" s="42">
        <v>3000</v>
      </c>
      <c r="L8243" s="12">
        <f t="shared" ref="L8243" si="759">ROUNDUP(K8243*(1+P8243)/(1-Q8243),0)</f>
        <v>5000</v>
      </c>
      <c r="M8243" s="8">
        <v>1</v>
      </c>
      <c r="N8243" s="8" t="s">
        <v>27</v>
      </c>
      <c r="O8243" s="13"/>
      <c r="P8243" s="14">
        <v>0</v>
      </c>
      <c r="Q8243" s="15">
        <v>0.4</v>
      </c>
      <c r="R8243" s="64" t="str">
        <f t="shared" ref="R8243:R8244" si="760">A8243</f>
        <v>GENERAL</v>
      </c>
    </row>
    <row r="8244" spans="1:20" customFormat="1" ht="27" customHeight="1" x14ac:dyDescent="0.25">
      <c r="A8244" s="8" t="s">
        <v>9258</v>
      </c>
      <c r="B8244" s="9" t="s">
        <v>9259</v>
      </c>
      <c r="C8244" s="9"/>
      <c r="D8244" s="8" t="s">
        <v>614</v>
      </c>
      <c r="E8244" s="8">
        <v>1</v>
      </c>
      <c r="F8244" s="8" t="s">
        <v>22</v>
      </c>
      <c r="G8244" s="10" t="s">
        <v>9260</v>
      </c>
      <c r="H8244" s="8" t="s">
        <v>16845</v>
      </c>
      <c r="I8244" s="10" t="s">
        <v>9260</v>
      </c>
      <c r="J8244" s="11" t="s">
        <v>33</v>
      </c>
      <c r="K8244" s="18">
        <v>79900</v>
      </c>
      <c r="L8244" s="12">
        <f t="shared" ref="L8244" si="761">IF(J8244="P",ROUNDUP(K8244/(1-Q8244),-2),K8244*(1+P8244)/(1-Q8244))</f>
        <v>114200</v>
      </c>
      <c r="M8244" s="8">
        <v>1</v>
      </c>
      <c r="N8244" s="8" t="s">
        <v>27</v>
      </c>
      <c r="O8244" s="13"/>
      <c r="P8244" s="14">
        <v>0</v>
      </c>
      <c r="Q8244" s="15">
        <v>0.3</v>
      </c>
      <c r="R8244" s="16" t="str">
        <f t="shared" si="760"/>
        <v>TP_LINK</v>
      </c>
      <c r="S8244" s="17"/>
      <c r="T8244" s="10" t="str">
        <f t="shared" ref="T8244" si="762">G8244</f>
        <v>ROUTER DOBLE ANTENA DE 300 MBPS, CANAL N, PROTOCOLO 802.11B/G.</v>
      </c>
    </row>
    <row r="8245" spans="1:20" customFormat="1" ht="27" customHeight="1" x14ac:dyDescent="0.25">
      <c r="A8245" s="32" t="s">
        <v>2512</v>
      </c>
      <c r="G8245" t="s">
        <v>2512</v>
      </c>
      <c r="H8245" t="s">
        <v>16846</v>
      </c>
      <c r="I8245" t="s">
        <v>16847</v>
      </c>
      <c r="J8245" s="34" t="s">
        <v>33</v>
      </c>
      <c r="K8245" s="42">
        <v>43000</v>
      </c>
      <c r="L8245" s="12">
        <f t="shared" ref="L8245" si="763">IF(J8245="P",ROUNDUP(K8245/(1-Q8245),-2),K8245*(1+P8245)/(1-Q8245))</f>
        <v>86000</v>
      </c>
      <c r="M8245" s="8">
        <v>1</v>
      </c>
      <c r="N8245" s="8" t="s">
        <v>27</v>
      </c>
      <c r="O8245" s="13"/>
      <c r="P8245" s="14">
        <v>0</v>
      </c>
      <c r="Q8245" s="15">
        <v>0.5</v>
      </c>
      <c r="R8245" s="16" t="str">
        <f t="shared" ref="R8245" si="764">A8245</f>
        <v>GENERAL</v>
      </c>
    </row>
    <row r="8246" spans="1:20" customFormat="1" ht="27" customHeight="1" x14ac:dyDescent="0.25">
      <c r="A8246" s="32" t="s">
        <v>16850</v>
      </c>
      <c r="H8246" t="s">
        <v>16848</v>
      </c>
      <c r="I8246" t="s">
        <v>16849</v>
      </c>
      <c r="J8246" s="34" t="s">
        <v>33</v>
      </c>
      <c r="K8246" s="42">
        <v>125000</v>
      </c>
      <c r="L8246" s="12">
        <f t="shared" ref="L8246" si="765">IF(J8246="P",ROUNDUP(K8246/(1-Q8246),-2),K8246*(1+P8246)/(1-Q8246))</f>
        <v>178600</v>
      </c>
      <c r="M8246" s="8">
        <v>1</v>
      </c>
      <c r="N8246" s="8" t="s">
        <v>27</v>
      </c>
      <c r="O8246" s="13"/>
      <c r="P8246" s="14">
        <v>0</v>
      </c>
      <c r="Q8246" s="15">
        <v>0.3</v>
      </c>
      <c r="R8246" s="16" t="str">
        <f t="shared" ref="R8246" si="766">A8246</f>
        <v>INVTCS</v>
      </c>
    </row>
    <row r="8247" spans="1:20" customFormat="1" ht="27" customHeight="1" x14ac:dyDescent="0.25">
      <c r="A8247" s="32" t="s">
        <v>5672</v>
      </c>
      <c r="H8247" t="s">
        <v>16851</v>
      </c>
      <c r="I8247" t="s">
        <v>16852</v>
      </c>
      <c r="J8247" s="34" t="s">
        <v>26</v>
      </c>
      <c r="K8247" s="42">
        <v>107.38</v>
      </c>
      <c r="L8247" s="12">
        <f t="shared" ref="L8247" si="767">IF(J8247="P",ROUNDUP(K8247/(1-Q8247),-2),K8247*(1+P8247)/(1-Q8247))</f>
        <v>214.76</v>
      </c>
      <c r="M8247" s="8">
        <v>1</v>
      </c>
      <c r="N8247" s="8" t="s">
        <v>27</v>
      </c>
      <c r="O8247" s="13"/>
      <c r="P8247" s="14">
        <v>0.2</v>
      </c>
      <c r="Q8247" s="15">
        <v>0.4</v>
      </c>
      <c r="R8247" s="16" t="str">
        <f t="shared" ref="R8247" si="768">A8247</f>
        <v>LUTRON</v>
      </c>
    </row>
    <row r="8248" spans="1:20" customFormat="1" ht="27" customHeight="1" x14ac:dyDescent="0.25">
      <c r="A8248" s="32" t="s">
        <v>2512</v>
      </c>
      <c r="H8248" t="s">
        <v>16853</v>
      </c>
      <c r="I8248" t="s">
        <v>16854</v>
      </c>
      <c r="J8248" s="34" t="s">
        <v>697</v>
      </c>
      <c r="K8248" s="42">
        <v>31950</v>
      </c>
      <c r="L8248" s="12">
        <f t="shared" ref="L8248" si="769">IF(J8248="P",ROUNDUP(K8248/(1-Q8248),-2),K8248*(1+P8248)/(1-Q8248))</f>
        <v>45700</v>
      </c>
      <c r="M8248" s="8">
        <v>1</v>
      </c>
      <c r="N8248" s="8" t="s">
        <v>27</v>
      </c>
      <c r="O8248" s="13"/>
      <c r="P8248" s="14">
        <v>0</v>
      </c>
      <c r="Q8248" s="15">
        <v>0.3</v>
      </c>
      <c r="R8248" s="16" t="str">
        <f t="shared" ref="R8248" si="770">A8248</f>
        <v>GENERAL</v>
      </c>
    </row>
    <row r="8249" spans="1:20" customFormat="1" ht="27" customHeight="1" x14ac:dyDescent="0.25">
      <c r="A8249" s="32" t="s">
        <v>5066</v>
      </c>
      <c r="H8249" t="s">
        <v>16857</v>
      </c>
      <c r="I8249" t="s">
        <v>16858</v>
      </c>
      <c r="J8249" s="34" t="s">
        <v>33</v>
      </c>
      <c r="K8249" s="42">
        <v>494000</v>
      </c>
      <c r="L8249" s="12">
        <f t="shared" ref="L8249" si="771">IF(J8249="P",ROUNDUP(K8249/(1-Q8249),-2),K8249*(1+P8249)/(1-Q8249))</f>
        <v>705800</v>
      </c>
      <c r="M8249" s="8">
        <v>1</v>
      </c>
      <c r="N8249" s="8" t="s">
        <v>27</v>
      </c>
      <c r="O8249" s="13"/>
      <c r="P8249" s="14">
        <v>0</v>
      </c>
      <c r="Q8249" s="15">
        <v>0.3</v>
      </c>
      <c r="R8249" s="16" t="str">
        <f t="shared" ref="R8249" si="772">A8249</f>
        <v>LEGRAND</v>
      </c>
    </row>
    <row r="8250" spans="1:20" customFormat="1" ht="27" customHeight="1" x14ac:dyDescent="0.25">
      <c r="A8250" s="32" t="s">
        <v>6802</v>
      </c>
      <c r="H8250" t="s">
        <v>16859</v>
      </c>
      <c r="I8250" t="s">
        <v>16860</v>
      </c>
      <c r="J8250" s="34" t="s">
        <v>26</v>
      </c>
      <c r="K8250" s="42">
        <v>1019</v>
      </c>
      <c r="L8250" s="12">
        <f t="shared" ref="L8250" si="773">IF(J8250="P",ROUNDUP(K8250/(1-Q8250),-2),K8250*(1+P8250)/(1-Q8250))</f>
        <v>1567.6923076923076</v>
      </c>
      <c r="M8250" s="8">
        <v>1</v>
      </c>
      <c r="N8250" s="8" t="s">
        <v>27</v>
      </c>
      <c r="O8250" s="13"/>
      <c r="P8250" s="14">
        <v>0</v>
      </c>
      <c r="Q8250" s="15">
        <v>0.35</v>
      </c>
      <c r="R8250" s="16" t="str">
        <f t="shared" ref="R8250" si="774">A8250</f>
        <v>MARANTZ</v>
      </c>
    </row>
    <row r="8251" spans="1:20" customFormat="1" ht="27" customHeight="1" x14ac:dyDescent="0.25">
      <c r="A8251" s="49" t="s">
        <v>5672</v>
      </c>
      <c r="B8251" s="24"/>
      <c r="C8251" s="24"/>
      <c r="D8251" s="24"/>
      <c r="E8251" s="24"/>
      <c r="F8251" s="24"/>
      <c r="G8251" s="24"/>
      <c r="H8251" s="24" t="s">
        <v>11479</v>
      </c>
      <c r="I8251" s="24" t="s">
        <v>16861</v>
      </c>
      <c r="J8251" s="24" t="s">
        <v>26</v>
      </c>
      <c r="K8251" s="42">
        <v>764.5</v>
      </c>
      <c r="L8251" s="12">
        <f t="shared" ref="L8251" si="775">IF(J8251="P",ROUNDUP(K8251/(1-Q8251),-2),K8251*(1+P8251)/(1-Q8251))</f>
        <v>1411.3846153846152</v>
      </c>
      <c r="M8251" s="8">
        <v>1</v>
      </c>
      <c r="N8251" s="8" t="s">
        <v>27</v>
      </c>
      <c r="O8251" s="13"/>
      <c r="P8251" s="14">
        <v>0.2</v>
      </c>
      <c r="Q8251" s="15">
        <v>0.35</v>
      </c>
      <c r="R8251" s="16" t="str">
        <f t="shared" ref="R8251" si="776">A8251</f>
        <v>LUTRON</v>
      </c>
    </row>
    <row r="8252" spans="1:20" ht="27" customHeight="1" x14ac:dyDescent="0.25">
      <c r="A8252" s="32" t="s">
        <v>5672</v>
      </c>
      <c r="H8252" t="s">
        <v>16862</v>
      </c>
      <c r="I8252" t="s">
        <v>16863</v>
      </c>
      <c r="J8252" s="34" t="s">
        <v>26</v>
      </c>
      <c r="K8252" s="42">
        <v>3100</v>
      </c>
      <c r="L8252" s="12">
        <f t="shared" ref="L8252" si="777">IF(J8252="P",ROUNDUP(K8252/(1-Q8252),-2),K8252*(1+P8252)/(1-Q8252))</f>
        <v>3875</v>
      </c>
      <c r="M8252" s="8">
        <v>1</v>
      </c>
      <c r="N8252" s="8" t="s">
        <v>27</v>
      </c>
      <c r="O8252" s="13"/>
      <c r="P8252" s="14">
        <v>0</v>
      </c>
      <c r="Q8252" s="15">
        <v>0.2</v>
      </c>
      <c r="R8252" s="16" t="str">
        <f t="shared" ref="R8252" si="778">A8252</f>
        <v>LUTRON</v>
      </c>
    </row>
    <row r="8253" spans="1:20" ht="27" customHeight="1" x14ac:dyDescent="0.25">
      <c r="A8253" s="32" t="s">
        <v>3915</v>
      </c>
      <c r="H8253" t="s">
        <v>16864</v>
      </c>
      <c r="I8253" t="s">
        <v>16865</v>
      </c>
      <c r="J8253" s="34" t="s">
        <v>26</v>
      </c>
      <c r="K8253" s="42">
        <v>570</v>
      </c>
      <c r="L8253" s="12">
        <f t="shared" ref="L8253" si="779">IF(J8253="P",ROUNDUP(K8253/(1-Q8253),-2),K8253*(1+P8253)/(1-Q8253))</f>
        <v>814.28571428571433</v>
      </c>
      <c r="M8253" s="8">
        <v>1</v>
      </c>
      <c r="N8253" s="8" t="s">
        <v>27</v>
      </c>
      <c r="O8253" s="13"/>
      <c r="P8253" s="14">
        <v>0</v>
      </c>
      <c r="Q8253" s="15">
        <v>0.3</v>
      </c>
      <c r="R8253" s="16" t="str">
        <f t="shared" ref="R8253:R8254" si="780">A8253</f>
        <v>KLIPSCH</v>
      </c>
    </row>
    <row r="8254" spans="1:20" ht="27" customHeight="1" x14ac:dyDescent="0.25">
      <c r="A8254" s="32" t="s">
        <v>5170</v>
      </c>
      <c r="H8254" s="32" t="s">
        <v>5324</v>
      </c>
      <c r="I8254" s="33" t="s">
        <v>16866</v>
      </c>
      <c r="J8254" s="34" t="s">
        <v>33</v>
      </c>
      <c r="K8254" s="42">
        <v>111000</v>
      </c>
      <c r="L8254" s="12">
        <f t="shared" ref="L8254" si="781">K8254*(1+P8254)/(1-Q8254)</f>
        <v>185000</v>
      </c>
      <c r="M8254" s="8">
        <v>1</v>
      </c>
      <c r="N8254" s="8" t="s">
        <v>27</v>
      </c>
      <c r="O8254" s="13"/>
      <c r="P8254" s="14">
        <v>0</v>
      </c>
      <c r="Q8254" s="15">
        <v>0.4</v>
      </c>
      <c r="R8254" s="40" t="str">
        <f t="shared" si="780"/>
        <v>LEVITON</v>
      </c>
    </row>
    <row r="8255" spans="1:20" ht="27" customHeight="1" x14ac:dyDescent="0.25">
      <c r="A8255" s="32" t="s">
        <v>5170</v>
      </c>
      <c r="H8255" s="32" t="s">
        <v>16867</v>
      </c>
      <c r="I8255" s="33" t="s">
        <v>16868</v>
      </c>
      <c r="J8255" s="34" t="s">
        <v>33</v>
      </c>
      <c r="K8255" s="42">
        <v>287100</v>
      </c>
      <c r="L8255" s="12">
        <f t="shared" ref="L8255" si="782">K8255*(1+P8255)/(1-Q8255)</f>
        <v>478500</v>
      </c>
      <c r="M8255" s="8">
        <v>1</v>
      </c>
      <c r="N8255" s="8" t="s">
        <v>27</v>
      </c>
      <c r="O8255" s="13"/>
      <c r="P8255" s="14">
        <v>0</v>
      </c>
      <c r="Q8255" s="15">
        <v>0.4</v>
      </c>
      <c r="R8255" s="40" t="str">
        <f t="shared" ref="R8255:R8256" si="783">A8255</f>
        <v>LEVITON</v>
      </c>
    </row>
    <row r="8256" spans="1:20" ht="27" customHeight="1" x14ac:dyDescent="0.25">
      <c r="A8256" s="32" t="s">
        <v>16869</v>
      </c>
      <c r="H8256" s="32" t="s">
        <v>16870</v>
      </c>
      <c r="I8256" s="33" t="s">
        <v>16871</v>
      </c>
      <c r="J8256" s="11" t="s">
        <v>26</v>
      </c>
      <c r="K8256" s="57">
        <f>132/305*2</f>
        <v>0.86557377049180328</v>
      </c>
      <c r="L8256" s="12">
        <f t="shared" ref="L8256" si="784">IF(J8256="P",ROUNDUP(K8256/(1-Q8256),-2),K8256*(1+P8256)/(1-Q8256))</f>
        <v>1.4838407494145198</v>
      </c>
      <c r="M8256" s="8">
        <v>1</v>
      </c>
      <c r="N8256" s="8" t="s">
        <v>110</v>
      </c>
      <c r="O8256" s="13"/>
      <c r="P8256" s="14">
        <v>0.2</v>
      </c>
      <c r="Q8256" s="15">
        <v>0.3</v>
      </c>
      <c r="R8256" s="16" t="str">
        <f t="shared" si="783"/>
        <v>ENERGEX</v>
      </c>
    </row>
    <row r="8257" spans="1:18" ht="27" customHeight="1" x14ac:dyDescent="0.25">
      <c r="A8257" s="32" t="s">
        <v>7662</v>
      </c>
      <c r="H8257" t="s">
        <v>16872</v>
      </c>
      <c r="I8257" s="33" t="s">
        <v>16876</v>
      </c>
      <c r="J8257" s="34" t="s">
        <v>33</v>
      </c>
      <c r="K8257" s="42">
        <v>4144800</v>
      </c>
      <c r="L8257" s="12">
        <f t="shared" ref="L8257:L8260" si="785">K8257*(1+P8257)/(1-Q8257)</f>
        <v>6908000</v>
      </c>
      <c r="M8257" s="8">
        <v>1</v>
      </c>
      <c r="N8257" s="8" t="s">
        <v>27</v>
      </c>
      <c r="O8257" s="13"/>
      <c r="P8257" s="14">
        <v>0</v>
      </c>
      <c r="Q8257" s="15">
        <v>0.4</v>
      </c>
      <c r="R8257" s="40" t="str">
        <f t="shared" ref="R8257:R8260" si="786">A8257</f>
        <v>PHILIPS</v>
      </c>
    </row>
    <row r="8258" spans="1:18" ht="27" customHeight="1" x14ac:dyDescent="0.25">
      <c r="A8258" s="32" t="s">
        <v>7662</v>
      </c>
      <c r="H8258" t="s">
        <v>16873</v>
      </c>
      <c r="I8258" s="33" t="s">
        <v>16877</v>
      </c>
      <c r="J8258" s="34" t="s">
        <v>33</v>
      </c>
      <c r="K8258" s="42">
        <v>2128600</v>
      </c>
      <c r="L8258" s="12">
        <f t="shared" si="785"/>
        <v>3547666.666666667</v>
      </c>
      <c r="M8258" s="8">
        <v>1</v>
      </c>
      <c r="N8258" s="8" t="s">
        <v>27</v>
      </c>
      <c r="O8258" s="13"/>
      <c r="P8258" s="14">
        <v>0</v>
      </c>
      <c r="Q8258" s="15">
        <v>0.4</v>
      </c>
      <c r="R8258" s="40" t="str">
        <f t="shared" si="786"/>
        <v>PHILIPS</v>
      </c>
    </row>
    <row r="8259" spans="1:18" ht="27" customHeight="1" x14ac:dyDescent="0.25">
      <c r="A8259" s="32" t="s">
        <v>7662</v>
      </c>
      <c r="H8259" t="s">
        <v>16874</v>
      </c>
      <c r="I8259" s="33" t="s">
        <v>16878</v>
      </c>
      <c r="J8259" s="34" t="s">
        <v>33</v>
      </c>
      <c r="K8259" s="42">
        <v>446600</v>
      </c>
      <c r="L8259" s="12">
        <f t="shared" si="785"/>
        <v>744333.33333333337</v>
      </c>
      <c r="M8259" s="8">
        <v>1</v>
      </c>
      <c r="N8259" s="8" t="s">
        <v>27</v>
      </c>
      <c r="O8259" s="13"/>
      <c r="P8259" s="14">
        <v>0</v>
      </c>
      <c r="Q8259" s="15">
        <v>0.4</v>
      </c>
      <c r="R8259" s="40" t="str">
        <f t="shared" si="786"/>
        <v>PHILIPS</v>
      </c>
    </row>
    <row r="8260" spans="1:18" ht="27" customHeight="1" x14ac:dyDescent="0.25">
      <c r="A8260" s="32" t="s">
        <v>7662</v>
      </c>
      <c r="H8260" t="s">
        <v>16875</v>
      </c>
      <c r="I8260" s="33" t="s">
        <v>16879</v>
      </c>
      <c r="J8260" s="34" t="s">
        <v>33</v>
      </c>
      <c r="K8260" s="42">
        <v>221500</v>
      </c>
      <c r="L8260" s="12">
        <f t="shared" si="785"/>
        <v>369166.66666666669</v>
      </c>
      <c r="M8260" s="8">
        <v>1</v>
      </c>
      <c r="N8260" s="8" t="s">
        <v>27</v>
      </c>
      <c r="O8260" s="13"/>
      <c r="P8260" s="14">
        <v>0</v>
      </c>
      <c r="Q8260" s="15">
        <v>0.4</v>
      </c>
      <c r="R8260" s="40" t="str">
        <f t="shared" si="786"/>
        <v>PHILIPS</v>
      </c>
    </row>
    <row r="8261" spans="1:18" ht="27" customHeight="1" x14ac:dyDescent="0.25">
      <c r="A8261" s="32" t="s">
        <v>2512</v>
      </c>
      <c r="H8261" t="s">
        <v>16880</v>
      </c>
      <c r="I8261" s="33" t="s">
        <v>16881</v>
      </c>
      <c r="J8261" s="34" t="s">
        <v>33</v>
      </c>
      <c r="K8261" s="42">
        <v>1980000</v>
      </c>
      <c r="L8261" s="12">
        <f t="shared" ref="L8261" si="787">K8261*(1+P8261)/(1-Q8261)</f>
        <v>3300000</v>
      </c>
      <c r="M8261" s="8">
        <v>1</v>
      </c>
      <c r="N8261" s="8" t="s">
        <v>27</v>
      </c>
      <c r="O8261" s="13"/>
      <c r="P8261" s="14">
        <v>0</v>
      </c>
      <c r="Q8261" s="15">
        <v>0.4</v>
      </c>
      <c r="R8261" s="40" t="str">
        <f t="shared" ref="R8261:R8262" si="788">A8261</f>
        <v>GENERAL</v>
      </c>
    </row>
    <row r="8262" spans="1:18" ht="27" customHeight="1" x14ac:dyDescent="0.25">
      <c r="A8262" s="32" t="s">
        <v>5672</v>
      </c>
      <c r="H8262" t="s">
        <v>16882</v>
      </c>
      <c r="I8262" s="33" t="s">
        <v>16883</v>
      </c>
      <c r="J8262" s="34" t="s">
        <v>26</v>
      </c>
      <c r="K8262" s="42">
        <v>120.29</v>
      </c>
      <c r="L8262" s="12">
        <f t="shared" ref="L8262" si="789">K8262*(1+P8262)/(1-Q8262)</f>
        <v>189.00000212053502</v>
      </c>
      <c r="M8262" s="8">
        <v>1</v>
      </c>
      <c r="N8262" s="8" t="s">
        <v>27</v>
      </c>
      <c r="O8262" s="13"/>
      <c r="P8262" s="14">
        <v>0.2</v>
      </c>
      <c r="Q8262" s="15">
        <v>0.23625397682301674</v>
      </c>
      <c r="R8262" s="40" t="str">
        <f t="shared" si="788"/>
        <v>LUTRON</v>
      </c>
    </row>
    <row r="8263" spans="1:18" ht="27" customHeight="1" x14ac:dyDescent="0.25">
      <c r="A8263" s="32" t="s">
        <v>5672</v>
      </c>
      <c r="H8263" t="s">
        <v>16885</v>
      </c>
      <c r="I8263" s="33" t="s">
        <v>16884</v>
      </c>
      <c r="J8263" s="34" t="s">
        <v>26</v>
      </c>
      <c r="K8263" s="42">
        <v>60.98</v>
      </c>
      <c r="L8263" s="12">
        <f t="shared" ref="L8263" si="790">K8263*(1+P8263)/(1-Q8263)</f>
        <v>95.811955518415672</v>
      </c>
      <c r="M8263" s="8">
        <v>1</v>
      </c>
      <c r="N8263" s="8" t="s">
        <v>27</v>
      </c>
      <c r="O8263" s="13"/>
      <c r="P8263" s="14">
        <v>0.2</v>
      </c>
      <c r="Q8263" s="15">
        <v>0.23625397682301674</v>
      </c>
      <c r="R8263" s="40" t="str">
        <f t="shared" ref="R8263" si="791">A8263</f>
        <v>LUTRON</v>
      </c>
    </row>
    <row r="8264" spans="1:18" ht="27" customHeight="1" x14ac:dyDescent="0.25">
      <c r="A8264" s="32" t="s">
        <v>5672</v>
      </c>
      <c r="H8264" t="s">
        <v>16886</v>
      </c>
      <c r="I8264" s="33" t="s">
        <v>16887</v>
      </c>
      <c r="J8264" s="34" t="s">
        <v>26</v>
      </c>
      <c r="K8264" s="42">
        <v>21.38</v>
      </c>
      <c r="L8264" s="12">
        <f t="shared" ref="L8264" si="792">K8264*(1+P8264)/(1-Q8264)</f>
        <v>33.592318940369424</v>
      </c>
      <c r="M8264" s="8">
        <v>1</v>
      </c>
      <c r="N8264" s="8" t="s">
        <v>27</v>
      </c>
      <c r="O8264" s="13"/>
      <c r="P8264" s="14">
        <v>0.2</v>
      </c>
      <c r="Q8264" s="15">
        <v>0.23625397682301674</v>
      </c>
      <c r="R8264" s="40" t="str">
        <f t="shared" ref="R8264" si="793">A8264</f>
        <v>LUTRON</v>
      </c>
    </row>
    <row r="8265" spans="1:18" ht="27" customHeight="1" x14ac:dyDescent="0.25">
      <c r="A8265" s="32" t="s">
        <v>5672</v>
      </c>
      <c r="H8265" t="s">
        <v>16888</v>
      </c>
      <c r="I8265" s="33" t="s">
        <v>16889</v>
      </c>
      <c r="J8265" s="34" t="s">
        <v>26</v>
      </c>
      <c r="K8265" s="42">
        <v>57.2</v>
      </c>
      <c r="L8265" s="12">
        <f t="shared" ref="L8265" si="794">K8265*(1+P8265)/(1-Q8265)</f>
        <v>89.872808390511281</v>
      </c>
      <c r="M8265" s="8">
        <v>1</v>
      </c>
      <c r="N8265" s="8" t="s">
        <v>27</v>
      </c>
      <c r="O8265" s="13"/>
      <c r="P8265" s="14">
        <v>0.2</v>
      </c>
      <c r="Q8265" s="15">
        <v>0.23625397682301674</v>
      </c>
      <c r="R8265" s="40" t="str">
        <f t="shared" ref="R8265" si="795">A8265</f>
        <v>LUTRON</v>
      </c>
    </row>
    <row r="8266" spans="1:18" ht="27" customHeight="1" x14ac:dyDescent="0.25">
      <c r="A8266" s="32" t="s">
        <v>7989</v>
      </c>
      <c r="H8266" t="s">
        <v>9938</v>
      </c>
      <c r="I8266" s="33" t="s">
        <v>16890</v>
      </c>
      <c r="J8266" s="34" t="s">
        <v>26</v>
      </c>
      <c r="K8266" s="42">
        <v>388</v>
      </c>
      <c r="L8266" s="12">
        <f t="shared" ref="L8266:L8268" si="796">K8266*(1+P8266)/(1-Q8266)</f>
        <v>646.66666666666674</v>
      </c>
      <c r="M8266" s="8">
        <v>1</v>
      </c>
      <c r="N8266" s="8" t="s">
        <v>27</v>
      </c>
      <c r="O8266" s="13"/>
      <c r="P8266" s="14">
        <v>0</v>
      </c>
      <c r="Q8266" s="15">
        <v>0.4</v>
      </c>
      <c r="R8266" s="40" t="str">
        <f t="shared" ref="R8266:R8268" si="797">A8266</f>
        <v>RUSSOUND</v>
      </c>
    </row>
    <row r="8267" spans="1:18" ht="27" customHeight="1" x14ac:dyDescent="0.25">
      <c r="A8267" s="32" t="s">
        <v>3977</v>
      </c>
      <c r="H8267" t="s">
        <v>16891</v>
      </c>
      <c r="I8267" s="33" t="s">
        <v>16892</v>
      </c>
      <c r="J8267" s="34" t="s">
        <v>33</v>
      </c>
      <c r="K8267" s="42">
        <v>5000</v>
      </c>
      <c r="L8267" s="12">
        <f t="shared" si="796"/>
        <v>8333.3333333333339</v>
      </c>
      <c r="M8267" s="8">
        <v>1</v>
      </c>
      <c r="N8267" s="8" t="s">
        <v>27</v>
      </c>
      <c r="O8267" s="13"/>
      <c r="P8267" s="14">
        <v>0</v>
      </c>
      <c r="Q8267" s="15">
        <v>0.4</v>
      </c>
      <c r="R8267" s="40" t="str">
        <f t="shared" si="797"/>
        <v>KOMODO</v>
      </c>
    </row>
    <row r="8268" spans="1:18" ht="27" customHeight="1" x14ac:dyDescent="0.25">
      <c r="A8268" s="32" t="s">
        <v>3977</v>
      </c>
      <c r="H8268" t="s">
        <v>16893</v>
      </c>
      <c r="I8268" s="33" t="s">
        <v>16894</v>
      </c>
      <c r="J8268" s="34" t="s">
        <v>26</v>
      </c>
      <c r="K8268" s="42">
        <v>172</v>
      </c>
      <c r="L8268" s="12">
        <f t="shared" si="796"/>
        <v>245.71428571428572</v>
      </c>
      <c r="M8268" s="8">
        <v>1</v>
      </c>
      <c r="N8268" s="8" t="s">
        <v>27</v>
      </c>
      <c r="O8268" s="13"/>
      <c r="P8268" s="14">
        <v>0</v>
      </c>
      <c r="Q8268" s="15">
        <v>0.3</v>
      </c>
      <c r="R8268" s="40" t="str">
        <f t="shared" si="797"/>
        <v>KOMODO</v>
      </c>
    </row>
    <row r="8269" spans="1:18" ht="27" customHeight="1" x14ac:dyDescent="0.25">
      <c r="A8269" s="32" t="s">
        <v>3977</v>
      </c>
      <c r="H8269" t="s">
        <v>16895</v>
      </c>
      <c r="I8269" s="33" t="s">
        <v>16896</v>
      </c>
      <c r="J8269" s="34" t="s">
        <v>26</v>
      </c>
      <c r="K8269" s="42">
        <v>152.9</v>
      </c>
      <c r="L8269" s="12">
        <f t="shared" ref="L8269:L8281" si="798">K8269*(1+P8269)/(1-Q8269)</f>
        <v>218.42857142857144</v>
      </c>
      <c r="M8269" s="8">
        <v>1</v>
      </c>
      <c r="N8269" s="8" t="s">
        <v>27</v>
      </c>
      <c r="O8269" s="13"/>
      <c r="P8269" s="14">
        <v>0</v>
      </c>
      <c r="Q8269" s="15">
        <v>0.3</v>
      </c>
      <c r="R8269" s="40" t="str">
        <f t="shared" ref="R8269:R8281" si="799">A8269</f>
        <v>KOMODO</v>
      </c>
    </row>
    <row r="8270" spans="1:18" ht="27" customHeight="1" x14ac:dyDescent="0.25">
      <c r="A8270" s="32" t="s">
        <v>3977</v>
      </c>
      <c r="H8270" t="s">
        <v>16897</v>
      </c>
      <c r="I8270" s="33" t="s">
        <v>16898</v>
      </c>
      <c r="J8270" s="34" t="s">
        <v>26</v>
      </c>
      <c r="K8270" s="42">
        <v>76</v>
      </c>
      <c r="L8270" s="12">
        <f t="shared" si="798"/>
        <v>108.57142857142858</v>
      </c>
      <c r="M8270" s="8">
        <v>1</v>
      </c>
      <c r="N8270" s="8" t="s">
        <v>27</v>
      </c>
      <c r="O8270" s="13"/>
      <c r="P8270" s="14">
        <v>0</v>
      </c>
      <c r="Q8270" s="15">
        <v>0.3</v>
      </c>
      <c r="R8270" s="40" t="str">
        <f t="shared" si="799"/>
        <v>KOMODO</v>
      </c>
    </row>
    <row r="8271" spans="1:18" ht="27" customHeight="1" x14ac:dyDescent="0.25">
      <c r="A8271" s="32" t="s">
        <v>3977</v>
      </c>
      <c r="H8271" t="s">
        <v>16899</v>
      </c>
      <c r="I8271" s="33" t="s">
        <v>16900</v>
      </c>
      <c r="J8271" s="34" t="s">
        <v>26</v>
      </c>
      <c r="K8271" s="42">
        <v>21.5</v>
      </c>
      <c r="L8271" s="12">
        <f t="shared" si="798"/>
        <v>30.714285714285715</v>
      </c>
      <c r="M8271" s="8">
        <v>1</v>
      </c>
      <c r="N8271" s="8" t="s">
        <v>27</v>
      </c>
      <c r="O8271" s="13"/>
      <c r="P8271" s="14">
        <v>0</v>
      </c>
      <c r="Q8271" s="15">
        <v>0.3</v>
      </c>
      <c r="R8271" s="40" t="str">
        <f t="shared" si="799"/>
        <v>KOMODO</v>
      </c>
    </row>
    <row r="8272" spans="1:18" ht="27" customHeight="1" x14ac:dyDescent="0.25">
      <c r="A8272" s="32" t="s">
        <v>3977</v>
      </c>
      <c r="H8272" t="s">
        <v>16901</v>
      </c>
      <c r="I8272" s="33" t="s">
        <v>16902</v>
      </c>
      <c r="J8272" s="34" t="s">
        <v>26</v>
      </c>
      <c r="K8272" s="42">
        <v>1.1960000000000002</v>
      </c>
      <c r="L8272" s="12">
        <f t="shared" si="798"/>
        <v>1.7085714285714289</v>
      </c>
      <c r="M8272" s="8">
        <v>1</v>
      </c>
      <c r="N8272" s="8" t="s">
        <v>27</v>
      </c>
      <c r="O8272" s="13"/>
      <c r="P8272" s="14">
        <v>0</v>
      </c>
      <c r="Q8272" s="15">
        <v>0.3</v>
      </c>
      <c r="R8272" s="40" t="str">
        <f t="shared" si="799"/>
        <v>KOMODO</v>
      </c>
    </row>
    <row r="8273" spans="1:20" ht="27" customHeight="1" x14ac:dyDescent="0.25">
      <c r="A8273" s="32" t="s">
        <v>3977</v>
      </c>
      <c r="H8273" t="s">
        <v>16903</v>
      </c>
      <c r="I8273" s="33" t="s">
        <v>16904</v>
      </c>
      <c r="J8273" s="34" t="s">
        <v>26</v>
      </c>
      <c r="K8273" s="42">
        <v>3.266</v>
      </c>
      <c r="L8273" s="12">
        <f t="shared" si="798"/>
        <v>4.6657142857142864</v>
      </c>
      <c r="M8273" s="8">
        <v>1</v>
      </c>
      <c r="N8273" s="8" t="s">
        <v>27</v>
      </c>
      <c r="O8273" s="13"/>
      <c r="P8273" s="14">
        <v>0</v>
      </c>
      <c r="Q8273" s="15">
        <v>0.3</v>
      </c>
      <c r="R8273" s="40" t="str">
        <f t="shared" si="799"/>
        <v>KOMODO</v>
      </c>
    </row>
    <row r="8274" spans="1:20" ht="27" customHeight="1" x14ac:dyDescent="0.25">
      <c r="A8274" s="32" t="s">
        <v>3977</v>
      </c>
      <c r="H8274" t="s">
        <v>16905</v>
      </c>
      <c r="I8274" s="33" t="s">
        <v>16906</v>
      </c>
      <c r="J8274" s="34" t="s">
        <v>26</v>
      </c>
      <c r="K8274" s="42">
        <v>3.3000000000000003</v>
      </c>
      <c r="L8274" s="12">
        <f t="shared" si="798"/>
        <v>4.7142857142857153</v>
      </c>
      <c r="M8274" s="8">
        <v>1</v>
      </c>
      <c r="N8274" s="8" t="s">
        <v>27</v>
      </c>
      <c r="O8274" s="13"/>
      <c r="P8274" s="14">
        <v>0</v>
      </c>
      <c r="Q8274" s="15">
        <v>0.3</v>
      </c>
      <c r="R8274" s="40" t="str">
        <f t="shared" si="799"/>
        <v>KOMODO</v>
      </c>
    </row>
    <row r="8275" spans="1:20" ht="27" customHeight="1" x14ac:dyDescent="0.25">
      <c r="A8275" s="32" t="s">
        <v>3977</v>
      </c>
      <c r="H8275" t="s">
        <v>16907</v>
      </c>
      <c r="I8275" s="33" t="s">
        <v>16908</v>
      </c>
      <c r="J8275" s="34" t="s">
        <v>26</v>
      </c>
      <c r="K8275" s="42">
        <v>4.5</v>
      </c>
      <c r="L8275" s="12">
        <f t="shared" si="798"/>
        <v>6.4285714285714288</v>
      </c>
      <c r="M8275" s="8">
        <v>1</v>
      </c>
      <c r="N8275" s="8" t="s">
        <v>27</v>
      </c>
      <c r="O8275" s="13"/>
      <c r="P8275" s="14">
        <v>0</v>
      </c>
      <c r="Q8275" s="15">
        <v>0.3</v>
      </c>
      <c r="R8275" s="40" t="str">
        <f t="shared" si="799"/>
        <v>KOMODO</v>
      </c>
    </row>
    <row r="8276" spans="1:20" ht="27" customHeight="1" x14ac:dyDescent="0.25">
      <c r="A8276" s="32" t="s">
        <v>3977</v>
      </c>
      <c r="H8276" t="s">
        <v>16909</v>
      </c>
      <c r="I8276" s="33" t="s">
        <v>16910</v>
      </c>
      <c r="J8276" s="34" t="s">
        <v>26</v>
      </c>
      <c r="K8276" s="42">
        <v>17</v>
      </c>
      <c r="L8276" s="12">
        <f t="shared" si="798"/>
        <v>24.285714285714288</v>
      </c>
      <c r="M8276" s="8">
        <v>1</v>
      </c>
      <c r="N8276" s="8" t="s">
        <v>27</v>
      </c>
      <c r="O8276" s="13"/>
      <c r="P8276" s="14">
        <v>0</v>
      </c>
      <c r="Q8276" s="15">
        <v>0.3</v>
      </c>
      <c r="R8276" s="40" t="str">
        <f t="shared" si="799"/>
        <v>KOMODO</v>
      </c>
    </row>
    <row r="8277" spans="1:20" ht="27" customHeight="1" x14ac:dyDescent="0.25">
      <c r="A8277" s="32" t="s">
        <v>3977</v>
      </c>
      <c r="H8277" t="s">
        <v>16911</v>
      </c>
      <c r="I8277" s="33" t="s">
        <v>16912</v>
      </c>
      <c r="J8277" s="34" t="s">
        <v>26</v>
      </c>
      <c r="K8277" s="42">
        <v>11.9</v>
      </c>
      <c r="L8277" s="12">
        <f t="shared" si="798"/>
        <v>17</v>
      </c>
      <c r="M8277" s="8">
        <v>1</v>
      </c>
      <c r="N8277" s="8" t="s">
        <v>27</v>
      </c>
      <c r="O8277" s="13"/>
      <c r="P8277" s="14">
        <v>0</v>
      </c>
      <c r="Q8277" s="15">
        <v>0.3</v>
      </c>
      <c r="R8277" s="40" t="str">
        <f t="shared" si="799"/>
        <v>KOMODO</v>
      </c>
    </row>
    <row r="8278" spans="1:20" ht="27" customHeight="1" x14ac:dyDescent="0.25">
      <c r="A8278" s="32" t="s">
        <v>3977</v>
      </c>
      <c r="H8278" t="s">
        <v>16913</v>
      </c>
      <c r="I8278" s="33" t="s">
        <v>16914</v>
      </c>
      <c r="J8278" s="34" t="s">
        <v>26</v>
      </c>
      <c r="K8278" s="42">
        <v>11.9</v>
      </c>
      <c r="L8278" s="12">
        <f t="shared" si="798"/>
        <v>17</v>
      </c>
      <c r="M8278" s="8">
        <v>1</v>
      </c>
      <c r="N8278" s="8" t="s">
        <v>27</v>
      </c>
      <c r="O8278" s="13"/>
      <c r="P8278" s="14">
        <v>0</v>
      </c>
      <c r="Q8278" s="15">
        <v>0.3</v>
      </c>
      <c r="R8278" s="40" t="str">
        <f t="shared" si="799"/>
        <v>KOMODO</v>
      </c>
    </row>
    <row r="8279" spans="1:20" ht="27" customHeight="1" x14ac:dyDescent="0.25">
      <c r="A8279" s="32" t="s">
        <v>3977</v>
      </c>
      <c r="H8279" t="s">
        <v>16915</v>
      </c>
      <c r="I8279" s="33" t="s">
        <v>16916</v>
      </c>
      <c r="J8279" s="34" t="s">
        <v>26</v>
      </c>
      <c r="K8279" s="42">
        <v>11.5</v>
      </c>
      <c r="L8279" s="12">
        <f t="shared" si="798"/>
        <v>16.428571428571431</v>
      </c>
      <c r="M8279" s="8">
        <v>1</v>
      </c>
      <c r="N8279" s="8" t="s">
        <v>27</v>
      </c>
      <c r="O8279" s="13"/>
      <c r="P8279" s="14">
        <v>0</v>
      </c>
      <c r="Q8279" s="15">
        <v>0.3</v>
      </c>
      <c r="R8279" s="40" t="str">
        <f t="shared" si="799"/>
        <v>KOMODO</v>
      </c>
    </row>
    <row r="8280" spans="1:20" ht="27" customHeight="1" x14ac:dyDescent="0.25">
      <c r="A8280" s="32" t="s">
        <v>3977</v>
      </c>
      <c r="H8280" t="s">
        <v>16917</v>
      </c>
      <c r="I8280" s="33" t="s">
        <v>16918</v>
      </c>
      <c r="J8280" s="34" t="s">
        <v>26</v>
      </c>
      <c r="K8280" s="42">
        <v>13.026316227462912</v>
      </c>
      <c r="L8280" s="12">
        <f t="shared" si="798"/>
        <v>18.609023182089874</v>
      </c>
      <c r="M8280" s="8">
        <v>1</v>
      </c>
      <c r="N8280" s="8" t="s">
        <v>27</v>
      </c>
      <c r="O8280" s="13"/>
      <c r="P8280" s="14">
        <v>0</v>
      </c>
      <c r="Q8280" s="15">
        <v>0.3</v>
      </c>
      <c r="R8280" s="40" t="str">
        <f t="shared" si="799"/>
        <v>KOMODO</v>
      </c>
    </row>
    <row r="8281" spans="1:20" ht="27" customHeight="1" x14ac:dyDescent="0.25">
      <c r="A8281" s="32" t="s">
        <v>3977</v>
      </c>
      <c r="H8281" t="s">
        <v>16919</v>
      </c>
      <c r="I8281" s="33" t="s">
        <v>16920</v>
      </c>
      <c r="J8281" s="34" t="s">
        <v>26</v>
      </c>
      <c r="K8281" s="42">
        <v>28</v>
      </c>
      <c r="L8281" s="12">
        <f t="shared" si="798"/>
        <v>40</v>
      </c>
      <c r="M8281" s="8">
        <v>1</v>
      </c>
      <c r="N8281" s="8" t="s">
        <v>27</v>
      </c>
      <c r="O8281" s="13"/>
      <c r="P8281" s="14">
        <v>0</v>
      </c>
      <c r="Q8281" s="15">
        <v>0.3</v>
      </c>
      <c r="R8281" s="40" t="str">
        <f t="shared" si="799"/>
        <v>KOMODO</v>
      </c>
    </row>
    <row r="8282" spans="1:20" ht="27" customHeight="1" x14ac:dyDescent="0.25">
      <c r="A8282" s="32" t="s">
        <v>781</v>
      </c>
      <c r="H8282" t="s">
        <v>16921</v>
      </c>
      <c r="I8282" s="33" t="s">
        <v>16922</v>
      </c>
      <c r="J8282" s="34" t="s">
        <v>26</v>
      </c>
      <c r="K8282" s="42">
        <v>470</v>
      </c>
      <c r="L8282" s="12">
        <f t="shared" ref="L8282" si="800">K8282*(1+P8282)/(1-Q8282)</f>
        <v>587.5</v>
      </c>
      <c r="M8282" s="8">
        <v>1</v>
      </c>
      <c r="N8282" s="8" t="s">
        <v>27</v>
      </c>
      <c r="O8282" s="13"/>
      <c r="P8282" s="14">
        <v>0</v>
      </c>
      <c r="Q8282" s="15">
        <v>0.2</v>
      </c>
      <c r="R8282" s="40" t="str">
        <f t="shared" ref="R8282:R8283" si="801">A8282</f>
        <v>BENQ</v>
      </c>
    </row>
    <row r="8283" spans="1:20" ht="27" customHeight="1" x14ac:dyDescent="0.25">
      <c r="A8283" s="32" t="s">
        <v>16706</v>
      </c>
      <c r="H8283" t="s">
        <v>16924</v>
      </c>
      <c r="I8283" t="s">
        <v>16923</v>
      </c>
      <c r="J8283" s="34" t="s">
        <v>33</v>
      </c>
      <c r="K8283" s="42">
        <v>95000</v>
      </c>
      <c r="L8283" s="12">
        <f t="shared" ref="L8283" si="802">IF(J8283="P",ROUNDUP(K8283/(1-Q8283),-2),K8283*(1+P8283)/(1-Q8283))</f>
        <v>190000</v>
      </c>
      <c r="M8283" s="8">
        <v>1</v>
      </c>
      <c r="N8283" s="8" t="s">
        <v>27</v>
      </c>
      <c r="O8283" s="13">
        <f t="shared" ref="O8283" si="803">F8283</f>
        <v>0</v>
      </c>
      <c r="P8283" s="14">
        <v>0</v>
      </c>
      <c r="Q8283" s="15">
        <v>0.5</v>
      </c>
      <c r="R8283" s="64" t="str">
        <f t="shared" si="801"/>
        <v>COMFERVI</v>
      </c>
    </row>
    <row r="8284" spans="1:20" ht="27" customHeight="1" x14ac:dyDescent="0.25">
      <c r="A8284" s="32" t="s">
        <v>9223</v>
      </c>
      <c r="H8284" t="s">
        <v>16925</v>
      </c>
      <c r="I8284" t="s">
        <v>16926</v>
      </c>
      <c r="J8284" s="34" t="s">
        <v>33</v>
      </c>
      <c r="K8284" s="42">
        <v>6120000</v>
      </c>
      <c r="L8284" s="12">
        <f t="shared" ref="L8284" si="804">IF(J8284="P",ROUNDUP(K8284/(1-Q8284),-2),K8284*(1+P8284)/(1-Q8284))</f>
        <v>9415400</v>
      </c>
      <c r="M8284" s="8">
        <v>1</v>
      </c>
      <c r="N8284" s="8" t="s">
        <v>27</v>
      </c>
      <c r="O8284" s="13">
        <f t="shared" ref="O8284" si="805">F8284</f>
        <v>0</v>
      </c>
      <c r="P8284" s="14">
        <v>0</v>
      </c>
      <c r="Q8284" s="15">
        <v>0.35</v>
      </c>
      <c r="R8284" s="64" t="str">
        <f t="shared" ref="R8284:R8288" si="806">A8284</f>
        <v>TENSOFLEX</v>
      </c>
    </row>
    <row r="8285" spans="1:20" ht="27" customHeight="1" x14ac:dyDescent="0.25">
      <c r="A8285" s="32" t="s">
        <v>5672</v>
      </c>
      <c r="H8285" t="s">
        <v>16927</v>
      </c>
      <c r="I8285" s="33" t="s">
        <v>16928</v>
      </c>
      <c r="J8285" s="34" t="s">
        <v>26</v>
      </c>
      <c r="K8285" s="42">
        <v>60.87</v>
      </c>
      <c r="L8285" s="12">
        <f t="shared" ref="L8285:L8286" si="807">K8285*(1+P8285)/(1-Q8285)</f>
        <v>104.34857142857143</v>
      </c>
      <c r="M8285" s="8">
        <v>1</v>
      </c>
      <c r="N8285" s="8" t="s">
        <v>27</v>
      </c>
      <c r="O8285" s="13"/>
      <c r="P8285" s="14">
        <v>0.2</v>
      </c>
      <c r="Q8285" s="15">
        <v>0.3</v>
      </c>
      <c r="R8285" s="40" t="str">
        <f t="shared" si="806"/>
        <v>LUTRON</v>
      </c>
    </row>
    <row r="8286" spans="1:20" ht="27" customHeight="1" x14ac:dyDescent="0.25">
      <c r="A8286" s="32" t="s">
        <v>16929</v>
      </c>
      <c r="H8286" s="32" t="s">
        <v>16930</v>
      </c>
      <c r="I8286" s="33" t="s">
        <v>16931</v>
      </c>
      <c r="J8286" s="34" t="s">
        <v>33</v>
      </c>
      <c r="K8286" s="42">
        <v>128600</v>
      </c>
      <c r="L8286" s="12">
        <f t="shared" si="807"/>
        <v>183714.28571428574</v>
      </c>
      <c r="M8286" s="8">
        <v>1</v>
      </c>
      <c r="N8286" s="8" t="s">
        <v>27</v>
      </c>
      <c r="P8286" s="14">
        <v>0</v>
      </c>
      <c r="Q8286" s="15">
        <v>0.3</v>
      </c>
      <c r="R8286" s="40" t="str">
        <f t="shared" si="806"/>
        <v>CONFERVI</v>
      </c>
    </row>
    <row r="8287" spans="1:20" ht="27" customHeight="1" x14ac:dyDescent="0.25">
      <c r="A8287" s="8" t="s">
        <v>2124</v>
      </c>
      <c r="B8287" s="9"/>
      <c r="C8287" s="9"/>
      <c r="D8287" s="8"/>
      <c r="E8287" s="8"/>
      <c r="F8287" s="8"/>
      <c r="G8287" s="10"/>
      <c r="H8287" s="8" t="s">
        <v>16932</v>
      </c>
      <c r="I8287" s="10" t="s">
        <v>16933</v>
      </c>
      <c r="J8287" s="11" t="s">
        <v>33</v>
      </c>
      <c r="K8287" s="18">
        <f>215000*1.5</f>
        <v>322500</v>
      </c>
      <c r="L8287" s="12">
        <f t="shared" ref="L8287:L8288" si="808">IF(J8287="P",ROUNDUP(K8287/(1-Q8287),-2),K8287*(1+P8287)/(1-Q8287))</f>
        <v>460800</v>
      </c>
      <c r="M8287" s="8">
        <v>1</v>
      </c>
      <c r="N8287" s="8" t="s">
        <v>27</v>
      </c>
      <c r="O8287" s="13">
        <f t="shared" ref="O8287" si="809">F8287</f>
        <v>0</v>
      </c>
      <c r="P8287" s="14">
        <v>0</v>
      </c>
      <c r="Q8287" s="15">
        <v>0.3</v>
      </c>
      <c r="R8287" s="16" t="str">
        <f t="shared" si="806"/>
        <v>ECOLUZ</v>
      </c>
    </row>
    <row r="8288" spans="1:20" ht="27" customHeight="1" x14ac:dyDescent="0.25">
      <c r="A8288" s="8" t="s">
        <v>2512</v>
      </c>
      <c r="B8288" s="9"/>
      <c r="C8288" s="9"/>
      <c r="D8288" s="8"/>
      <c r="E8288" s="8"/>
      <c r="F8288" s="8" t="s">
        <v>22</v>
      </c>
      <c r="G8288" s="10" t="s">
        <v>2684</v>
      </c>
      <c r="H8288" s="8" t="s">
        <v>16934</v>
      </c>
      <c r="I8288" s="10" t="s">
        <v>16935</v>
      </c>
      <c r="J8288" s="11" t="s">
        <v>33</v>
      </c>
      <c r="K8288" s="18">
        <v>16000</v>
      </c>
      <c r="L8288" s="12">
        <f t="shared" si="808"/>
        <v>22900</v>
      </c>
      <c r="M8288" s="8">
        <v>1</v>
      </c>
      <c r="N8288" s="8" t="s">
        <v>27</v>
      </c>
      <c r="O8288" s="13"/>
      <c r="P8288" s="14">
        <v>0.2</v>
      </c>
      <c r="Q8288" s="15">
        <v>0.3</v>
      </c>
      <c r="R8288" s="16" t="str">
        <f t="shared" si="806"/>
        <v>GENERAL</v>
      </c>
      <c r="S8288" s="17"/>
      <c r="T8288" s="10" t="str">
        <f t="shared" ref="T8288" si="810">G8288</f>
        <v>CABLE RCA X 1.8M</v>
      </c>
    </row>
    <row r="8289" spans="1:20" ht="27" customHeight="1" x14ac:dyDescent="0.25">
      <c r="A8289" s="32" t="s">
        <v>3611</v>
      </c>
      <c r="H8289" s="38" t="s">
        <v>16936</v>
      </c>
      <c r="I8289" s="38" t="s">
        <v>16937</v>
      </c>
      <c r="J8289" s="34" t="s">
        <v>33</v>
      </c>
      <c r="K8289" s="42">
        <v>203949.58</v>
      </c>
      <c r="L8289" s="12">
        <f t="shared" ref="L8289" si="811">IF(J8289="P",ROUNDUP(K8289/(1-Q8289),-2),K8289*(1+P8289)/(1-Q8289))</f>
        <v>291400</v>
      </c>
      <c r="M8289" s="8">
        <v>1</v>
      </c>
      <c r="N8289" s="8" t="s">
        <v>27</v>
      </c>
      <c r="O8289" s="13"/>
      <c r="P8289" s="14">
        <v>0</v>
      </c>
      <c r="Q8289" s="15">
        <v>0.3</v>
      </c>
      <c r="R8289" s="16" t="str">
        <f t="shared" ref="R8289" si="812">A8289</f>
        <v>IDEA</v>
      </c>
    </row>
    <row r="8290" spans="1:20" ht="27" customHeight="1" x14ac:dyDescent="0.25">
      <c r="A8290" s="32" t="s">
        <v>3611</v>
      </c>
      <c r="H8290" s="32" t="s">
        <v>16938</v>
      </c>
      <c r="I8290" s="38" t="s">
        <v>16939</v>
      </c>
      <c r="J8290" s="34" t="s">
        <v>33</v>
      </c>
      <c r="K8290" s="42">
        <v>10672.27</v>
      </c>
      <c r="L8290" s="12">
        <f t="shared" ref="L8290" si="813">IF(J8290="P",ROUNDUP(K8290/(1-Q8290),-2),K8290*(1+P8290)/(1-Q8290))</f>
        <v>15300</v>
      </c>
      <c r="M8290" s="8">
        <v>1</v>
      </c>
      <c r="N8290" s="8" t="s">
        <v>27</v>
      </c>
      <c r="O8290" s="13"/>
      <c r="P8290" s="14">
        <v>0</v>
      </c>
      <c r="Q8290" s="15">
        <v>0.3</v>
      </c>
      <c r="R8290" s="16" t="str">
        <f t="shared" ref="R8290:R8291" si="814">A8290</f>
        <v>IDEA</v>
      </c>
    </row>
    <row r="8291" spans="1:20" ht="27" customHeight="1" x14ac:dyDescent="0.25">
      <c r="A8291" s="32" t="s">
        <v>13983</v>
      </c>
      <c r="H8291" s="32" t="s">
        <v>16940</v>
      </c>
      <c r="I8291" s="33" t="s">
        <v>16941</v>
      </c>
      <c r="J8291" s="34" t="s">
        <v>33</v>
      </c>
      <c r="K8291" s="42">
        <v>460000</v>
      </c>
      <c r="L8291" s="12">
        <f t="shared" ref="L8291" si="815">K8291*(1+P8291)/(1-Q8291)</f>
        <v>657142.85714285716</v>
      </c>
      <c r="M8291" s="8">
        <v>1</v>
      </c>
      <c r="N8291" s="8" t="s">
        <v>27</v>
      </c>
      <c r="P8291" s="14">
        <v>0</v>
      </c>
      <c r="Q8291" s="15">
        <v>0.3</v>
      </c>
      <c r="R8291" s="40" t="str">
        <f t="shared" si="814"/>
        <v>HOFFLIGHTS</v>
      </c>
    </row>
    <row r="8292" spans="1:20" ht="27" customHeight="1" x14ac:dyDescent="0.25">
      <c r="A8292" s="32" t="s">
        <v>8836</v>
      </c>
      <c r="H8292" s="32" t="s">
        <v>16942</v>
      </c>
      <c r="I8292" s="33" t="s">
        <v>16943</v>
      </c>
      <c r="J8292" s="34" t="s">
        <v>33</v>
      </c>
      <c r="K8292" s="42">
        <v>203077</v>
      </c>
      <c r="L8292" s="12">
        <f t="shared" ref="L8292" si="816">K8292*(1+P8292)/(1-Q8292)</f>
        <v>225641.11111111109</v>
      </c>
      <c r="M8292" s="8">
        <v>1</v>
      </c>
      <c r="N8292" s="8" t="s">
        <v>27</v>
      </c>
      <c r="P8292" s="14">
        <v>0</v>
      </c>
      <c r="Q8292" s="15">
        <v>0.1</v>
      </c>
      <c r="R8292" s="40" t="str">
        <f t="shared" ref="R8292" si="817">A8292</f>
        <v>TECNOLITE</v>
      </c>
    </row>
    <row r="8293" spans="1:20" ht="27" customHeight="1" x14ac:dyDescent="0.25">
      <c r="A8293" s="32" t="s">
        <v>16929</v>
      </c>
      <c r="H8293" s="32" t="s">
        <v>16944</v>
      </c>
      <c r="I8293" s="33" t="s">
        <v>16945</v>
      </c>
      <c r="J8293" s="34" t="s">
        <v>33</v>
      </c>
      <c r="K8293" s="42">
        <v>43000</v>
      </c>
      <c r="L8293" s="12">
        <f t="shared" ref="L8293" si="818">K8293*(1+P8293)/(1-Q8293)</f>
        <v>86000</v>
      </c>
      <c r="M8293" s="8">
        <v>1</v>
      </c>
      <c r="N8293" s="8" t="s">
        <v>27</v>
      </c>
      <c r="P8293" s="14">
        <v>0</v>
      </c>
      <c r="Q8293" s="15">
        <v>0.5</v>
      </c>
      <c r="R8293" s="40" t="str">
        <f t="shared" ref="R8293" si="819">A8293</f>
        <v>CONFERVI</v>
      </c>
    </row>
    <row r="8294" spans="1:20" ht="27" customHeight="1" x14ac:dyDescent="0.25">
      <c r="A8294" s="32" t="s">
        <v>16929</v>
      </c>
      <c r="H8294" s="32" t="s">
        <v>16946</v>
      </c>
      <c r="I8294" s="33" t="s">
        <v>16947</v>
      </c>
      <c r="J8294" s="34" t="s">
        <v>33</v>
      </c>
      <c r="K8294" s="42">
        <v>2300</v>
      </c>
      <c r="L8294" s="12">
        <f t="shared" ref="L8294" si="820">K8294*(1+P8294)/(1-Q8294)</f>
        <v>3833.3333333333335</v>
      </c>
      <c r="M8294" s="8">
        <v>1</v>
      </c>
      <c r="N8294" s="8" t="s">
        <v>27</v>
      </c>
      <c r="P8294" s="14">
        <v>0</v>
      </c>
      <c r="Q8294" s="15">
        <v>0.4</v>
      </c>
      <c r="R8294" s="40" t="str">
        <f t="shared" ref="R8294" si="821">A8294</f>
        <v>CONFERVI</v>
      </c>
    </row>
    <row r="8295" spans="1:20" ht="27" customHeight="1" x14ac:dyDescent="0.25">
      <c r="A8295" s="32" t="s">
        <v>16949</v>
      </c>
      <c r="H8295" s="32" t="s">
        <v>16948</v>
      </c>
      <c r="I8295" s="33" t="s">
        <v>16950</v>
      </c>
      <c r="J8295" s="34" t="s">
        <v>33</v>
      </c>
      <c r="K8295" s="42">
        <v>9300</v>
      </c>
      <c r="L8295" s="12">
        <f t="shared" ref="L8295:L8296" si="822">K8295*(1+P8295)/(1-Q8295)</f>
        <v>15500</v>
      </c>
      <c r="M8295" s="8">
        <v>1</v>
      </c>
      <c r="N8295" s="8" t="s">
        <v>27</v>
      </c>
      <c r="P8295" s="14">
        <v>0</v>
      </c>
      <c r="Q8295" s="15">
        <v>0.4</v>
      </c>
      <c r="R8295" s="40" t="str">
        <f t="shared" ref="R8295:R8296" si="823">A8295</f>
        <v>VATIO</v>
      </c>
    </row>
    <row r="8296" spans="1:20" ht="27" customHeight="1" x14ac:dyDescent="0.25">
      <c r="A8296" s="8" t="s">
        <v>10258</v>
      </c>
      <c r="H8296" t="s">
        <v>16951</v>
      </c>
      <c r="I8296" s="33" t="s">
        <v>16286</v>
      </c>
      <c r="J8296" t="s">
        <v>26</v>
      </c>
      <c r="K8296">
        <f>11</f>
        <v>11</v>
      </c>
      <c r="L8296" s="12">
        <f t="shared" si="822"/>
        <v>25.666666666666664</v>
      </c>
      <c r="M8296" s="8">
        <v>1</v>
      </c>
      <c r="N8296" s="8" t="s">
        <v>27</v>
      </c>
      <c r="O8296" s="13"/>
      <c r="P8296" s="14">
        <v>0.4</v>
      </c>
      <c r="Q8296" s="15">
        <v>0.4</v>
      </c>
      <c r="R8296" s="16" t="str">
        <f t="shared" si="823"/>
        <v>SC_POWER</v>
      </c>
    </row>
    <row r="8297" spans="1:20" ht="27" customHeight="1" x14ac:dyDescent="0.25">
      <c r="A8297" s="32" t="s">
        <v>5066</v>
      </c>
      <c r="H8297" s="32" t="s">
        <v>16952</v>
      </c>
      <c r="I8297" s="33" t="s">
        <v>16953</v>
      </c>
      <c r="J8297" s="34" t="s">
        <v>33</v>
      </c>
      <c r="K8297" s="42">
        <v>116000</v>
      </c>
      <c r="L8297" s="12">
        <f t="shared" ref="L8297" si="824">K8297*(1+P8297)/(1-Q8297)</f>
        <v>165714.28571428574</v>
      </c>
      <c r="M8297" s="8">
        <v>1</v>
      </c>
      <c r="N8297" s="8" t="s">
        <v>27</v>
      </c>
      <c r="O8297" s="13"/>
      <c r="P8297" s="14">
        <v>0</v>
      </c>
      <c r="Q8297" s="15">
        <v>0.3</v>
      </c>
      <c r="R8297" s="16" t="str">
        <f t="shared" ref="R8297" si="825">A8297</f>
        <v>LEGRAND</v>
      </c>
    </row>
    <row r="8298" spans="1:20" ht="27" customHeight="1" x14ac:dyDescent="0.25">
      <c r="A8298" s="32" t="s">
        <v>3388</v>
      </c>
      <c r="H8298" s="32" t="s">
        <v>16954</v>
      </c>
      <c r="I8298" s="33" t="s">
        <v>16955</v>
      </c>
      <c r="J8298" s="34" t="s">
        <v>33</v>
      </c>
      <c r="K8298" s="42">
        <v>110000</v>
      </c>
      <c r="L8298" s="12">
        <f t="shared" ref="L8298" si="826">K8298*(1+P8298)/(1-Q8298)</f>
        <v>157142.85714285716</v>
      </c>
      <c r="M8298" s="8">
        <v>1</v>
      </c>
      <c r="N8298" s="8" t="s">
        <v>27</v>
      </c>
      <c r="O8298" s="13"/>
      <c r="P8298" s="14">
        <v>0</v>
      </c>
      <c r="Q8298" s="15">
        <v>0.3</v>
      </c>
      <c r="R8298" s="16" t="str">
        <f t="shared" ref="R8298" si="827">A8298</f>
        <v>SIGNCOMPLEX</v>
      </c>
    </row>
    <row r="8299" spans="1:20" ht="27" customHeight="1" x14ac:dyDescent="0.25">
      <c r="A8299" s="32" t="s">
        <v>781</v>
      </c>
      <c r="H8299" s="32" t="s">
        <v>16956</v>
      </c>
      <c r="I8299" s="33" t="s">
        <v>16957</v>
      </c>
      <c r="J8299" s="34" t="s">
        <v>26</v>
      </c>
      <c r="K8299" s="42">
        <v>390</v>
      </c>
      <c r="L8299" s="12">
        <f t="shared" ref="L8299" si="828">K8299*(1+P8299)/(1-Q8299)</f>
        <v>557.14285714285722</v>
      </c>
      <c r="M8299" s="8">
        <v>1</v>
      </c>
      <c r="N8299" s="8" t="s">
        <v>27</v>
      </c>
      <c r="O8299" s="13"/>
      <c r="P8299" s="14">
        <v>0</v>
      </c>
      <c r="Q8299" s="15">
        <v>0.3</v>
      </c>
      <c r="R8299" s="16" t="str">
        <f t="shared" ref="R8299:R8300" si="829">A8299</f>
        <v>BENQ</v>
      </c>
    </row>
    <row r="8300" spans="1:20" ht="27" customHeight="1" x14ac:dyDescent="0.25">
      <c r="A8300" s="8" t="s">
        <v>2512</v>
      </c>
      <c r="B8300" s="9"/>
      <c r="C8300" s="9"/>
      <c r="D8300" s="8"/>
      <c r="E8300" s="8"/>
      <c r="F8300" s="8" t="s">
        <v>22</v>
      </c>
      <c r="G8300" s="10" t="s">
        <v>2560</v>
      </c>
      <c r="H8300" s="8" t="s">
        <v>16958</v>
      </c>
      <c r="I8300" s="10" t="s">
        <v>16959</v>
      </c>
      <c r="J8300" s="11" t="s">
        <v>33</v>
      </c>
      <c r="K8300" s="18">
        <v>34500</v>
      </c>
      <c r="L8300" s="12">
        <f t="shared" ref="L8300" si="830">IF(J8300="P",ROUNDUP(K8300/(1-Q8300),-2),K8300*(1+P8300)/(1-Q8300))</f>
        <v>49300</v>
      </c>
      <c r="M8300" s="8">
        <v>1</v>
      </c>
      <c r="N8300" s="8" t="s">
        <v>27</v>
      </c>
      <c r="O8300" s="13"/>
      <c r="P8300" s="14">
        <v>0.2</v>
      </c>
      <c r="Q8300" s="15">
        <v>0.3</v>
      </c>
      <c r="R8300" s="16" t="str">
        <f t="shared" si="829"/>
        <v>GENERAL</v>
      </c>
      <c r="S8300" s="17"/>
      <c r="T8300" s="10" t="str">
        <f t="shared" ref="T8300" si="831">G8300</f>
        <v>CAJA DE PASO DE 20Cm X 20Cm X 10Cm.</v>
      </c>
    </row>
    <row r="8301" spans="1:20" ht="27" customHeight="1" x14ac:dyDescent="0.25">
      <c r="A8301" s="32" t="s">
        <v>2512</v>
      </c>
      <c r="H8301" s="32" t="s">
        <v>16960</v>
      </c>
      <c r="I8301" s="33" t="s">
        <v>16961</v>
      </c>
      <c r="J8301" s="34" t="s">
        <v>33</v>
      </c>
      <c r="K8301" s="42">
        <v>1500</v>
      </c>
      <c r="L8301" s="12">
        <f t="shared" ref="L8301" si="832">IF(J8301="P",ROUNDUP(K8301/(1-Q8301),-2),K8301*(1+P8301)/(1-Q8301))</f>
        <v>3000</v>
      </c>
      <c r="M8301" s="8">
        <v>1</v>
      </c>
      <c r="N8301" s="8" t="s">
        <v>27</v>
      </c>
      <c r="O8301" s="13"/>
      <c r="P8301" s="14">
        <v>0</v>
      </c>
      <c r="Q8301" s="15">
        <v>0.5</v>
      </c>
      <c r="R8301" s="16" t="str">
        <f t="shared" ref="R8301" si="833">A8301</f>
        <v>GENERAL</v>
      </c>
      <c r="S8301" s="17"/>
      <c r="T8301" s="10">
        <f t="shared" ref="T8301" si="834">G8301</f>
        <v>0</v>
      </c>
    </row>
    <row r="8302" spans="1:20" ht="27" customHeight="1" x14ac:dyDescent="0.25">
      <c r="A8302" s="32" t="s">
        <v>13391</v>
      </c>
      <c r="H8302" s="32" t="s">
        <v>16962</v>
      </c>
      <c r="I8302" s="33" t="s">
        <v>16963</v>
      </c>
      <c r="J8302" s="34" t="s">
        <v>33</v>
      </c>
      <c r="K8302" s="42">
        <v>2000000</v>
      </c>
      <c r="L8302" s="12">
        <f t="shared" ref="L8302" si="835">IF(J8302="P",ROUNDUP(K8302/(1-Q8302),-2),K8302*(1+P8302)/(1-Q8302))</f>
        <v>2857200</v>
      </c>
      <c r="M8302" s="8">
        <v>1</v>
      </c>
      <c r="N8302" s="8" t="s">
        <v>27</v>
      </c>
      <c r="O8302" s="13"/>
      <c r="P8302" s="14">
        <v>0</v>
      </c>
      <c r="Q8302" s="15">
        <v>0.3</v>
      </c>
      <c r="R8302" s="16" t="str">
        <f t="shared" ref="R8302" si="836">A8302</f>
        <v>COLORS</v>
      </c>
      <c r="S8302" s="17"/>
      <c r="T8302" s="10">
        <f t="shared" ref="T8302" si="837">G8302</f>
        <v>0</v>
      </c>
    </row>
    <row r="8303" spans="1:20" ht="27" customHeight="1" x14ac:dyDescent="0.25">
      <c r="A8303" s="32" t="s">
        <v>16970</v>
      </c>
      <c r="H8303" s="32" t="s">
        <v>16964</v>
      </c>
      <c r="I8303" s="33" t="s">
        <v>16967</v>
      </c>
      <c r="J8303" s="34" t="s">
        <v>33</v>
      </c>
      <c r="K8303" s="42">
        <v>5882</v>
      </c>
      <c r="L8303" s="12">
        <f t="shared" ref="L8303:L8305" si="838">IF(J8303="P",ROUNDUP(K8303/(1-Q8303),-2),K8303*(1+P8303)/(1-Q8303))</f>
        <v>8500</v>
      </c>
      <c r="M8303" s="8">
        <v>1</v>
      </c>
      <c r="N8303" s="8" t="s">
        <v>27</v>
      </c>
      <c r="O8303" s="13"/>
      <c r="P8303" s="14">
        <v>0</v>
      </c>
      <c r="Q8303" s="15">
        <v>0.3</v>
      </c>
      <c r="R8303" s="16" t="str">
        <f t="shared" ref="R8303:R8306" si="839">A8303</f>
        <v>VITTORIA</v>
      </c>
      <c r="S8303" s="17"/>
    </row>
    <row r="8304" spans="1:20" ht="27" customHeight="1" x14ac:dyDescent="0.25">
      <c r="A8304" s="32" t="s">
        <v>16970</v>
      </c>
      <c r="H8304" s="32" t="s">
        <v>16965</v>
      </c>
      <c r="I8304" s="33" t="s">
        <v>16968</v>
      </c>
      <c r="J8304" s="34" t="s">
        <v>33</v>
      </c>
      <c r="K8304" s="42">
        <v>8552</v>
      </c>
      <c r="L8304" s="12">
        <f t="shared" si="838"/>
        <v>12300</v>
      </c>
      <c r="M8304" s="8">
        <v>1</v>
      </c>
      <c r="N8304" s="8" t="s">
        <v>27</v>
      </c>
      <c r="O8304" s="13"/>
      <c r="P8304" s="14">
        <v>0</v>
      </c>
      <c r="Q8304" s="15">
        <v>0.3</v>
      </c>
      <c r="R8304" s="16" t="str">
        <f t="shared" si="839"/>
        <v>VITTORIA</v>
      </c>
      <c r="S8304" s="17"/>
    </row>
    <row r="8305" spans="1:20" ht="27" customHeight="1" x14ac:dyDescent="0.25">
      <c r="A8305" s="32" t="s">
        <v>3611</v>
      </c>
      <c r="H8305" s="32" t="s">
        <v>16966</v>
      </c>
      <c r="I8305" s="38" t="s">
        <v>16969</v>
      </c>
      <c r="J8305" s="34" t="s">
        <v>33</v>
      </c>
      <c r="K8305" s="42">
        <v>123698</v>
      </c>
      <c r="L8305" s="12">
        <f t="shared" si="838"/>
        <v>176800</v>
      </c>
      <c r="M8305" s="8">
        <v>1</v>
      </c>
      <c r="N8305" s="8" t="s">
        <v>27</v>
      </c>
      <c r="O8305" s="13"/>
      <c r="P8305" s="14">
        <v>0</v>
      </c>
      <c r="Q8305" s="15">
        <v>0.3</v>
      </c>
      <c r="R8305" s="16" t="str">
        <f t="shared" si="839"/>
        <v>IDEA</v>
      </c>
      <c r="S8305" s="17"/>
    </row>
    <row r="8306" spans="1:20" ht="27" customHeight="1" x14ac:dyDescent="0.25">
      <c r="A8306" s="32" t="s">
        <v>10258</v>
      </c>
      <c r="H8306" s="8" t="s">
        <v>16971</v>
      </c>
      <c r="I8306" s="33" t="s">
        <v>16972</v>
      </c>
      <c r="J8306" s="34" t="s">
        <v>26</v>
      </c>
      <c r="K8306" s="20">
        <v>18</v>
      </c>
      <c r="L8306" s="12">
        <f t="shared" ref="L8306" si="840">K8306*(1+P8306)/(1-Q8306)</f>
        <v>42</v>
      </c>
      <c r="M8306" s="8">
        <v>1</v>
      </c>
      <c r="N8306" s="8" t="s">
        <v>27</v>
      </c>
      <c r="O8306" s="13"/>
      <c r="P8306" s="14">
        <v>0.4</v>
      </c>
      <c r="Q8306" s="15">
        <v>0.4</v>
      </c>
      <c r="R8306" s="16" t="str">
        <f t="shared" si="839"/>
        <v>SC_POWER</v>
      </c>
      <c r="S8306" s="52" t="str">
        <f t="shared" ref="S8306" si="841">A8306</f>
        <v>SC_POWER</v>
      </c>
      <c r="T8306">
        <f>14*1.3/0.75</f>
        <v>24.266666666666666</v>
      </c>
    </row>
    <row r="8307" spans="1:20" ht="27" customHeight="1" x14ac:dyDescent="0.25">
      <c r="A8307" s="32" t="s">
        <v>6917</v>
      </c>
      <c r="H8307" s="32" t="s">
        <v>16973</v>
      </c>
      <c r="I8307" s="33" t="s">
        <v>11853</v>
      </c>
      <c r="J8307" s="34" t="s">
        <v>33</v>
      </c>
      <c r="K8307" s="42">
        <v>318000</v>
      </c>
      <c r="L8307" s="12">
        <f t="shared" ref="L8307" si="842">K8307*(1+P8307)/(1-Q8307)</f>
        <v>530000</v>
      </c>
      <c r="M8307" s="8">
        <v>1</v>
      </c>
      <c r="N8307" s="8" t="s">
        <v>27</v>
      </c>
      <c r="O8307" s="13"/>
      <c r="P8307" s="14">
        <v>0</v>
      </c>
      <c r="Q8307" s="15">
        <v>0.4</v>
      </c>
      <c r="R8307" s="16" t="str">
        <f t="shared" ref="R8307" si="843">A8307</f>
        <v>MICRONET</v>
      </c>
      <c r="S8307" s="52" t="str">
        <f t="shared" ref="S8307" si="844">A8307</f>
        <v>MICRONET</v>
      </c>
    </row>
    <row r="8308" spans="1:20" ht="27" customHeight="1" x14ac:dyDescent="0.25">
      <c r="A8308" s="32" t="s">
        <v>3694</v>
      </c>
      <c r="H8308" s="32" t="s">
        <v>16974</v>
      </c>
      <c r="I8308" s="33" t="s">
        <v>16975</v>
      </c>
      <c r="J8308" s="34" t="s">
        <v>33</v>
      </c>
      <c r="K8308" s="42">
        <v>324000</v>
      </c>
      <c r="L8308" s="12">
        <f t="shared" ref="L8308" si="845">K8308*(1+P8308)/(1-Q8308)</f>
        <v>540000</v>
      </c>
      <c r="M8308" s="8">
        <v>1</v>
      </c>
      <c r="N8308" s="8" t="s">
        <v>27</v>
      </c>
      <c r="O8308" s="13"/>
      <c r="P8308" s="14">
        <v>0</v>
      </c>
      <c r="Q8308" s="15">
        <v>0.4</v>
      </c>
      <c r="R8308" s="16" t="str">
        <f t="shared" ref="R8308" si="846">A8308</f>
        <v>IMOU</v>
      </c>
      <c r="S8308" s="52" t="str">
        <f t="shared" ref="S8308" si="847">A8308</f>
        <v>IMOU</v>
      </c>
    </row>
    <row r="8309" spans="1:20" ht="27" customHeight="1" x14ac:dyDescent="0.25">
      <c r="A8309" s="32" t="s">
        <v>9426</v>
      </c>
      <c r="H8309" s="32" t="s">
        <v>16976</v>
      </c>
      <c r="I8309" s="33" t="s">
        <v>16977</v>
      </c>
      <c r="J8309" s="34" t="s">
        <v>33</v>
      </c>
      <c r="K8309" s="42">
        <v>12500</v>
      </c>
      <c r="L8309" s="12">
        <f t="shared" ref="L8309" si="848">K8309*(1+P8309)/(1-Q8309)</f>
        <v>20833.333333333336</v>
      </c>
      <c r="M8309" s="8">
        <v>1</v>
      </c>
      <c r="N8309" s="8" t="s">
        <v>27</v>
      </c>
      <c r="O8309" s="13"/>
      <c r="P8309" s="14">
        <v>0</v>
      </c>
      <c r="Q8309" s="15">
        <v>0.4</v>
      </c>
      <c r="R8309" s="16" t="str">
        <f t="shared" ref="R8309" si="849">A8309</f>
        <v>UNIVERSAL</v>
      </c>
      <c r="S8309" s="52" t="str">
        <f t="shared" ref="S8309" si="850">A8309</f>
        <v>UNIVERSAL</v>
      </c>
    </row>
    <row r="8310" spans="1:20" ht="27" customHeight="1" x14ac:dyDescent="0.25">
      <c r="A8310" s="32" t="s">
        <v>2512</v>
      </c>
      <c r="H8310" s="32" t="s">
        <v>16978</v>
      </c>
      <c r="I8310" s="33" t="s">
        <v>16979</v>
      </c>
      <c r="J8310" s="34" t="s">
        <v>33</v>
      </c>
      <c r="K8310" s="42">
        <v>118800</v>
      </c>
      <c r="L8310" s="12">
        <f t="shared" ref="L8310" si="851">K8310*(1+P8310)/(1-Q8310)</f>
        <v>198000</v>
      </c>
      <c r="M8310" s="8">
        <v>1</v>
      </c>
      <c r="N8310" s="8" t="s">
        <v>27</v>
      </c>
      <c r="O8310" s="13"/>
      <c r="P8310" s="14">
        <v>0</v>
      </c>
      <c r="Q8310" s="15">
        <v>0.4</v>
      </c>
      <c r="R8310" s="16" t="str">
        <f t="shared" ref="R8310" si="852">A8310</f>
        <v>GENERAL</v>
      </c>
      <c r="S8310" s="52" t="str">
        <f t="shared" ref="S8310" si="853">A8310</f>
        <v>GENERAL</v>
      </c>
    </row>
    <row r="8311" spans="1:20" ht="27" customHeight="1" x14ac:dyDescent="0.25">
      <c r="A8311" s="32" t="s">
        <v>16982</v>
      </c>
      <c r="H8311" s="32" t="s">
        <v>16980</v>
      </c>
      <c r="I8311" s="33" t="s">
        <v>16981</v>
      </c>
      <c r="J8311" s="34" t="s">
        <v>33</v>
      </c>
      <c r="K8311" s="42">
        <v>177292</v>
      </c>
      <c r="L8311" s="12">
        <f t="shared" ref="L8311" si="854">K8311*(1+P8311)/(1-Q8311)</f>
        <v>253274.28571428574</v>
      </c>
      <c r="M8311" s="8">
        <v>1</v>
      </c>
      <c r="N8311" s="8" t="s">
        <v>27</v>
      </c>
      <c r="O8311" s="13"/>
      <c r="P8311" s="14">
        <v>0</v>
      </c>
      <c r="Q8311" s="15">
        <v>0.3</v>
      </c>
      <c r="R8311" s="16" t="str">
        <f t="shared" ref="R8311:R8312" si="855">A8311</f>
        <v>CONSTRULITA</v>
      </c>
      <c r="S8311" s="52" t="str">
        <f t="shared" ref="S8311:S8316" si="856">A8311</f>
        <v>CONSTRULITA</v>
      </c>
    </row>
    <row r="8312" spans="1:20" ht="27" customHeight="1" x14ac:dyDescent="0.25">
      <c r="A8312" s="8" t="s">
        <v>8308</v>
      </c>
      <c r="B8312" s="9"/>
      <c r="C8312" s="9"/>
      <c r="D8312" s="8"/>
      <c r="E8312" s="8"/>
      <c r="F8312" s="8"/>
      <c r="G8312" s="10"/>
      <c r="H8312" s="8" t="s">
        <v>16983</v>
      </c>
      <c r="I8312" s="10" t="s">
        <v>16984</v>
      </c>
      <c r="J8312" s="11" t="s">
        <v>33</v>
      </c>
      <c r="K8312" s="18">
        <v>4999999</v>
      </c>
      <c r="L8312" s="12">
        <f t="shared" ref="L8312:L8323" si="857">K8312*(1+P8312)/(1-Q8312)</f>
        <v>8333331.666666667</v>
      </c>
      <c r="M8312" s="8">
        <v>1</v>
      </c>
      <c r="N8312" s="8" t="s">
        <v>27</v>
      </c>
      <c r="O8312" s="13"/>
      <c r="P8312" s="14">
        <v>0</v>
      </c>
      <c r="Q8312" s="15">
        <v>0.4</v>
      </c>
      <c r="R8312" s="16" t="str">
        <f t="shared" si="855"/>
        <v>SOLIDVIEW</v>
      </c>
      <c r="S8312" s="52" t="str">
        <f t="shared" si="856"/>
        <v>SOLIDVIEW</v>
      </c>
      <c r="T8312" s="10"/>
    </row>
    <row r="8313" spans="1:20" ht="27" customHeight="1" x14ac:dyDescent="0.25">
      <c r="A8313" s="32" t="s">
        <v>15683</v>
      </c>
      <c r="H8313" s="32" t="s">
        <v>16985</v>
      </c>
      <c r="I8313" s="33" t="s">
        <v>16986</v>
      </c>
      <c r="J8313" s="34" t="s">
        <v>33</v>
      </c>
      <c r="K8313" s="42">
        <v>670000</v>
      </c>
      <c r="L8313" s="12">
        <f t="shared" si="857"/>
        <v>957142.85714285716</v>
      </c>
      <c r="M8313" s="8">
        <v>1</v>
      </c>
      <c r="N8313" s="8" t="s">
        <v>27</v>
      </c>
      <c r="O8313" s="13"/>
      <c r="P8313" s="14">
        <v>0</v>
      </c>
      <c r="Q8313" s="15">
        <v>0.3</v>
      </c>
      <c r="R8313" s="16" t="str">
        <f t="shared" ref="R8313:R8314" si="858">A8313</f>
        <v>LEDC4</v>
      </c>
      <c r="S8313" s="52" t="str">
        <f t="shared" si="856"/>
        <v>LEDC4</v>
      </c>
      <c r="T8313" s="10"/>
    </row>
    <row r="8314" spans="1:20" ht="27" customHeight="1" x14ac:dyDescent="0.25">
      <c r="A8314" s="32" t="s">
        <v>4994</v>
      </c>
      <c r="H8314" s="32" t="s">
        <v>16988</v>
      </c>
      <c r="I8314" s="33" t="s">
        <v>16987</v>
      </c>
      <c r="J8314" s="34" t="s">
        <v>33</v>
      </c>
      <c r="K8314" s="42">
        <v>650000</v>
      </c>
      <c r="L8314" s="12">
        <f t="shared" si="857"/>
        <v>928571.42857142864</v>
      </c>
      <c r="M8314" s="8">
        <v>1</v>
      </c>
      <c r="N8314" s="8" t="s">
        <v>27</v>
      </c>
      <c r="O8314" s="13"/>
      <c r="P8314" s="14">
        <v>0</v>
      </c>
      <c r="Q8314" s="15">
        <v>0.3</v>
      </c>
      <c r="R8314" s="16" t="str">
        <f t="shared" si="858"/>
        <v>LAMP</v>
      </c>
      <c r="S8314" s="52" t="str">
        <f t="shared" si="856"/>
        <v>LAMP</v>
      </c>
      <c r="T8314" s="10"/>
    </row>
    <row r="8315" spans="1:20" ht="27" customHeight="1" x14ac:dyDescent="0.25">
      <c r="A8315" s="32" t="s">
        <v>15683</v>
      </c>
      <c r="H8315" s="32" t="s">
        <v>16989</v>
      </c>
      <c r="I8315" s="33" t="s">
        <v>16990</v>
      </c>
      <c r="J8315" s="34" t="s">
        <v>33</v>
      </c>
      <c r="K8315" s="42">
        <v>218000</v>
      </c>
      <c r="L8315" s="12">
        <f t="shared" si="857"/>
        <v>311428.57142857142</v>
      </c>
      <c r="M8315" s="8">
        <v>1</v>
      </c>
      <c r="N8315" s="8" t="s">
        <v>27</v>
      </c>
      <c r="O8315" s="13"/>
      <c r="P8315" s="14">
        <v>0</v>
      </c>
      <c r="Q8315" s="15">
        <v>0.3</v>
      </c>
      <c r="R8315" s="16" t="str">
        <f t="shared" ref="R8315:R8316" si="859">A8315</f>
        <v>LEDC4</v>
      </c>
      <c r="S8315" s="52" t="str">
        <f t="shared" si="856"/>
        <v>LEDC4</v>
      </c>
    </row>
    <row r="8316" spans="1:20" ht="27" customHeight="1" x14ac:dyDescent="0.25">
      <c r="A8316" s="32" t="s">
        <v>15683</v>
      </c>
      <c r="H8316" s="32" t="s">
        <v>16992</v>
      </c>
      <c r="I8316" s="38" t="s">
        <v>16991</v>
      </c>
      <c r="J8316" s="34" t="s">
        <v>33</v>
      </c>
      <c r="K8316" s="42">
        <v>670800</v>
      </c>
      <c r="L8316" s="12">
        <f t="shared" si="857"/>
        <v>958285.71428571432</v>
      </c>
      <c r="M8316" s="8">
        <v>1</v>
      </c>
      <c r="N8316" s="8" t="s">
        <v>27</v>
      </c>
      <c r="O8316" s="13"/>
      <c r="P8316" s="14">
        <v>0</v>
      </c>
      <c r="Q8316" s="15">
        <v>0.3</v>
      </c>
      <c r="R8316" s="16" t="str">
        <f t="shared" si="859"/>
        <v>LEDC4</v>
      </c>
      <c r="S8316" s="52" t="str">
        <f t="shared" si="856"/>
        <v>LEDC4</v>
      </c>
    </row>
    <row r="8317" spans="1:20" ht="27" customHeight="1" x14ac:dyDescent="0.25">
      <c r="A8317" s="32" t="s">
        <v>15683</v>
      </c>
      <c r="H8317" s="32" t="s">
        <v>16993</v>
      </c>
      <c r="I8317" s="33" t="s">
        <v>16994</v>
      </c>
      <c r="J8317" s="34" t="s">
        <v>33</v>
      </c>
      <c r="K8317" s="42">
        <v>649800</v>
      </c>
      <c r="L8317" s="12">
        <f t="shared" si="857"/>
        <v>928285.71428571432</v>
      </c>
      <c r="M8317" s="8">
        <v>1</v>
      </c>
      <c r="N8317" s="8" t="s">
        <v>27</v>
      </c>
      <c r="O8317" s="13"/>
      <c r="P8317" s="14">
        <v>0</v>
      </c>
      <c r="Q8317" s="15">
        <v>0.3</v>
      </c>
      <c r="R8317" s="16" t="str">
        <f t="shared" ref="R8317" si="860">A8317</f>
        <v>LEDC4</v>
      </c>
      <c r="S8317" s="52" t="str">
        <f t="shared" ref="S8317" si="861">A8317</f>
        <v>LEDC4</v>
      </c>
    </row>
    <row r="8318" spans="1:20" ht="27" customHeight="1" x14ac:dyDescent="0.25">
      <c r="A8318" s="32" t="s">
        <v>1867</v>
      </c>
      <c r="H8318" s="32" t="s">
        <v>16995</v>
      </c>
      <c r="I8318" s="33" t="s">
        <v>16996</v>
      </c>
      <c r="J8318" s="34" t="s">
        <v>26</v>
      </c>
      <c r="K8318" s="42">
        <v>309</v>
      </c>
      <c r="L8318" s="12">
        <f t="shared" si="857"/>
        <v>441.42857142857144</v>
      </c>
      <c r="M8318" s="8">
        <v>1</v>
      </c>
      <c r="N8318" s="8" t="s">
        <v>27</v>
      </c>
      <c r="O8318" s="13"/>
      <c r="P8318" s="14">
        <v>0</v>
      </c>
      <c r="Q8318" s="15">
        <v>0.3</v>
      </c>
      <c r="R8318" s="16" t="str">
        <f t="shared" ref="R8318" si="862">A8318</f>
        <v>DENON</v>
      </c>
      <c r="S8318" s="52" t="str">
        <f t="shared" ref="S8318" si="863">A8318</f>
        <v>DENON</v>
      </c>
    </row>
    <row r="8319" spans="1:20" ht="27" customHeight="1" x14ac:dyDescent="0.25">
      <c r="A8319" s="32" t="s">
        <v>781</v>
      </c>
      <c r="H8319" s="32" t="s">
        <v>16997</v>
      </c>
      <c r="I8319" s="38" t="s">
        <v>16998</v>
      </c>
      <c r="J8319" s="34" t="s">
        <v>33</v>
      </c>
      <c r="K8319" s="42">
        <v>1298000</v>
      </c>
      <c r="L8319" s="12">
        <f t="shared" si="857"/>
        <v>1854285.7142857143</v>
      </c>
      <c r="M8319" s="8">
        <v>1</v>
      </c>
      <c r="N8319" s="8" t="s">
        <v>27</v>
      </c>
      <c r="O8319" s="13"/>
      <c r="P8319" s="14">
        <v>0</v>
      </c>
      <c r="Q8319" s="15">
        <v>0.3</v>
      </c>
      <c r="R8319" s="16" t="str">
        <f t="shared" ref="R8319:R8320" si="864">A8319</f>
        <v>BENQ</v>
      </c>
      <c r="S8319" s="52" t="str">
        <f t="shared" ref="S8319" si="865">A8319</f>
        <v>BENQ</v>
      </c>
    </row>
    <row r="8320" spans="1:20" ht="27" customHeight="1" x14ac:dyDescent="0.25">
      <c r="A8320" s="32" t="s">
        <v>5672</v>
      </c>
      <c r="H8320" s="44" t="s">
        <v>15459</v>
      </c>
      <c r="I8320" s="33" t="s">
        <v>15460</v>
      </c>
      <c r="J8320" s="34" t="s">
        <v>26</v>
      </c>
      <c r="K8320" s="42">
        <v>36.18</v>
      </c>
      <c r="L8320" s="12">
        <f t="shared" si="857"/>
        <v>72.36</v>
      </c>
      <c r="M8320" s="8">
        <v>1</v>
      </c>
      <c r="N8320" s="8" t="s">
        <v>27</v>
      </c>
      <c r="O8320" s="13"/>
      <c r="P8320" s="14">
        <v>0.2</v>
      </c>
      <c r="Q8320" s="15">
        <v>0.4</v>
      </c>
      <c r="R8320" s="40" t="str">
        <f t="shared" si="864"/>
        <v>LUTRON</v>
      </c>
    </row>
    <row r="8321" spans="1:23" ht="27" customHeight="1" x14ac:dyDescent="0.25">
      <c r="A8321" s="32" t="s">
        <v>5672</v>
      </c>
      <c r="H8321" s="32" t="s">
        <v>16999</v>
      </c>
      <c r="I8321" s="33" t="s">
        <v>17000</v>
      </c>
      <c r="J8321" s="34" t="s">
        <v>26</v>
      </c>
      <c r="K8321" s="42">
        <v>57.2</v>
      </c>
      <c r="L8321" s="12">
        <f t="shared" si="857"/>
        <v>104.00000000000001</v>
      </c>
      <c r="M8321" s="8">
        <v>1</v>
      </c>
      <c r="N8321" s="8" t="s">
        <v>27</v>
      </c>
      <c r="O8321" s="13"/>
      <c r="P8321" s="14">
        <v>0.2</v>
      </c>
      <c r="Q8321" s="15">
        <v>0.34</v>
      </c>
      <c r="R8321" s="40" t="str">
        <f t="shared" ref="R8321" si="866">A8321</f>
        <v>LUTRON</v>
      </c>
    </row>
    <row r="8322" spans="1:23" ht="27" customHeight="1" x14ac:dyDescent="0.25">
      <c r="A8322" s="32" t="s">
        <v>8308</v>
      </c>
      <c r="H8322" s="32" t="s">
        <v>17002</v>
      </c>
      <c r="I8322" s="38" t="s">
        <v>17001</v>
      </c>
      <c r="J8322" s="34" t="s">
        <v>33</v>
      </c>
      <c r="K8322" s="42">
        <v>697700</v>
      </c>
      <c r="L8322" s="12">
        <f t="shared" si="857"/>
        <v>1057121.2121212122</v>
      </c>
      <c r="M8322" s="8">
        <v>1</v>
      </c>
      <c r="N8322" s="8" t="s">
        <v>27</v>
      </c>
      <c r="O8322" s="13"/>
      <c r="P8322" s="14">
        <v>0</v>
      </c>
      <c r="Q8322" s="15">
        <v>0.34</v>
      </c>
      <c r="R8322" s="40" t="str">
        <f t="shared" ref="R8322" si="867">A8322</f>
        <v>SOLIDVIEW</v>
      </c>
    </row>
    <row r="8323" spans="1:23" ht="27" customHeight="1" x14ac:dyDescent="0.25">
      <c r="A8323" s="32" t="s">
        <v>2512</v>
      </c>
      <c r="H8323" s="32" t="s">
        <v>17004</v>
      </c>
      <c r="I8323" s="33" t="s">
        <v>17003</v>
      </c>
      <c r="J8323" s="34" t="s">
        <v>33</v>
      </c>
      <c r="K8323" s="42">
        <v>100000</v>
      </c>
      <c r="L8323" s="12">
        <f t="shared" si="857"/>
        <v>151515.15151515152</v>
      </c>
      <c r="M8323" s="8">
        <v>1</v>
      </c>
      <c r="N8323" s="8" t="s">
        <v>27</v>
      </c>
      <c r="O8323" s="13"/>
      <c r="P8323" s="14">
        <v>0</v>
      </c>
      <c r="Q8323" s="15">
        <v>0.34</v>
      </c>
      <c r="R8323" s="40" t="str">
        <f t="shared" ref="R8323:R8324" si="868">A8323</f>
        <v>GENERAL</v>
      </c>
    </row>
    <row r="8324" spans="1:23" ht="27" customHeight="1" x14ac:dyDescent="0.25">
      <c r="A8324" s="8" t="s">
        <v>2124</v>
      </c>
      <c r="B8324" s="9"/>
      <c r="C8324" s="9"/>
      <c r="D8324" s="8"/>
      <c r="E8324" s="8"/>
      <c r="F8324" s="8" t="s">
        <v>22</v>
      </c>
      <c r="G8324" s="10" t="s">
        <v>2141</v>
      </c>
      <c r="H8324" s="8" t="s">
        <v>17005</v>
      </c>
      <c r="I8324" s="10" t="s">
        <v>17006</v>
      </c>
      <c r="J8324" s="11" t="s">
        <v>33</v>
      </c>
      <c r="K8324" s="18">
        <v>565000</v>
      </c>
      <c r="L8324" s="12">
        <f t="shared" ref="L8324" si="869">IF(J8324="P",ROUNDUP(K8324/(1-Q8324),-2),K8324*(1+P8324)/(1-Q8324))</f>
        <v>807200</v>
      </c>
      <c r="M8324" s="8">
        <v>1</v>
      </c>
      <c r="N8324" s="8" t="s">
        <v>27</v>
      </c>
      <c r="O8324" s="13"/>
      <c r="P8324" s="14">
        <v>0</v>
      </c>
      <c r="Q8324" s="15">
        <v>0.3</v>
      </c>
      <c r="R8324" s="16" t="str">
        <f t="shared" si="868"/>
        <v>ECOLUZ</v>
      </c>
    </row>
    <row r="8325" spans="1:23" ht="27" customHeight="1" x14ac:dyDescent="0.25">
      <c r="A8325" s="76" t="s">
        <v>2297</v>
      </c>
      <c r="B8325" s="76"/>
      <c r="C8325" s="76"/>
      <c r="D8325" s="76"/>
      <c r="E8325" s="76"/>
      <c r="F8325" s="76"/>
      <c r="G8325" s="76"/>
      <c r="H8325" s="76" t="s">
        <v>17007</v>
      </c>
      <c r="I8325" s="33" t="s">
        <v>17008</v>
      </c>
      <c r="J8325" s="34" t="s">
        <v>33</v>
      </c>
      <c r="K8325" s="77">
        <v>2160934</v>
      </c>
      <c r="L8325" s="12">
        <f t="shared" ref="L8325" si="870">IF(J8325="P",ROUNDUP(K8325/(1-Q8325),-2),K8325*(1+P8325)/(1-Q8325))</f>
        <v>3087100</v>
      </c>
      <c r="M8325" s="8">
        <v>1</v>
      </c>
      <c r="N8325" s="8" t="s">
        <v>27</v>
      </c>
      <c r="O8325" s="78"/>
      <c r="P8325" s="14">
        <v>0</v>
      </c>
      <c r="Q8325" s="15">
        <v>0.3</v>
      </c>
      <c r="R8325" s="16" t="str">
        <f t="shared" ref="R8325" si="871">A8325</f>
        <v>EPSON</v>
      </c>
      <c r="S8325" s="76"/>
      <c r="T8325" s="76"/>
      <c r="U8325" s="76"/>
      <c r="V8325" s="76"/>
    </row>
    <row r="8326" spans="1:23" ht="27" customHeight="1" x14ac:dyDescent="0.25">
      <c r="A8326" s="32" t="s">
        <v>2095</v>
      </c>
      <c r="B8326" s="76"/>
      <c r="C8326" s="76"/>
      <c r="D8326" s="76"/>
      <c r="E8326" s="76"/>
      <c r="F8326" s="76"/>
      <c r="G8326" s="76"/>
      <c r="H8326" s="32" t="s">
        <v>17010</v>
      </c>
      <c r="I8326" s="33" t="s">
        <v>17009</v>
      </c>
      <c r="J8326" s="34" t="s">
        <v>33</v>
      </c>
      <c r="K8326" s="77">
        <v>203446</v>
      </c>
      <c r="L8326" s="12">
        <f t="shared" ref="L8326" si="872">IF(J8326="P",ROUNDUP(K8326/(1-Q8326),-2),K8326*(1+P8326)/(1-Q8326))</f>
        <v>231200</v>
      </c>
      <c r="M8326" s="8">
        <v>1</v>
      </c>
      <c r="N8326" s="8" t="s">
        <v>27</v>
      </c>
      <c r="O8326" s="78"/>
      <c r="P8326" s="14">
        <v>0</v>
      </c>
      <c r="Q8326" s="15">
        <v>0.12</v>
      </c>
      <c r="R8326" s="16" t="str">
        <f t="shared" ref="R8326" si="873">A8326</f>
        <v>ECOLITE</v>
      </c>
      <c r="S8326" s="76"/>
      <c r="T8326" s="76"/>
      <c r="U8326" s="76"/>
      <c r="V8326" s="76"/>
    </row>
    <row r="8327" spans="1:23" ht="27" customHeight="1" x14ac:dyDescent="0.25">
      <c r="A8327" s="32" t="s">
        <v>2095</v>
      </c>
      <c r="B8327" s="76"/>
      <c r="C8327" s="76"/>
      <c r="D8327" s="76"/>
      <c r="E8327" s="76"/>
      <c r="F8327" s="76"/>
      <c r="G8327" s="76"/>
      <c r="H8327" s="32" t="s">
        <v>13171</v>
      </c>
      <c r="I8327" s="33" t="s">
        <v>17011</v>
      </c>
      <c r="J8327" s="34" t="s">
        <v>33</v>
      </c>
      <c r="K8327" s="77">
        <v>130480</v>
      </c>
      <c r="L8327" s="12">
        <f t="shared" ref="L8327" si="874">IF(J8327="P",ROUNDUP(K8327/(1-Q8327),-2),K8327*(1+P8327)/(1-Q8327))</f>
        <v>148300</v>
      </c>
      <c r="M8327" s="8">
        <v>1</v>
      </c>
      <c r="N8327" s="8" t="s">
        <v>27</v>
      </c>
      <c r="O8327" s="78"/>
      <c r="P8327" s="14">
        <v>0</v>
      </c>
      <c r="Q8327" s="15">
        <v>0.12</v>
      </c>
      <c r="R8327" s="16" t="str">
        <f t="shared" ref="R8327" si="875">A8327</f>
        <v>ECOLITE</v>
      </c>
      <c r="S8327" s="76"/>
      <c r="T8327" s="76"/>
      <c r="U8327" s="76"/>
      <c r="V8327" s="76"/>
    </row>
    <row r="8328" spans="1:23" ht="27" customHeight="1" x14ac:dyDescent="0.25">
      <c r="A8328" s="32" t="s">
        <v>2095</v>
      </c>
      <c r="B8328" s="76"/>
      <c r="C8328" s="76"/>
      <c r="D8328" s="76"/>
      <c r="E8328" s="76"/>
      <c r="F8328" s="76"/>
      <c r="G8328" s="76"/>
      <c r="H8328" s="32" t="s">
        <v>13171</v>
      </c>
      <c r="I8328" s="33" t="s">
        <v>17012</v>
      </c>
      <c r="J8328" s="34" t="s">
        <v>33</v>
      </c>
      <c r="K8328" s="77">
        <v>90860</v>
      </c>
      <c r="L8328" s="12">
        <f t="shared" ref="L8328" si="876">IF(J8328="P",ROUNDUP(K8328/(1-Q8328),-2),K8328*(1+P8328)/(1-Q8328))</f>
        <v>103300</v>
      </c>
      <c r="M8328" s="8">
        <v>1</v>
      </c>
      <c r="N8328" s="8" t="s">
        <v>27</v>
      </c>
      <c r="O8328" s="78"/>
      <c r="P8328" s="14">
        <v>0</v>
      </c>
      <c r="Q8328" s="15">
        <v>0.12</v>
      </c>
      <c r="R8328" s="16" t="str">
        <f t="shared" ref="R8328" si="877">A8328</f>
        <v>ECOLITE</v>
      </c>
      <c r="S8328" s="76"/>
      <c r="T8328" s="76"/>
      <c r="U8328" s="76"/>
      <c r="V8328" s="76"/>
    </row>
    <row r="8329" spans="1:23" ht="27" customHeight="1" x14ac:dyDescent="0.25">
      <c r="A8329" s="32" t="s">
        <v>2095</v>
      </c>
      <c r="B8329" s="76"/>
      <c r="C8329" s="76"/>
      <c r="D8329" s="76"/>
      <c r="E8329" s="76"/>
      <c r="F8329" s="76"/>
      <c r="G8329" s="76"/>
      <c r="H8329" s="32" t="s">
        <v>13168</v>
      </c>
      <c r="I8329" s="33" t="s">
        <v>17013</v>
      </c>
      <c r="J8329" s="34" t="s">
        <v>33</v>
      </c>
      <c r="K8329" s="77">
        <v>56000</v>
      </c>
      <c r="L8329" s="12">
        <f t="shared" ref="L8329" si="878">IF(J8329="P",ROUNDUP(K8329/(1-Q8329),-2),K8329*(1+P8329)/(1-Q8329))</f>
        <v>65900</v>
      </c>
      <c r="M8329" s="8">
        <v>1</v>
      </c>
      <c r="N8329" s="8" t="s">
        <v>27</v>
      </c>
      <c r="O8329" s="78"/>
      <c r="P8329" s="14">
        <v>0</v>
      </c>
      <c r="Q8329" s="15">
        <v>0.15</v>
      </c>
      <c r="R8329" s="16" t="str">
        <f t="shared" ref="R8329:R8332" si="879">A8329</f>
        <v>ECOLITE</v>
      </c>
      <c r="S8329" s="76"/>
      <c r="T8329" s="76"/>
      <c r="U8329" s="76"/>
      <c r="V8329" s="76"/>
    </row>
    <row r="8330" spans="1:23" ht="27" customHeight="1" x14ac:dyDescent="0.25">
      <c r="A8330" s="32" t="s">
        <v>2095</v>
      </c>
      <c r="B8330" s="76"/>
      <c r="C8330" s="76"/>
      <c r="D8330" s="76"/>
      <c r="E8330" s="76"/>
      <c r="F8330" s="76"/>
      <c r="G8330" s="76"/>
      <c r="H8330" s="32" t="s">
        <v>17015</v>
      </c>
      <c r="I8330" s="33" t="s">
        <v>17014</v>
      </c>
      <c r="J8330" s="34" t="s">
        <v>33</v>
      </c>
      <c r="K8330" s="77">
        <v>76900</v>
      </c>
      <c r="L8330" s="12">
        <f t="shared" ref="L8330" si="880">IF(J8330="P",ROUNDUP(K8330/(1-Q8330),-2),K8330*(1+P8330)/(1-Q8330))</f>
        <v>90500</v>
      </c>
      <c r="M8330" s="8">
        <v>1</v>
      </c>
      <c r="N8330" s="8" t="s">
        <v>27</v>
      </c>
      <c r="O8330" s="78"/>
      <c r="P8330" s="14">
        <v>0</v>
      </c>
      <c r="Q8330" s="15">
        <v>0.15</v>
      </c>
      <c r="R8330" s="16" t="str">
        <f t="shared" si="879"/>
        <v>ECOLITE</v>
      </c>
      <c r="S8330" s="8"/>
      <c r="T8330" s="8"/>
      <c r="U8330" s="78"/>
      <c r="V8330" s="14"/>
      <c r="W8330" s="15"/>
    </row>
    <row r="8331" spans="1:23" ht="27" customHeight="1" x14ac:dyDescent="0.25">
      <c r="A8331" s="32" t="s">
        <v>2095</v>
      </c>
      <c r="B8331" s="76"/>
      <c r="C8331" s="76"/>
      <c r="D8331" s="76"/>
      <c r="E8331" s="76"/>
      <c r="F8331" s="76"/>
      <c r="G8331" s="76"/>
      <c r="H8331" s="32" t="s">
        <v>13145</v>
      </c>
      <c r="I8331" s="33" t="s">
        <v>17016</v>
      </c>
      <c r="J8331" s="34" t="s">
        <v>33</v>
      </c>
      <c r="K8331" s="77">
        <v>22300</v>
      </c>
      <c r="L8331" s="12">
        <f t="shared" ref="L8331:L8332" si="881">IF(J8331="P",ROUNDUP(K8331/(1-Q8331),-2),K8331*(1+P8331)/(1-Q8331))</f>
        <v>26300</v>
      </c>
      <c r="M8331" s="8">
        <v>1</v>
      </c>
      <c r="N8331" s="8" t="s">
        <v>27</v>
      </c>
      <c r="O8331" s="78"/>
      <c r="P8331" s="14">
        <v>0</v>
      </c>
      <c r="Q8331" s="15">
        <v>0.15</v>
      </c>
      <c r="R8331" s="16" t="str">
        <f t="shared" si="879"/>
        <v>ECOLITE</v>
      </c>
      <c r="S8331" s="76"/>
      <c r="T8331" s="76"/>
      <c r="U8331" s="76"/>
      <c r="V8331" s="76"/>
    </row>
    <row r="8332" spans="1:23" ht="27" customHeight="1" x14ac:dyDescent="0.25">
      <c r="A8332" s="32" t="s">
        <v>2095</v>
      </c>
      <c r="B8332" s="76"/>
      <c r="C8332" s="76"/>
      <c r="D8332" s="76"/>
      <c r="E8332" s="76"/>
      <c r="F8332" s="76"/>
      <c r="G8332" s="76"/>
      <c r="H8332" s="32" t="s">
        <v>13170</v>
      </c>
      <c r="I8332" s="33" t="s">
        <v>17017</v>
      </c>
      <c r="J8332" s="34" t="s">
        <v>33</v>
      </c>
      <c r="K8332" s="77">
        <v>22300</v>
      </c>
      <c r="L8332" s="12">
        <f t="shared" si="881"/>
        <v>26300</v>
      </c>
      <c r="M8332" s="8">
        <v>1</v>
      </c>
      <c r="N8332" s="8" t="s">
        <v>27</v>
      </c>
      <c r="O8332" s="78"/>
      <c r="P8332" s="14">
        <v>0</v>
      </c>
      <c r="Q8332" s="15">
        <v>0.15</v>
      </c>
      <c r="R8332" s="16" t="str">
        <f t="shared" si="879"/>
        <v>ECOLITE</v>
      </c>
      <c r="S8332" s="76"/>
      <c r="T8332" s="76"/>
      <c r="U8332" s="76"/>
      <c r="V8332" s="76"/>
    </row>
    <row r="8333" spans="1:23" ht="27" customHeight="1" x14ac:dyDescent="0.25">
      <c r="A8333" s="32" t="s">
        <v>3611</v>
      </c>
      <c r="H8333" s="32" t="s">
        <v>17018</v>
      </c>
      <c r="I8333" s="33" t="s">
        <v>17019</v>
      </c>
      <c r="J8333" s="34" t="s">
        <v>33</v>
      </c>
      <c r="K8333" s="42">
        <v>210150</v>
      </c>
      <c r="L8333" s="12">
        <f t="shared" ref="L8333" si="882">IF(J8333="P",ROUNDUP(K8333/(1-Q8333),-2),K8333*(1+P8333)/(1-Q8333))</f>
        <v>280200</v>
      </c>
      <c r="M8333" s="8">
        <v>1</v>
      </c>
      <c r="N8333" s="8" t="s">
        <v>27</v>
      </c>
      <c r="O8333" s="78"/>
      <c r="P8333" s="14">
        <v>0</v>
      </c>
      <c r="Q8333" s="15">
        <v>0.25</v>
      </c>
      <c r="R8333" s="16" t="str">
        <f t="shared" ref="R8333" si="883">A8333</f>
        <v>IDEA</v>
      </c>
      <c r="S8333" s="76"/>
      <c r="T8333" s="76"/>
    </row>
    <row r="8334" spans="1:23" ht="27" customHeight="1" x14ac:dyDescent="0.25">
      <c r="A8334" s="32" t="s">
        <v>6886</v>
      </c>
      <c r="H8334" s="32" t="s">
        <v>17020</v>
      </c>
      <c r="I8334" s="33" t="s">
        <v>17021</v>
      </c>
      <c r="J8334" s="34" t="s">
        <v>33</v>
      </c>
      <c r="K8334" s="42">
        <v>203362</v>
      </c>
      <c r="L8334" s="12">
        <f t="shared" ref="L8334" si="884">IF(J8334="P",ROUNDUP(K8334/(1-Q8334),-2),K8334*(1+P8334)/(1-Q8334))</f>
        <v>290600</v>
      </c>
      <c r="M8334" s="8">
        <v>1</v>
      </c>
      <c r="N8334" s="8" t="s">
        <v>27</v>
      </c>
      <c r="O8334" s="78"/>
      <c r="P8334" s="14">
        <v>0</v>
      </c>
      <c r="Q8334" s="15">
        <v>0.3</v>
      </c>
      <c r="R8334" s="16" t="str">
        <f t="shared" ref="R8334" si="885">A8334</f>
        <v>MEANWELL</v>
      </c>
    </row>
    <row r="8335" spans="1:23" ht="27" customHeight="1" x14ac:dyDescent="0.25">
      <c r="A8335" s="32" t="s">
        <v>7931</v>
      </c>
      <c r="H8335" s="32" t="s">
        <v>17023</v>
      </c>
      <c r="I8335" s="33" t="s">
        <v>17022</v>
      </c>
      <c r="J8335" s="34" t="s">
        <v>33</v>
      </c>
      <c r="K8335" s="42">
        <v>215000</v>
      </c>
      <c r="L8335" s="12">
        <f t="shared" ref="L8335:L8336" si="886">IF(J8335="P",ROUNDUP(K8335/(1-Q8335),-2),K8335*(1+P8335)/(1-Q8335))</f>
        <v>307200</v>
      </c>
      <c r="M8335" s="8">
        <v>1</v>
      </c>
      <c r="N8335" s="8" t="s">
        <v>27</v>
      </c>
      <c r="O8335" s="78"/>
      <c r="P8335" s="14">
        <v>0</v>
      </c>
      <c r="Q8335" s="15">
        <v>0.3</v>
      </c>
      <c r="R8335" s="16" t="str">
        <f t="shared" ref="R8335:R8336" si="887">A8335</f>
        <v>SYLVANIA</v>
      </c>
    </row>
    <row r="8336" spans="1:23" ht="27" customHeight="1" x14ac:dyDescent="0.25">
      <c r="A8336" s="23" t="s">
        <v>6886</v>
      </c>
      <c r="B8336" s="24"/>
      <c r="C8336" s="24"/>
      <c r="D8336" s="24"/>
      <c r="E8336" s="24"/>
      <c r="F8336" s="24"/>
      <c r="G8336" s="24"/>
      <c r="H8336" s="44" t="s">
        <v>17024</v>
      </c>
      <c r="I8336" s="60" t="s">
        <v>17025</v>
      </c>
      <c r="J8336" s="25" t="s">
        <v>33</v>
      </c>
      <c r="K8336" s="73">
        <v>108500</v>
      </c>
      <c r="L8336" s="12">
        <f t="shared" si="886"/>
        <v>180900</v>
      </c>
      <c r="M8336" s="8">
        <v>1</v>
      </c>
      <c r="N8336" s="8" t="s">
        <v>27</v>
      </c>
      <c r="O8336" s="13">
        <f t="shared" ref="O8336" si="888">F8336</f>
        <v>0</v>
      </c>
      <c r="P8336" s="14">
        <v>0</v>
      </c>
      <c r="Q8336" s="15">
        <v>0.4</v>
      </c>
      <c r="R8336" s="50" t="str">
        <f t="shared" si="887"/>
        <v>MEANWELL</v>
      </c>
      <c r="S8336" s="20"/>
    </row>
  </sheetData>
  <autoFilter ref="A1:Y8336" xr:uid="{00000000-0009-0000-0000-000000000000}">
    <sortState xmlns:xlrd2="http://schemas.microsoft.com/office/spreadsheetml/2017/richdata2" ref="A195:Y7494">
      <sortCondition descending="1" ref="A1:A7989"/>
    </sortState>
  </autoFilter>
  <dataValidations disablePrompts="1" count="1">
    <dataValidation type="custom" allowBlank="1" showInputMessage="1" showErrorMessage="1" errorTitle="ILLEGAL CHARACTER" error="&quot;  &quot;, ~, ^, {, }, |, *, `, °, ™, ®, and ” are illegal characters_x000a_" promptTitle="ILLEGAL CHARACTERS" prompt="&quot;  &quot;, ~, ^, {, }, |, *, `, °, ™, ®, and ” are illegal characters" sqref="H2066" xr:uid="{00000000-0002-0000-0000-000000000000}">
      <formula1>ISERR(FIND("  ",H2066))+ISERR(FIND("~",H2066))+ISERR(FIND("^",H2066))+ISERR(FIND("{",H2066))+ISERR(FIND("}",H2066))+ISERR(FIND("|",H2066))+ISERR(FIND("*",H2066))+ISERR(FIND("`",H2066))+ISERR(FIND("°",H2066))+ISERR(FIND("™",H2066))+ISERR(FIND("®",H2066)) +ISERR(FIND("”",H2066))=12</formula1>
    </dataValidation>
  </dataValidations>
  <hyperlinks>
    <hyperlink ref="A1" r:id="rId1" display="https://microcell.co/videoproyectores-epson/1969-video-proyector-epson-power-lite-1980wu-4-400-lumens-wuxga-19200x1200-1080p.html" xr:uid="{00000000-0004-0000-0000-000000000000}"/>
    <hyperlink ref="B1" r:id="rId2" display="https://microcell.co/videoproyectores-epson/1969-video-proyector-epson-power-lite-1980wu-4-400-lumens-wuxga-19200x1200-1080p.html" xr:uid="{00000000-0004-0000-0000-000001000000}"/>
    <hyperlink ref="C1" r:id="rId3" display="https://microcell.co/videoproyectores-epson/1969-video-proyector-epson-power-lite-1980wu-4-400-lumens-wuxga-19200x1200-1080p.html" xr:uid="{00000000-0004-0000-0000-000002000000}"/>
    <hyperlink ref="D1" r:id="rId4" display="https://microcell.co/videoproyectores-epson/1969-video-proyector-epson-power-lite-1980wu-4-400-lumens-wuxga-19200x1200-1080p.html" xr:uid="{00000000-0004-0000-0000-000003000000}"/>
    <hyperlink ref="E1" r:id="rId5" display="https://microcell.co/videoproyectores-epson/1969-video-proyector-epson-power-lite-1980wu-4-400-lumens-wuxga-19200x1200-1080p.html" xr:uid="{00000000-0004-0000-0000-000004000000}"/>
    <hyperlink ref="F1" r:id="rId6" display="https://microcell.co/videoproyectores-epson/1969-video-proyector-epson-power-lite-1980wu-4-400-lumens-wuxga-19200x1200-1080p.html" xr:uid="{00000000-0004-0000-0000-000005000000}"/>
    <hyperlink ref="G1" r:id="rId7" display="https://microcell.co/videoproyectores-epson/1969-video-proyector-epson-power-lite-1980wu-4-400-lumens-wuxga-19200x1200-1080p.html" xr:uid="{00000000-0004-0000-0000-000006000000}"/>
    <hyperlink ref="H1" r:id="rId8" display="https://microcell.co/videoproyectores-epson/1969-video-proyector-epson-power-lite-1980wu-4-400-lumens-wuxga-19200x1200-1080p.html" xr:uid="{00000000-0004-0000-0000-000007000000}"/>
    <hyperlink ref="I1" r:id="rId9" display="https://microcell.co/videoproyectores-epson/1969-video-proyector-epson-power-lite-1980wu-4-400-lumens-wuxga-19200x1200-1080p.html" xr:uid="{00000000-0004-0000-0000-000008000000}"/>
    <hyperlink ref="J1" r:id="rId10" display="https://microcell.co/videoproyectores-epson/1969-video-proyector-epson-power-lite-1980wu-4-400-lumens-wuxga-19200x1200-1080p.html" xr:uid="{00000000-0004-0000-0000-000009000000}"/>
    <hyperlink ref="K1" r:id="rId11" display="https://microcell.co/videoproyectores-epson/1969-video-proyector-epson-power-lite-1980wu-4-400-lumens-wuxga-19200x1200-1080p.html" xr:uid="{00000000-0004-0000-0000-00000A000000}"/>
    <hyperlink ref="L1" r:id="rId12" display="https://microcell.co/videoproyectores-epson/1969-video-proyector-epson-power-lite-1980wu-4-400-lumens-wuxga-19200x1200-1080p.html" xr:uid="{00000000-0004-0000-0000-00000B000000}"/>
    <hyperlink ref="M1" r:id="rId13" display="https://microcell.co/videoproyectores-epson/1969-video-proyector-epson-power-lite-1980wu-4-400-lumens-wuxga-19200x1200-1080p.html" xr:uid="{00000000-0004-0000-0000-00000C000000}"/>
    <hyperlink ref="N1" r:id="rId14" display="https://microcell.co/videoproyectores-epson/1969-video-proyector-epson-power-lite-1980wu-4-400-lumens-wuxga-19200x1200-1080p.html" xr:uid="{00000000-0004-0000-0000-00000D000000}"/>
    <hyperlink ref="S9" r:id="rId15" xr:uid="{00000000-0004-0000-0000-00000E000000}"/>
    <hyperlink ref="S14" r:id="rId16" xr:uid="{00000000-0004-0000-0000-00000F000000}"/>
    <hyperlink ref="O222" r:id="rId17" xr:uid="{00000000-0004-0000-0000-000011000000}"/>
    <hyperlink ref="O223" r:id="rId18" xr:uid="{00000000-0004-0000-0000-000012000000}"/>
    <hyperlink ref="O277" r:id="rId19" xr:uid="{00000000-0004-0000-0000-000013000000}"/>
    <hyperlink ref="O279" r:id="rId20" xr:uid="{00000000-0004-0000-0000-000014000000}"/>
    <hyperlink ref="S299" r:id="rId21" display="https://www.amazon.com/dp/B00ECUWKIO/ref=sr_1_12_sspa?__mk_es_US=%C3%85M%C3%85%C5%BD%C3%95%C3%91&amp;dchild=1&amp;keywords=3.5+to+fm&amp;qid=1625093837&amp;sr=8-12-spons&amp;psc=1&amp;smid=A1L6FVPAS5W33&amp;spLa=ZW5jcnlwdGVkUXVhbGlmaWVyPUEyTkZLMDhaUVhQNkJDJmVuY3J5cHRlZElkPUEwMDU2MjE0MTZHTloxUEYwUjYxRyZlbmNyeXB0ZWRBZElkPUEwNjU3NjA2MVBGOVM4VFVBRFc3NSZ3aWRnZXROYW1lPXNwX210ZiZhY3Rpb249Y2xpY2tSZWRpcmVjdCZkb05vdExvZ0NsaWNrPXRydWU=" xr:uid="{00000000-0004-0000-0000-000015000000}"/>
    <hyperlink ref="O332" r:id="rId22" xr:uid="{00000000-0004-0000-0000-000016000000}"/>
    <hyperlink ref="Q399" r:id="rId23" display="http://www.amazon.com/CNE41435-Decora-Insert-Stereo-Couplers/dp/B00IPZBXCG/ref=sr_1_4?ie=UTF8&amp;qid=1457981528&amp;sr=8-4&amp;keywords=rca+plate" xr:uid="{00000000-0004-0000-0000-000017000000}"/>
    <hyperlink ref="O454" r:id="rId24" xr:uid="{00000000-0004-0000-0000-000018000000}"/>
    <hyperlink ref="O455" r:id="rId25" xr:uid="{00000000-0004-0000-0000-000019000000}"/>
    <hyperlink ref="O456" r:id="rId26" xr:uid="{00000000-0004-0000-0000-00001A000000}"/>
    <hyperlink ref="O457" r:id="rId27" xr:uid="{00000000-0004-0000-0000-00001B000000}"/>
    <hyperlink ref="O484" r:id="rId28" xr:uid="{00000000-0004-0000-0000-00001C000000}"/>
    <hyperlink ref="O506" r:id="rId29" xr:uid="{00000000-0004-0000-0000-00001D000000}"/>
    <hyperlink ref="O513" r:id="rId30" xr:uid="{00000000-0004-0000-0000-00001E000000}"/>
    <hyperlink ref="O543" r:id="rId31" xr:uid="{00000000-0004-0000-0000-00001F000000}"/>
    <hyperlink ref="S640" r:id="rId32" display="https://es.aliexpress.com/item/33001741834.html?spm=a2g0o.productlist.0.0.6b0443324HbpFL&amp;algo_pvid=72334a79-574d-4bcb-a4e4-fc9578d0d9a9&amp;algo_expid=72334a79-574d-4bcb-a4e4-fc9578d0d9a9-17&amp;btsid=0ab6d69f15859309592238381e5c82&amp;ws_ab_test=searchweb0_0,searchweb201602_,searchweb201603_" xr:uid="{00000000-0004-0000-0000-000020000000}"/>
    <hyperlink ref="S692" r:id="rId33" xr:uid="{00000000-0004-0000-0000-000021000000}"/>
    <hyperlink ref="O735" r:id="rId34" xr:uid="{00000000-0004-0000-0000-000022000000}"/>
    <hyperlink ref="S766" r:id="rId35" location="feature-bullets-btf" xr:uid="{00000000-0004-0000-0000-000023000000}"/>
    <hyperlink ref="O809" r:id="rId36" xr:uid="{00000000-0004-0000-0000-000024000000}"/>
    <hyperlink ref="O831" r:id="rId37" xr:uid="{00000000-0004-0000-0000-000025000000}"/>
    <hyperlink ref="O858" r:id="rId38" xr:uid="{00000000-0004-0000-0000-000026000000}"/>
    <hyperlink ref="O880" r:id="rId39" xr:uid="{00000000-0004-0000-0000-000027000000}"/>
    <hyperlink ref="O881" r:id="rId40" xr:uid="{00000000-0004-0000-0000-000028000000}"/>
    <hyperlink ref="O882" r:id="rId41" xr:uid="{00000000-0004-0000-0000-000029000000}"/>
    <hyperlink ref="O883" r:id="rId42" xr:uid="{00000000-0004-0000-0000-00002A000000}"/>
    <hyperlink ref="O884" r:id="rId43" xr:uid="{00000000-0004-0000-0000-00002B000000}"/>
    <hyperlink ref="O912" r:id="rId44" xr:uid="{00000000-0004-0000-0000-00002C000000}"/>
    <hyperlink ref="R979" r:id="rId45" display="https://microcell.co/videoproyectores-epson/1969-video-proyector-epson-power-lite-1980wu-4-400-lumens-wuxga-19200x1200-1080p.html" xr:uid="{00000000-0004-0000-0000-00002D000000}"/>
    <hyperlink ref="O992" r:id="rId46" xr:uid="{00000000-0004-0000-0000-00002E000000}"/>
    <hyperlink ref="S995" r:id="rId47" display="https://www.amazon.com/-/es/eufy-interiores-compatibilidad-seguimiento-movimiento/dp/B0856W45VL/ref=sr_1_4?__mk_es_US=%C3%85M%C3%85%C5%BD%C3%95%C3%91&amp;dchild=1&amp;keywords=ptz+camera+track&amp;qid=1607602283&amp;refinements=p_72%3A1248879011%2Cp_n_feature_ten_browse-bin%3A21289011011&amp;rnid=21288994011&amp;s=photo&amp;sr=1-4" xr:uid="{00000000-0004-0000-0000-00002F000000}"/>
    <hyperlink ref="U996" r:id="rId48" location="position=2&amp;search_layout=stack&amp;type=item&amp;tracking_id=13c47741-b6b8-420b-a209-34aaba5b4013" xr:uid="{00000000-0004-0000-0000-000030000000}"/>
    <hyperlink ref="S1002" r:id="rId49" xr:uid="{00000000-0004-0000-0000-000031000000}"/>
    <hyperlink ref="S1026" r:id="rId50" xr:uid="{00000000-0004-0000-0000-000032000000}"/>
    <hyperlink ref="O1048" r:id="rId51" xr:uid="{00000000-0004-0000-0000-000033000000}"/>
    <hyperlink ref="S1211" r:id="rId52" xr:uid="{00000000-0004-0000-0000-000034000000}"/>
    <hyperlink ref="O1309" r:id="rId53" xr:uid="{00000000-0004-0000-0000-000035000000}"/>
    <hyperlink ref="O1310" r:id="rId54" xr:uid="{00000000-0004-0000-0000-000036000000}"/>
    <hyperlink ref="O1311" r:id="rId55" xr:uid="{00000000-0004-0000-0000-000037000000}"/>
    <hyperlink ref="O1312" r:id="rId56" xr:uid="{00000000-0004-0000-0000-000038000000}"/>
    <hyperlink ref="O1347" r:id="rId57" xr:uid="{00000000-0004-0000-0000-000039000000}"/>
    <hyperlink ref="O1348" r:id="rId58" xr:uid="{00000000-0004-0000-0000-00003A000000}"/>
    <hyperlink ref="O1349" r:id="rId59" xr:uid="{00000000-0004-0000-0000-00003B000000}"/>
    <hyperlink ref="O1350" r:id="rId60" xr:uid="{00000000-0004-0000-0000-00003C000000}"/>
    <hyperlink ref="U1378" r:id="rId61" xr:uid="{00000000-0004-0000-0000-00003D000000}"/>
    <hyperlink ref="O1390" r:id="rId62" xr:uid="{00000000-0004-0000-0000-00003E000000}"/>
    <hyperlink ref="O1391" r:id="rId63" xr:uid="{00000000-0004-0000-0000-00003F000000}"/>
    <hyperlink ref="S1413" r:id="rId64" location="position=1&amp;type=item&amp;tracking_id=7d5f3c12-bc14-4015-9c2a-dee5e6707054" xr:uid="{00000000-0004-0000-0000-000040000000}"/>
    <hyperlink ref="O1438" r:id="rId65" xr:uid="{00000000-0004-0000-0000-000041000000}"/>
    <hyperlink ref="O1439" r:id="rId66" xr:uid="{00000000-0004-0000-0000-000042000000}"/>
    <hyperlink ref="R1446" r:id="rId67" display="https://microcell.co/videoproyectores-epson/1969-video-proyector-epson-power-lite-1980wu-4-400-lumens-wuxga-19200x1200-1080p.html" xr:uid="{00000000-0004-0000-0000-000043000000}"/>
    <hyperlink ref="S1457" r:id="rId68" display="https://www.amazon.com/dp/B083GJVSTP/ref=sspa_dk_detail_2?psc=1&amp;pd_rd_i=B083GJVSTP&amp;pd_rd_w=iAcV0&amp;pf_rd_p=80360d1c-2d74-4d2e-9034-f92fb5248b33&amp;pd_rd_wg=lmxTJ&amp;pf_rd_r=G6E07380QCDW0HXV8T5Q&amp;pd_rd_r=d73aadaa-8fb8-4d2b-9e34-842a69cdb5bb&amp;spLa=ZW5jcnlwdGVkUXVhbGlmaWVyPUFENVFJTTdLVklFUzcmZW5jcnlwdGVkSWQ9QTAxMTYxOTQzSzdCTEpZUDdQUEFXJmVuY3J5cHRlZEFkSWQ9QTA0ODI1NDMzT0pFU1NIVjVIVkJNJndpZGdldE5hbWU9c3BfZGV0YWlsJmFjdGlvbj1jbGlja1JlZGlyZWN0JmRvTm90TG9nQ2xpY2s9dHJ1ZQ==" xr:uid="{00000000-0004-0000-0000-000044000000}"/>
    <hyperlink ref="O1477" r:id="rId69" xr:uid="{00000000-0004-0000-0000-000045000000}"/>
    <hyperlink ref="O1478" r:id="rId70" xr:uid="{00000000-0004-0000-0000-000046000000}"/>
    <hyperlink ref="O1479" r:id="rId71" xr:uid="{00000000-0004-0000-0000-000047000000}"/>
    <hyperlink ref="S1489" r:id="rId72" xr:uid="{00000000-0004-0000-0000-000048000000}"/>
    <hyperlink ref="O1524" r:id="rId73" xr:uid="{00000000-0004-0000-0000-000049000000}"/>
    <hyperlink ref="S1535" r:id="rId74" xr:uid="{00000000-0004-0000-0000-00004A000000}"/>
    <hyperlink ref="O1595" r:id="rId75" xr:uid="{00000000-0004-0000-0000-00004B000000}"/>
    <hyperlink ref="O1596" r:id="rId76" xr:uid="{00000000-0004-0000-0000-00004C000000}"/>
    <hyperlink ref="O1605" r:id="rId77" xr:uid="{00000000-0004-0000-0000-00004D000000}"/>
    <hyperlink ref="S1608" r:id="rId78" xr:uid="{00000000-0004-0000-0000-00004E000000}"/>
    <hyperlink ref="O1614" r:id="rId79" xr:uid="{00000000-0004-0000-0000-00004F000000}"/>
    <hyperlink ref="O1616" r:id="rId80" xr:uid="{00000000-0004-0000-0000-000050000000}"/>
    <hyperlink ref="O1617" r:id="rId81" xr:uid="{00000000-0004-0000-0000-000051000000}"/>
    <hyperlink ref="S1619" r:id="rId82" xr:uid="{00000000-0004-0000-0000-000052000000}"/>
    <hyperlink ref="O1620" r:id="rId83" xr:uid="{00000000-0004-0000-0000-000053000000}"/>
    <hyperlink ref="O1621" r:id="rId84" xr:uid="{00000000-0004-0000-0000-000054000000}"/>
    <hyperlink ref="S1646" r:id="rId85" xr:uid="{00000000-0004-0000-0000-000055000000}"/>
    <hyperlink ref="Q1673" r:id="rId86" display="http://articulo.mercadolibre.com.co/MCO-418410612-rack-gabinete-de-pared-telecomunicaciones-6-ur-_JM" xr:uid="{00000000-0004-0000-0000-000056000000}"/>
    <hyperlink ref="S1682" r:id="rId87" xr:uid="{00000000-0004-0000-0000-000057000000}"/>
    <hyperlink ref="S1683" r:id="rId88" display="https://www.amazon.com/KERUI-Driveway-Infrared-Intelligent-surroundings/dp/B00NPVF9KM/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psc=1&amp;refRID=96ANBCAAFMMZPN6R7GKC" xr:uid="{00000000-0004-0000-0000-000058000000}"/>
    <hyperlink ref="S1684" r:id="rId89" display="https://www.amazon.com/KERUI-Driveway-Infrared-Intelligent-surroundings/dp/B00XJG8FTA/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refRID=96ANBCAAFMMZPN6R7GKC&amp;th=1" xr:uid="{00000000-0004-0000-0000-000059000000}"/>
    <hyperlink ref="S1685" r:id="rId90" display="https://www.amazon.com/KERUI-Driveway-Infrared-Intelligent-surroundings/dp/B071F4JDNW/ref=pd_bxgy_img_2?_encoding=UTF8&amp;pd_rd_i=B00NPVF9KM&amp;pd_rd_r=1416189f-e0a8-11e8-85e4-53c850831ceb&amp;pd_rd_w=HfhS7&amp;pd_rd_wg=jLA2E&amp;pf_rd_i=desktop-dp-sims&amp;pf_rd_m=ATVPDKIKX0DER&amp;pf_rd_p=6725dbd6-9917-451d-beba-16af7874e407&amp;pf_rd_r=96ANBCAAFMMZPN6R7GKC&amp;pf_rd_s=desktop-dp-sims&amp;pf_rd_t=40701&amp;refRID=96ANBCAAFMMZPN6R7GKC&amp;th=1" xr:uid="{00000000-0004-0000-0000-00005A000000}"/>
    <hyperlink ref="O1692" r:id="rId91" xr:uid="{00000000-0004-0000-0000-00005B000000}"/>
    <hyperlink ref="O1693" r:id="rId92" xr:uid="{00000000-0004-0000-0000-00005C000000}"/>
    <hyperlink ref="O1722" r:id="rId93" xr:uid="{00000000-0004-0000-0000-00005D000000}"/>
    <hyperlink ref="O1723" r:id="rId94" xr:uid="{00000000-0004-0000-0000-00005E000000}"/>
    <hyperlink ref="O1724" r:id="rId95" xr:uid="{00000000-0004-0000-0000-00005F000000}"/>
    <hyperlink ref="O1725" r:id="rId96" xr:uid="{00000000-0004-0000-0000-000060000000}"/>
    <hyperlink ref="O1726" r:id="rId97" xr:uid="{00000000-0004-0000-0000-000061000000}"/>
    <hyperlink ref="O1727" r:id="rId98" xr:uid="{00000000-0004-0000-0000-000062000000}"/>
    <hyperlink ref="O1728" r:id="rId99" xr:uid="{00000000-0004-0000-0000-000063000000}"/>
    <hyperlink ref="O1729" r:id="rId100" xr:uid="{00000000-0004-0000-0000-000064000000}"/>
    <hyperlink ref="O1730" r:id="rId101" xr:uid="{00000000-0004-0000-0000-000065000000}"/>
    <hyperlink ref="O1731" r:id="rId102" xr:uid="{00000000-0004-0000-0000-000066000000}"/>
    <hyperlink ref="O1732" r:id="rId103" xr:uid="{00000000-0004-0000-0000-000067000000}"/>
    <hyperlink ref="O1733" r:id="rId104" xr:uid="{00000000-0004-0000-0000-000068000000}"/>
    <hyperlink ref="O1737" r:id="rId105" xr:uid="{00000000-0004-0000-0000-000069000000}"/>
    <hyperlink ref="O1738" r:id="rId106" xr:uid="{00000000-0004-0000-0000-00006A000000}"/>
    <hyperlink ref="O1739" r:id="rId107" xr:uid="{00000000-0004-0000-0000-00006B000000}"/>
    <hyperlink ref="O1740" r:id="rId108" xr:uid="{00000000-0004-0000-0000-00006C000000}"/>
    <hyperlink ref="O1742" r:id="rId109" xr:uid="{00000000-0004-0000-0000-00006D000000}"/>
    <hyperlink ref="O1743" r:id="rId110" xr:uid="{00000000-0004-0000-0000-00006E000000}"/>
    <hyperlink ref="O1744" r:id="rId111" xr:uid="{00000000-0004-0000-0000-00006F000000}"/>
    <hyperlink ref="O1745" r:id="rId112" xr:uid="{00000000-0004-0000-0000-000070000000}"/>
    <hyperlink ref="O1746" r:id="rId113" xr:uid="{00000000-0004-0000-0000-000071000000}"/>
    <hyperlink ref="O1747" r:id="rId114" xr:uid="{00000000-0004-0000-0000-000072000000}"/>
    <hyperlink ref="O1748" r:id="rId115" xr:uid="{00000000-0004-0000-0000-000073000000}"/>
    <hyperlink ref="O1749" r:id="rId116" xr:uid="{00000000-0004-0000-0000-000074000000}"/>
    <hyperlink ref="O1750" r:id="rId117" xr:uid="{00000000-0004-0000-0000-000075000000}"/>
    <hyperlink ref="O1751" r:id="rId118" xr:uid="{00000000-0004-0000-0000-000076000000}"/>
    <hyperlink ref="O1752" r:id="rId119" xr:uid="{00000000-0004-0000-0000-000077000000}"/>
    <hyperlink ref="O1753" r:id="rId120" xr:uid="{00000000-0004-0000-0000-000078000000}"/>
    <hyperlink ref="O1754" r:id="rId121" xr:uid="{00000000-0004-0000-0000-000079000000}"/>
    <hyperlink ref="O1755" r:id="rId122" xr:uid="{00000000-0004-0000-0000-00007A000000}"/>
    <hyperlink ref="O1756" r:id="rId123" xr:uid="{00000000-0004-0000-0000-00007B000000}"/>
    <hyperlink ref="O1757" r:id="rId124" xr:uid="{00000000-0004-0000-0000-00007C000000}"/>
    <hyperlink ref="O1758" r:id="rId125" xr:uid="{00000000-0004-0000-0000-00007D000000}"/>
    <hyperlink ref="O1759" r:id="rId126" xr:uid="{00000000-0004-0000-0000-00007E000000}"/>
    <hyperlink ref="O1760" r:id="rId127" xr:uid="{00000000-0004-0000-0000-00007F000000}"/>
    <hyperlink ref="O1761" r:id="rId128" xr:uid="{00000000-0004-0000-0000-000080000000}"/>
    <hyperlink ref="O1762" r:id="rId129" xr:uid="{00000000-0004-0000-0000-000081000000}"/>
    <hyperlink ref="O1763" r:id="rId130" xr:uid="{00000000-0004-0000-0000-000082000000}"/>
    <hyperlink ref="O1764" r:id="rId131" xr:uid="{00000000-0004-0000-0000-000083000000}"/>
    <hyperlink ref="O1765" r:id="rId132" xr:uid="{00000000-0004-0000-0000-000084000000}"/>
    <hyperlink ref="O1766" r:id="rId133" xr:uid="{00000000-0004-0000-0000-000085000000}"/>
    <hyperlink ref="O1767" r:id="rId134" xr:uid="{00000000-0004-0000-0000-000086000000}"/>
    <hyperlink ref="O1768" r:id="rId135" xr:uid="{00000000-0004-0000-0000-000087000000}"/>
    <hyperlink ref="O1769" r:id="rId136" xr:uid="{00000000-0004-0000-0000-000088000000}"/>
    <hyperlink ref="O1770" r:id="rId137" xr:uid="{00000000-0004-0000-0000-000089000000}"/>
    <hyperlink ref="O1771" r:id="rId138" xr:uid="{00000000-0004-0000-0000-00008A000000}"/>
    <hyperlink ref="O1772" r:id="rId139" xr:uid="{00000000-0004-0000-0000-00008B000000}"/>
    <hyperlink ref="O1773" r:id="rId140" xr:uid="{00000000-0004-0000-0000-00008C000000}"/>
    <hyperlink ref="O1774" r:id="rId141" xr:uid="{00000000-0004-0000-0000-00008D000000}"/>
    <hyperlink ref="O1775" r:id="rId142" xr:uid="{00000000-0004-0000-0000-00008E000000}"/>
    <hyperlink ref="O1776" r:id="rId143" xr:uid="{00000000-0004-0000-0000-00008F000000}"/>
    <hyperlink ref="O1777" r:id="rId144" xr:uid="{00000000-0004-0000-0000-000090000000}"/>
    <hyperlink ref="O1778" r:id="rId145" xr:uid="{00000000-0004-0000-0000-000091000000}"/>
    <hyperlink ref="O1779" r:id="rId146" xr:uid="{00000000-0004-0000-0000-000092000000}"/>
    <hyperlink ref="O1780" r:id="rId147" xr:uid="{00000000-0004-0000-0000-000093000000}"/>
    <hyperlink ref="O1781" r:id="rId148" xr:uid="{00000000-0004-0000-0000-000094000000}"/>
    <hyperlink ref="O1782" r:id="rId149" xr:uid="{00000000-0004-0000-0000-000095000000}"/>
    <hyperlink ref="O1783" r:id="rId150" xr:uid="{00000000-0004-0000-0000-000096000000}"/>
    <hyperlink ref="O1784" r:id="rId151" xr:uid="{00000000-0004-0000-0000-000097000000}"/>
    <hyperlink ref="O1785" r:id="rId152" xr:uid="{00000000-0004-0000-0000-000098000000}"/>
    <hyperlink ref="O1786" r:id="rId153" xr:uid="{00000000-0004-0000-0000-000099000000}"/>
    <hyperlink ref="O1787" r:id="rId154" xr:uid="{00000000-0004-0000-0000-00009A000000}"/>
    <hyperlink ref="O1788" r:id="rId155" xr:uid="{00000000-0004-0000-0000-00009B000000}"/>
    <hyperlink ref="O1789" r:id="rId156" xr:uid="{00000000-0004-0000-0000-00009C000000}"/>
    <hyperlink ref="O1790" r:id="rId157" xr:uid="{00000000-0004-0000-0000-00009D000000}"/>
    <hyperlink ref="O1791" r:id="rId158" xr:uid="{00000000-0004-0000-0000-00009E000000}"/>
    <hyperlink ref="O1792" r:id="rId159" xr:uid="{00000000-0004-0000-0000-00009F000000}"/>
    <hyperlink ref="O1793" r:id="rId160" xr:uid="{00000000-0004-0000-0000-0000A0000000}"/>
    <hyperlink ref="O1794" r:id="rId161" xr:uid="{00000000-0004-0000-0000-0000A1000000}"/>
    <hyperlink ref="O1795" r:id="rId162" xr:uid="{00000000-0004-0000-0000-0000A2000000}"/>
    <hyperlink ref="O1796" r:id="rId163" xr:uid="{00000000-0004-0000-0000-0000A3000000}"/>
    <hyperlink ref="O1797" r:id="rId164" xr:uid="{00000000-0004-0000-0000-0000A4000000}"/>
    <hyperlink ref="O1798" r:id="rId165" xr:uid="{00000000-0004-0000-0000-0000A5000000}"/>
    <hyperlink ref="O1799" r:id="rId166" xr:uid="{00000000-0004-0000-0000-0000A6000000}"/>
    <hyperlink ref="O1800" r:id="rId167" xr:uid="{00000000-0004-0000-0000-0000A7000000}"/>
    <hyperlink ref="O1801" r:id="rId168" xr:uid="{00000000-0004-0000-0000-0000A8000000}"/>
    <hyperlink ref="O1802" r:id="rId169" xr:uid="{00000000-0004-0000-0000-0000A9000000}"/>
    <hyperlink ref="O1803" r:id="rId170" xr:uid="{00000000-0004-0000-0000-0000AA000000}"/>
    <hyperlink ref="O1804" r:id="rId171" xr:uid="{00000000-0004-0000-0000-0000AB000000}"/>
    <hyperlink ref="O1805" r:id="rId172" xr:uid="{00000000-0004-0000-0000-0000AC000000}"/>
    <hyperlink ref="O1806" r:id="rId173" xr:uid="{00000000-0004-0000-0000-0000AD000000}"/>
    <hyperlink ref="O1807" r:id="rId174" xr:uid="{00000000-0004-0000-0000-0000AE000000}"/>
    <hyperlink ref="O1808" r:id="rId175" xr:uid="{00000000-0004-0000-0000-0000AF000000}"/>
    <hyperlink ref="O1809" r:id="rId176" xr:uid="{00000000-0004-0000-0000-0000B0000000}"/>
    <hyperlink ref="O1810" r:id="rId177" xr:uid="{00000000-0004-0000-0000-0000B1000000}"/>
    <hyperlink ref="O1811" r:id="rId178" xr:uid="{00000000-0004-0000-0000-0000B2000000}"/>
    <hyperlink ref="O1812" r:id="rId179" xr:uid="{00000000-0004-0000-0000-0000B3000000}"/>
    <hyperlink ref="O1813" r:id="rId180" xr:uid="{00000000-0004-0000-0000-0000B4000000}"/>
    <hyperlink ref="O1814" r:id="rId181" xr:uid="{00000000-0004-0000-0000-0000B5000000}"/>
    <hyperlink ref="O1815" r:id="rId182" xr:uid="{00000000-0004-0000-0000-0000B6000000}"/>
    <hyperlink ref="O1816" r:id="rId183" xr:uid="{00000000-0004-0000-0000-0000B7000000}"/>
    <hyperlink ref="O1817" r:id="rId184" xr:uid="{00000000-0004-0000-0000-0000B8000000}"/>
    <hyperlink ref="O1818" r:id="rId185" xr:uid="{00000000-0004-0000-0000-0000B9000000}"/>
    <hyperlink ref="O1819" r:id="rId186" xr:uid="{00000000-0004-0000-0000-0000BA000000}"/>
    <hyperlink ref="O1820" r:id="rId187" xr:uid="{00000000-0004-0000-0000-0000BB000000}"/>
    <hyperlink ref="O1821" r:id="rId188" xr:uid="{00000000-0004-0000-0000-0000BC000000}"/>
    <hyperlink ref="O1822" r:id="rId189" xr:uid="{00000000-0004-0000-0000-0000BD000000}"/>
    <hyperlink ref="O1823" r:id="rId190" xr:uid="{00000000-0004-0000-0000-0000BE000000}"/>
    <hyperlink ref="O1824" r:id="rId191" xr:uid="{00000000-0004-0000-0000-0000BF000000}"/>
    <hyperlink ref="O1825" r:id="rId192" xr:uid="{00000000-0004-0000-0000-0000C0000000}"/>
    <hyperlink ref="O1826" r:id="rId193" xr:uid="{00000000-0004-0000-0000-0000C1000000}"/>
    <hyperlink ref="O1827" r:id="rId194" xr:uid="{00000000-0004-0000-0000-0000C2000000}"/>
    <hyperlink ref="O1828" r:id="rId195" xr:uid="{00000000-0004-0000-0000-0000C3000000}"/>
    <hyperlink ref="O1829" r:id="rId196" xr:uid="{00000000-0004-0000-0000-0000C4000000}"/>
    <hyperlink ref="O1830" r:id="rId197" xr:uid="{00000000-0004-0000-0000-0000C5000000}"/>
    <hyperlink ref="O1831" r:id="rId198" xr:uid="{00000000-0004-0000-0000-0000C6000000}"/>
    <hyperlink ref="O1832" r:id="rId199" xr:uid="{00000000-0004-0000-0000-0000C7000000}"/>
    <hyperlink ref="O1833" r:id="rId200" xr:uid="{00000000-0004-0000-0000-0000C8000000}"/>
    <hyperlink ref="O1834" r:id="rId201" xr:uid="{00000000-0004-0000-0000-0000C9000000}"/>
    <hyperlink ref="O1835" r:id="rId202" xr:uid="{00000000-0004-0000-0000-0000CA000000}"/>
    <hyperlink ref="O1836" r:id="rId203" xr:uid="{00000000-0004-0000-0000-0000CB000000}"/>
    <hyperlink ref="O1837" r:id="rId204" xr:uid="{00000000-0004-0000-0000-0000CC000000}"/>
    <hyperlink ref="O1838" r:id="rId205" xr:uid="{00000000-0004-0000-0000-0000CD000000}"/>
    <hyperlink ref="O1839" r:id="rId206" xr:uid="{00000000-0004-0000-0000-0000CE000000}"/>
    <hyperlink ref="O1840" r:id="rId207" xr:uid="{00000000-0004-0000-0000-0000CF000000}"/>
    <hyperlink ref="O1841" r:id="rId208" xr:uid="{00000000-0004-0000-0000-0000D0000000}"/>
    <hyperlink ref="O1842" r:id="rId209" xr:uid="{00000000-0004-0000-0000-0000D1000000}"/>
    <hyperlink ref="O1843" r:id="rId210" xr:uid="{00000000-0004-0000-0000-0000D2000000}"/>
    <hyperlink ref="O1844" r:id="rId211" xr:uid="{00000000-0004-0000-0000-0000D3000000}"/>
    <hyperlink ref="O1845" r:id="rId212" xr:uid="{00000000-0004-0000-0000-0000D4000000}"/>
    <hyperlink ref="O1846" r:id="rId213" xr:uid="{00000000-0004-0000-0000-0000D5000000}"/>
    <hyperlink ref="O1847" r:id="rId214" xr:uid="{00000000-0004-0000-0000-0000D6000000}"/>
    <hyperlink ref="O1848" r:id="rId215" xr:uid="{00000000-0004-0000-0000-0000D7000000}"/>
    <hyperlink ref="O1849" r:id="rId216" xr:uid="{00000000-0004-0000-0000-0000D8000000}"/>
    <hyperlink ref="O1850" r:id="rId217" xr:uid="{00000000-0004-0000-0000-0000D9000000}"/>
    <hyperlink ref="O1851" r:id="rId218" xr:uid="{00000000-0004-0000-0000-0000DA000000}"/>
    <hyperlink ref="O1852" r:id="rId219" xr:uid="{00000000-0004-0000-0000-0000DB000000}"/>
    <hyperlink ref="O1853" r:id="rId220" xr:uid="{00000000-0004-0000-0000-0000DC000000}"/>
    <hyperlink ref="O1854" r:id="rId221" xr:uid="{00000000-0004-0000-0000-0000DD000000}"/>
    <hyperlink ref="O1855" r:id="rId222" xr:uid="{00000000-0004-0000-0000-0000DE000000}"/>
    <hyperlink ref="O1856" r:id="rId223" xr:uid="{00000000-0004-0000-0000-0000DF000000}"/>
    <hyperlink ref="O1857" r:id="rId224" xr:uid="{00000000-0004-0000-0000-0000E0000000}"/>
    <hyperlink ref="O1858" r:id="rId225" xr:uid="{00000000-0004-0000-0000-0000E1000000}"/>
    <hyperlink ref="O1859" r:id="rId226" xr:uid="{00000000-0004-0000-0000-0000E2000000}"/>
    <hyperlink ref="O1860" r:id="rId227" xr:uid="{00000000-0004-0000-0000-0000E3000000}"/>
    <hyperlink ref="O1861" r:id="rId228" xr:uid="{00000000-0004-0000-0000-0000E4000000}"/>
    <hyperlink ref="O1862" r:id="rId229" xr:uid="{00000000-0004-0000-0000-0000E5000000}"/>
    <hyperlink ref="O1863" r:id="rId230" xr:uid="{00000000-0004-0000-0000-0000E6000000}"/>
    <hyperlink ref="O1864" r:id="rId231" xr:uid="{00000000-0004-0000-0000-0000E7000000}"/>
    <hyperlink ref="O1865" r:id="rId232" xr:uid="{00000000-0004-0000-0000-0000E8000000}"/>
    <hyperlink ref="O1866" r:id="rId233" xr:uid="{00000000-0004-0000-0000-0000E9000000}"/>
    <hyperlink ref="O1867" r:id="rId234" xr:uid="{00000000-0004-0000-0000-0000EA000000}"/>
    <hyperlink ref="O1868" r:id="rId235" xr:uid="{00000000-0004-0000-0000-0000EB000000}"/>
    <hyperlink ref="O1869" r:id="rId236" xr:uid="{00000000-0004-0000-0000-0000EC000000}"/>
    <hyperlink ref="O1870" r:id="rId237" xr:uid="{00000000-0004-0000-0000-0000ED000000}"/>
    <hyperlink ref="O1871" r:id="rId238" xr:uid="{00000000-0004-0000-0000-0000EE000000}"/>
    <hyperlink ref="O1872" r:id="rId239" xr:uid="{00000000-0004-0000-0000-0000EF000000}"/>
    <hyperlink ref="O1873" r:id="rId240" xr:uid="{00000000-0004-0000-0000-0000F0000000}"/>
    <hyperlink ref="O1874" r:id="rId241" xr:uid="{00000000-0004-0000-0000-0000F1000000}"/>
    <hyperlink ref="O1875" r:id="rId242" xr:uid="{00000000-0004-0000-0000-0000F2000000}"/>
    <hyperlink ref="O1876" r:id="rId243" xr:uid="{00000000-0004-0000-0000-0000F3000000}"/>
    <hyperlink ref="O1877" r:id="rId244" xr:uid="{00000000-0004-0000-0000-0000F4000000}"/>
    <hyperlink ref="O1878" r:id="rId245" xr:uid="{00000000-0004-0000-0000-0000F5000000}"/>
    <hyperlink ref="O1879" r:id="rId246" xr:uid="{00000000-0004-0000-0000-0000F6000000}"/>
    <hyperlink ref="O1880" r:id="rId247" xr:uid="{00000000-0004-0000-0000-0000F7000000}"/>
    <hyperlink ref="O1881" r:id="rId248" xr:uid="{00000000-0004-0000-0000-0000F8000000}"/>
    <hyperlink ref="O1882" r:id="rId249" xr:uid="{00000000-0004-0000-0000-0000F9000000}"/>
    <hyperlink ref="O1883" r:id="rId250" xr:uid="{00000000-0004-0000-0000-0000FA000000}"/>
    <hyperlink ref="O1884" r:id="rId251" xr:uid="{00000000-0004-0000-0000-0000FB000000}"/>
    <hyperlink ref="O1885" r:id="rId252" xr:uid="{00000000-0004-0000-0000-0000FC000000}"/>
    <hyperlink ref="O1886" r:id="rId253" xr:uid="{00000000-0004-0000-0000-0000FD000000}"/>
    <hyperlink ref="O1887" r:id="rId254" xr:uid="{00000000-0004-0000-0000-0000FE000000}"/>
    <hyperlink ref="O1888" r:id="rId255" xr:uid="{00000000-0004-0000-0000-0000FF000000}"/>
    <hyperlink ref="O1889" r:id="rId256" xr:uid="{00000000-0004-0000-0000-000000010000}"/>
    <hyperlink ref="O1890" r:id="rId257" xr:uid="{00000000-0004-0000-0000-000001010000}"/>
    <hyperlink ref="O1891" r:id="rId258" xr:uid="{00000000-0004-0000-0000-000002010000}"/>
    <hyperlink ref="O1892" r:id="rId259" xr:uid="{00000000-0004-0000-0000-000003010000}"/>
    <hyperlink ref="O1893" r:id="rId260" xr:uid="{00000000-0004-0000-0000-000004010000}"/>
    <hyperlink ref="O1894" r:id="rId261" xr:uid="{00000000-0004-0000-0000-000005010000}"/>
    <hyperlink ref="O1895" r:id="rId262" xr:uid="{00000000-0004-0000-0000-000006010000}"/>
    <hyperlink ref="O1896" r:id="rId263" xr:uid="{00000000-0004-0000-0000-000007010000}"/>
    <hyperlink ref="O1897" r:id="rId264" xr:uid="{00000000-0004-0000-0000-000008010000}"/>
    <hyperlink ref="O1916" r:id="rId265" xr:uid="{00000000-0004-0000-0000-000009010000}"/>
    <hyperlink ref="O1921" r:id="rId266" xr:uid="{00000000-0004-0000-0000-00000A010000}"/>
    <hyperlink ref="O1922" r:id="rId267" xr:uid="{00000000-0004-0000-0000-00000B010000}"/>
    <hyperlink ref="O1923" r:id="rId268" xr:uid="{00000000-0004-0000-0000-00000C010000}"/>
    <hyperlink ref="O1924" r:id="rId269" xr:uid="{00000000-0004-0000-0000-00000D010000}"/>
    <hyperlink ref="O1925" r:id="rId270" xr:uid="{00000000-0004-0000-0000-00000E010000}"/>
    <hyperlink ref="O1926" r:id="rId271" xr:uid="{00000000-0004-0000-0000-00000F010000}"/>
    <hyperlink ref="O1927" r:id="rId272" xr:uid="{00000000-0004-0000-0000-000010010000}"/>
    <hyperlink ref="O1928" r:id="rId273" xr:uid="{00000000-0004-0000-0000-000011010000}"/>
    <hyperlink ref="O1929" r:id="rId274" xr:uid="{00000000-0004-0000-0000-000012010000}"/>
    <hyperlink ref="O1930" r:id="rId275" xr:uid="{00000000-0004-0000-0000-000013010000}"/>
    <hyperlink ref="O1931" r:id="rId276" xr:uid="{00000000-0004-0000-0000-000014010000}"/>
    <hyperlink ref="O1932" r:id="rId277" xr:uid="{00000000-0004-0000-0000-000015010000}"/>
    <hyperlink ref="O1933" r:id="rId278" xr:uid="{00000000-0004-0000-0000-000016010000}"/>
    <hyperlink ref="O1934" r:id="rId279" xr:uid="{00000000-0004-0000-0000-000017010000}"/>
    <hyperlink ref="O1935" r:id="rId280" xr:uid="{00000000-0004-0000-0000-000018010000}"/>
    <hyperlink ref="O1936" r:id="rId281" xr:uid="{00000000-0004-0000-0000-000019010000}"/>
    <hyperlink ref="O1937" r:id="rId282" xr:uid="{00000000-0004-0000-0000-00001A010000}"/>
    <hyperlink ref="O1938" r:id="rId283" xr:uid="{00000000-0004-0000-0000-00001B010000}"/>
    <hyperlink ref="O1939" r:id="rId284" xr:uid="{00000000-0004-0000-0000-00001C010000}"/>
    <hyperlink ref="O1940" r:id="rId285" xr:uid="{00000000-0004-0000-0000-00001D010000}"/>
    <hyperlink ref="O1941" r:id="rId286" xr:uid="{00000000-0004-0000-0000-00001E010000}"/>
    <hyperlink ref="O1942" r:id="rId287" xr:uid="{00000000-0004-0000-0000-00001F010000}"/>
    <hyperlink ref="O1943" r:id="rId288" xr:uid="{00000000-0004-0000-0000-000020010000}"/>
    <hyperlink ref="O1944" r:id="rId289" xr:uid="{00000000-0004-0000-0000-000021010000}"/>
    <hyperlink ref="O1945" r:id="rId290" xr:uid="{00000000-0004-0000-0000-000022010000}"/>
    <hyperlink ref="O1946" r:id="rId291" xr:uid="{00000000-0004-0000-0000-000023010000}"/>
    <hyperlink ref="O1947" r:id="rId292" xr:uid="{00000000-0004-0000-0000-000024010000}"/>
    <hyperlink ref="O1948" r:id="rId293" xr:uid="{00000000-0004-0000-0000-000025010000}"/>
    <hyperlink ref="O1949" r:id="rId294" xr:uid="{00000000-0004-0000-0000-000026010000}"/>
    <hyperlink ref="O1950" r:id="rId295" xr:uid="{00000000-0004-0000-0000-000027010000}"/>
    <hyperlink ref="O1951" r:id="rId296" xr:uid="{00000000-0004-0000-0000-000028010000}"/>
    <hyperlink ref="O1952" r:id="rId297" xr:uid="{00000000-0004-0000-0000-000029010000}"/>
    <hyperlink ref="O1953" r:id="rId298" xr:uid="{00000000-0004-0000-0000-00002A010000}"/>
    <hyperlink ref="O1954" r:id="rId299" xr:uid="{00000000-0004-0000-0000-00002B010000}"/>
    <hyperlink ref="O1955" r:id="rId300" xr:uid="{00000000-0004-0000-0000-00002C010000}"/>
    <hyperlink ref="O1956" r:id="rId301" xr:uid="{00000000-0004-0000-0000-00002D010000}"/>
    <hyperlink ref="O1957" r:id="rId302" xr:uid="{00000000-0004-0000-0000-00002E010000}"/>
    <hyperlink ref="O1958" r:id="rId303" xr:uid="{00000000-0004-0000-0000-00002F010000}"/>
    <hyperlink ref="O1959" r:id="rId304" xr:uid="{00000000-0004-0000-0000-000030010000}"/>
    <hyperlink ref="O1960" r:id="rId305" xr:uid="{00000000-0004-0000-0000-000031010000}"/>
    <hyperlink ref="O1961" r:id="rId306" xr:uid="{00000000-0004-0000-0000-000032010000}"/>
    <hyperlink ref="O1962" r:id="rId307" xr:uid="{00000000-0004-0000-0000-000033010000}"/>
    <hyperlink ref="O1963" r:id="rId308" xr:uid="{00000000-0004-0000-0000-000034010000}"/>
    <hyperlink ref="O1964" r:id="rId309" xr:uid="{00000000-0004-0000-0000-000035010000}"/>
    <hyperlink ref="O1965" r:id="rId310" xr:uid="{00000000-0004-0000-0000-000036010000}"/>
    <hyperlink ref="O1966" r:id="rId311" xr:uid="{00000000-0004-0000-0000-000037010000}"/>
    <hyperlink ref="O1967" r:id="rId312" xr:uid="{00000000-0004-0000-0000-000038010000}"/>
    <hyperlink ref="O1968" r:id="rId313" xr:uid="{00000000-0004-0000-0000-000039010000}"/>
    <hyperlink ref="O1969" r:id="rId314" xr:uid="{00000000-0004-0000-0000-00003A010000}"/>
    <hyperlink ref="O1970" r:id="rId315" xr:uid="{00000000-0004-0000-0000-00003B010000}"/>
    <hyperlink ref="O1971" r:id="rId316" xr:uid="{00000000-0004-0000-0000-00003C010000}"/>
    <hyperlink ref="O1972" r:id="rId317" xr:uid="{00000000-0004-0000-0000-00003D010000}"/>
    <hyperlink ref="Q1984" r:id="rId318" xr:uid="{00000000-0004-0000-0000-00003E010000}"/>
    <hyperlink ref="Q1985" r:id="rId319" xr:uid="{00000000-0004-0000-0000-00003F010000}"/>
    <hyperlink ref="Q1987" r:id="rId320" xr:uid="{00000000-0004-0000-0000-000040010000}"/>
    <hyperlink ref="Q1988" r:id="rId321" xr:uid="{00000000-0004-0000-0000-000041010000}"/>
    <hyperlink ref="O1999" r:id="rId322" xr:uid="{00000000-0004-0000-0000-000042010000}"/>
    <hyperlink ref="O2000" r:id="rId323" xr:uid="{00000000-0004-0000-0000-000043010000}"/>
    <hyperlink ref="O2001" r:id="rId324" xr:uid="{00000000-0004-0000-0000-000044010000}"/>
    <hyperlink ref="O2002" r:id="rId325" xr:uid="{00000000-0004-0000-0000-000045010000}"/>
    <hyperlink ref="O2004" r:id="rId326" xr:uid="{00000000-0004-0000-0000-000046010000}"/>
    <hyperlink ref="O2005" r:id="rId327" xr:uid="{00000000-0004-0000-0000-000047010000}"/>
    <hyperlink ref="O2006" r:id="rId328" xr:uid="{00000000-0004-0000-0000-000048010000}"/>
    <hyperlink ref="O2007" r:id="rId329" xr:uid="{00000000-0004-0000-0000-000049010000}"/>
    <hyperlink ref="O2008" r:id="rId330" xr:uid="{00000000-0004-0000-0000-00004A010000}"/>
    <hyperlink ref="O2009" r:id="rId331" xr:uid="{00000000-0004-0000-0000-00004B010000}"/>
    <hyperlink ref="O2010" r:id="rId332" xr:uid="{00000000-0004-0000-0000-00004C010000}"/>
    <hyperlink ref="O2011" r:id="rId333" xr:uid="{00000000-0004-0000-0000-00004D010000}"/>
    <hyperlink ref="O2012" r:id="rId334" xr:uid="{00000000-0004-0000-0000-00004E010000}"/>
    <hyperlink ref="O2013" r:id="rId335" xr:uid="{00000000-0004-0000-0000-00004F010000}"/>
    <hyperlink ref="O2014" r:id="rId336" xr:uid="{00000000-0004-0000-0000-000050010000}"/>
    <hyperlink ref="O2015" r:id="rId337" xr:uid="{00000000-0004-0000-0000-000051010000}"/>
    <hyperlink ref="O2016" r:id="rId338" xr:uid="{00000000-0004-0000-0000-000052010000}"/>
    <hyperlink ref="O2017" r:id="rId339" xr:uid="{00000000-0004-0000-0000-000053010000}"/>
    <hyperlink ref="O2018" r:id="rId340" xr:uid="{00000000-0004-0000-0000-000054010000}"/>
    <hyperlink ref="O2019" r:id="rId341" xr:uid="{00000000-0004-0000-0000-000055010000}"/>
    <hyperlink ref="O2020" r:id="rId342" xr:uid="{00000000-0004-0000-0000-000056010000}"/>
    <hyperlink ref="O2021" r:id="rId343" xr:uid="{00000000-0004-0000-0000-000057010000}"/>
    <hyperlink ref="O2022" r:id="rId344" xr:uid="{00000000-0004-0000-0000-000058010000}"/>
    <hyperlink ref="O2023" r:id="rId345" xr:uid="{00000000-0004-0000-0000-000059010000}"/>
    <hyperlink ref="O2024" r:id="rId346" xr:uid="{00000000-0004-0000-0000-00005A010000}"/>
    <hyperlink ref="O2025" r:id="rId347" xr:uid="{00000000-0004-0000-0000-00005B010000}"/>
    <hyperlink ref="O2026" r:id="rId348" xr:uid="{00000000-0004-0000-0000-00005C010000}"/>
    <hyperlink ref="O2027" r:id="rId349" xr:uid="{00000000-0004-0000-0000-00005D010000}"/>
    <hyperlink ref="O2028" r:id="rId350" xr:uid="{00000000-0004-0000-0000-00005E010000}"/>
    <hyperlink ref="O2029" r:id="rId351" xr:uid="{00000000-0004-0000-0000-00005F010000}"/>
    <hyperlink ref="O2030" r:id="rId352" xr:uid="{00000000-0004-0000-0000-000060010000}"/>
    <hyperlink ref="O2031" r:id="rId353" xr:uid="{00000000-0004-0000-0000-000061010000}"/>
    <hyperlink ref="O2032" r:id="rId354" xr:uid="{00000000-0004-0000-0000-000062010000}"/>
    <hyperlink ref="O2033" r:id="rId355" xr:uid="{00000000-0004-0000-0000-000063010000}"/>
    <hyperlink ref="O2034" r:id="rId356" xr:uid="{00000000-0004-0000-0000-000064010000}"/>
    <hyperlink ref="O2035" r:id="rId357" xr:uid="{00000000-0004-0000-0000-000065010000}"/>
    <hyperlink ref="O2036" r:id="rId358" xr:uid="{00000000-0004-0000-0000-000066010000}"/>
    <hyperlink ref="O2037" r:id="rId359" xr:uid="{00000000-0004-0000-0000-000067010000}"/>
    <hyperlink ref="O2038" r:id="rId360" xr:uid="{00000000-0004-0000-0000-000068010000}"/>
    <hyperlink ref="O2039" r:id="rId361" xr:uid="{00000000-0004-0000-0000-000069010000}"/>
    <hyperlink ref="O2040" r:id="rId362" xr:uid="{00000000-0004-0000-0000-00006A010000}"/>
    <hyperlink ref="O2041" r:id="rId363" xr:uid="{00000000-0004-0000-0000-00006B010000}"/>
    <hyperlink ref="O2042" r:id="rId364" xr:uid="{00000000-0004-0000-0000-00006C010000}"/>
    <hyperlink ref="O2043" r:id="rId365" xr:uid="{00000000-0004-0000-0000-00006D010000}"/>
    <hyperlink ref="O2044" r:id="rId366" xr:uid="{00000000-0004-0000-0000-00006E010000}"/>
    <hyperlink ref="O2045" r:id="rId367" xr:uid="{00000000-0004-0000-0000-00006F010000}"/>
    <hyperlink ref="O2046" r:id="rId368" xr:uid="{00000000-0004-0000-0000-000070010000}"/>
    <hyperlink ref="O2047" r:id="rId369" xr:uid="{00000000-0004-0000-0000-000071010000}"/>
    <hyperlink ref="O2048" r:id="rId370" xr:uid="{00000000-0004-0000-0000-000072010000}"/>
    <hyperlink ref="O2049" r:id="rId371" xr:uid="{00000000-0004-0000-0000-000073010000}"/>
    <hyperlink ref="O2050" r:id="rId372" xr:uid="{00000000-0004-0000-0000-000074010000}"/>
    <hyperlink ref="O2051" r:id="rId373" xr:uid="{00000000-0004-0000-0000-000075010000}"/>
    <hyperlink ref="O2052" r:id="rId374" xr:uid="{00000000-0004-0000-0000-000076010000}"/>
    <hyperlink ref="O2053" r:id="rId375" xr:uid="{00000000-0004-0000-0000-000077010000}"/>
    <hyperlink ref="O2054" r:id="rId376" xr:uid="{00000000-0004-0000-0000-000078010000}"/>
    <hyperlink ref="O2055" r:id="rId377" xr:uid="{00000000-0004-0000-0000-000079010000}"/>
    <hyperlink ref="O2056" r:id="rId378" xr:uid="{00000000-0004-0000-0000-00007A010000}"/>
    <hyperlink ref="O2057" r:id="rId379" xr:uid="{00000000-0004-0000-0000-00007B010000}"/>
    <hyperlink ref="O2058" r:id="rId380" xr:uid="{00000000-0004-0000-0000-00007C010000}"/>
    <hyperlink ref="O2059" r:id="rId381" xr:uid="{00000000-0004-0000-0000-00007D010000}"/>
    <hyperlink ref="O2060" r:id="rId382" xr:uid="{00000000-0004-0000-0000-00007E010000}"/>
    <hyperlink ref="O2061" r:id="rId383" xr:uid="{00000000-0004-0000-0000-00007F010000}"/>
    <hyperlink ref="O2062" r:id="rId384" xr:uid="{00000000-0004-0000-0000-000080010000}"/>
    <hyperlink ref="O2063" r:id="rId385" xr:uid="{00000000-0004-0000-0000-000081010000}"/>
    <hyperlink ref="O2064" r:id="rId386" xr:uid="{00000000-0004-0000-0000-000082010000}"/>
    <hyperlink ref="O2065" r:id="rId387" xr:uid="{00000000-0004-0000-0000-000083010000}"/>
    <hyperlink ref="O2066" r:id="rId388" xr:uid="{00000000-0004-0000-0000-000084010000}"/>
    <hyperlink ref="O2067" r:id="rId389" xr:uid="{00000000-0004-0000-0000-000085010000}"/>
    <hyperlink ref="O2068" r:id="rId390" xr:uid="{00000000-0004-0000-0000-000086010000}"/>
    <hyperlink ref="O2069" r:id="rId391" xr:uid="{00000000-0004-0000-0000-000087010000}"/>
    <hyperlink ref="O2070" r:id="rId392" xr:uid="{00000000-0004-0000-0000-000088010000}"/>
    <hyperlink ref="O2071" r:id="rId393" xr:uid="{00000000-0004-0000-0000-000089010000}"/>
    <hyperlink ref="O2072" r:id="rId394" xr:uid="{00000000-0004-0000-0000-00008A010000}"/>
    <hyperlink ref="O2073" r:id="rId395" xr:uid="{00000000-0004-0000-0000-00008B010000}"/>
    <hyperlink ref="O2074" r:id="rId396" xr:uid="{00000000-0004-0000-0000-00008C010000}"/>
    <hyperlink ref="O2075" r:id="rId397" xr:uid="{00000000-0004-0000-0000-00008D010000}"/>
    <hyperlink ref="O2076" r:id="rId398" xr:uid="{00000000-0004-0000-0000-00008E010000}"/>
    <hyperlink ref="O2077" r:id="rId399" xr:uid="{00000000-0004-0000-0000-00008F010000}"/>
    <hyperlink ref="O2078" r:id="rId400" xr:uid="{00000000-0004-0000-0000-000090010000}"/>
    <hyperlink ref="O2079" r:id="rId401" xr:uid="{00000000-0004-0000-0000-000091010000}"/>
    <hyperlink ref="O2080" r:id="rId402" xr:uid="{00000000-0004-0000-0000-000092010000}"/>
    <hyperlink ref="O2081" r:id="rId403" xr:uid="{00000000-0004-0000-0000-000093010000}"/>
    <hyperlink ref="O2082" r:id="rId404" xr:uid="{00000000-0004-0000-0000-000094010000}"/>
    <hyperlink ref="O2083" r:id="rId405" xr:uid="{00000000-0004-0000-0000-000095010000}"/>
    <hyperlink ref="O2084" r:id="rId406" xr:uid="{00000000-0004-0000-0000-000096010000}"/>
    <hyperlink ref="O2085" r:id="rId407" xr:uid="{00000000-0004-0000-0000-000097010000}"/>
    <hyperlink ref="O2086" r:id="rId408" xr:uid="{00000000-0004-0000-0000-000098010000}"/>
    <hyperlink ref="O2087" r:id="rId409" xr:uid="{00000000-0004-0000-0000-000099010000}"/>
    <hyperlink ref="O2088" r:id="rId410" xr:uid="{00000000-0004-0000-0000-00009A010000}"/>
    <hyperlink ref="O2089" r:id="rId411" xr:uid="{00000000-0004-0000-0000-00009B010000}"/>
    <hyperlink ref="O2090" r:id="rId412" xr:uid="{00000000-0004-0000-0000-00009C010000}"/>
    <hyperlink ref="O2091" r:id="rId413" xr:uid="{00000000-0004-0000-0000-00009D010000}"/>
    <hyperlink ref="O2092" r:id="rId414" xr:uid="{00000000-0004-0000-0000-00009E010000}"/>
    <hyperlink ref="O2093" r:id="rId415" xr:uid="{00000000-0004-0000-0000-00009F010000}"/>
    <hyperlink ref="O2094" r:id="rId416" xr:uid="{00000000-0004-0000-0000-0000A0010000}"/>
    <hyperlink ref="O2095" r:id="rId417" xr:uid="{00000000-0004-0000-0000-0000A1010000}"/>
    <hyperlink ref="O2096" r:id="rId418" xr:uid="{00000000-0004-0000-0000-0000A2010000}"/>
    <hyperlink ref="O2097" r:id="rId419" xr:uid="{00000000-0004-0000-0000-0000A3010000}"/>
    <hyperlink ref="O2098" r:id="rId420" xr:uid="{00000000-0004-0000-0000-0000A4010000}"/>
    <hyperlink ref="O2099" r:id="rId421" xr:uid="{00000000-0004-0000-0000-0000A5010000}"/>
    <hyperlink ref="O2100" r:id="rId422" xr:uid="{00000000-0004-0000-0000-0000A6010000}"/>
    <hyperlink ref="O2101" r:id="rId423" xr:uid="{00000000-0004-0000-0000-0000A7010000}"/>
    <hyperlink ref="O2102" r:id="rId424" xr:uid="{00000000-0004-0000-0000-0000A8010000}"/>
    <hyperlink ref="O2103" r:id="rId425" xr:uid="{00000000-0004-0000-0000-0000A9010000}"/>
    <hyperlink ref="O2104" r:id="rId426" xr:uid="{00000000-0004-0000-0000-0000AA010000}"/>
    <hyperlink ref="O2105" r:id="rId427" xr:uid="{00000000-0004-0000-0000-0000AB010000}"/>
    <hyperlink ref="O2106" r:id="rId428" xr:uid="{00000000-0004-0000-0000-0000AC010000}"/>
    <hyperlink ref="O2107" r:id="rId429" xr:uid="{00000000-0004-0000-0000-0000AD010000}"/>
    <hyperlink ref="O2108" r:id="rId430" xr:uid="{00000000-0004-0000-0000-0000AE010000}"/>
    <hyperlink ref="O2109" r:id="rId431" xr:uid="{00000000-0004-0000-0000-0000AF010000}"/>
    <hyperlink ref="O2110" r:id="rId432" xr:uid="{00000000-0004-0000-0000-0000B0010000}"/>
    <hyperlink ref="O2111" r:id="rId433" xr:uid="{00000000-0004-0000-0000-0000B1010000}"/>
    <hyperlink ref="O2112" r:id="rId434" xr:uid="{00000000-0004-0000-0000-0000B2010000}"/>
    <hyperlink ref="O2113" r:id="rId435" xr:uid="{00000000-0004-0000-0000-0000B3010000}"/>
    <hyperlink ref="O2114" r:id="rId436" xr:uid="{00000000-0004-0000-0000-0000B4010000}"/>
    <hyperlink ref="O2115" r:id="rId437" xr:uid="{00000000-0004-0000-0000-0000B5010000}"/>
    <hyperlink ref="O2116" r:id="rId438" xr:uid="{00000000-0004-0000-0000-0000B6010000}"/>
    <hyperlink ref="O2117" r:id="rId439" xr:uid="{00000000-0004-0000-0000-0000B7010000}"/>
    <hyperlink ref="O2118" r:id="rId440" xr:uid="{00000000-0004-0000-0000-0000B8010000}"/>
    <hyperlink ref="O2119" r:id="rId441" xr:uid="{00000000-0004-0000-0000-0000B9010000}"/>
    <hyperlink ref="O2120" r:id="rId442" xr:uid="{00000000-0004-0000-0000-0000BA010000}"/>
    <hyperlink ref="O2121" r:id="rId443" xr:uid="{00000000-0004-0000-0000-0000BB010000}"/>
    <hyperlink ref="O2122" r:id="rId444" xr:uid="{00000000-0004-0000-0000-0000BC010000}"/>
    <hyperlink ref="O2123" r:id="rId445" xr:uid="{00000000-0004-0000-0000-0000BD010000}"/>
    <hyperlink ref="O2124" r:id="rId446" xr:uid="{00000000-0004-0000-0000-0000BE010000}"/>
    <hyperlink ref="O2125" r:id="rId447" xr:uid="{00000000-0004-0000-0000-0000BF010000}"/>
    <hyperlink ref="O2126" r:id="rId448" xr:uid="{00000000-0004-0000-0000-0000C0010000}"/>
    <hyperlink ref="O2127" r:id="rId449" xr:uid="{00000000-0004-0000-0000-0000C1010000}"/>
    <hyperlink ref="O2128" r:id="rId450" xr:uid="{00000000-0004-0000-0000-0000C2010000}"/>
    <hyperlink ref="O2129" r:id="rId451" xr:uid="{00000000-0004-0000-0000-0000C3010000}"/>
    <hyperlink ref="O2130" r:id="rId452" xr:uid="{00000000-0004-0000-0000-0000C4010000}"/>
    <hyperlink ref="O2131" r:id="rId453" xr:uid="{00000000-0004-0000-0000-0000C5010000}"/>
    <hyperlink ref="O2132" r:id="rId454" xr:uid="{00000000-0004-0000-0000-0000C6010000}"/>
    <hyperlink ref="O2133" r:id="rId455" xr:uid="{00000000-0004-0000-0000-0000C7010000}"/>
    <hyperlink ref="O2134" r:id="rId456" xr:uid="{00000000-0004-0000-0000-0000C8010000}"/>
    <hyperlink ref="O2135" r:id="rId457" xr:uid="{00000000-0004-0000-0000-0000C9010000}"/>
    <hyperlink ref="O2136" r:id="rId458" xr:uid="{00000000-0004-0000-0000-0000CA010000}"/>
    <hyperlink ref="O2137" r:id="rId459" xr:uid="{00000000-0004-0000-0000-0000CB010000}"/>
    <hyperlink ref="O2138" r:id="rId460" xr:uid="{00000000-0004-0000-0000-0000CC010000}"/>
    <hyperlink ref="O2139" r:id="rId461" xr:uid="{00000000-0004-0000-0000-0000CD010000}"/>
    <hyperlink ref="O2140" r:id="rId462" xr:uid="{00000000-0004-0000-0000-0000CE010000}"/>
    <hyperlink ref="O2141" r:id="rId463" xr:uid="{00000000-0004-0000-0000-0000CF010000}"/>
    <hyperlink ref="O2142" r:id="rId464" xr:uid="{00000000-0004-0000-0000-0000D0010000}"/>
    <hyperlink ref="O2143" r:id="rId465" xr:uid="{00000000-0004-0000-0000-0000D1010000}"/>
    <hyperlink ref="O2144" r:id="rId466" xr:uid="{00000000-0004-0000-0000-0000D2010000}"/>
    <hyperlink ref="O2145" r:id="rId467" xr:uid="{00000000-0004-0000-0000-0000D3010000}"/>
    <hyperlink ref="O2146" r:id="rId468" xr:uid="{00000000-0004-0000-0000-0000D4010000}"/>
    <hyperlink ref="O2147" r:id="rId469" xr:uid="{00000000-0004-0000-0000-0000D5010000}"/>
    <hyperlink ref="O2148" r:id="rId470" xr:uid="{00000000-0004-0000-0000-0000D6010000}"/>
    <hyperlink ref="O2149" r:id="rId471" xr:uid="{00000000-0004-0000-0000-0000D7010000}"/>
    <hyperlink ref="O2150" r:id="rId472" xr:uid="{00000000-0004-0000-0000-0000D8010000}"/>
    <hyperlink ref="O2151" r:id="rId473" xr:uid="{00000000-0004-0000-0000-0000D9010000}"/>
    <hyperlink ref="O2152" r:id="rId474" xr:uid="{00000000-0004-0000-0000-0000DA010000}"/>
    <hyperlink ref="O2153" r:id="rId475" xr:uid="{00000000-0004-0000-0000-0000DB010000}"/>
    <hyperlink ref="O2154" r:id="rId476" xr:uid="{00000000-0004-0000-0000-0000DC010000}"/>
    <hyperlink ref="O2155" r:id="rId477" xr:uid="{00000000-0004-0000-0000-0000DD010000}"/>
    <hyperlink ref="O2156" r:id="rId478" xr:uid="{00000000-0004-0000-0000-0000DE010000}"/>
    <hyperlink ref="O2157" r:id="rId479" xr:uid="{00000000-0004-0000-0000-0000DF010000}"/>
    <hyperlink ref="O2158" r:id="rId480" xr:uid="{00000000-0004-0000-0000-0000E0010000}"/>
    <hyperlink ref="O2159" r:id="rId481" xr:uid="{00000000-0004-0000-0000-0000E1010000}"/>
    <hyperlink ref="O2160" r:id="rId482" xr:uid="{00000000-0004-0000-0000-0000E2010000}"/>
    <hyperlink ref="O2161" r:id="rId483" xr:uid="{00000000-0004-0000-0000-0000E3010000}"/>
    <hyperlink ref="O2162" r:id="rId484" xr:uid="{00000000-0004-0000-0000-0000E4010000}"/>
    <hyperlink ref="O2163" r:id="rId485" xr:uid="{00000000-0004-0000-0000-0000E5010000}"/>
    <hyperlink ref="O2164" r:id="rId486" xr:uid="{00000000-0004-0000-0000-0000E6010000}"/>
    <hyperlink ref="O2165" r:id="rId487" xr:uid="{00000000-0004-0000-0000-0000E7010000}"/>
    <hyperlink ref="O2166" r:id="rId488" xr:uid="{00000000-0004-0000-0000-0000E8010000}"/>
    <hyperlink ref="O2167" r:id="rId489" xr:uid="{00000000-0004-0000-0000-0000E9010000}"/>
    <hyperlink ref="O2168" r:id="rId490" xr:uid="{00000000-0004-0000-0000-0000EA010000}"/>
    <hyperlink ref="O2169" r:id="rId491" xr:uid="{00000000-0004-0000-0000-0000EB010000}"/>
    <hyperlink ref="O2170" r:id="rId492" xr:uid="{00000000-0004-0000-0000-0000EC010000}"/>
    <hyperlink ref="O2171" r:id="rId493" xr:uid="{00000000-0004-0000-0000-0000ED010000}"/>
    <hyperlink ref="O2172" r:id="rId494" xr:uid="{00000000-0004-0000-0000-0000EE010000}"/>
    <hyperlink ref="O2173" r:id="rId495" xr:uid="{00000000-0004-0000-0000-0000EF010000}"/>
    <hyperlink ref="O2174" r:id="rId496" xr:uid="{00000000-0004-0000-0000-0000F0010000}"/>
    <hyperlink ref="O2175" r:id="rId497" xr:uid="{00000000-0004-0000-0000-0000F1010000}"/>
    <hyperlink ref="O2281" r:id="rId498" xr:uid="{00000000-0004-0000-0000-0000F2010000}"/>
    <hyperlink ref="O2339" r:id="rId499" xr:uid="{00000000-0004-0000-0000-0000F3010000}"/>
    <hyperlink ref="S2339" r:id="rId500" xr:uid="{00000000-0004-0000-0000-0000F4010000}"/>
    <hyperlink ref="O2340" r:id="rId501" xr:uid="{00000000-0004-0000-0000-0000F5010000}"/>
    <hyperlink ref="O2341" r:id="rId502" xr:uid="{00000000-0004-0000-0000-0000F6010000}"/>
    <hyperlink ref="Q2375" r:id="rId503" display="http://www.amazon.com/Super-cable-3-5mm-Stereo-Plated/dp/B003NGIDKC/ref=sr_1_7?ie=UTF8&amp;qid=1454621169&amp;sr=8-7&amp;keywords=VGA+15M" xr:uid="{00000000-0004-0000-0000-0000F7010000}"/>
    <hyperlink ref="Q2377" r:id="rId504" display="http://www.homecenter.com.co/homecenter-co/search/?No=16&amp;Nrpp=16&amp;Ntt=CENTELSA" xr:uid="{00000000-0004-0000-0000-0000F8010000}"/>
    <hyperlink ref="O2381" r:id="rId505" xr:uid="{00000000-0004-0000-0000-0000F9010000}"/>
    <hyperlink ref="O2382" r:id="rId506" xr:uid="{00000000-0004-0000-0000-0000FA010000}"/>
    <hyperlink ref="O2383" r:id="rId507" xr:uid="{00000000-0004-0000-0000-0000FB010000}"/>
    <hyperlink ref="O2384" r:id="rId508" xr:uid="{00000000-0004-0000-0000-0000FC010000}"/>
    <hyperlink ref="O2385" r:id="rId509" xr:uid="{00000000-0004-0000-0000-0000FD010000}"/>
    <hyperlink ref="S2408" r:id="rId510" display="https://www.newegg.com/lenovo-thinkcentre-m90n-1/p/1VK-0003-1CV39?Description=mini%20pc&amp;cm_re=mini_pc-_-9SIAEYJEV90625-_-Product" xr:uid="{00000000-0004-0000-0000-0000FE010000}"/>
    <hyperlink ref="O2466" r:id="rId511" xr:uid="{00000000-0004-0000-0000-0000FF010000}"/>
    <hyperlink ref="O2467" r:id="rId512" xr:uid="{00000000-0004-0000-0000-000000020000}"/>
    <hyperlink ref="O2521" r:id="rId513" xr:uid="{00000000-0004-0000-0000-000001020000}"/>
    <hyperlink ref="O2522" r:id="rId514" xr:uid="{00000000-0004-0000-0000-000002020000}"/>
    <hyperlink ref="O2540" r:id="rId515" xr:uid="{00000000-0004-0000-0000-000003020000}"/>
    <hyperlink ref="O2601" r:id="rId516" xr:uid="{00000000-0004-0000-0000-000004020000}"/>
    <hyperlink ref="O2604" r:id="rId517" xr:uid="{00000000-0004-0000-0000-000005020000}"/>
    <hyperlink ref="O2605" r:id="rId518" xr:uid="{00000000-0004-0000-0000-000006020000}"/>
    <hyperlink ref="O2633" r:id="rId519" xr:uid="{00000000-0004-0000-0000-000007020000}"/>
    <hyperlink ref="O2634" r:id="rId520" xr:uid="{00000000-0004-0000-0000-000008020000}"/>
    <hyperlink ref="O3201" r:id="rId521" xr:uid="{00000000-0004-0000-0000-000009020000}"/>
    <hyperlink ref="O3202" r:id="rId522" xr:uid="{00000000-0004-0000-0000-00000A020000}"/>
    <hyperlink ref="O3224" r:id="rId523" xr:uid="{00000000-0004-0000-0000-00000B020000}"/>
    <hyperlink ref="O3225" r:id="rId524" xr:uid="{00000000-0004-0000-0000-00000C020000}"/>
    <hyperlink ref="O3381" r:id="rId525" xr:uid="{00000000-0004-0000-0000-00000D020000}"/>
    <hyperlink ref="S3445" r:id="rId526" display="https://www.amazon.com/dp/B0743B4BY5/ref=sspa_dk_detail_9?psc=1&amp;pd_rd_i=B0743B4BY5&amp;pd_rd_w=eNHYa&amp;pf_rd_p=7d37a48b-2b1a-4373-8c1a-bdcc5da66be9&amp;pd_rd_wg=euLcS&amp;pf_rd_r=YJEPQKT01ZWJ2TBEPCYA&amp;pd_rd_r=24b56c6a-ca44-45f1-a983-4f23e40e39ef&amp;spLa=ZW5jcnlwdGVkUXVhbGlmaWVyPUExRlFRSE5WQzNFVFMwJmVuY3J5cHRlZElkPUEwNDE5NTg0MjNHTU1ZSU5PSzQxMyZlbmNyeXB0ZWRBZElkPUEwNTAyNjA1MVBGUUFWSzBVU1FZWCZ3aWRnZXROYW1lPXNwX2RldGFpbCZhY3Rpb249Y2xpY2tSZWRpcmVjdCZkb05vdExvZ0NsaWNrPXRydWU=" xr:uid="{00000000-0004-0000-0000-00000E020000}"/>
    <hyperlink ref="O3481" r:id="rId527" xr:uid="{00000000-0004-0000-0000-00000F020000}"/>
    <hyperlink ref="O3482" r:id="rId528" xr:uid="{00000000-0004-0000-0000-000010020000}"/>
    <hyperlink ref="O3485" r:id="rId529" xr:uid="{00000000-0004-0000-0000-000011020000}"/>
    <hyperlink ref="R3574" r:id="rId530" display="https://microcell.co/videoproyectores-epson/1969-video-proyector-epson-power-lite-1980wu-4-400-lumens-wuxga-19200x1200-1080p.html" xr:uid="{00000000-0004-0000-0000-000012020000}"/>
    <hyperlink ref="H3625" r:id="rId531" display="https://www.homecontrols.com/NuVo-Handheld-Remote-Control-NVI8GRC1" xr:uid="{00000000-0004-0000-0000-000013020000}"/>
    <hyperlink ref="S3625" r:id="rId532" xr:uid="{00000000-0004-0000-0000-000014020000}"/>
    <hyperlink ref="O3641" r:id="rId533" xr:uid="{00000000-0004-0000-0000-000015020000}"/>
    <hyperlink ref="O3650" r:id="rId534" xr:uid="{00000000-0004-0000-0000-000016020000}"/>
    <hyperlink ref="O3654" r:id="rId535" xr:uid="{00000000-0004-0000-0000-000017020000}"/>
    <hyperlink ref="S3655" r:id="rId536" xr:uid="{00000000-0004-0000-0000-000018020000}"/>
    <hyperlink ref="O3687" r:id="rId537" xr:uid="{00000000-0004-0000-0000-000019020000}"/>
    <hyperlink ref="O3688" r:id="rId538" xr:uid="{00000000-0004-0000-0000-00001A020000}"/>
    <hyperlink ref="O3689" r:id="rId539" xr:uid="{00000000-0004-0000-0000-00001B020000}"/>
    <hyperlink ref="O3701" r:id="rId540" xr:uid="{00000000-0004-0000-0000-00001C020000}"/>
    <hyperlink ref="O3724" r:id="rId541" xr:uid="{00000000-0004-0000-0000-00001D020000}"/>
    <hyperlink ref="S3748" r:id="rId542" xr:uid="{00000000-0004-0000-0000-00001E020000}"/>
    <hyperlink ref="S3749" r:id="rId543" xr:uid="{00000000-0004-0000-0000-00001F020000}"/>
    <hyperlink ref="S3750" r:id="rId544" xr:uid="{00000000-0004-0000-0000-000020020000}"/>
    <hyperlink ref="O3760" r:id="rId545" xr:uid="{00000000-0004-0000-0000-000021020000}"/>
    <hyperlink ref="O3761" r:id="rId546" xr:uid="{00000000-0004-0000-0000-000022020000}"/>
    <hyperlink ref="O3763" r:id="rId547" xr:uid="{00000000-0004-0000-0000-000023020000}"/>
    <hyperlink ref="O3769" r:id="rId548" xr:uid="{00000000-0004-0000-0000-000024020000}"/>
    <hyperlink ref="O3770" r:id="rId549" xr:uid="{00000000-0004-0000-0000-000025020000}"/>
    <hyperlink ref="O3788" r:id="rId550" xr:uid="{00000000-0004-0000-0000-000026020000}"/>
    <hyperlink ref="S3804" r:id="rId551" location="position=3&amp;search_layout=stack&amp;type=item&amp;tracking_id=1d6e9904-9433-4adb-9a30-6cb6e4c06645" xr:uid="{00000000-0004-0000-0000-000027020000}"/>
    <hyperlink ref="O3811" r:id="rId552" xr:uid="{00000000-0004-0000-0000-000028020000}"/>
    <hyperlink ref="S3832" r:id="rId553" xr:uid="{00000000-0004-0000-0000-000029020000}"/>
    <hyperlink ref="O3838" r:id="rId554" xr:uid="{00000000-0004-0000-0000-00002A020000}"/>
    <hyperlink ref="O3839" r:id="rId555" xr:uid="{00000000-0004-0000-0000-00002B020000}"/>
    <hyperlink ref="O3840" r:id="rId556" xr:uid="{00000000-0004-0000-0000-00002C020000}"/>
    <hyperlink ref="S3860" r:id="rId557" display="https://www.amazon.com/-/es/riteav-Puerto-subwoofer-decorativos-Blanco/dp/B00F6O922W/ref=sr_1_11?__mk_es_US=%C3%85M%C3%85%C5%BD%C3%95%C3%91&amp;crid=1IE5HM9QFSKWT&amp;dchild=1&amp;keywords=subwoofer+plate&amp;qid=1628504599&amp;sprefix=placa+pared+subwoofer%2Caps%2C262&amp;sr=8-11" xr:uid="{00000000-0004-0000-0000-00002D020000}"/>
    <hyperlink ref="O3889" r:id="rId558" xr:uid="{00000000-0004-0000-0000-00002E020000}"/>
    <hyperlink ref="T3948" r:id="rId559" xr:uid="{00000000-0004-0000-0000-00002F020000}"/>
    <hyperlink ref="O3976" r:id="rId560" xr:uid="{00000000-0004-0000-0000-000030020000}"/>
    <hyperlink ref="O3979" r:id="rId561" xr:uid="{00000000-0004-0000-0000-000031020000}"/>
    <hyperlink ref="S3987" r:id="rId562" display="https://www.amazon.com/dp/B07LCXT72M/ref=sspa_dk_detail_5?psc=1&amp;pd_rd_i=B07LCXT72M&amp;spLa=ZW5jcnlwdGVkUXVhbGlmaWVyPUEyQUdVMFYwMVI4QklQJmVuY3J5cHRlZElkPUEwNjQzMTAyNkNCOVdWQVpBMFJIJmVuY3J5cHRlZEFkSWQ9QTAyNjE2MzYyS0FJNkJNS05LSEpJJndpZGdldE5hbWU9c3BfZGV0YWlsJmFjdGlvbj1jbGlja1JlZGlyZWN0JmRvTm90TG9nQ2xpY2s9dHJ1https://www.amazon.com/dp/B07LCXT72M/ref=sspa_dk_detail_5?psc=1&amp;pd_rd_i=B07LCXT72M&amp;spLa=ZW5jcnlwdGVkUXVhbGlmaWVyPUEyQUdVMFYwMVI4QklQJmVuY3J5cHRlZElkPUEwNjQzMTAyNkNCOVdWQVpBMFJIJmVuY3J5cHRlZEFkSWQ9QTAyNjE2MzYyS0FJNkJNS05LSEpJJndpZGdldE5hbWU9c3BfZGV0YWlsJmFjdGlvbj1jbGlja1JlZGlyZWN0JmRvTm90TG9nQ2xpY2s9dHJ1ZQ==" xr:uid="{00000000-0004-0000-0000-000032020000}"/>
    <hyperlink ref="S3992" r:id="rId563" xr:uid="{00000000-0004-0000-0000-000033020000}"/>
    <hyperlink ref="T3992" r:id="rId564" location="position=2&amp;type=item&amp;tracking_id=2a8f51cc-25cc-4ff5-807c-cade92c66c67" xr:uid="{00000000-0004-0000-0000-000034020000}"/>
    <hyperlink ref="O4003" r:id="rId565" xr:uid="{00000000-0004-0000-0000-000035020000}"/>
    <hyperlink ref="O4010" r:id="rId566" xr:uid="{00000000-0004-0000-0000-000036020000}"/>
    <hyperlink ref="O4044" r:id="rId567" xr:uid="{00000000-0004-0000-0000-000037020000}"/>
    <hyperlink ref="O4045" r:id="rId568" xr:uid="{00000000-0004-0000-0000-000038020000}"/>
    <hyperlink ref="S4078" r:id="rId569" xr:uid="{00000000-0004-0000-0000-000039020000}"/>
    <hyperlink ref="O4087" r:id="rId570" xr:uid="{00000000-0004-0000-0000-00003A020000}"/>
    <hyperlink ref="O4164" r:id="rId571" xr:uid="{00000000-0004-0000-0000-00003B020000}"/>
    <hyperlink ref="O4165" r:id="rId572" xr:uid="{00000000-0004-0000-0000-00003C020000}"/>
    <hyperlink ref="O4166" r:id="rId573" xr:uid="{00000000-0004-0000-0000-00003D020000}"/>
    <hyperlink ref="O4167" r:id="rId574" xr:uid="{00000000-0004-0000-0000-00003E020000}"/>
    <hyperlink ref="O4168" r:id="rId575" xr:uid="{00000000-0004-0000-0000-00003F020000}"/>
    <hyperlink ref="O4169" r:id="rId576" xr:uid="{00000000-0004-0000-0000-000040020000}"/>
    <hyperlink ref="O4170" r:id="rId577" xr:uid="{00000000-0004-0000-0000-000041020000}"/>
    <hyperlink ref="O4171" r:id="rId578" xr:uid="{00000000-0004-0000-0000-000042020000}"/>
    <hyperlink ref="O4172" r:id="rId579" xr:uid="{00000000-0004-0000-0000-000043020000}"/>
    <hyperlink ref="O4173" r:id="rId580" xr:uid="{00000000-0004-0000-0000-000044020000}"/>
    <hyperlink ref="R4181" r:id="rId581" display="https://microcell.co/videoproyectores-epson/1969-video-proyector-epson-power-lite-1980wu-4-400-lumens-wuxga-19200x1200-1080p.html" xr:uid="{00000000-0004-0000-0000-000045020000}"/>
    <hyperlink ref="O4182" r:id="rId582" xr:uid="{00000000-0004-0000-0000-000046020000}"/>
    <hyperlink ref="O4235" r:id="rId583" xr:uid="{00000000-0004-0000-0000-000047020000}"/>
    <hyperlink ref="O4236" r:id="rId584" xr:uid="{00000000-0004-0000-0000-000048020000}"/>
    <hyperlink ref="S4241" r:id="rId585" xr:uid="{00000000-0004-0000-0000-000049020000}"/>
    <hyperlink ref="O4343" r:id="rId586" xr:uid="{00000000-0004-0000-0000-00004A020000}"/>
    <hyperlink ref="O4344" r:id="rId587" xr:uid="{00000000-0004-0000-0000-00004B020000}"/>
    <hyperlink ref="O4429" r:id="rId588" xr:uid="{00000000-0004-0000-0000-00004C020000}"/>
    <hyperlink ref="O4430" r:id="rId589" xr:uid="{00000000-0004-0000-0000-00004D020000}"/>
    <hyperlink ref="O4443" r:id="rId590" xr:uid="{00000000-0004-0000-0000-00004E020000}"/>
    <hyperlink ref="O4444" r:id="rId591" xr:uid="{00000000-0004-0000-0000-00004F020000}"/>
    <hyperlink ref="O4446" r:id="rId592" xr:uid="{00000000-0004-0000-0000-000050020000}"/>
    <hyperlink ref="O4462" r:id="rId593" xr:uid="{00000000-0004-0000-0000-000051020000}"/>
    <hyperlink ref="O4463" r:id="rId594" xr:uid="{00000000-0004-0000-0000-000052020000}"/>
    <hyperlink ref="S4522" r:id="rId595" xr:uid="{00000000-0004-0000-0000-000053020000}"/>
    <hyperlink ref="O4526" r:id="rId596" xr:uid="{00000000-0004-0000-0000-000054020000}"/>
    <hyperlink ref="O4527" r:id="rId597" xr:uid="{00000000-0004-0000-0000-000055020000}"/>
    <hyperlink ref="O4528" r:id="rId598" xr:uid="{00000000-0004-0000-0000-000056020000}"/>
    <hyperlink ref="O4529" r:id="rId599" xr:uid="{00000000-0004-0000-0000-000057020000}"/>
    <hyperlink ref="O4551" r:id="rId600" xr:uid="{00000000-0004-0000-0000-000058020000}"/>
    <hyperlink ref="O4552" r:id="rId601" xr:uid="{00000000-0004-0000-0000-000059020000}"/>
    <hyperlink ref="O4553" r:id="rId602" xr:uid="{00000000-0004-0000-0000-00005A020000}"/>
    <hyperlink ref="O4561" r:id="rId603" xr:uid="{00000000-0004-0000-0000-00005B020000}"/>
    <hyperlink ref="O4562" r:id="rId604" xr:uid="{00000000-0004-0000-0000-00005C020000}"/>
    <hyperlink ref="O4563" r:id="rId605" xr:uid="{00000000-0004-0000-0000-00005D020000}"/>
    <hyperlink ref="O4564" r:id="rId606" xr:uid="{00000000-0004-0000-0000-00005E020000}"/>
    <hyperlink ref="O4565" r:id="rId607" xr:uid="{00000000-0004-0000-0000-00005F020000}"/>
    <hyperlink ref="O4566" r:id="rId608" xr:uid="{00000000-0004-0000-0000-000060020000}"/>
    <hyperlink ref="O4567" r:id="rId609" xr:uid="{00000000-0004-0000-0000-000061020000}"/>
    <hyperlink ref="O4568" r:id="rId610" xr:uid="{00000000-0004-0000-0000-000062020000}"/>
    <hyperlink ref="O4569" r:id="rId611" xr:uid="{00000000-0004-0000-0000-000063020000}"/>
    <hyperlink ref="O4596" r:id="rId612" xr:uid="{00000000-0004-0000-0000-000064020000}"/>
    <hyperlink ref="O4597" r:id="rId613" xr:uid="{00000000-0004-0000-0000-000065020000}"/>
    <hyperlink ref="O4598" r:id="rId614" xr:uid="{00000000-0004-0000-0000-000066020000}"/>
    <hyperlink ref="O4599" r:id="rId615" xr:uid="{00000000-0004-0000-0000-000067020000}"/>
    <hyperlink ref="O4600" r:id="rId616" xr:uid="{00000000-0004-0000-0000-000068020000}"/>
    <hyperlink ref="O4601" r:id="rId617" xr:uid="{00000000-0004-0000-0000-000069020000}"/>
    <hyperlink ref="O4602" r:id="rId618" xr:uid="{00000000-0004-0000-0000-00006A020000}"/>
    <hyperlink ref="O4603" r:id="rId619" xr:uid="{00000000-0004-0000-0000-00006B020000}"/>
    <hyperlink ref="O4604" r:id="rId620" xr:uid="{00000000-0004-0000-0000-00006C020000}"/>
    <hyperlink ref="O4605" r:id="rId621" xr:uid="{00000000-0004-0000-0000-00006D020000}"/>
    <hyperlink ref="O4606" r:id="rId622" xr:uid="{00000000-0004-0000-0000-00006E020000}"/>
    <hyperlink ref="S4613" r:id="rId623" location="QuestionsandAnswers" xr:uid="{00000000-0004-0000-0000-00006F020000}"/>
    <hyperlink ref="O4617" r:id="rId624" xr:uid="{00000000-0004-0000-0000-000070020000}"/>
    <hyperlink ref="O4618" r:id="rId625" xr:uid="{00000000-0004-0000-0000-000071020000}"/>
    <hyperlink ref="O4619" r:id="rId626" xr:uid="{00000000-0004-0000-0000-000072020000}"/>
    <hyperlink ref="O4620" r:id="rId627" xr:uid="{00000000-0004-0000-0000-000073020000}"/>
    <hyperlink ref="O4621" r:id="rId628" xr:uid="{00000000-0004-0000-0000-000074020000}"/>
    <hyperlink ref="O4622" r:id="rId629" xr:uid="{00000000-0004-0000-0000-000075020000}"/>
    <hyperlink ref="O4623" r:id="rId630" xr:uid="{00000000-0004-0000-0000-000076020000}"/>
    <hyperlink ref="O4624" r:id="rId631" xr:uid="{00000000-0004-0000-0000-000077020000}"/>
    <hyperlink ref="O4625" r:id="rId632" xr:uid="{00000000-0004-0000-0000-000078020000}"/>
    <hyperlink ref="O4626" r:id="rId633" xr:uid="{00000000-0004-0000-0000-000079020000}"/>
    <hyperlink ref="O4638" r:id="rId634" xr:uid="{00000000-0004-0000-0000-00007A020000}"/>
    <hyperlink ref="O4639" r:id="rId635" xr:uid="{00000000-0004-0000-0000-00007B020000}"/>
    <hyperlink ref="O4803" r:id="rId636" xr:uid="{00000000-0004-0000-0000-00007C020000}"/>
    <hyperlink ref="O4804" r:id="rId637" xr:uid="{00000000-0004-0000-0000-00007D020000}"/>
    <hyperlink ref="O4805" r:id="rId638" xr:uid="{00000000-0004-0000-0000-00007E020000}"/>
    <hyperlink ref="O4806" r:id="rId639" xr:uid="{00000000-0004-0000-0000-00007F020000}"/>
    <hyperlink ref="O4807" r:id="rId640" xr:uid="{00000000-0004-0000-0000-000080020000}"/>
    <hyperlink ref="O4808" r:id="rId641" xr:uid="{00000000-0004-0000-0000-000081020000}"/>
    <hyperlink ref="O4810" r:id="rId642" xr:uid="{00000000-0004-0000-0000-000082020000}"/>
    <hyperlink ref="O4811" r:id="rId643" xr:uid="{00000000-0004-0000-0000-000083020000}"/>
    <hyperlink ref="O4812" r:id="rId644" xr:uid="{00000000-0004-0000-0000-000084020000}"/>
    <hyperlink ref="O4813" r:id="rId645" xr:uid="{00000000-0004-0000-0000-000085020000}"/>
    <hyperlink ref="O4814" r:id="rId646" xr:uid="{00000000-0004-0000-0000-000086020000}"/>
    <hyperlink ref="O4817" r:id="rId647" xr:uid="{00000000-0004-0000-0000-000087020000}"/>
    <hyperlink ref="O4818" r:id="rId648" xr:uid="{00000000-0004-0000-0000-000088020000}"/>
    <hyperlink ref="O4819" r:id="rId649" xr:uid="{00000000-0004-0000-0000-000089020000}"/>
    <hyperlink ref="O4820" r:id="rId650" xr:uid="{00000000-0004-0000-0000-00008A020000}"/>
    <hyperlink ref="O4821" r:id="rId651" xr:uid="{00000000-0004-0000-0000-00008B020000}"/>
    <hyperlink ref="O4822" r:id="rId652" xr:uid="{00000000-0004-0000-0000-00008C020000}"/>
    <hyperlink ref="O4824" r:id="rId653" xr:uid="{00000000-0004-0000-0000-00008D020000}"/>
    <hyperlink ref="O4825" r:id="rId654" xr:uid="{00000000-0004-0000-0000-00008E020000}"/>
    <hyperlink ref="O4826" r:id="rId655" xr:uid="{00000000-0004-0000-0000-00008F020000}"/>
    <hyperlink ref="O4827" r:id="rId656" xr:uid="{00000000-0004-0000-0000-000090020000}"/>
    <hyperlink ref="O4828" r:id="rId657" xr:uid="{00000000-0004-0000-0000-000091020000}"/>
    <hyperlink ref="S4830" r:id="rId658" xr:uid="{00000000-0004-0000-0000-000092020000}"/>
    <hyperlink ref="S4831" r:id="rId659" xr:uid="{00000000-0004-0000-0000-000093020000}"/>
    <hyperlink ref="S4835" r:id="rId660" xr:uid="{00000000-0004-0000-0000-000094020000}"/>
    <hyperlink ref="O4839" r:id="rId661" xr:uid="{00000000-0004-0000-0000-000095020000}"/>
    <hyperlink ref="O4840" r:id="rId662" xr:uid="{00000000-0004-0000-0000-000096020000}"/>
    <hyperlink ref="O4841" r:id="rId663" xr:uid="{00000000-0004-0000-0000-000097020000}"/>
    <hyperlink ref="O4842" r:id="rId664" xr:uid="{00000000-0004-0000-0000-000098020000}"/>
    <hyperlink ref="O4994" r:id="rId665" xr:uid="{00000000-0004-0000-0000-000099020000}"/>
    <hyperlink ref="O4995" r:id="rId666" xr:uid="{00000000-0004-0000-0000-00009A020000}"/>
    <hyperlink ref="W5019" r:id="rId667" location="position=31&amp;search_layout=stack&amp;type=item&amp;tracking_id=06708315-c938-4c92-8002-a738f62ecb7f" xr:uid="{00000000-0004-0000-0000-00009B020000}"/>
    <hyperlink ref="S5066" r:id="rId668" display="https://www.amazon.com/Regulable-%C3%A1ngulo-bombilla-c%C3%A1lida-AC120V/dp/B06XVF7K87/ref=sr_1_2_sspa?__mk_es_US=%C3%85M%C3%85%C5%BD%C3%95%C3%91&amp;crid=1Y9P30INDOLAO&amp;keywords=ar111&amp;qid=1643488767&amp;sprefix=ar111%2Caps%2C321&amp;sr=8-2-spons&amp;psc=1&amp;smid=AD1QP35KGG01T&amp;spLa=ZW5jcnlwdGVkUXVhbGlmaWVyPUEzMVRHRVhXUldNSkc4JmVuY3J5cHRlZElkPUEwNDMyMDkwMUdJTk81TFFCVjc1NiZlbmNyeXB0ZWRBZElkPUEwNDg1NDgyMUFNMjk1UDc4SENSSSZ3aWRnZXROYW1lPXNwX2F0ZiZhY3Rpb249Y2xpY2tSZWRpcmVjdCZkb05vdExvZ0NsaWNrPXRydWU=" xr:uid="{00000000-0004-0000-0000-00009C020000}"/>
    <hyperlink ref="S5205" r:id="rId669" location="position=23&amp;search_layout=stack&amp;type=item&amp;tracking_id=da0b51ca-0884-4b5b-b95e-cbb476ef6b1c" xr:uid="{00000000-0004-0000-0000-00009D020000}"/>
    <hyperlink ref="S5277" r:id="rId670" display="https://articulo.mercadolibre.com.co/MCO-533857930-tablero-cofre-electrico-para-intemperie-rebra-60x40x25-_JM?matt_tool=70147493&amp;matt_word=&amp;matt_source=google&amp;matt_campaign_id=14633851809&amp;matt_ad_group_id=122277564930&amp;matt_match_type=&amp;matt_network=g&amp;matt_device=c&amp;matt_creative=545410559217&amp;matt_keyword=&amp;matt_ad_position=&amp;matt_ad_type=pla&amp;matt_merchant_id=117699747&amp;matt_product_id=MCO533857930&amp;matt_product_partition_id=1403869200214&amp;matt_target_id=aud-345731277302:pla-1403869200214&amp;gclid=CjwKCAjwxOCRBhA8EiwA0X8hi2h9KaGhPVWkIZTx6Jc-aEc384ouYrEeAMKOqwI9gDLIoFjmVYU8QxoChm0QAvD_BwE" xr:uid="{00000000-0004-0000-0000-00009E020000}"/>
    <hyperlink ref="O5363" r:id="rId671" xr:uid="{00000000-0004-0000-0000-00009F020000}"/>
    <hyperlink ref="O5364" r:id="rId672" xr:uid="{00000000-0004-0000-0000-0000A0020000}"/>
    <hyperlink ref="O5365" r:id="rId673" xr:uid="{00000000-0004-0000-0000-0000A1020000}"/>
    <hyperlink ref="O5366" r:id="rId674" xr:uid="{00000000-0004-0000-0000-0000A2020000}"/>
    <hyperlink ref="O5367" r:id="rId675" xr:uid="{00000000-0004-0000-0000-0000A3020000}"/>
    <hyperlink ref="O5368" r:id="rId676" xr:uid="{00000000-0004-0000-0000-0000A4020000}"/>
    <hyperlink ref="T5399" r:id="rId677" display="https://es.aliexpress.com/item/1005003267627016.html?spm=a2g0o.productlist.0.0.22f265abw7VMdQ&amp;algo_pvid=bdad2e3e-fed3-46f4-a5fd-e76d3e5d4eec&amp;algo_exp_id=bdad2e3e-fed3-46f4-a5fd-e76d3e5d4eec-15&amp;pdp_ext_f=%7B%22sku_id%22%3A%2212000024937603597%22%7D&amp;pdp_npi=2%40dis%21COP%21%21480429.31%21%21%2150565.19%21%21%402101d68d16537809913431711e2586%2112000024937603597%21sea" xr:uid="{00000000-0004-0000-0000-0000A5020000}"/>
    <hyperlink ref="T5432" r:id="rId678" display="https://www.amazon.com/dp/B0894N22CL/ref=sspa_dk_detail_4?pf_rd_p=f734d1a2-0bf9-4a26-ad34-2e1b969a5a75&amp;pf_rd_r=Y1GH0D8HB50YQ9J7M1T3&amp;pd_rd_wg=82hMd&amp;pd_rd_w=EJfgv&amp;content-id=amzn1.sym.f734d1a2-0bf9-4a26-ad34-2e1b969a5a75&amp;pd_rd_r=ae6a04e6-b644-47d6-9309-cbee97d95f7e&amp;s=aht&amp;sp_csd=d2lkZ2V0TmFtZT1zcF9kZXRhaWw&amp;th=1" xr:uid="{00000000-0004-0000-0000-0000A6020000}"/>
    <hyperlink ref="O5440" r:id="rId679" xr:uid="{00000000-0004-0000-0000-0000A7020000}"/>
    <hyperlink ref="T5600" r:id="rId680" xr:uid="{00000000-0004-0000-0000-0000A8020000}"/>
    <hyperlink ref="S5672" r:id="rId681" xr:uid="{00000000-0004-0000-0000-0000A9020000}"/>
    <hyperlink ref="T5725" r:id="rId682" display="https://www.amazon.com/dp/B07T96DFXV/ref=sspa_dk_detail_4?pd_rd_i=B07T96DFXV&amp;pd_rd_w=XQgxa&amp;content-id=amzn1.sym.dd2c6db7-6626-466d-bf04-9570e69a7df0&amp;pf_rd_p=dd2c6db7-6626-466d-bf04-9570e69a7df0&amp;pf_rd_r=5T2ZD2XSWR9QWHFPZGNJ&amp;pd_rd_wg=N7z0D&amp;pd_rd_r=39192845-2f44-49b7-bde9-859f9a573041&amp;s=electronics&amp;sp_csd=d2lkZ2V0TmFtZT1zcF9kZXRhaWxfdGhlbWF0aWM&amp;th=1" xr:uid="{00000000-0004-0000-0000-0000AA020000}"/>
    <hyperlink ref="T5731" r:id="rId683" display="https://www.amazon.com/-/es/Regulable-%C3%A1ngulo-bombilla-c%C3%A1lida-AC120V/dp/B06XVF7K87/ref=sr_1_4?__mk_es_US=%C3%85M%C3%85%C5%BD%C3%95%C3%91&amp;crid=2YLFYYVPUYJ58&amp;keywords=ar111+dimmable&amp;qid=1667088383&amp;qu=eyJxc2MiOiIxLjU0IiwicXNhIjoiMS41MCIsInFzcCI6IjEuMDAifQ%3D%3D&amp;sprefix=ar111+regulable%2Caps%2C182&amp;sr=8-4" xr:uid="{00000000-0004-0000-0000-0000AB020000}"/>
    <hyperlink ref="S5931" r:id="rId684" display="https://www.amazon.com/-/es/control-inal%C3%A1mbrico-controlador-Bluetooth-DC12-24V/dp/B0BCTZWTJY/ref=sr_1_4?__mk_es_US=%C3%85M%C3%85%C5%BD%C3%95%C3%91&amp;crid=LFIHXJKBO5AA&amp;keywords=controlador%2BRGB%2Bwifi&amp;qid=1683896593&amp;refinements=p_72%3A1248909011&amp;rnid=1248907011&amp;s=hi&amp;sprefix=controlador%2Brgb%2Bwifi%2Caps%2C147&amp;sr=1-4&amp;th=1" xr:uid="{00000000-0004-0000-0000-0000AC020000}"/>
    <hyperlink ref="S5932" r:id="rId685" display="https://www.amazon.com/-/es/control-inal%C3%A1mbrico-controlador-Bluetooth-DC12-24V/dp/B09PG93716/ref=sr_1_4?__mk_es_US=%C3%85M%C3%85%C5%BD%C3%95%C3%91&amp;crid=LFIHXJKBO5AA&amp;keywords=controlador%2BRGB%2Bwifi&amp;qid=1683896593&amp;refinements=p_72%3A1248909011&amp;rnid=1248907011&amp;s=hi&amp;sprefix=controlador%2Brgb%2Bwifi%2Caps%2C147&amp;sr=1-4&amp;th=1" xr:uid="{00000000-0004-0000-0000-0000AD020000}"/>
    <hyperlink ref="S5961" r:id="rId686" xr:uid="{00000000-0004-0000-0000-0000AE020000}"/>
    <hyperlink ref="S6012" r:id="rId687" xr:uid="{00000000-0004-0000-0000-0000AF020000}"/>
    <hyperlink ref="S6092" r:id="rId688" display="https://es.aliexpress.com/item/1005003995869706.html?spm=a2g0o.store_pc_groupList.8148356.21.6b3156766rRrMk&amp;pdp_npi=4%40dis%21COP%21COP%2048%2C594.16%21COP%2037%2C417.51%21%21%2112.00%219.24%21%402103266e17000601165773652ece97%2112000029924432777%21sh%21CO%210%21" xr:uid="{00000000-0004-0000-0000-0000B0020000}"/>
    <hyperlink ref="S6094" r:id="rId689" display="https://es.aliexpress.com/item/1005004204872628.html?spm=a2g0o.productlist.main.3.5b8a48038M6rZj&amp;algo_pvid=16a37a91-c701-4175-9743-6d7530342f86&amp;aem_p4p_detail=202311150644375846522198067540000340308&amp;algo_exp_id=16a37a91-c701-4175-9743-6d7530342f86-1&amp;pdp_npi=4%40dis%21COP%21341778.95%21146956.85%21%21%2184.40%21%21%402101e5f717000594774975322e4712%2112000028423496236%21sea%21CO%210%21AB&amp;curPageLogUid=XwKplaGykFUu&amp;search_p4p_id=202311150644375846522198067540000340308_2" xr:uid="{00000000-0004-0000-0000-0000B1020000}"/>
    <hyperlink ref="S6096" r:id="rId690" xr:uid="{00000000-0004-0000-0000-0000B2020000}"/>
    <hyperlink ref="S6097" r:id="rId691" location="reviews-filter-bar" xr:uid="{00000000-0004-0000-0000-0000B3020000}"/>
    <hyperlink ref="S6098" r:id="rId692" xr:uid="{00000000-0004-0000-0000-0000B4020000}"/>
    <hyperlink ref="S6099" r:id="rId693" display="https://www.amazon.com/Krisdonia-Cargador-port%C3%A1til-aprobado-proyector/dp/B07R8Y24PB/ref=sr_1_2_sspa?__mk_es_US=%C3%85M%C3%85%C5%BD%C3%95%C3%91&amp;crid=TS5PPZUZHNPO&amp;keywords=battery%2B120vac&amp;qid=1700088510&amp;sprefix=baterry%2B120va%2Caps%2C307&amp;sr=8-2-spons&amp;ufe=app_do%3Aamzn1.fos.17d9e15d-4e43-4581-b373-0e5c1a776d5d&amp;sp_csd=d2lkZ2V0TmFtZT1zcF9hdGY&amp;th=1" xr:uid="{00000000-0004-0000-0000-0000B5020000}"/>
    <hyperlink ref="O6165" r:id="rId694" xr:uid="{00000000-0004-0000-0000-0000B6020000}"/>
    <hyperlink ref="T6209" r:id="rId695" display="https://www.amazon.com/-/es/Soporte-integrado-compatible-inteligente-generaci%C3%B3n/dp/B0BDZXNF83/ref=sr_1_4?__mk_es_US=%C3%85M%C3%85%C5%BD%C3%95%C3%91&amp;crid=17DKHERIU2PLB&amp;keywords=ceiling+mount+dot&amp;qid=1707406795&amp;sprefix=cealing+mount+dot%2Caps%2C223&amp;sr=8-4" xr:uid="{00000000-0004-0000-0000-0000B7020000}"/>
    <hyperlink ref="S6216" r:id="rId696" xr:uid="{00000000-0004-0000-0000-0000B8020000}"/>
    <hyperlink ref="S6235" r:id="rId697" display="https://es.aliexpress.com/item/1005003419463126.html?spm=a2g0o.productlist.main.69.4898432bjJI1aB&amp;algo_pvid=8f360d0d-0a2a-4b00-ba24-0ceb893ffa48&amp;aem_p4p_detail=202402182004141404288060961260012224689&amp;algo_exp_id=8f360d0d-0a2a-4b00-ba24-0ceb893ffa48-34&amp;pdp_npi=4%40dis%21COP%21793227.34%21412480.43%21%21%211433.80%21745.58%21%402103254117083154541666579e493d%2112000025705015206%21sea%21CO%210%21AB&amp;curPageLogUid=XBGoZZY5ZLsH&amp;utparam-url=scene%3Asearch%7Cquery_from%3A&amp;search_p4p_id=202402182004141404288060961260012224689_15" xr:uid="{00000000-0004-0000-0000-0000B9020000}"/>
    <hyperlink ref="S6236" r:id="rId698" display="https://es.aliexpress.com/item/1005005114901455.html?spm=a2g0o.productlist.main.7.6e35e857yRkX0X&amp;algo_pvid=7b0aaac4-37ce-4150-8d1a-bd0602bdf9bb&amp;aem_p4p_detail=20240218203120509414166554000012173242&amp;algo_exp_id=7b0aaac4-37ce-4150-8d1a-bd0602bdf9bb-3&amp;pdp_npi=4%40dis%21COP%21245082.79%21110287.25%21%21%21443.00%21199.35%21%402101c5bf17083170800103411e0741%2112000032384225970%21sea%21CO%210%21AB&amp;curPageLogUid=U632u9fGnh3D&amp;utparam-url=scene%3Asearch%7Cquery_from%3A&amp;search_p4p_id=20240218203120509414166554000012173242_4" xr:uid="{00000000-0004-0000-0000-0000BA020000}"/>
    <hyperlink ref="S6302" r:id="rId699" display="https://www.amazon.com/dp/B0B53FNH2C/ref=sspa_dk_detail_2?pd_rd_i=B0B53FNH2C&amp;pd_rd_w=h8v0U&amp;content-id=amzn1.sym.ecc09a2f-2609-4555-bb4e-a89772637d1c&amp;pf_rd_p=ecc09a2f-2609-4555-bb4e-a89772637d1c&amp;pf_rd_r=4DMTGSBRXHGM0AW01WR1&amp;pd_rd_wg=7aUy1&amp;pd_rd_r=a95eeff4-ced5-418b-bf08-03a684c3a5f0&amp;s=industrial&amp;sp_csd=d2lkZ2V0TmFtZT1zcF9kZXRhaWxfdGhlbWF0aWM&amp;th=1" xr:uid="{00000000-0004-0000-0000-0000BB020000}"/>
    <hyperlink ref="S6307" r:id="rId700" display="https://es.aliexpress.com/item/1005006719915480.html?spm=a2g0o.productlist.main.31.4582a439xLCc1W&amp;algo_pvid=2177894d-4a38-4dbd-a30c-a6a084f2c69f&amp;aem_p4p_detail=20240417174422168000266494270002091951&amp;algo_exp_id=2177894d-4a38-4dbd-a30c-a6a084f2c69f-15&amp;pdp_npi=4%40dis%21COP%21474731.07%21290334.87%21%21%21861.90%21527.12%21%402103010c17134010620156438e427e%2112000038087823409%21sea%21CO%210%21AB&amp;curPageLogUid=z72yPfODL7r8&amp;utparam-url=scene%3Asearch%7Cquery_from%3A&amp;search_p4p_id=20240417174422168000266494270002091951_4" xr:uid="{00000000-0004-0000-0000-0000BC020000}"/>
    <hyperlink ref="S6320" r:id="rId701" display="https://www.amazon.com/dp/B07QNPCK8Z/ref=sspa_dk_detail_1?psc=1&amp;pf_rd_p=f734d1a2-0bf9-4a26-ad34-2e1b969a5a75&amp;pf_rd_r=90C5E5D99NDHQ4ZT33WS&amp;pd_rd_wg=u1jth&amp;pd_rd_w=svZ3d&amp;content-id=amzn1.sym.f734d1a2-0bf9-4a26-ad34-2e1b969a5a75&amp;pd_rd_r=07e49706-76bf-42d4-8a47-2ea01c3525de&amp;s=industrial&amp;sp_csd=d2lkZ2V0TmFtZT1zcF9kZXRhaWw" xr:uid="{00000000-0004-0000-0000-0000BD020000}"/>
    <hyperlink ref="O6323" r:id="rId702" xr:uid="{00000000-0004-0000-0000-0000BE020000}"/>
    <hyperlink ref="O6324" r:id="rId703" xr:uid="{00000000-0004-0000-0000-0000BF020000}"/>
    <hyperlink ref="O6325" r:id="rId704" xr:uid="{00000000-0004-0000-0000-0000C0020000}"/>
    <hyperlink ref="O6326" r:id="rId705" xr:uid="{00000000-0004-0000-0000-0000C1020000}"/>
    <hyperlink ref="S6332" r:id="rId706" xr:uid="{00000000-0004-0000-0000-0000C2020000}"/>
    <hyperlink ref="S6380" r:id="rId707" display="https://es.aliexpress.com/item/1005003489640882.html?spm=a2g0o.productlist.main.31.2f996f57tLaLgG&amp;algo_pvid=977da720-5dea-4d6d-8126-30b2442d1f16&amp;algo_exp_id=977da720-5dea-4d6d-8126-30b2442d1f16-15&amp;pdp_npi=4%40dis%21COP%21497257.20%21198902.88%21%21%21125.00%2150.00%21%402101ef8717154053030196780e0fed%2112000026199011857%21sea%21CO%210%21AB&amp;curPageLogUid=F3NgrpaL8LJL&amp;utparam-url=scene%3Asearch%7Cquery_from%3A" xr:uid="{00000000-0004-0000-0000-0000C3020000}"/>
    <hyperlink ref="S6382" r:id="rId708" display="https://es.aliexpress.com/item/1005006117739842.html?spm=a2g0o.productlist.main.99.2f996f57tLaLgG&amp;algo_pvid=8ffe042a-6ace-4946-95b5-1e64666d7101&amp;algo_exp_id=8ffe042a-6ace-4946-95b5-1e64666d7101-49&amp;pdp_npi=4%40dis%21COP%212116326.64%211058163.32%21%21%21532.00%21266.00%21%402101e56617154051511952839e0201%2112000035830015006%21sea%21CO%210%21AB&amp;curPageLogUid=xzdKx0ZlrtIz&amp;utparam-url=scene%3Asearch%7Cquery_from%3A" xr:uid="{00000000-0004-0000-0000-0000C4020000}"/>
    <hyperlink ref="S6402" r:id="rId709" display="https://www.amazon.com/Empotrable-Seguridad-Contacto-Magn%C3%A9tico-Interruptor/dp/B00O9WCOB8/ref=pd_ci_mcx_di_int_sccai_cn_d_sccl_2_33/130-2911525-6422116?pd_rd_w=6nGPM&amp;content-id=amzn1.sym.751acc83-5c05-42d0-a15e-303622651e1e&amp;pf_rd_p=751acc83-5c05-42d0-a15e-303622651e1e&amp;pf_rd_r=1QWWR05CVCP2HARM9GN1&amp;pd_rd_wg=jOSij&amp;pd_rd_r=c95414ba-4156-4ec2-b2cb-796fe6154cf3&amp;pd_rd_i=B00O9WCOB8&amp;psc=1" xr:uid="{00000000-0004-0000-0000-0000C5020000}"/>
    <hyperlink ref="S6408" r:id="rId710" location="searchVariation=MCO20996286&amp;position=4&amp;search_layout=stack&amp;type=product&amp;tracking_id=5fdd1c17-443e-4a70-ae43-e6437ff934b6" xr:uid="{00000000-0004-0000-0000-0000C6020000}"/>
    <hyperlink ref="S6413" r:id="rId711" xr:uid="{00000000-0004-0000-0000-0000C7020000}"/>
    <hyperlink ref="S6416" r:id="rId712" display="https://es.aliexpress.com/item/1005005849981794.html?spm=a2g0o.productlist.main.17.3cd6XxjAXxjArB&amp;algo_pvid=4feedf7f-d6a8-428f-8344-d6f1627195c8&amp;algo_exp_id=4feedf7f-d6a8-428f-8344-d6f1627195c8-8&amp;pdp_npi=4%40dis%21COP%212244476.99%211346686.19%21%21%214148.00%212488.80%21%402103273e17158390127651335e80b0%2112000034569261505%21sea%21CO%210%21AB&amp;curPageLogUid=tKN4wEEchJjD&amp;utparam-url=scene%3Asearch%7Cquery_from%3A" xr:uid="{00000000-0004-0000-0000-0000C8020000}"/>
    <hyperlink ref="S6417" r:id="rId713" display="https://es.aliexpress.com/item/1005005521740209.html?spm=a2g0o.productlist.main.37.3cd6XxjAXxjArB&amp;algo_pvid=4feedf7f-d6a8-428f-8344-d6f1627195c8&amp;algo_exp_id=4feedf7f-d6a8-428f-8344-d6f1627195c8-18&amp;pdp_npi=4%40dis%21COP%21282182.92%2191615.35%21%21%21521.50%21169.31%21%402103273e17158390127651335e80b0%2112000033996935518%21sea%21CO%210%21AB&amp;curPageLogUid=fnPphRH6h4CP&amp;utparam-url=scene%3Asearch%7Cquery_from%3A" xr:uid="{00000000-0004-0000-0000-0000C9020000}"/>
    <hyperlink ref="S6418" r:id="rId714" display="https://es.aliexpress.com/item/1005006197484316.html?spm=a2g0o.productlist.main.25.ab421d702DOI2z&amp;algo_pvid=4197bb74-8672-40fc-a0ed-c0051c87835a&amp;algo_exp_id=4197bb74-8672-40fc-a0ed-c0051c87835a-12&amp;pdp_npi=4%40dis%21COP%21100008.67%2169990.45%21%21%2125.62%2117.93%21%402101eab017158405044512887e5d3c%2112000037523129452%21sea%21CO%210%21AB&amp;curPageLogUid=5E0Ub7rb14Kk&amp;utparam-url=scene%3Asearch%7Cquery_from%3A" xr:uid="{00000000-0004-0000-0000-0000CA020000}"/>
    <hyperlink ref="S6479" r:id="rId715" display="https://es.aliexpress.com/item/1005005323435539.html?spm=a2g0o.productlist.main.65.23a8VhwmVhwmbU&amp;algo_pvid=6a2168a8-b828-4d46-ae9c-6cbd9efc6994&amp;algo_exp_id=6a2168a8-b828-4d46-ae9c-6cbd9efc6994-34&amp;pdp_npi=4%40dis%21COP%21521631.22%21222683.51%21%21%21942.40%21402.31%21%402101fb0b17179778858306677e9b2a%2112000032765398885%21sea%21CO%210%21AB&amp;curPageLogUid=QIE7zMLhUvef&amp;utparam-url=scene%3Asearch%7Cquery_from%3A" xr:uid="{00000000-0004-0000-0000-0000CB020000}"/>
    <hyperlink ref="S6480" r:id="rId716" display="https://es.aliexpress.com/item/1005006905065001.html?spm=a2g0o.productlist.main.39.67cb720cPFPgYy&amp;algo_pvid=deadccad-f9cc-47ae-8498-1084d4f00448&amp;aem_p4p_detail=202406091914162976896198887100009715432&amp;algo_exp_id=deadccad-f9cc-47ae-8498-1084d4f00448-19&amp;pdp_npi=4%40dis%21COP%21522190.24%21365533.17%21%21%21130.00%2191.00%21%40210318c317179856565384783e3071%2112000038672433311%21sea%21CO%210%21AB&amp;curPageLogUid=8X7sSJyHGWaU&amp;utparam-url=scene%3Asearch%7Cquery_from%3A&amp;search_p4p_id=202406091914162976896198887100009715432_5" xr:uid="{00000000-0004-0000-0000-0000CC020000}"/>
    <hyperlink ref="S6482" r:id="rId717" display="https://es.aliexpress.com/item/1005004515511990.html?spm=a2g0o.productlist.main.77.150f6754pfdRsY&amp;algo_pvid=e5e23335-71cb-4fab-9929-b9eb8f263552&amp;algo_exp_id=e5e23335-71cb-4fab-9929-b9eb8f263552-38&amp;pdp_npi=4%40dis%21COP%21272824.32%21160955.10%21%21%2167.92%2140.07%21%402101e07217179863486243621e6626%2112000029441263100%21sea%21CO%210%21AB&amp;curPageLogUid=mhdqQ4z2pJed&amp;utparam-url=scene%3Asearch%7Cquery_from%3A" xr:uid="{00000000-0004-0000-0000-0000CD020000}"/>
    <hyperlink ref="S6487" r:id="rId718" display="https://es.aliexpress.com/item/33014906654.html?spm=a2g0o.productlist.main.11.7f87AJdrAJdrDQ&amp;algo_pvid=ab673f4a-cd76-4793-81ff-2eaf3cf66d27&amp;algo_exp_id=ab673f4a-cd76-4793-81ff-2eaf3cf66d27-5&amp;pdp_npi=4%40dis%21COP%21710259.68%21710259.68%21%21%21167.70%21167.70%21%402101e07217183371594981262eb60d%2112000033847103717%21sea%21CO%210%21AB&amp;curPageLogUid=vgl1TxzUn44d&amp;utparam-url=scene%3Asearch%7Cquery_from%3A" xr:uid="{00000000-0004-0000-0000-0000CE020000}"/>
    <hyperlink ref="S6541" r:id="rId719" xr:uid="{00000000-0004-0000-0000-0000CF020000}"/>
    <hyperlink ref="S6650" r:id="rId720" location="reco_item_pos=0&amp;reco_backend=same-seller-rola-odin&amp;reco_backend_type=low_level&amp;reco_client=vip-seller_items-above&amp;reco_id=e3c50194-2b5f-43ea-a0c0-52ad60a1fdfd&amp;reco_model=machinalis-sellers-baseline" display="https://articulo.mercadolibre.com.co/MCO-596295617-reata-poliester-rollo-50-metros-x-38cms-_JM?variation=69444547782#reco_item_pos=0&amp;reco_backend=same-seller-rola-odin&amp;reco_backend_type=low_level&amp;reco_client=vip-seller_items-above&amp;reco_id=e3c50194-2b5f-43ea-a0c0-52ad60a1fdfd&amp;reco_model=machinalis-sellers-baseline" xr:uid="{00000000-0004-0000-0000-0000D0020000}"/>
    <hyperlink ref="S6651" r:id="rId721" xr:uid="{00000000-0004-0000-0000-0000D1020000}"/>
    <hyperlink ref="O7473" r:id="rId722" xr:uid="{00000000-0004-0000-0000-0000D2020000}"/>
    <hyperlink ref="S7532" r:id="rId723" xr:uid="{00000000-0004-0000-0000-0000D3020000}"/>
    <hyperlink ref="S7550" r:id="rId724" xr:uid="{00000000-0004-0000-0000-0000D4020000}"/>
    <hyperlink ref="S7556" r:id="rId725" xr:uid="{00000000-0004-0000-0000-0000D5020000}"/>
    <hyperlink ref="S7637" r:id="rId726" xr:uid="{00000000-0004-0000-0000-0000D6020000}"/>
    <hyperlink ref="S7638" r:id="rId727" xr:uid="{00000000-0004-0000-0000-0000D7020000}"/>
    <hyperlink ref="S7645" r:id="rId728" xr:uid="{00000000-0004-0000-0000-0000D8020000}"/>
    <hyperlink ref="S7646" r:id="rId729" xr:uid="{00000000-0004-0000-0000-0000D9020000}"/>
    <hyperlink ref="S7705" r:id="rId730" xr:uid="{00000000-0004-0000-0000-0000DA020000}"/>
    <hyperlink ref="S7719" r:id="rId731" xr:uid="{00000000-0004-0000-0000-0000DB020000}"/>
    <hyperlink ref="S7782" r:id="rId732" xr:uid="{00000000-0004-0000-0000-0000DC020000}"/>
    <hyperlink ref="I7786" r:id="rId733" display="https://www.amazon.com/HDMI-Matrix-Switcher-18GBPS-Ultra/dp/B01GKFQNG8?ref_=ast_sto_dp" xr:uid="{00000000-0004-0000-0000-0000DD020000}"/>
    <hyperlink ref="I7787" r:id="rId734" display="https://www.amazon.com/HDMI-Matrix-Switcher-18GBPS-Ultra/dp/B01GKFQNG8?ref_=ast_sto_dp" xr:uid="{00000000-0004-0000-0000-0000DE020000}"/>
    <hyperlink ref="O7863" r:id="rId735" xr:uid="{00000000-0004-0000-0000-0000DF020000}"/>
    <hyperlink ref="O7864" r:id="rId736" xr:uid="{00000000-0004-0000-0000-0000E0020000}"/>
    <hyperlink ref="O7985" r:id="rId737" xr:uid="{00000000-0004-0000-0000-0000E1020000}"/>
    <hyperlink ref="O7986" r:id="rId738" xr:uid="{00000000-0004-0000-0000-0000E2020000}"/>
    <hyperlink ref="O7987" r:id="rId739" xr:uid="{00000000-0004-0000-0000-0000E3020000}"/>
    <hyperlink ref="O7988" r:id="rId740" xr:uid="{00000000-0004-0000-0000-0000E4020000}"/>
    <hyperlink ref="O7989" r:id="rId741" xr:uid="{00000000-0004-0000-0000-0000E5020000}"/>
    <hyperlink ref="O7990" r:id="rId742" xr:uid="{00000000-0004-0000-0000-0000E6020000}"/>
    <hyperlink ref="O7991" r:id="rId743" xr:uid="{00000000-0004-0000-0000-0000E7020000}"/>
    <hyperlink ref="O7992" r:id="rId744" xr:uid="{00000000-0004-0000-0000-0000E8020000}"/>
    <hyperlink ref="O7993" r:id="rId745" xr:uid="{00000000-0004-0000-0000-0000E9020000}"/>
    <hyperlink ref="O7994" r:id="rId746" xr:uid="{00000000-0004-0000-0000-0000EA020000}"/>
    <hyperlink ref="O7995" r:id="rId747" xr:uid="{00000000-0004-0000-0000-0000EB020000}"/>
    <hyperlink ref="O7996" r:id="rId748" xr:uid="{00000000-0004-0000-0000-0000EC020000}"/>
    <hyperlink ref="O7997" r:id="rId749" xr:uid="{00000000-0004-0000-0000-0000ED020000}"/>
    <hyperlink ref="O7998" r:id="rId750" xr:uid="{00000000-0004-0000-0000-0000EE020000}"/>
    <hyperlink ref="O7999" r:id="rId751" xr:uid="{00000000-0004-0000-0000-0000EF020000}"/>
    <hyperlink ref="O8000" r:id="rId752" xr:uid="{00000000-0004-0000-0000-0000F0020000}"/>
    <hyperlink ref="O8001" r:id="rId753" xr:uid="{00000000-0004-0000-0000-0000F1020000}"/>
    <hyperlink ref="O8002" r:id="rId754" xr:uid="{00000000-0004-0000-0000-0000F2020000}"/>
    <hyperlink ref="O8003" r:id="rId755" xr:uid="{00000000-0004-0000-0000-0000F3020000}"/>
    <hyperlink ref="O8004" r:id="rId756" xr:uid="{00000000-0004-0000-0000-0000F4020000}"/>
    <hyperlink ref="O8005" r:id="rId757" xr:uid="{00000000-0004-0000-0000-0000F5020000}"/>
    <hyperlink ref="O8006" r:id="rId758" xr:uid="{00000000-0004-0000-0000-0000F6020000}"/>
    <hyperlink ref="O8007" r:id="rId759" xr:uid="{00000000-0004-0000-0000-0000F7020000}"/>
    <hyperlink ref="O8008" r:id="rId760" xr:uid="{00000000-0004-0000-0000-0000F8020000}"/>
    <hyperlink ref="O8009" r:id="rId761" xr:uid="{00000000-0004-0000-0000-0000F9020000}"/>
    <hyperlink ref="O8010" r:id="rId762" xr:uid="{00000000-0004-0000-0000-0000FA020000}"/>
    <hyperlink ref="O8011" r:id="rId763" xr:uid="{00000000-0004-0000-0000-0000FB020000}"/>
    <hyperlink ref="O8012" r:id="rId764" xr:uid="{00000000-0004-0000-0000-0000FC020000}"/>
    <hyperlink ref="O8013" r:id="rId765" xr:uid="{00000000-0004-0000-0000-0000FD020000}"/>
    <hyperlink ref="O8014" r:id="rId766" xr:uid="{00000000-0004-0000-0000-0000FE020000}"/>
    <hyperlink ref="O8015" r:id="rId767" xr:uid="{00000000-0004-0000-0000-0000FF020000}"/>
    <hyperlink ref="O8016" r:id="rId768" xr:uid="{00000000-0004-0000-0000-000000030000}"/>
    <hyperlink ref="O8017" r:id="rId769" xr:uid="{00000000-0004-0000-0000-000001030000}"/>
    <hyperlink ref="O8018" r:id="rId770" xr:uid="{00000000-0004-0000-0000-000002030000}"/>
    <hyperlink ref="O8019" r:id="rId771" xr:uid="{00000000-0004-0000-0000-000003030000}"/>
    <hyperlink ref="O8020" r:id="rId772" xr:uid="{00000000-0004-0000-0000-000004030000}"/>
    <hyperlink ref="O8021" r:id="rId773" xr:uid="{00000000-0004-0000-0000-000005030000}"/>
    <hyperlink ref="O8022" r:id="rId774" xr:uid="{00000000-0004-0000-0000-000006030000}"/>
    <hyperlink ref="O8023" r:id="rId775" xr:uid="{00000000-0004-0000-0000-000007030000}"/>
    <hyperlink ref="O8024" r:id="rId776" xr:uid="{00000000-0004-0000-0000-000008030000}"/>
    <hyperlink ref="S8091" r:id="rId777" xr:uid="{00000000-0004-0000-0000-000009030000}"/>
    <hyperlink ref="O8094" r:id="rId778" xr:uid="{00000000-0004-0000-0000-00000A030000}"/>
    <hyperlink ref="O8095" r:id="rId779" xr:uid="{00000000-0004-0000-0000-00000B030000}"/>
    <hyperlink ref="O8096" r:id="rId780" xr:uid="{00000000-0004-0000-0000-00000C030000}"/>
    <hyperlink ref="S15" r:id="rId781" xr:uid="{00000000-0004-0000-0000-000010000000}"/>
  </hyperlinks>
  <pageMargins left="0.7" right="0.7" top="0.75" bottom="0.75" header="0.3" footer="0.3"/>
  <pageSetup orientation="portrait" r:id="rId782"/>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Rojas</dc:creator>
  <cp:lastModifiedBy>Daniel Rojas</cp:lastModifiedBy>
  <cp:lastPrinted>2026-03-16T17:52:21Z</cp:lastPrinted>
  <dcterms:created xsi:type="dcterms:W3CDTF">2020-06-15T01:31:24Z</dcterms:created>
  <dcterms:modified xsi:type="dcterms:W3CDTF">2026-06-15T00:18:09Z</dcterms:modified>
</cp:coreProperties>
</file>